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queryTables/queryTable1.xml" ContentType="application/vnd.openxmlformats-officedocument.spreadsheetml.query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usdot-my.sharepoint.com/personal/stephen_chapman_ad_dot_gov/Documents/"/>
    </mc:Choice>
  </mc:AlternateContent>
  <xr:revisionPtr revIDLastSave="274" documentId="11_3F60142E31923CCB3D4E00C1F959645EE9CCE712" xr6:coauthVersionLast="47" xr6:coauthVersionMax="47" xr10:uidLastSave="{89E8F7CB-EBFC-45E3-ADE0-2B51070C8027}"/>
  <bookViews>
    <workbookView xWindow="1470" yWindow="1470" windowWidth="18000" windowHeight="9270" xr2:uid="{00000000-000D-0000-FFFF-FFFF00000000}"/>
  </bookViews>
  <sheets>
    <sheet name="Information" sheetId="8" r:id="rId1"/>
    <sheet name="Inputs" sheetId="4" r:id="rId2"/>
    <sheet name="Sheet" sheetId="72" r:id="rId3"/>
    <sheet name="EE_Summary" sheetId="66" r:id="rId4"/>
    <sheet name="Listing" sheetId="67" r:id="rId5"/>
    <sheet name="Bid Tabs Summary" sheetId="61" r:id="rId6"/>
    <sheet name="Bid Tabs" sheetId="62" r:id="rId7"/>
    <sheet name="GIS" sheetId="68" r:id="rId8"/>
    <sheet name="Calculations" sheetId="57" r:id="rId9"/>
    <sheet name="Pay Items" sheetId="70" r:id="rId10"/>
  </sheets>
  <definedNames>
    <definedName name="Account">Listing!$G$3</definedName>
    <definedName name="AccountRange">EE_Summary!$F$1</definedName>
    <definedName name="Accounts">INDIRECT(AccountRange)</definedName>
    <definedName name="All?">Listing!$P$3</definedName>
    <definedName name="AwardAmt">'Bid Tabs Summary'!$E$105</definedName>
    <definedName name="AwardDate">'Bid Tabs Summary'!$F$25</definedName>
    <definedName name="Awarded2">'Bid Tabs Summary'!$C$25</definedName>
    <definedName name="Awd?">Listing!$P$2</definedName>
    <definedName name="Base">Information!$I$25</definedName>
    <definedName name="Begin" localSheetId="2">Sheet!$A$7</definedName>
    <definedName name="BeginLine">Information!$I$23</definedName>
    <definedName name="Bid?">Listing!$P$1</definedName>
    <definedName name="Bidders">INDIRECT(BiddersRange)</definedName>
    <definedName name="BiddersRange">'Bid Tabs'!$F$2</definedName>
    <definedName name="Bids">INDIRECT(BidsRange)</definedName>
    <definedName name="BidsRange">'Bid Tabs'!$G$2</definedName>
    <definedName name="BridgeList">'Pay Items'!$R$1</definedName>
    <definedName name="col_D">Calculations!$AJ$2</definedName>
    <definedName name="col_Description">Calculations!$C$2</definedName>
    <definedName name="col_R">Calculations!$BZ$2</definedName>
    <definedName name="col_Remarks">Calculations!$AS$2</definedName>
    <definedName name="col_Schedule">Calculations!$B$2</definedName>
    <definedName name="ConstrList">'Pay Items'!$S$1</definedName>
    <definedName name="ConstrType">EE_Summary!$D$10</definedName>
    <definedName name="ContractNum">'Bid Tabs Summary'!$C$27</definedName>
    <definedName name="County">EE_Summary!$E$8</definedName>
    <definedName name="DataSensitivity">'Bid Tabs Summary'!$F$27</definedName>
    <definedName name="Decimals">Information!$I$26</definedName>
    <definedName name="Density">Information!$I$15</definedName>
    <definedName name="Description">Information!$I$9</definedName>
    <definedName name="Division">Information!$I$4</definedName>
    <definedName name="EE">'Bid Tabs'!$F$7</definedName>
    <definedName name="EE.Acct">EE_Summary!$F$27</definedName>
    <definedName name="EE.AcctCalc">Listing!$G$1</definedName>
    <definedName name="End" localSheetId="2">Sheet!$A$48</definedName>
    <definedName name="EngEst">Listing!$J$1</definedName>
    <definedName name="ExternalData_1" localSheetId="9" hidden="1">'Pay Items'!$A$2:$J$3521</definedName>
    <definedName name="Filename" localSheetId="2">Sheet!$D$4</definedName>
    <definedName name="FLMA">Information!$M$4</definedName>
    <definedName name="FLMA1">EE_Summary!$E$4</definedName>
    <definedName name="FLMA2">EE_Summary!$E$5</definedName>
    <definedName name="FP">Information!$B$1</definedName>
    <definedName name="Full?">Listing!$P$4</definedName>
    <definedName name="Funding1">Information!$I$17</definedName>
    <definedName name="Funding2">Information!$J$17</definedName>
    <definedName name="Funding3">Information!$K$17</definedName>
    <definedName name="Header" comment="Summary of Quantities header" localSheetId="2">Sheet!$F$5:$Y$5</definedName>
    <definedName name="Headings" localSheetId="2">Sheet!$F$1:$Y$1</definedName>
    <definedName name="Highlights" localSheetId="5">'Bid Tabs Summary'!$F$1</definedName>
    <definedName name="Highlights" localSheetId="3">EE_Summary!$D$1</definedName>
    <definedName name="Incr">Information!$I$24</definedName>
    <definedName name="ItemListing">INDIRECT(ItemListDef)</definedName>
    <definedName name="LaneMiles">Information!$I$13</definedName>
    <definedName name="Letter">Information!$J$12</definedName>
    <definedName name="lines_D">Calculations!$AJ$1</definedName>
    <definedName name="lines_R">Calculations!$BZ$1</definedName>
    <definedName name="Location">EE_Summary!$D$9</definedName>
    <definedName name="MaxAccts">Information!$I$34</definedName>
    <definedName name="MaxRows">Information!$I$28</definedName>
    <definedName name="MinRows">Information!$I$27</definedName>
    <definedName name="Name">Information!$I$6</definedName>
    <definedName name="NPS.Drwg">Information!$I$8</definedName>
    <definedName name="NPS.PMIS">Information!$I$7</definedName>
    <definedName name="NumEstItems">Inputs!$AF$3</definedName>
    <definedName name="NumPayItems">Inputs!$E$3</definedName>
    <definedName name="Partner1">Information!$I$16</definedName>
    <definedName name="Partner2">Information!$J$16</definedName>
    <definedName name="Partner3">Information!$K$16</definedName>
    <definedName name="Pay.Items">Pay.Item.Listing[Pay Item]</definedName>
    <definedName name="Pay_items">Inputs!$A$4:$AF$286</definedName>
    <definedName name="Prefix">Information!$I$31</definedName>
    <definedName name="_xlnm.Print_Area" localSheetId="6">INDIRECT('Bid Tabs'!PrintRange)</definedName>
    <definedName name="_xlnm.Print_Area" localSheetId="5">INDIRECT('Bid Tabs Summary'!$C$104)</definedName>
    <definedName name="_xlnm.Print_Area" localSheetId="3">EE_Summary!$B$2:$F$56</definedName>
    <definedName name="_xlnm.Print_Area" localSheetId="4">INDIRECT(Listing!PrintRange)</definedName>
    <definedName name="_xlnm.Print_Area" localSheetId="2">Sheet!$D$3:$AA$49</definedName>
    <definedName name="_xlnm.Print_Titles" localSheetId="6">'Bid Tabs'!$B:$E,'Bid Tabs'!$3:$8</definedName>
    <definedName name="_xlnm.Print_Titles" localSheetId="5">'Bid Tabs Summary'!$29:$29</definedName>
    <definedName name="_xlnm.Print_Titles" localSheetId="4">Listing!$B:$B,Listing!$2:$7</definedName>
    <definedName name="PrintRange" localSheetId="6">'Bid Tabs'!$D$2</definedName>
    <definedName name="PrintRange" localSheetId="4">Listing!$O$1</definedName>
    <definedName name="Project">Information!$I$5</definedName>
    <definedName name="ProjectLength">EE_Summary!$F$23:$F$25</definedName>
    <definedName name="ProjectLine1">EE_Summary!$C$4</definedName>
    <definedName name="ProjectLine2">EE_Summary!$C$5</definedName>
    <definedName name="RangeAmend">Information!$I$49</definedName>
    <definedName name="RangeBidders">Information!$I$43</definedName>
    <definedName name="RangeBidRank">Information!$I$42</definedName>
    <definedName name="RangeContrQty">Information!$I$48</definedName>
    <definedName name="RangeCount">Information!$I$45</definedName>
    <definedName name="RangeDesc">Information!$I$38</definedName>
    <definedName name="RangeDesc2">Information!$I$39</definedName>
    <definedName name="RangeEE">Information!$I$44</definedName>
    <definedName name="RangeEstCount">Information!$I$46</definedName>
    <definedName name="RangeItems">Information!$I$37</definedName>
    <definedName name="RangePlanCount">Information!$I$47</definedName>
    <definedName name="RangeQuantity">Information!$I$41</definedName>
    <definedName name="RangeUnit">Information!$I$40</definedName>
    <definedName name="RangeUnitPrice">Information!$I$50</definedName>
    <definedName name="SchedOpt">Information!$I$11</definedName>
    <definedName name="Sheet">Information!$I$18</definedName>
    <definedName name="SheetNum" localSheetId="2">Sheet!$C$4</definedName>
    <definedName name="SheetsAvailable">Information!$I$33</definedName>
    <definedName name="SheetsNeeded">Information!$I$32</definedName>
    <definedName name="SheetTab" localSheetId="2">Sheet!$C$5</definedName>
    <definedName name="Solicitation">'Bid Tabs Summary'!$C$7</definedName>
    <definedName name="TabAmount">'Bid Tabs'!$G$8</definedName>
    <definedName name="TabCount">'Bid Tabs'!$A$8</definedName>
    <definedName name="Table_rows">Information!$I$29</definedName>
    <definedName name="Terrain">Information!$I$14</definedName>
    <definedName name="TotalLines">Information!$I$30</definedName>
    <definedName name="Units">Information!$I$10</definedName>
    <definedName name="Units_Met">Information!$H$54:$H$70</definedName>
    <definedName name="Units_USC">Information!$I$54:$I$75</definedName>
    <definedName name="widthPayItem" comment="Pay item description column width">Calculations!$C$1</definedName>
    <definedName name="widthRemarks" comment="Remarks column width">Calculations!$AS$1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72" l="1"/>
  <c r="W7" i="72"/>
  <c r="V7" i="72"/>
  <c r="U7" i="72"/>
  <c r="T7" i="72"/>
  <c r="S7" i="72"/>
  <c r="R7" i="72"/>
  <c r="Q7" i="72"/>
  <c r="P7" i="72"/>
  <c r="O7" i="72"/>
  <c r="N7" i="72"/>
  <c r="M7" i="72"/>
  <c r="L7" i="72"/>
  <c r="K7" i="72"/>
  <c r="W6" i="72"/>
  <c r="V6" i="72"/>
  <c r="U6" i="72"/>
  <c r="T6" i="72"/>
  <c r="S6" i="72"/>
  <c r="R6" i="72"/>
  <c r="Q6" i="72"/>
  <c r="P6" i="72"/>
  <c r="O6" i="72"/>
  <c r="N6" i="72"/>
  <c r="M6" i="72"/>
  <c r="L6" i="72"/>
  <c r="K6" i="72"/>
  <c r="F4" i="72"/>
  <c r="D4" i="72"/>
  <c r="C5" i="72" s="1"/>
  <c r="Y3" i="72"/>
  <c r="Y2" i="72"/>
  <c r="X2" i="72"/>
  <c r="W2" i="72"/>
  <c r="V2" i="72"/>
  <c r="U2" i="72"/>
  <c r="T2" i="72"/>
  <c r="S2" i="72"/>
  <c r="R2" i="72"/>
  <c r="Q2" i="72"/>
  <c r="P2" i="72"/>
  <c r="O2" i="72"/>
  <c r="N2" i="72"/>
  <c r="M2" i="72"/>
  <c r="L2" i="72"/>
  <c r="K2" i="72"/>
  <c r="J2" i="72"/>
  <c r="I2" i="72"/>
  <c r="H2" i="72"/>
  <c r="G2" i="72"/>
  <c r="F2" i="72"/>
  <c r="E5" i="66" l="1"/>
  <c r="E4" i="66"/>
  <c r="E3" i="68"/>
  <c r="E4" i="68"/>
  <c r="E5" i="68"/>
  <c r="E6" i="68"/>
  <c r="E7" i="68"/>
  <c r="E8" i="68"/>
  <c r="E9" i="68"/>
  <c r="E10" i="68"/>
  <c r="E11" i="68"/>
  <c r="E12" i="68"/>
  <c r="E13" i="68"/>
  <c r="E14" i="68"/>
  <c r="E15" i="68"/>
  <c r="E16" i="68"/>
  <c r="E17" i="68"/>
  <c r="E18" i="68"/>
  <c r="E19" i="68"/>
  <c r="E20" i="68"/>
  <c r="E21" i="68"/>
  <c r="C5" i="66"/>
  <c r="C4" i="66"/>
  <c r="E2" i="68" s="1"/>
  <c r="B48" i="8" l="1"/>
  <c r="I19" i="8"/>
  <c r="R1" i="70"/>
  <c r="E1" i="4"/>
  <c r="A1" i="70"/>
  <c r="AR3" i="62" l="1"/>
  <c r="Y2" i="4" l="1"/>
  <c r="F1" i="66"/>
  <c r="E5" i="61" l="1"/>
  <c r="E4" i="61"/>
  <c r="AH3" i="4" l="1"/>
  <c r="B3" i="68" l="1"/>
  <c r="B4" i="68"/>
  <c r="B5" i="68"/>
  <c r="B6" i="68"/>
  <c r="B7" i="68"/>
  <c r="B8" i="68"/>
  <c r="B9" i="68"/>
  <c r="B10" i="68"/>
  <c r="B11" i="68"/>
  <c r="B12" i="68"/>
  <c r="B13" i="68"/>
  <c r="B14" i="68"/>
  <c r="B15" i="68"/>
  <c r="B16" i="68"/>
  <c r="B17" i="68"/>
  <c r="B18" i="68"/>
  <c r="B19" i="68"/>
  <c r="B20" i="68"/>
  <c r="B21" i="68"/>
  <c r="C6" i="61" l="1"/>
  <c r="E3" i="61"/>
  <c r="E3" i="66"/>
  <c r="I49" i="8"/>
  <c r="A4" i="68" l="1"/>
  <c r="A5" i="68"/>
  <c r="A6" i="68"/>
  <c r="A7" i="68"/>
  <c r="A8" i="68"/>
  <c r="A9" i="68"/>
  <c r="A10" i="68"/>
  <c r="A11" i="68"/>
  <c r="A12" i="68"/>
  <c r="A13" i="68"/>
  <c r="A14" i="68"/>
  <c r="A15" i="68"/>
  <c r="A16" i="68"/>
  <c r="A17" i="68"/>
  <c r="C4" i="68"/>
  <c r="C5" i="68"/>
  <c r="C6" i="68"/>
  <c r="C7" i="68"/>
  <c r="C8" i="68"/>
  <c r="C9" i="68"/>
  <c r="C10" i="68"/>
  <c r="C11" i="68"/>
  <c r="C12" i="68"/>
  <c r="C13" i="68"/>
  <c r="C14" i="68"/>
  <c r="C15" i="68"/>
  <c r="C16" i="68"/>
  <c r="C17" i="68"/>
  <c r="D4" i="68"/>
  <c r="D5" i="68"/>
  <c r="D6" i="68"/>
  <c r="D7" i="68"/>
  <c r="D8" i="68"/>
  <c r="D9" i="68"/>
  <c r="D10" i="68"/>
  <c r="D11" i="68"/>
  <c r="D12" i="68"/>
  <c r="D13" i="68"/>
  <c r="D14" i="68"/>
  <c r="D15" i="68"/>
  <c r="D16" i="68"/>
  <c r="D17" i="68"/>
  <c r="F4" i="68"/>
  <c r="F5" i="68"/>
  <c r="F6" i="68"/>
  <c r="F7" i="68"/>
  <c r="F8" i="68"/>
  <c r="F9" i="68"/>
  <c r="F10" i="68"/>
  <c r="F11" i="68"/>
  <c r="F12" i="68"/>
  <c r="F13" i="68"/>
  <c r="F14" i="68"/>
  <c r="F15" i="68"/>
  <c r="F16" i="68"/>
  <c r="F17" i="68"/>
  <c r="G4" i="68"/>
  <c r="G5" i="68"/>
  <c r="G6" i="68"/>
  <c r="G7" i="68"/>
  <c r="G8" i="68"/>
  <c r="G9" i="68"/>
  <c r="G10" i="68"/>
  <c r="G11" i="68"/>
  <c r="G12" i="68"/>
  <c r="G13" i="68"/>
  <c r="G14" i="68"/>
  <c r="G15" i="68"/>
  <c r="G16" i="68"/>
  <c r="G17" i="68"/>
  <c r="H4" i="68"/>
  <c r="H5" i="68"/>
  <c r="H6" i="68"/>
  <c r="H7" i="68"/>
  <c r="H8" i="68"/>
  <c r="H9" i="68"/>
  <c r="H10" i="68"/>
  <c r="H11" i="68"/>
  <c r="H12" i="68"/>
  <c r="H13" i="68"/>
  <c r="H14" i="68"/>
  <c r="H15" i="68"/>
  <c r="H16" i="68"/>
  <c r="H17" i="68"/>
  <c r="I4" i="68"/>
  <c r="I5" i="68"/>
  <c r="I6" i="68"/>
  <c r="I7" i="68"/>
  <c r="I8" i="68"/>
  <c r="I9" i="68"/>
  <c r="I10" i="68"/>
  <c r="I11" i="68"/>
  <c r="I12" i="68"/>
  <c r="I13" i="68"/>
  <c r="I14" i="68"/>
  <c r="I15" i="68"/>
  <c r="I16" i="68"/>
  <c r="I17" i="68"/>
  <c r="J4" i="68"/>
  <c r="J5" i="68"/>
  <c r="J6" i="68"/>
  <c r="J7" i="68"/>
  <c r="J8" i="68"/>
  <c r="J9" i="68"/>
  <c r="J10" i="68"/>
  <c r="J11" i="68"/>
  <c r="J12" i="68"/>
  <c r="J13" i="68"/>
  <c r="J14" i="68"/>
  <c r="J15" i="68"/>
  <c r="J16" i="68"/>
  <c r="J17" i="68"/>
  <c r="K4" i="68"/>
  <c r="K5" i="68"/>
  <c r="K6" i="68"/>
  <c r="K7" i="68"/>
  <c r="K8" i="68"/>
  <c r="K9" i="68"/>
  <c r="K10" i="68"/>
  <c r="K11" i="68"/>
  <c r="K12" i="68"/>
  <c r="K13" i="68"/>
  <c r="K14" i="68"/>
  <c r="K15" i="68"/>
  <c r="K16" i="68"/>
  <c r="K17" i="68"/>
  <c r="L4" i="68"/>
  <c r="L5" i="68"/>
  <c r="L6" i="68"/>
  <c r="L7" i="68"/>
  <c r="L8" i="68"/>
  <c r="L9" i="68"/>
  <c r="L10" i="68"/>
  <c r="L11" i="68"/>
  <c r="L12" i="68"/>
  <c r="L13" i="68"/>
  <c r="L14" i="68"/>
  <c r="L15" i="68"/>
  <c r="L16" i="68"/>
  <c r="L17" i="68"/>
  <c r="M4" i="68"/>
  <c r="M5" i="68"/>
  <c r="M6" i="68"/>
  <c r="M7" i="68"/>
  <c r="M8" i="68"/>
  <c r="M9" i="68"/>
  <c r="M10" i="68"/>
  <c r="M11" i="68"/>
  <c r="M12" i="68"/>
  <c r="M13" i="68"/>
  <c r="M14" i="68"/>
  <c r="M15" i="68"/>
  <c r="M16" i="68"/>
  <c r="M17" i="68"/>
  <c r="M2" i="68"/>
  <c r="M3" i="68"/>
  <c r="M18" i="68"/>
  <c r="M19" i="68"/>
  <c r="M20" i="68"/>
  <c r="M21" i="68"/>
  <c r="L2" i="68"/>
  <c r="L3" i="68"/>
  <c r="L18" i="68"/>
  <c r="L19" i="68"/>
  <c r="L20" i="68"/>
  <c r="L21" i="68"/>
  <c r="K2" i="68"/>
  <c r="K3" i="68"/>
  <c r="K18" i="68"/>
  <c r="K19" i="68"/>
  <c r="K20" i="68"/>
  <c r="K21" i="68"/>
  <c r="J2" i="68"/>
  <c r="J3" i="68"/>
  <c r="J18" i="68"/>
  <c r="J19" i="68"/>
  <c r="J20" i="68"/>
  <c r="J21" i="68"/>
  <c r="I2" i="68"/>
  <c r="I3" i="68"/>
  <c r="I18" i="68"/>
  <c r="I19" i="68"/>
  <c r="I20" i="68"/>
  <c r="I21" i="68"/>
  <c r="H2" i="68"/>
  <c r="H3" i="68"/>
  <c r="H18" i="68"/>
  <c r="H19" i="68"/>
  <c r="H20" i="68"/>
  <c r="H21" i="68"/>
  <c r="G18" i="68"/>
  <c r="G19" i="68"/>
  <c r="G20" i="68"/>
  <c r="G21" i="68"/>
  <c r="F2" i="68"/>
  <c r="F3" i="68"/>
  <c r="F18" i="68"/>
  <c r="F19" i="68"/>
  <c r="F20" i="68"/>
  <c r="F21" i="68"/>
  <c r="D2" i="68"/>
  <c r="D3" i="68"/>
  <c r="D18" i="68"/>
  <c r="D19" i="68"/>
  <c r="D20" i="68"/>
  <c r="D21" i="68"/>
  <c r="C2" i="68"/>
  <c r="C3" i="68"/>
  <c r="C18" i="68"/>
  <c r="C19" i="68"/>
  <c r="C20" i="68"/>
  <c r="C21" i="68"/>
  <c r="A2" i="68"/>
  <c r="A3" i="68"/>
  <c r="A18" i="68"/>
  <c r="A19" i="68"/>
  <c r="A20" i="68"/>
  <c r="A21" i="68"/>
  <c r="I47" i="8"/>
  <c r="P4" i="67" l="1"/>
  <c r="P3" i="67"/>
  <c r="S44" i="67" l="1"/>
  <c r="R44" i="67"/>
  <c r="U44" i="67"/>
  <c r="T44" i="67"/>
  <c r="R40" i="67"/>
  <c r="U40" i="67"/>
  <c r="T40" i="67"/>
  <c r="S36" i="67"/>
  <c r="U36" i="67"/>
  <c r="T36" i="67"/>
  <c r="U32" i="67"/>
  <c r="T32" i="67"/>
  <c r="S43" i="67"/>
  <c r="R43" i="67"/>
  <c r="T43" i="67"/>
  <c r="R39" i="67"/>
  <c r="Q39" i="67" s="1"/>
  <c r="T39" i="67"/>
  <c r="S35" i="67"/>
  <c r="T35" i="67"/>
  <c r="T31" i="67"/>
  <c r="S42" i="67"/>
  <c r="R42" i="67"/>
  <c r="U42" i="67"/>
  <c r="R38" i="67"/>
  <c r="Q38" i="67" s="1"/>
  <c r="U38" i="67"/>
  <c r="S34" i="67"/>
  <c r="U34" i="67"/>
  <c r="U30" i="67"/>
  <c r="S41" i="67"/>
  <c r="R41" i="67"/>
  <c r="R37" i="67"/>
  <c r="S33" i="67"/>
  <c r="S40" i="67"/>
  <c r="R36" i="67"/>
  <c r="S32" i="67"/>
  <c r="R32" i="67"/>
  <c r="U43" i="67"/>
  <c r="S39" i="67"/>
  <c r="U39" i="67"/>
  <c r="R35" i="67"/>
  <c r="U35" i="67"/>
  <c r="S31" i="67"/>
  <c r="R31" i="67"/>
  <c r="U31" i="67"/>
  <c r="T42" i="67"/>
  <c r="S38" i="67"/>
  <c r="T38" i="67"/>
  <c r="R34" i="67"/>
  <c r="T34" i="67"/>
  <c r="S30" i="67"/>
  <c r="R30" i="67"/>
  <c r="T30" i="67"/>
  <c r="U41" i="67"/>
  <c r="T41" i="67"/>
  <c r="S37" i="67"/>
  <c r="U37" i="67"/>
  <c r="T37" i="67"/>
  <c r="R33" i="67"/>
  <c r="U33" i="67"/>
  <c r="T33" i="67"/>
  <c r="S29" i="67"/>
  <c r="R29" i="67"/>
  <c r="U29" i="67"/>
  <c r="T29" i="67"/>
  <c r="I48" i="8"/>
  <c r="I50" i="8"/>
  <c r="I45" i="8"/>
  <c r="I46" i="8"/>
  <c r="Q34" i="67" l="1"/>
  <c r="Q35" i="67"/>
  <c r="Q32" i="67"/>
  <c r="Q29" i="67"/>
  <c r="Q41" i="67"/>
  <c r="Q42" i="67"/>
  <c r="Q43" i="67"/>
  <c r="Q40" i="67"/>
  <c r="Q37" i="67"/>
  <c r="Q30" i="67"/>
  <c r="Q31" i="67"/>
  <c r="Q33" i="67"/>
  <c r="Q36" i="67"/>
  <c r="Q44" i="67"/>
  <c r="F1" i="67"/>
  <c r="P2" i="67"/>
  <c r="P1" i="67"/>
  <c r="L6" i="67"/>
  <c r="C2" i="67" l="1"/>
  <c r="H3" i="67"/>
  <c r="H7" i="67"/>
  <c r="C6" i="67"/>
  <c r="M6" i="67"/>
  <c r="K6" i="67"/>
  <c r="I41" i="8" l="1"/>
  <c r="I40" i="8"/>
  <c r="I39" i="8"/>
  <c r="I38" i="8"/>
  <c r="I37" i="8"/>
  <c r="A9" i="67" l="1"/>
  <c r="A8" i="67"/>
  <c r="A10" i="62"/>
  <c r="A9" i="62"/>
  <c r="A11" i="62" s="1"/>
  <c r="A12" i="62" l="1"/>
  <c r="A11" i="67"/>
  <c r="A10" i="67"/>
  <c r="A13" i="62"/>
  <c r="A14" i="62" l="1"/>
  <c r="A13" i="67"/>
  <c r="A12" i="67"/>
  <c r="A15" i="62"/>
  <c r="A16" i="62" l="1"/>
  <c r="A18" i="62" s="1"/>
  <c r="A15" i="67"/>
  <c r="A14" i="67"/>
  <c r="A17" i="62"/>
  <c r="A17" i="67" l="1"/>
  <c r="A16" i="67"/>
  <c r="A19" i="62"/>
  <c r="A20" i="62"/>
  <c r="A19" i="67" l="1"/>
  <c r="A18" i="67"/>
  <c r="A21" i="62"/>
  <c r="A22" i="62"/>
  <c r="A21" i="67" l="1"/>
  <c r="A20" i="67"/>
  <c r="A23" i="62"/>
  <c r="A24" i="62"/>
  <c r="A23" i="67" l="1"/>
  <c r="A22" i="67"/>
  <c r="A25" i="62"/>
  <c r="A26" i="62"/>
  <c r="A25" i="67" l="1"/>
  <c r="A24" i="67"/>
  <c r="A28" i="62"/>
  <c r="A27" i="62"/>
  <c r="A27" i="67" l="1"/>
  <c r="A30" i="62"/>
  <c r="A32" i="62" s="1"/>
  <c r="A29" i="62"/>
  <c r="A26" i="67"/>
  <c r="A29" i="67" l="1"/>
  <c r="A31" i="62"/>
  <c r="A33" i="62" s="1"/>
  <c r="A28" i="67"/>
  <c r="A34" i="62"/>
  <c r="A31" i="67" l="1"/>
  <c r="A30" i="67"/>
  <c r="A35" i="62"/>
  <c r="A36" i="62"/>
  <c r="A33" i="67" l="1"/>
  <c r="A32" i="67"/>
  <c r="A38" i="62"/>
  <c r="A37" i="62"/>
  <c r="A35" i="67" l="1"/>
  <c r="A37" i="67" s="1"/>
  <c r="A34" i="67"/>
  <c r="A39" i="62"/>
  <c r="A40" i="62"/>
  <c r="A36" i="67" l="1"/>
  <c r="A41" i="62"/>
  <c r="A42" i="62"/>
  <c r="A39" i="67"/>
  <c r="A38" i="67" l="1"/>
  <c r="A44" i="62"/>
  <c r="A43" i="62"/>
  <c r="A41" i="67"/>
  <c r="A40" i="67" l="1"/>
  <c r="A46" i="62"/>
  <c r="A45" i="62"/>
  <c r="A43" i="67"/>
  <c r="A42" i="67" l="1"/>
  <c r="A48" i="62"/>
  <c r="A47" i="62"/>
  <c r="A45" i="67"/>
  <c r="A44" i="67" l="1"/>
  <c r="A49" i="62"/>
  <c r="A50" i="62"/>
  <c r="A47" i="67"/>
  <c r="A46" i="67" l="1"/>
  <c r="A52" i="62"/>
  <c r="A51" i="62"/>
  <c r="A49" i="67"/>
  <c r="A48" i="67" l="1"/>
  <c r="A54" i="62"/>
  <c r="A53" i="62"/>
  <c r="A51" i="67"/>
  <c r="A50" i="67" l="1"/>
  <c r="A56" i="62"/>
  <c r="A55" i="62"/>
  <c r="A53" i="67"/>
  <c r="A52" i="67" l="1"/>
  <c r="A58" i="62"/>
  <c r="A57" i="62"/>
  <c r="A55" i="67"/>
  <c r="A54" i="67" l="1"/>
  <c r="A60" i="62"/>
  <c r="A59" i="62"/>
  <c r="A57" i="67"/>
  <c r="A56" i="67" l="1"/>
  <c r="A61" i="62"/>
  <c r="A62" i="62"/>
  <c r="A59" i="67"/>
  <c r="A58" i="67" l="1"/>
  <c r="A64" i="62"/>
  <c r="A63" i="62"/>
  <c r="A61" i="67"/>
  <c r="A60" i="67" l="1"/>
  <c r="A65" i="62"/>
  <c r="A66" i="62"/>
  <c r="A63" i="67"/>
  <c r="A62" i="67" l="1"/>
  <c r="A68" i="62"/>
  <c r="A67" i="62"/>
  <c r="A65" i="67"/>
  <c r="A64" i="67" l="1"/>
  <c r="A69" i="62"/>
  <c r="A70" i="62"/>
  <c r="A67" i="67"/>
  <c r="A66" i="67" l="1"/>
  <c r="A72" i="62"/>
  <c r="A71" i="62"/>
  <c r="A69" i="67"/>
  <c r="A68" i="67" l="1"/>
  <c r="A73" i="62"/>
  <c r="A74" i="62"/>
  <c r="A71" i="67"/>
  <c r="A70" i="67" l="1"/>
  <c r="A76" i="62"/>
  <c r="A75" i="62"/>
  <c r="A73" i="67"/>
  <c r="A72" i="67" l="1"/>
  <c r="A74" i="67" s="1"/>
  <c r="A77" i="62"/>
  <c r="A78" i="62"/>
  <c r="A75" i="67"/>
  <c r="A80" i="62" l="1"/>
  <c r="A79" i="62"/>
  <c r="A76" i="67"/>
  <c r="A77" i="67"/>
  <c r="A81" i="62" l="1"/>
  <c r="A82" i="62"/>
  <c r="A79" i="67"/>
  <c r="A78" i="67"/>
  <c r="A84" i="62" l="1"/>
  <c r="A83" i="62"/>
  <c r="A81" i="67"/>
  <c r="A80" i="67"/>
  <c r="A85" i="62" l="1"/>
  <c r="A86" i="62"/>
  <c r="A82" i="67"/>
  <c r="A83" i="67"/>
  <c r="A88" i="62" l="1"/>
  <c r="A87" i="62"/>
  <c r="A84" i="67"/>
  <c r="A85" i="67"/>
  <c r="A89" i="62" l="1"/>
  <c r="A90" i="62"/>
  <c r="A86" i="67"/>
  <c r="A87" i="67"/>
  <c r="A92" i="62" l="1"/>
  <c r="A91" i="62"/>
  <c r="A88" i="67"/>
  <c r="A89" i="67"/>
  <c r="A93" i="62" l="1"/>
  <c r="A94" i="62"/>
  <c r="A91" i="67"/>
  <c r="A90" i="67"/>
  <c r="F20" i="66"/>
  <c r="F16" i="66"/>
  <c r="F15" i="66"/>
  <c r="F14" i="66"/>
  <c r="E27" i="66"/>
  <c r="C5" i="4"/>
  <c r="AN5" i="4" s="1"/>
  <c r="F5" i="4" s="1"/>
  <c r="C6" i="4"/>
  <c r="AN6" i="4" s="1"/>
  <c r="C7" i="4"/>
  <c r="AN7" i="4" s="1"/>
  <c r="C8" i="4"/>
  <c r="AN8" i="4" s="1"/>
  <c r="F8" i="4" s="1"/>
  <c r="C9" i="4"/>
  <c r="AN9" i="4" s="1"/>
  <c r="C10" i="4"/>
  <c r="AN10" i="4" s="1"/>
  <c r="C11" i="4"/>
  <c r="AN11" i="4" s="1"/>
  <c r="C12" i="4"/>
  <c r="AN12" i="4" s="1"/>
  <c r="C13" i="4"/>
  <c r="AN13" i="4" s="1"/>
  <c r="C14" i="4"/>
  <c r="AN14" i="4" s="1"/>
  <c r="C15" i="4"/>
  <c r="AN15" i="4" s="1"/>
  <c r="C16" i="4"/>
  <c r="AN16" i="4" s="1"/>
  <c r="C17" i="4"/>
  <c r="AN17" i="4" s="1"/>
  <c r="C18" i="4"/>
  <c r="AN18" i="4" s="1"/>
  <c r="C19" i="4"/>
  <c r="AN19" i="4" s="1"/>
  <c r="C20" i="4"/>
  <c r="AN20" i="4" s="1"/>
  <c r="C21" i="4"/>
  <c r="AN21" i="4" s="1"/>
  <c r="C22" i="4"/>
  <c r="AN22" i="4" s="1"/>
  <c r="C23" i="4"/>
  <c r="AN23" i="4" s="1"/>
  <c r="C24" i="4"/>
  <c r="AN24" i="4" s="1"/>
  <c r="C25" i="4"/>
  <c r="AN25" i="4" s="1"/>
  <c r="C26" i="4"/>
  <c r="AN26" i="4" s="1"/>
  <c r="C27" i="4"/>
  <c r="AN27" i="4" s="1"/>
  <c r="C28" i="4"/>
  <c r="AN28" i="4" s="1"/>
  <c r="C29" i="4"/>
  <c r="AN29" i="4" s="1"/>
  <c r="C30" i="4"/>
  <c r="AN30" i="4" s="1"/>
  <c r="C31" i="4"/>
  <c r="AN31" i="4" s="1"/>
  <c r="C32" i="4"/>
  <c r="AN32" i="4" s="1"/>
  <c r="C33" i="4"/>
  <c r="AN33" i="4" s="1"/>
  <c r="C34" i="4"/>
  <c r="AN34" i="4" s="1"/>
  <c r="C35" i="4"/>
  <c r="AN35" i="4" s="1"/>
  <c r="C36" i="4"/>
  <c r="AN36" i="4" s="1"/>
  <c r="C37" i="4"/>
  <c r="AN37" i="4" s="1"/>
  <c r="C38" i="4"/>
  <c r="AN38" i="4" s="1"/>
  <c r="C39" i="4"/>
  <c r="AN39" i="4" s="1"/>
  <c r="C40" i="4"/>
  <c r="AN40" i="4" s="1"/>
  <c r="C41" i="4"/>
  <c r="AN41" i="4" s="1"/>
  <c r="C42" i="4"/>
  <c r="AN42" i="4" s="1"/>
  <c r="C43" i="4"/>
  <c r="AN43" i="4" s="1"/>
  <c r="C44" i="4"/>
  <c r="AN44" i="4" s="1"/>
  <c r="C45" i="4"/>
  <c r="AN45" i="4" s="1"/>
  <c r="C46" i="4"/>
  <c r="AN46" i="4" s="1"/>
  <c r="C47" i="4"/>
  <c r="AN47" i="4" s="1"/>
  <c r="C48" i="4"/>
  <c r="AN48" i="4" s="1"/>
  <c r="C49" i="4"/>
  <c r="AN49" i="4" s="1"/>
  <c r="C50" i="4"/>
  <c r="AN50" i="4" s="1"/>
  <c r="C51" i="4"/>
  <c r="AN51" i="4" s="1"/>
  <c r="C52" i="4"/>
  <c r="AN52" i="4" s="1"/>
  <c r="C53" i="4"/>
  <c r="AN53" i="4" s="1"/>
  <c r="C54" i="4"/>
  <c r="AN54" i="4" s="1"/>
  <c r="C55" i="4"/>
  <c r="AN55" i="4" s="1"/>
  <c r="C56" i="4"/>
  <c r="AN56" i="4" s="1"/>
  <c r="C57" i="4"/>
  <c r="AN57" i="4" s="1"/>
  <c r="C58" i="4"/>
  <c r="AN58" i="4" s="1"/>
  <c r="C59" i="4"/>
  <c r="AN59" i="4" s="1"/>
  <c r="C60" i="4"/>
  <c r="AN60" i="4" s="1"/>
  <c r="C61" i="4"/>
  <c r="AN61" i="4" s="1"/>
  <c r="C62" i="4"/>
  <c r="AN62" i="4" s="1"/>
  <c r="C63" i="4"/>
  <c r="AN63" i="4" s="1"/>
  <c r="C64" i="4"/>
  <c r="AN64" i="4" s="1"/>
  <c r="C65" i="4"/>
  <c r="AN65" i="4" s="1"/>
  <c r="C66" i="4"/>
  <c r="AN66" i="4" s="1"/>
  <c r="C67" i="4"/>
  <c r="AN67" i="4" s="1"/>
  <c r="C68" i="4"/>
  <c r="AN68" i="4" s="1"/>
  <c r="C69" i="4"/>
  <c r="AN69" i="4" s="1"/>
  <c r="C70" i="4"/>
  <c r="AN70" i="4" s="1"/>
  <c r="C71" i="4"/>
  <c r="AN71" i="4" s="1"/>
  <c r="C72" i="4"/>
  <c r="AN72" i="4" s="1"/>
  <c r="C73" i="4"/>
  <c r="AN73" i="4" s="1"/>
  <c r="C74" i="4"/>
  <c r="AN74" i="4" s="1"/>
  <c r="C75" i="4"/>
  <c r="AN75" i="4" s="1"/>
  <c r="C76" i="4"/>
  <c r="AN76" i="4" s="1"/>
  <c r="C77" i="4"/>
  <c r="AN77" i="4" s="1"/>
  <c r="C78" i="4"/>
  <c r="AN78" i="4" s="1"/>
  <c r="C79" i="4"/>
  <c r="AN79" i="4" s="1"/>
  <c r="C80" i="4"/>
  <c r="AN80" i="4" s="1"/>
  <c r="C81" i="4"/>
  <c r="AN81" i="4" s="1"/>
  <c r="C82" i="4"/>
  <c r="AN82" i="4" s="1"/>
  <c r="C83" i="4"/>
  <c r="AN83" i="4" s="1"/>
  <c r="C84" i="4"/>
  <c r="AN84" i="4" s="1"/>
  <c r="C85" i="4"/>
  <c r="AN85" i="4" s="1"/>
  <c r="C86" i="4"/>
  <c r="AN86" i="4" s="1"/>
  <c r="C87" i="4"/>
  <c r="AN87" i="4" s="1"/>
  <c r="C88" i="4"/>
  <c r="AN88" i="4" s="1"/>
  <c r="C89" i="4"/>
  <c r="AN89" i="4" s="1"/>
  <c r="C90" i="4"/>
  <c r="AN90" i="4" s="1"/>
  <c r="C91" i="4"/>
  <c r="AN91" i="4" s="1"/>
  <c r="C92" i="4"/>
  <c r="AN92" i="4" s="1"/>
  <c r="C93" i="4"/>
  <c r="AN93" i="4" s="1"/>
  <c r="C94" i="4"/>
  <c r="AN94" i="4" s="1"/>
  <c r="C95" i="4"/>
  <c r="AN95" i="4" s="1"/>
  <c r="C96" i="4"/>
  <c r="AN96" i="4" s="1"/>
  <c r="C97" i="4"/>
  <c r="AN97" i="4" s="1"/>
  <c r="C98" i="4"/>
  <c r="AN98" i="4" s="1"/>
  <c r="C99" i="4"/>
  <c r="AN99" i="4" s="1"/>
  <c r="C100" i="4"/>
  <c r="AN100" i="4" s="1"/>
  <c r="C101" i="4"/>
  <c r="AN101" i="4" s="1"/>
  <c r="C102" i="4"/>
  <c r="AN102" i="4" s="1"/>
  <c r="C103" i="4"/>
  <c r="AN103" i="4" s="1"/>
  <c r="C104" i="4"/>
  <c r="AN104" i="4" s="1"/>
  <c r="C105" i="4"/>
  <c r="AN105" i="4" s="1"/>
  <c r="C106" i="4"/>
  <c r="AN106" i="4" s="1"/>
  <c r="C107" i="4"/>
  <c r="AN107" i="4" s="1"/>
  <c r="C108" i="4"/>
  <c r="AN108" i="4" s="1"/>
  <c r="C109" i="4"/>
  <c r="AN109" i="4" s="1"/>
  <c r="C110" i="4"/>
  <c r="AN110" i="4" s="1"/>
  <c r="C111" i="4"/>
  <c r="AN111" i="4" s="1"/>
  <c r="C112" i="4"/>
  <c r="AN112" i="4" s="1"/>
  <c r="C113" i="4"/>
  <c r="AN113" i="4" s="1"/>
  <c r="C114" i="4"/>
  <c r="AN114" i="4" s="1"/>
  <c r="C115" i="4"/>
  <c r="AN115" i="4" s="1"/>
  <c r="C116" i="4"/>
  <c r="AN116" i="4" s="1"/>
  <c r="C117" i="4"/>
  <c r="AN117" i="4" s="1"/>
  <c r="C118" i="4"/>
  <c r="AN118" i="4" s="1"/>
  <c r="C119" i="4"/>
  <c r="AN119" i="4" s="1"/>
  <c r="C120" i="4"/>
  <c r="AN120" i="4" s="1"/>
  <c r="C121" i="4"/>
  <c r="AN121" i="4" s="1"/>
  <c r="C122" i="4"/>
  <c r="AN122" i="4" s="1"/>
  <c r="C123" i="4"/>
  <c r="AN123" i="4" s="1"/>
  <c r="C124" i="4"/>
  <c r="AN124" i="4" s="1"/>
  <c r="C125" i="4"/>
  <c r="AN125" i="4" s="1"/>
  <c r="C126" i="4"/>
  <c r="AN126" i="4" s="1"/>
  <c r="C127" i="4"/>
  <c r="AN127" i="4" s="1"/>
  <c r="C128" i="4"/>
  <c r="AN128" i="4" s="1"/>
  <c r="C129" i="4"/>
  <c r="AN129" i="4" s="1"/>
  <c r="C130" i="4"/>
  <c r="AN130" i="4" s="1"/>
  <c r="C131" i="4"/>
  <c r="AN131" i="4" s="1"/>
  <c r="C132" i="4"/>
  <c r="AN132" i="4" s="1"/>
  <c r="C133" i="4"/>
  <c r="AN133" i="4" s="1"/>
  <c r="C134" i="4"/>
  <c r="AN134" i="4" s="1"/>
  <c r="C135" i="4"/>
  <c r="AN135" i="4" s="1"/>
  <c r="C136" i="4"/>
  <c r="AN136" i="4" s="1"/>
  <c r="C137" i="4"/>
  <c r="AN137" i="4" s="1"/>
  <c r="C138" i="4"/>
  <c r="AN138" i="4" s="1"/>
  <c r="C139" i="4"/>
  <c r="AN139" i="4" s="1"/>
  <c r="C140" i="4"/>
  <c r="AN140" i="4" s="1"/>
  <c r="C141" i="4"/>
  <c r="AN141" i="4" s="1"/>
  <c r="C142" i="4"/>
  <c r="AN142" i="4" s="1"/>
  <c r="C143" i="4"/>
  <c r="AN143" i="4" s="1"/>
  <c r="C144" i="4"/>
  <c r="AN144" i="4" s="1"/>
  <c r="C145" i="4"/>
  <c r="AN145" i="4" s="1"/>
  <c r="C146" i="4"/>
  <c r="AN146" i="4" s="1"/>
  <c r="C147" i="4"/>
  <c r="AN147" i="4" s="1"/>
  <c r="C148" i="4"/>
  <c r="AN148" i="4" s="1"/>
  <c r="C149" i="4"/>
  <c r="AN149" i="4" s="1"/>
  <c r="C150" i="4"/>
  <c r="AN150" i="4" s="1"/>
  <c r="C151" i="4"/>
  <c r="AN151" i="4" s="1"/>
  <c r="C152" i="4"/>
  <c r="AN152" i="4" s="1"/>
  <c r="C153" i="4"/>
  <c r="AN153" i="4" s="1"/>
  <c r="C154" i="4"/>
  <c r="AN154" i="4" s="1"/>
  <c r="C155" i="4"/>
  <c r="AN155" i="4" s="1"/>
  <c r="C156" i="4"/>
  <c r="AN156" i="4" s="1"/>
  <c r="C157" i="4"/>
  <c r="AN157" i="4" s="1"/>
  <c r="C158" i="4"/>
  <c r="AN158" i="4" s="1"/>
  <c r="C159" i="4"/>
  <c r="AN159" i="4" s="1"/>
  <c r="C160" i="4"/>
  <c r="AN160" i="4" s="1"/>
  <c r="C161" i="4"/>
  <c r="AN161" i="4" s="1"/>
  <c r="C162" i="4"/>
  <c r="AN162" i="4" s="1"/>
  <c r="C163" i="4"/>
  <c r="AN163" i="4" s="1"/>
  <c r="C164" i="4"/>
  <c r="AN164" i="4" s="1"/>
  <c r="C165" i="4"/>
  <c r="AN165" i="4" s="1"/>
  <c r="C166" i="4"/>
  <c r="AN166" i="4" s="1"/>
  <c r="C167" i="4"/>
  <c r="AN167" i="4" s="1"/>
  <c r="C168" i="4"/>
  <c r="AN168" i="4" s="1"/>
  <c r="C169" i="4"/>
  <c r="AN169" i="4" s="1"/>
  <c r="C170" i="4"/>
  <c r="AN170" i="4" s="1"/>
  <c r="C171" i="4"/>
  <c r="AN171" i="4" s="1"/>
  <c r="C172" i="4"/>
  <c r="AN172" i="4" s="1"/>
  <c r="C173" i="4"/>
  <c r="AN173" i="4" s="1"/>
  <c r="C174" i="4"/>
  <c r="AN174" i="4" s="1"/>
  <c r="C175" i="4"/>
  <c r="AN175" i="4" s="1"/>
  <c r="C176" i="4"/>
  <c r="AN176" i="4" s="1"/>
  <c r="C177" i="4"/>
  <c r="AN177" i="4" s="1"/>
  <c r="C178" i="4"/>
  <c r="AN178" i="4" s="1"/>
  <c r="C179" i="4"/>
  <c r="AN179" i="4" s="1"/>
  <c r="C180" i="4"/>
  <c r="AN180" i="4" s="1"/>
  <c r="C181" i="4"/>
  <c r="AN181" i="4" s="1"/>
  <c r="C182" i="4"/>
  <c r="AN182" i="4" s="1"/>
  <c r="C183" i="4"/>
  <c r="AN183" i="4" s="1"/>
  <c r="C184" i="4"/>
  <c r="AN184" i="4" s="1"/>
  <c r="C185" i="4"/>
  <c r="AN185" i="4" s="1"/>
  <c r="C186" i="4"/>
  <c r="AN186" i="4" s="1"/>
  <c r="C187" i="4"/>
  <c r="AN187" i="4" s="1"/>
  <c r="C188" i="4"/>
  <c r="AN188" i="4" s="1"/>
  <c r="C189" i="4"/>
  <c r="AN189" i="4" s="1"/>
  <c r="C190" i="4"/>
  <c r="AN190" i="4" s="1"/>
  <c r="C191" i="4"/>
  <c r="AN191" i="4" s="1"/>
  <c r="C192" i="4"/>
  <c r="AN192" i="4" s="1"/>
  <c r="C193" i="4"/>
  <c r="AN193" i="4" s="1"/>
  <c r="C194" i="4"/>
  <c r="AN194" i="4" s="1"/>
  <c r="C195" i="4"/>
  <c r="AN195" i="4" s="1"/>
  <c r="C196" i="4"/>
  <c r="AN196" i="4" s="1"/>
  <c r="C197" i="4"/>
  <c r="AN197" i="4" s="1"/>
  <c r="C198" i="4"/>
  <c r="AN198" i="4" s="1"/>
  <c r="C199" i="4"/>
  <c r="AN199" i="4" s="1"/>
  <c r="C200" i="4"/>
  <c r="AN200" i="4" s="1"/>
  <c r="C201" i="4"/>
  <c r="AN201" i="4" s="1"/>
  <c r="C202" i="4"/>
  <c r="AN202" i="4" s="1"/>
  <c r="C203" i="4"/>
  <c r="AN203" i="4" s="1"/>
  <c r="C204" i="4"/>
  <c r="AN204" i="4" s="1"/>
  <c r="C205" i="4"/>
  <c r="AN205" i="4" s="1"/>
  <c r="C206" i="4"/>
  <c r="AN206" i="4" s="1"/>
  <c r="C207" i="4"/>
  <c r="AN207" i="4" s="1"/>
  <c r="C208" i="4"/>
  <c r="AN208" i="4" s="1"/>
  <c r="C209" i="4"/>
  <c r="AN209" i="4" s="1"/>
  <c r="C210" i="4"/>
  <c r="AN210" i="4" s="1"/>
  <c r="C211" i="4"/>
  <c r="AN211" i="4" s="1"/>
  <c r="C212" i="4"/>
  <c r="AN212" i="4" s="1"/>
  <c r="C213" i="4"/>
  <c r="AN213" i="4" s="1"/>
  <c r="C214" i="4"/>
  <c r="AN214" i="4" s="1"/>
  <c r="C215" i="4"/>
  <c r="AN215" i="4" s="1"/>
  <c r="C216" i="4"/>
  <c r="AN216" i="4" s="1"/>
  <c r="C217" i="4"/>
  <c r="AN217" i="4" s="1"/>
  <c r="C218" i="4"/>
  <c r="AN218" i="4" s="1"/>
  <c r="C219" i="4"/>
  <c r="AN219" i="4" s="1"/>
  <c r="C220" i="4"/>
  <c r="AN220" i="4" s="1"/>
  <c r="C221" i="4"/>
  <c r="AN221" i="4" s="1"/>
  <c r="C222" i="4"/>
  <c r="AN222" i="4" s="1"/>
  <c r="C223" i="4"/>
  <c r="AN223" i="4" s="1"/>
  <c r="C224" i="4"/>
  <c r="AN224" i="4" s="1"/>
  <c r="C225" i="4"/>
  <c r="AN225" i="4" s="1"/>
  <c r="C226" i="4"/>
  <c r="AN226" i="4" s="1"/>
  <c r="C227" i="4"/>
  <c r="AN227" i="4" s="1"/>
  <c r="C228" i="4"/>
  <c r="AN228" i="4" s="1"/>
  <c r="C229" i="4"/>
  <c r="AN229" i="4" s="1"/>
  <c r="C230" i="4"/>
  <c r="AN230" i="4" s="1"/>
  <c r="C231" i="4"/>
  <c r="AN231" i="4" s="1"/>
  <c r="C232" i="4"/>
  <c r="AN232" i="4" s="1"/>
  <c r="C233" i="4"/>
  <c r="AN233" i="4" s="1"/>
  <c r="C234" i="4"/>
  <c r="AN234" i="4" s="1"/>
  <c r="C235" i="4"/>
  <c r="AN235" i="4" s="1"/>
  <c r="C236" i="4"/>
  <c r="AN236" i="4" s="1"/>
  <c r="C237" i="4"/>
  <c r="AN237" i="4" s="1"/>
  <c r="C238" i="4"/>
  <c r="AN238" i="4" s="1"/>
  <c r="C239" i="4"/>
  <c r="AN239" i="4" s="1"/>
  <c r="C240" i="4"/>
  <c r="AN240" i="4" s="1"/>
  <c r="C241" i="4"/>
  <c r="AN241" i="4" s="1"/>
  <c r="C242" i="4"/>
  <c r="AN242" i="4" s="1"/>
  <c r="C243" i="4"/>
  <c r="AN243" i="4" s="1"/>
  <c r="C244" i="4"/>
  <c r="AN244" i="4" s="1"/>
  <c r="C245" i="4"/>
  <c r="AN245" i="4" s="1"/>
  <c r="C246" i="4"/>
  <c r="AN246" i="4" s="1"/>
  <c r="C247" i="4"/>
  <c r="AN247" i="4" s="1"/>
  <c r="C248" i="4"/>
  <c r="AN248" i="4" s="1"/>
  <c r="C249" i="4"/>
  <c r="AN249" i="4" s="1"/>
  <c r="C250" i="4"/>
  <c r="AN250" i="4" s="1"/>
  <c r="C251" i="4"/>
  <c r="AN251" i="4" s="1"/>
  <c r="C252" i="4"/>
  <c r="AN252" i="4" s="1"/>
  <c r="C253" i="4"/>
  <c r="AN253" i="4" s="1"/>
  <c r="C254" i="4"/>
  <c r="AN254" i="4" s="1"/>
  <c r="C255" i="4"/>
  <c r="AN255" i="4" s="1"/>
  <c r="C256" i="4"/>
  <c r="AN256" i="4" s="1"/>
  <c r="C257" i="4"/>
  <c r="AN257" i="4" s="1"/>
  <c r="C258" i="4"/>
  <c r="AN258" i="4" s="1"/>
  <c r="C259" i="4"/>
  <c r="AN259" i="4" s="1"/>
  <c r="C260" i="4"/>
  <c r="AN260" i="4" s="1"/>
  <c r="C261" i="4"/>
  <c r="AN261" i="4" s="1"/>
  <c r="C262" i="4"/>
  <c r="AN262" i="4" s="1"/>
  <c r="C263" i="4"/>
  <c r="AN263" i="4" s="1"/>
  <c r="C266" i="4"/>
  <c r="AN266" i="4" s="1"/>
  <c r="C267" i="4"/>
  <c r="AN267" i="4" s="1"/>
  <c r="C268" i="4"/>
  <c r="AN268" i="4" s="1"/>
  <c r="C269" i="4"/>
  <c r="AN269" i="4" s="1"/>
  <c r="C270" i="4"/>
  <c r="AN270" i="4" s="1"/>
  <c r="C271" i="4"/>
  <c r="AN271" i="4" s="1"/>
  <c r="C272" i="4"/>
  <c r="AN272" i="4" s="1"/>
  <c r="C273" i="4"/>
  <c r="AN273" i="4" s="1"/>
  <c r="C274" i="4"/>
  <c r="AN274" i="4" s="1"/>
  <c r="C275" i="4"/>
  <c r="AN275" i="4" s="1"/>
  <c r="C276" i="4"/>
  <c r="AN276" i="4" s="1"/>
  <c r="C277" i="4"/>
  <c r="AN277" i="4" s="1"/>
  <c r="C278" i="4"/>
  <c r="AN278" i="4" s="1"/>
  <c r="C279" i="4"/>
  <c r="AN279" i="4" s="1"/>
  <c r="C280" i="4"/>
  <c r="AN280" i="4" s="1"/>
  <c r="C281" i="4"/>
  <c r="AN281" i="4" s="1"/>
  <c r="C282" i="4"/>
  <c r="AN282" i="4" s="1"/>
  <c r="C283" i="4"/>
  <c r="AN283" i="4" s="1"/>
  <c r="C284" i="4"/>
  <c r="AN284" i="4" s="1"/>
  <c r="C285" i="4"/>
  <c r="AN285" i="4" s="1"/>
  <c r="F90" i="4" l="1"/>
  <c r="I90" i="4"/>
  <c r="G90" i="4"/>
  <c r="H90" i="4"/>
  <c r="H153" i="4"/>
  <c r="F153" i="4"/>
  <c r="G153" i="4"/>
  <c r="I153" i="4"/>
  <c r="G120" i="4"/>
  <c r="F120" i="4"/>
  <c r="I120" i="4"/>
  <c r="H120" i="4"/>
  <c r="H88" i="4"/>
  <c r="F88" i="4"/>
  <c r="G88" i="4"/>
  <c r="I88" i="4"/>
  <c r="H56" i="4"/>
  <c r="G56" i="4"/>
  <c r="I56" i="4"/>
  <c r="F56" i="4"/>
  <c r="G24" i="4"/>
  <c r="F24" i="4"/>
  <c r="H24" i="4"/>
  <c r="I24" i="4"/>
  <c r="I218" i="4"/>
  <c r="H218" i="4"/>
  <c r="F218" i="4"/>
  <c r="G218" i="4"/>
  <c r="G247" i="4"/>
  <c r="F247" i="4"/>
  <c r="H247" i="4"/>
  <c r="I247" i="4"/>
  <c r="H215" i="4"/>
  <c r="F215" i="4"/>
  <c r="I215" i="4"/>
  <c r="G215" i="4"/>
  <c r="H183" i="4"/>
  <c r="I183" i="4"/>
  <c r="G183" i="4"/>
  <c r="F183" i="4"/>
  <c r="I151" i="4"/>
  <c r="H151" i="4"/>
  <c r="G151" i="4"/>
  <c r="F151" i="4"/>
  <c r="H119" i="4"/>
  <c r="I119" i="4"/>
  <c r="F119" i="4"/>
  <c r="G119" i="4"/>
  <c r="G87" i="4"/>
  <c r="F87" i="4"/>
  <c r="I87" i="4"/>
  <c r="H87" i="4"/>
  <c r="I55" i="4"/>
  <c r="H55" i="4"/>
  <c r="F55" i="4"/>
  <c r="G55" i="4"/>
  <c r="H185" i="4"/>
  <c r="G185" i="4"/>
  <c r="I185" i="4"/>
  <c r="F185" i="4"/>
  <c r="I246" i="4"/>
  <c r="G246" i="4"/>
  <c r="H246" i="4"/>
  <c r="F246" i="4"/>
  <c r="I214" i="4"/>
  <c r="F214" i="4"/>
  <c r="H214" i="4"/>
  <c r="G214" i="4"/>
  <c r="I182" i="4"/>
  <c r="H182" i="4"/>
  <c r="G182" i="4"/>
  <c r="F182" i="4"/>
  <c r="I150" i="4"/>
  <c r="G150" i="4"/>
  <c r="H150" i="4"/>
  <c r="F150" i="4"/>
  <c r="F118" i="4"/>
  <c r="I118" i="4"/>
  <c r="H118" i="4"/>
  <c r="G118" i="4"/>
  <c r="F86" i="4"/>
  <c r="I86" i="4"/>
  <c r="G86" i="4"/>
  <c r="H86" i="4"/>
  <c r="F54" i="4"/>
  <c r="G54" i="4"/>
  <c r="H54" i="4"/>
  <c r="I54" i="4"/>
  <c r="F22" i="4"/>
  <c r="I22" i="4"/>
  <c r="G22" i="4"/>
  <c r="H22" i="4"/>
  <c r="H154" i="4"/>
  <c r="I154" i="4"/>
  <c r="G154" i="4"/>
  <c r="F154" i="4"/>
  <c r="H53" i="4"/>
  <c r="F53" i="4"/>
  <c r="G53" i="4"/>
  <c r="I53" i="4"/>
  <c r="G244" i="4"/>
  <c r="I244" i="4"/>
  <c r="F244" i="4"/>
  <c r="H244" i="4"/>
  <c r="G212" i="4"/>
  <c r="I212" i="4"/>
  <c r="H212" i="4"/>
  <c r="F212" i="4"/>
  <c r="G180" i="4"/>
  <c r="H180" i="4"/>
  <c r="F180" i="4"/>
  <c r="I180" i="4"/>
  <c r="F148" i="4"/>
  <c r="H148" i="4"/>
  <c r="G148" i="4"/>
  <c r="I148" i="4"/>
  <c r="G116" i="4"/>
  <c r="I116" i="4"/>
  <c r="F116" i="4"/>
  <c r="H116" i="4"/>
  <c r="G84" i="4"/>
  <c r="F84" i="4"/>
  <c r="I84" i="4"/>
  <c r="H84" i="4"/>
  <c r="H52" i="4"/>
  <c r="G52" i="4"/>
  <c r="F52" i="4"/>
  <c r="I52" i="4"/>
  <c r="H20" i="4"/>
  <c r="I20" i="4"/>
  <c r="F20" i="4"/>
  <c r="G20" i="4"/>
  <c r="H26" i="4"/>
  <c r="G26" i="4"/>
  <c r="F26" i="4"/>
  <c r="I26" i="4"/>
  <c r="G243" i="4"/>
  <c r="F243" i="4"/>
  <c r="H243" i="4"/>
  <c r="I243" i="4"/>
  <c r="F211" i="4"/>
  <c r="H211" i="4"/>
  <c r="I211" i="4"/>
  <c r="G211" i="4"/>
  <c r="F179" i="4"/>
  <c r="G179" i="4"/>
  <c r="H179" i="4"/>
  <c r="I179" i="4"/>
  <c r="F147" i="4"/>
  <c r="G147" i="4"/>
  <c r="I147" i="4"/>
  <c r="H147" i="4"/>
  <c r="I115" i="4"/>
  <c r="H115" i="4"/>
  <c r="F115" i="4"/>
  <c r="G115" i="4"/>
  <c r="I83" i="4"/>
  <c r="H83" i="4"/>
  <c r="F83" i="4"/>
  <c r="G83" i="4"/>
  <c r="I51" i="4"/>
  <c r="G51" i="4"/>
  <c r="H51" i="4"/>
  <c r="F51" i="4"/>
  <c r="I19" i="4"/>
  <c r="H19" i="4"/>
  <c r="F19" i="4"/>
  <c r="G19" i="4"/>
  <c r="G186" i="4"/>
  <c r="H186" i="4"/>
  <c r="I186" i="4"/>
  <c r="F186" i="4"/>
  <c r="H85" i="4"/>
  <c r="I85" i="4"/>
  <c r="F85" i="4"/>
  <c r="G85" i="4"/>
  <c r="I242" i="4"/>
  <c r="G242" i="4"/>
  <c r="F242" i="4"/>
  <c r="H242" i="4"/>
  <c r="I210" i="4"/>
  <c r="H210" i="4"/>
  <c r="G210" i="4"/>
  <c r="F210" i="4"/>
  <c r="F178" i="4"/>
  <c r="G178" i="4"/>
  <c r="I178" i="4"/>
  <c r="H178" i="4"/>
  <c r="H146" i="4"/>
  <c r="G146" i="4"/>
  <c r="F146" i="4"/>
  <c r="I146" i="4"/>
  <c r="F114" i="4"/>
  <c r="G114" i="4"/>
  <c r="I114" i="4"/>
  <c r="H114" i="4"/>
  <c r="G82" i="4"/>
  <c r="F82" i="4"/>
  <c r="I82" i="4"/>
  <c r="H82" i="4"/>
  <c r="G50" i="4"/>
  <c r="F50" i="4"/>
  <c r="I50" i="4"/>
  <c r="H50" i="4"/>
  <c r="I18" i="4"/>
  <c r="H18" i="4"/>
  <c r="G18" i="4"/>
  <c r="F18" i="4"/>
  <c r="H123" i="4"/>
  <c r="I123" i="4"/>
  <c r="F123" i="4"/>
  <c r="G123" i="4"/>
  <c r="I241" i="4"/>
  <c r="H241" i="4"/>
  <c r="F241" i="4"/>
  <c r="G241" i="4"/>
  <c r="I209" i="4"/>
  <c r="H209" i="4"/>
  <c r="F209" i="4"/>
  <c r="G209" i="4"/>
  <c r="H177" i="4"/>
  <c r="F177" i="4"/>
  <c r="G177" i="4"/>
  <c r="I177" i="4"/>
  <c r="H145" i="4"/>
  <c r="F145" i="4"/>
  <c r="G145" i="4"/>
  <c r="I145" i="4"/>
  <c r="H113" i="4"/>
  <c r="G113" i="4"/>
  <c r="I113" i="4"/>
  <c r="F113" i="4"/>
  <c r="H81" i="4"/>
  <c r="G81" i="4"/>
  <c r="F81" i="4"/>
  <c r="I81" i="4"/>
  <c r="H49" i="4"/>
  <c r="G49" i="4"/>
  <c r="I49" i="4"/>
  <c r="F49" i="4"/>
  <c r="G122" i="4"/>
  <c r="I122" i="4"/>
  <c r="F122" i="4"/>
  <c r="H122" i="4"/>
  <c r="H21" i="4"/>
  <c r="F21" i="4"/>
  <c r="I21" i="4"/>
  <c r="G21" i="4"/>
  <c r="G240" i="4"/>
  <c r="I240" i="4"/>
  <c r="F240" i="4"/>
  <c r="H240" i="4"/>
  <c r="G208" i="4"/>
  <c r="I208" i="4"/>
  <c r="H208" i="4"/>
  <c r="F208" i="4"/>
  <c r="F176" i="4"/>
  <c r="H176" i="4"/>
  <c r="G176" i="4"/>
  <c r="I176" i="4"/>
  <c r="H144" i="4"/>
  <c r="G144" i="4"/>
  <c r="I144" i="4"/>
  <c r="F144" i="4"/>
  <c r="G112" i="4"/>
  <c r="I112" i="4"/>
  <c r="H112" i="4"/>
  <c r="F112" i="4"/>
  <c r="I80" i="4"/>
  <c r="G80" i="4"/>
  <c r="H80" i="4"/>
  <c r="F80" i="4"/>
  <c r="H48" i="4"/>
  <c r="I48" i="4"/>
  <c r="F48" i="4"/>
  <c r="G48" i="4"/>
  <c r="F16" i="4"/>
  <c r="H16" i="4"/>
  <c r="G16" i="4"/>
  <c r="I16" i="4"/>
  <c r="G248" i="4"/>
  <c r="F248" i="4"/>
  <c r="I248" i="4"/>
  <c r="H248" i="4"/>
  <c r="F239" i="4"/>
  <c r="G239" i="4"/>
  <c r="H239" i="4"/>
  <c r="I239" i="4"/>
  <c r="H207" i="4"/>
  <c r="G207" i="4"/>
  <c r="F207" i="4"/>
  <c r="I207" i="4"/>
  <c r="G175" i="4"/>
  <c r="F175" i="4"/>
  <c r="H175" i="4"/>
  <c r="I175" i="4"/>
  <c r="F143" i="4"/>
  <c r="H143" i="4"/>
  <c r="I143" i="4"/>
  <c r="G143" i="4"/>
  <c r="G111" i="4"/>
  <c r="F111" i="4"/>
  <c r="H111" i="4"/>
  <c r="I111" i="4"/>
  <c r="I79" i="4"/>
  <c r="H79" i="4"/>
  <c r="F79" i="4"/>
  <c r="G79" i="4"/>
  <c r="G47" i="4"/>
  <c r="F47" i="4"/>
  <c r="I47" i="4"/>
  <c r="H47" i="4"/>
  <c r="H15" i="4"/>
  <c r="I15" i="4"/>
  <c r="G15" i="4"/>
  <c r="F15" i="4"/>
  <c r="H187" i="4"/>
  <c r="G187" i="4"/>
  <c r="I187" i="4"/>
  <c r="F187" i="4"/>
  <c r="I238" i="4"/>
  <c r="F238" i="4"/>
  <c r="H238" i="4"/>
  <c r="G238" i="4"/>
  <c r="I206" i="4"/>
  <c r="F206" i="4"/>
  <c r="G206" i="4"/>
  <c r="H206" i="4"/>
  <c r="H174" i="4"/>
  <c r="I174" i="4"/>
  <c r="F174" i="4"/>
  <c r="G174" i="4"/>
  <c r="H142" i="4"/>
  <c r="F142" i="4"/>
  <c r="I142" i="4"/>
  <c r="G142" i="4"/>
  <c r="F110" i="4"/>
  <c r="G110" i="4"/>
  <c r="I110" i="4"/>
  <c r="H110" i="4"/>
  <c r="G78" i="4"/>
  <c r="F78" i="4"/>
  <c r="H78" i="4"/>
  <c r="I78" i="4"/>
  <c r="H46" i="4"/>
  <c r="F46" i="4"/>
  <c r="I46" i="4"/>
  <c r="G46" i="4"/>
  <c r="G14" i="4"/>
  <c r="F14" i="4"/>
  <c r="H14" i="4"/>
  <c r="I14" i="4"/>
  <c r="I217" i="4"/>
  <c r="H217" i="4"/>
  <c r="G217" i="4"/>
  <c r="F217" i="4"/>
  <c r="I237" i="4"/>
  <c r="H237" i="4"/>
  <c r="G237" i="4"/>
  <c r="F237" i="4"/>
  <c r="I205" i="4"/>
  <c r="H205" i="4"/>
  <c r="G205" i="4"/>
  <c r="F205" i="4"/>
  <c r="H173" i="4"/>
  <c r="F173" i="4"/>
  <c r="G173" i="4"/>
  <c r="I173" i="4"/>
  <c r="H141" i="4"/>
  <c r="F141" i="4"/>
  <c r="G141" i="4"/>
  <c r="I141" i="4"/>
  <c r="H109" i="4"/>
  <c r="F109" i="4"/>
  <c r="G109" i="4"/>
  <c r="I109" i="4"/>
  <c r="H77" i="4"/>
  <c r="I77" i="4"/>
  <c r="G77" i="4"/>
  <c r="F77" i="4"/>
  <c r="H45" i="4"/>
  <c r="G45" i="4"/>
  <c r="I45" i="4"/>
  <c r="F45" i="4"/>
  <c r="I13" i="4"/>
  <c r="F13" i="4"/>
  <c r="H13" i="4"/>
  <c r="G13" i="4"/>
  <c r="H251" i="4"/>
  <c r="G251" i="4"/>
  <c r="F251" i="4"/>
  <c r="I251" i="4"/>
  <c r="H184" i="4"/>
  <c r="G184" i="4"/>
  <c r="F184" i="4"/>
  <c r="I184" i="4"/>
  <c r="G236" i="4"/>
  <c r="I236" i="4"/>
  <c r="H236" i="4"/>
  <c r="F236" i="4"/>
  <c r="G204" i="4"/>
  <c r="F204" i="4"/>
  <c r="H204" i="4"/>
  <c r="I204" i="4"/>
  <c r="H172" i="4"/>
  <c r="F172" i="4"/>
  <c r="G172" i="4"/>
  <c r="I172" i="4"/>
  <c r="H140" i="4"/>
  <c r="F140" i="4"/>
  <c r="G140" i="4"/>
  <c r="I140" i="4"/>
  <c r="F108" i="4"/>
  <c r="H108" i="4"/>
  <c r="G108" i="4"/>
  <c r="I108" i="4"/>
  <c r="I76" i="4"/>
  <c r="G76" i="4"/>
  <c r="F76" i="4"/>
  <c r="H76" i="4"/>
  <c r="I44" i="4"/>
  <c r="H44" i="4"/>
  <c r="G44" i="4"/>
  <c r="F44" i="4"/>
  <c r="H12" i="4"/>
  <c r="I12" i="4"/>
  <c r="F12" i="4"/>
  <c r="G12" i="4"/>
  <c r="H91" i="4"/>
  <c r="G91" i="4"/>
  <c r="F91" i="4"/>
  <c r="I91" i="4"/>
  <c r="I213" i="4"/>
  <c r="H213" i="4"/>
  <c r="G213" i="4"/>
  <c r="F213" i="4"/>
  <c r="G235" i="4"/>
  <c r="H235" i="4"/>
  <c r="F235" i="4"/>
  <c r="I235" i="4"/>
  <c r="H203" i="4"/>
  <c r="I203" i="4"/>
  <c r="G203" i="4"/>
  <c r="F203" i="4"/>
  <c r="F171" i="4"/>
  <c r="G171" i="4"/>
  <c r="H171" i="4"/>
  <c r="I171" i="4"/>
  <c r="G139" i="4"/>
  <c r="F139" i="4"/>
  <c r="H139" i="4"/>
  <c r="I139" i="4"/>
  <c r="H107" i="4"/>
  <c r="G107" i="4"/>
  <c r="F107" i="4"/>
  <c r="I107" i="4"/>
  <c r="G75" i="4"/>
  <c r="F75" i="4"/>
  <c r="I75" i="4"/>
  <c r="H75" i="4"/>
  <c r="G43" i="4"/>
  <c r="F43" i="4"/>
  <c r="H43" i="4"/>
  <c r="I43" i="4"/>
  <c r="H11" i="4"/>
  <c r="G11" i="4"/>
  <c r="F11" i="4"/>
  <c r="I11" i="4"/>
  <c r="I234" i="4"/>
  <c r="H234" i="4"/>
  <c r="G234" i="4"/>
  <c r="F234" i="4"/>
  <c r="I202" i="4"/>
  <c r="G202" i="4"/>
  <c r="F202" i="4"/>
  <c r="H202" i="4"/>
  <c r="H170" i="4"/>
  <c r="G170" i="4"/>
  <c r="F170" i="4"/>
  <c r="I170" i="4"/>
  <c r="H138" i="4"/>
  <c r="F138" i="4"/>
  <c r="I138" i="4"/>
  <c r="G138" i="4"/>
  <c r="H106" i="4"/>
  <c r="I106" i="4"/>
  <c r="G106" i="4"/>
  <c r="F106" i="4"/>
  <c r="I74" i="4"/>
  <c r="H74" i="4"/>
  <c r="G74" i="4"/>
  <c r="F74" i="4"/>
  <c r="I42" i="4"/>
  <c r="H42" i="4"/>
  <c r="G42" i="4"/>
  <c r="F42" i="4"/>
  <c r="H10" i="4"/>
  <c r="G10" i="4"/>
  <c r="F10" i="4"/>
  <c r="I10" i="4"/>
  <c r="H89" i="4"/>
  <c r="G89" i="4"/>
  <c r="I89" i="4"/>
  <c r="F89" i="4"/>
  <c r="F233" i="4"/>
  <c r="H233" i="4"/>
  <c r="I233" i="4"/>
  <c r="G233" i="4"/>
  <c r="I201" i="4"/>
  <c r="H201" i="4"/>
  <c r="G201" i="4"/>
  <c r="F201" i="4"/>
  <c r="G169" i="4"/>
  <c r="H169" i="4"/>
  <c r="F169" i="4"/>
  <c r="I169" i="4"/>
  <c r="H137" i="4"/>
  <c r="I137" i="4"/>
  <c r="F137" i="4"/>
  <c r="G137" i="4"/>
  <c r="H105" i="4"/>
  <c r="G105" i="4"/>
  <c r="F105" i="4"/>
  <c r="I105" i="4"/>
  <c r="H73" i="4"/>
  <c r="F73" i="4"/>
  <c r="G73" i="4"/>
  <c r="I73" i="4"/>
  <c r="H41" i="4"/>
  <c r="I41" i="4"/>
  <c r="G41" i="4"/>
  <c r="F41" i="4"/>
  <c r="G9" i="4"/>
  <c r="I9" i="4"/>
  <c r="F9" i="4"/>
  <c r="H9" i="4"/>
  <c r="H57" i="4"/>
  <c r="F57" i="4"/>
  <c r="I57" i="4"/>
  <c r="G57" i="4"/>
  <c r="G232" i="4"/>
  <c r="F232" i="4"/>
  <c r="I232" i="4"/>
  <c r="H232" i="4"/>
  <c r="G200" i="4"/>
  <c r="F200" i="4"/>
  <c r="H200" i="4"/>
  <c r="I200" i="4"/>
  <c r="G168" i="4"/>
  <c r="F168" i="4"/>
  <c r="H168" i="4"/>
  <c r="I168" i="4"/>
  <c r="H136" i="4"/>
  <c r="G136" i="4"/>
  <c r="I136" i="4"/>
  <c r="F136" i="4"/>
  <c r="G104" i="4"/>
  <c r="F104" i="4"/>
  <c r="I104" i="4"/>
  <c r="H104" i="4"/>
  <c r="I72" i="4"/>
  <c r="H72" i="4"/>
  <c r="G72" i="4"/>
  <c r="F72" i="4"/>
  <c r="H40" i="4"/>
  <c r="G40" i="4"/>
  <c r="I40" i="4"/>
  <c r="F40" i="4"/>
  <c r="H8" i="4"/>
  <c r="G8" i="4"/>
  <c r="I8" i="4"/>
  <c r="H59" i="4"/>
  <c r="F59" i="4"/>
  <c r="G59" i="4"/>
  <c r="I59" i="4"/>
  <c r="H181" i="4"/>
  <c r="G181" i="4"/>
  <c r="I181" i="4"/>
  <c r="F181" i="4"/>
  <c r="H231" i="4"/>
  <c r="G231" i="4"/>
  <c r="F231" i="4"/>
  <c r="I231" i="4"/>
  <c r="G199" i="4"/>
  <c r="F199" i="4"/>
  <c r="I199" i="4"/>
  <c r="H199" i="4"/>
  <c r="G167" i="4"/>
  <c r="F167" i="4"/>
  <c r="H167" i="4"/>
  <c r="I167" i="4"/>
  <c r="I135" i="4"/>
  <c r="H135" i="4"/>
  <c r="G135" i="4"/>
  <c r="F135" i="4"/>
  <c r="H103" i="4"/>
  <c r="I103" i="4"/>
  <c r="F103" i="4"/>
  <c r="G103" i="4"/>
  <c r="I71" i="4"/>
  <c r="G71" i="4"/>
  <c r="F71" i="4"/>
  <c r="H71" i="4"/>
  <c r="I39" i="4"/>
  <c r="G39" i="4"/>
  <c r="F39" i="4"/>
  <c r="H39" i="4"/>
  <c r="H7" i="4"/>
  <c r="G7" i="4"/>
  <c r="I7" i="4"/>
  <c r="F7" i="4"/>
  <c r="H25" i="4"/>
  <c r="I25" i="4"/>
  <c r="G25" i="4"/>
  <c r="F25" i="4"/>
  <c r="I262" i="4"/>
  <c r="H262" i="4"/>
  <c r="G262" i="4"/>
  <c r="F262" i="4"/>
  <c r="I230" i="4"/>
  <c r="H230" i="4"/>
  <c r="G230" i="4"/>
  <c r="F230" i="4"/>
  <c r="F198" i="4"/>
  <c r="I198" i="4"/>
  <c r="G198" i="4"/>
  <c r="H198" i="4"/>
  <c r="H166" i="4"/>
  <c r="G166" i="4"/>
  <c r="F166" i="4"/>
  <c r="I166" i="4"/>
  <c r="H134" i="4"/>
  <c r="G134" i="4"/>
  <c r="F134" i="4"/>
  <c r="I134" i="4"/>
  <c r="G102" i="4"/>
  <c r="H102" i="4"/>
  <c r="F102" i="4"/>
  <c r="I102" i="4"/>
  <c r="G70" i="4"/>
  <c r="F70" i="4"/>
  <c r="I70" i="4"/>
  <c r="H70" i="4"/>
  <c r="H38" i="4"/>
  <c r="F38" i="4"/>
  <c r="I38" i="4"/>
  <c r="G38" i="4"/>
  <c r="H6" i="4"/>
  <c r="G6" i="4"/>
  <c r="I6" i="4"/>
  <c r="F6" i="4"/>
  <c r="I250" i="4"/>
  <c r="G250" i="4"/>
  <c r="F250" i="4"/>
  <c r="H250" i="4"/>
  <c r="I229" i="4"/>
  <c r="H229" i="4"/>
  <c r="G229" i="4"/>
  <c r="F229" i="4"/>
  <c r="H197" i="4"/>
  <c r="I197" i="4"/>
  <c r="G197" i="4"/>
  <c r="F197" i="4"/>
  <c r="H165" i="4"/>
  <c r="G165" i="4"/>
  <c r="F165" i="4"/>
  <c r="I165" i="4"/>
  <c r="H133" i="4"/>
  <c r="F133" i="4"/>
  <c r="G133" i="4"/>
  <c r="I133" i="4"/>
  <c r="H101" i="4"/>
  <c r="G101" i="4"/>
  <c r="F101" i="4"/>
  <c r="I101" i="4"/>
  <c r="H69" i="4"/>
  <c r="G69" i="4"/>
  <c r="I69" i="4"/>
  <c r="F69" i="4"/>
  <c r="H37" i="4"/>
  <c r="F37" i="4"/>
  <c r="G37" i="4"/>
  <c r="I37" i="4"/>
  <c r="I5" i="4"/>
  <c r="H5" i="4"/>
  <c r="G5" i="4"/>
  <c r="F58" i="4"/>
  <c r="H58" i="4"/>
  <c r="I58" i="4"/>
  <c r="G58" i="4"/>
  <c r="I263" i="4"/>
  <c r="G263" i="4"/>
  <c r="F263" i="4"/>
  <c r="H263" i="4"/>
  <c r="G228" i="4"/>
  <c r="I228" i="4"/>
  <c r="F228" i="4"/>
  <c r="H228" i="4"/>
  <c r="G196" i="4"/>
  <c r="I196" i="4"/>
  <c r="H196" i="4"/>
  <c r="F196" i="4"/>
  <c r="G164" i="4"/>
  <c r="F164" i="4"/>
  <c r="I164" i="4"/>
  <c r="H164" i="4"/>
  <c r="I132" i="4"/>
  <c r="H132" i="4"/>
  <c r="F132" i="4"/>
  <c r="G132" i="4"/>
  <c r="F100" i="4"/>
  <c r="G100" i="4"/>
  <c r="I100" i="4"/>
  <c r="H100" i="4"/>
  <c r="H68" i="4"/>
  <c r="F68" i="4"/>
  <c r="G68" i="4"/>
  <c r="I68" i="4"/>
  <c r="I36" i="4"/>
  <c r="G36" i="4"/>
  <c r="F36" i="4"/>
  <c r="H36" i="4"/>
  <c r="H117" i="4"/>
  <c r="G117" i="4"/>
  <c r="F117" i="4"/>
  <c r="I117" i="4"/>
  <c r="H227" i="4"/>
  <c r="G227" i="4"/>
  <c r="F227" i="4"/>
  <c r="I227" i="4"/>
  <c r="I195" i="4"/>
  <c r="F195" i="4"/>
  <c r="G195" i="4"/>
  <c r="H195" i="4"/>
  <c r="G163" i="4"/>
  <c r="F163" i="4"/>
  <c r="I163" i="4"/>
  <c r="H163" i="4"/>
  <c r="I131" i="4"/>
  <c r="F131" i="4"/>
  <c r="G131" i="4"/>
  <c r="H131" i="4"/>
  <c r="I99" i="4"/>
  <c r="G99" i="4"/>
  <c r="F99" i="4"/>
  <c r="H99" i="4"/>
  <c r="I67" i="4"/>
  <c r="G67" i="4"/>
  <c r="F67" i="4"/>
  <c r="H67" i="4"/>
  <c r="I35" i="4"/>
  <c r="F35" i="4"/>
  <c r="G35" i="4"/>
  <c r="H35" i="4"/>
  <c r="G27" i="4"/>
  <c r="F27" i="4"/>
  <c r="H27" i="4"/>
  <c r="I27" i="4"/>
  <c r="H149" i="4"/>
  <c r="F149" i="4"/>
  <c r="I149" i="4"/>
  <c r="G149" i="4"/>
  <c r="I226" i="4"/>
  <c r="H226" i="4"/>
  <c r="G226" i="4"/>
  <c r="F226" i="4"/>
  <c r="I194" i="4"/>
  <c r="F194" i="4"/>
  <c r="G194" i="4"/>
  <c r="H194" i="4"/>
  <c r="I162" i="4"/>
  <c r="H162" i="4"/>
  <c r="F162" i="4"/>
  <c r="G162" i="4"/>
  <c r="H130" i="4"/>
  <c r="G130" i="4"/>
  <c r="F130" i="4"/>
  <c r="I130" i="4"/>
  <c r="I98" i="4"/>
  <c r="H98" i="4"/>
  <c r="G98" i="4"/>
  <c r="F98" i="4"/>
  <c r="H66" i="4"/>
  <c r="G66" i="4"/>
  <c r="F66" i="4"/>
  <c r="I66" i="4"/>
  <c r="F34" i="4"/>
  <c r="H34" i="4"/>
  <c r="G34" i="4"/>
  <c r="I34" i="4"/>
  <c r="F155" i="4"/>
  <c r="G155" i="4"/>
  <c r="H155" i="4"/>
  <c r="I155" i="4"/>
  <c r="I245" i="4"/>
  <c r="G245" i="4"/>
  <c r="F245" i="4"/>
  <c r="H245" i="4"/>
  <c r="I225" i="4"/>
  <c r="H225" i="4"/>
  <c r="G225" i="4"/>
  <c r="F225" i="4"/>
  <c r="H193" i="4"/>
  <c r="G193" i="4"/>
  <c r="I193" i="4"/>
  <c r="F193" i="4"/>
  <c r="H161" i="4"/>
  <c r="I161" i="4"/>
  <c r="G161" i="4"/>
  <c r="F161" i="4"/>
  <c r="H129" i="4"/>
  <c r="F129" i="4"/>
  <c r="G129" i="4"/>
  <c r="I129" i="4"/>
  <c r="H97" i="4"/>
  <c r="G97" i="4"/>
  <c r="I97" i="4"/>
  <c r="F97" i="4"/>
  <c r="H65" i="4"/>
  <c r="I65" i="4"/>
  <c r="G65" i="4"/>
  <c r="F65" i="4"/>
  <c r="H33" i="4"/>
  <c r="F33" i="4"/>
  <c r="G33" i="4"/>
  <c r="I33" i="4"/>
  <c r="I249" i="4"/>
  <c r="G249" i="4"/>
  <c r="F249" i="4"/>
  <c r="H249" i="4"/>
  <c r="I261" i="4"/>
  <c r="H261" i="4"/>
  <c r="G261" i="4"/>
  <c r="F261" i="4"/>
  <c r="G256" i="4"/>
  <c r="I256" i="4"/>
  <c r="F256" i="4"/>
  <c r="H256" i="4"/>
  <c r="G224" i="4"/>
  <c r="F224" i="4"/>
  <c r="I224" i="4"/>
  <c r="H224" i="4"/>
  <c r="H192" i="4"/>
  <c r="G192" i="4"/>
  <c r="F192" i="4"/>
  <c r="I192" i="4"/>
  <c r="I160" i="4"/>
  <c r="G160" i="4"/>
  <c r="F160" i="4"/>
  <c r="H160" i="4"/>
  <c r="G128" i="4"/>
  <c r="I128" i="4"/>
  <c r="F128" i="4"/>
  <c r="H128" i="4"/>
  <c r="G96" i="4"/>
  <c r="I96" i="4"/>
  <c r="F96" i="4"/>
  <c r="H96" i="4"/>
  <c r="H64" i="4"/>
  <c r="I64" i="4"/>
  <c r="F64" i="4"/>
  <c r="G64" i="4"/>
  <c r="F32" i="4"/>
  <c r="G32" i="4"/>
  <c r="I32" i="4"/>
  <c r="H32" i="4"/>
  <c r="H121" i="4"/>
  <c r="F121" i="4"/>
  <c r="G121" i="4"/>
  <c r="I121" i="4"/>
  <c r="G260" i="4"/>
  <c r="F260" i="4"/>
  <c r="H260" i="4"/>
  <c r="I260" i="4"/>
  <c r="H255" i="4"/>
  <c r="I255" i="4"/>
  <c r="F255" i="4"/>
  <c r="G255" i="4"/>
  <c r="G223" i="4"/>
  <c r="H223" i="4"/>
  <c r="F223" i="4"/>
  <c r="I223" i="4"/>
  <c r="I191" i="4"/>
  <c r="F191" i="4"/>
  <c r="G191" i="4"/>
  <c r="H191" i="4"/>
  <c r="F159" i="4"/>
  <c r="G159" i="4"/>
  <c r="H159" i="4"/>
  <c r="I159" i="4"/>
  <c r="H127" i="4"/>
  <c r="I127" i="4"/>
  <c r="G127" i="4"/>
  <c r="F127" i="4"/>
  <c r="I95" i="4"/>
  <c r="G95" i="4"/>
  <c r="H95" i="4"/>
  <c r="F95" i="4"/>
  <c r="I63" i="4"/>
  <c r="G63" i="4"/>
  <c r="F63" i="4"/>
  <c r="H63" i="4"/>
  <c r="G31" i="4"/>
  <c r="F31" i="4"/>
  <c r="I31" i="4"/>
  <c r="H31" i="4"/>
  <c r="H219" i="4"/>
  <c r="I219" i="4"/>
  <c r="F219" i="4"/>
  <c r="G219" i="4"/>
  <c r="H152" i="4"/>
  <c r="G152" i="4"/>
  <c r="F152" i="4"/>
  <c r="I152" i="4"/>
  <c r="I257" i="4"/>
  <c r="G257" i="4"/>
  <c r="F257" i="4"/>
  <c r="H257" i="4"/>
  <c r="F254" i="4"/>
  <c r="H254" i="4"/>
  <c r="G254" i="4"/>
  <c r="I254" i="4"/>
  <c r="I222" i="4"/>
  <c r="H222" i="4"/>
  <c r="G222" i="4"/>
  <c r="F222" i="4"/>
  <c r="G190" i="4"/>
  <c r="F190" i="4"/>
  <c r="I190" i="4"/>
  <c r="H190" i="4"/>
  <c r="I158" i="4"/>
  <c r="F158" i="4"/>
  <c r="G158" i="4"/>
  <c r="H158" i="4"/>
  <c r="G126" i="4"/>
  <c r="H126" i="4"/>
  <c r="F126" i="4"/>
  <c r="I126" i="4"/>
  <c r="F94" i="4"/>
  <c r="G94" i="4"/>
  <c r="I94" i="4"/>
  <c r="H94" i="4"/>
  <c r="H62" i="4"/>
  <c r="F62" i="4"/>
  <c r="G62" i="4"/>
  <c r="I62" i="4"/>
  <c r="H30" i="4"/>
  <c r="I30" i="4"/>
  <c r="G30" i="4"/>
  <c r="F30" i="4"/>
  <c r="H259" i="4"/>
  <c r="F259" i="4"/>
  <c r="G259" i="4"/>
  <c r="I259" i="4"/>
  <c r="I253" i="4"/>
  <c r="G253" i="4"/>
  <c r="F253" i="4"/>
  <c r="H253" i="4"/>
  <c r="I221" i="4"/>
  <c r="H221" i="4"/>
  <c r="F221" i="4"/>
  <c r="G221" i="4"/>
  <c r="H189" i="4"/>
  <c r="G189" i="4"/>
  <c r="F189" i="4"/>
  <c r="I189" i="4"/>
  <c r="H157" i="4"/>
  <c r="F157" i="4"/>
  <c r="I157" i="4"/>
  <c r="G157" i="4"/>
  <c r="H125" i="4"/>
  <c r="F125" i="4"/>
  <c r="G125" i="4"/>
  <c r="I125" i="4"/>
  <c r="H93" i="4"/>
  <c r="F93" i="4"/>
  <c r="G93" i="4"/>
  <c r="I93" i="4"/>
  <c r="H61" i="4"/>
  <c r="I61" i="4"/>
  <c r="G61" i="4"/>
  <c r="F61" i="4"/>
  <c r="H29" i="4"/>
  <c r="F29" i="4"/>
  <c r="G29" i="4"/>
  <c r="I29" i="4"/>
  <c r="G216" i="4"/>
  <c r="F216" i="4"/>
  <c r="H216" i="4"/>
  <c r="I216" i="4"/>
  <c r="I258" i="4"/>
  <c r="G258" i="4"/>
  <c r="H258" i="4"/>
  <c r="F258" i="4"/>
  <c r="G252" i="4"/>
  <c r="I252" i="4"/>
  <c r="F252" i="4"/>
  <c r="H252" i="4"/>
  <c r="G220" i="4"/>
  <c r="H220" i="4"/>
  <c r="F220" i="4"/>
  <c r="I220" i="4"/>
  <c r="F188" i="4"/>
  <c r="H188" i="4"/>
  <c r="G188" i="4"/>
  <c r="I188" i="4"/>
  <c r="F156" i="4"/>
  <c r="I156" i="4"/>
  <c r="H156" i="4"/>
  <c r="G156" i="4"/>
  <c r="F124" i="4"/>
  <c r="I124" i="4"/>
  <c r="G124" i="4"/>
  <c r="H124" i="4"/>
  <c r="H92" i="4"/>
  <c r="I92" i="4"/>
  <c r="F92" i="4"/>
  <c r="G92" i="4"/>
  <c r="H60" i="4"/>
  <c r="G60" i="4"/>
  <c r="F60" i="4"/>
  <c r="I60" i="4"/>
  <c r="I28" i="4"/>
  <c r="G28" i="4"/>
  <c r="F28" i="4"/>
  <c r="H28" i="4"/>
  <c r="G17" i="4"/>
  <c r="I17" i="4"/>
  <c r="F17" i="4"/>
  <c r="H17" i="4"/>
  <c r="I23" i="4"/>
  <c r="F23" i="4"/>
  <c r="G23" i="4"/>
  <c r="H23" i="4"/>
  <c r="A96" i="62"/>
  <c r="A95" i="62"/>
  <c r="A93" i="67"/>
  <c r="A92" i="67"/>
  <c r="H13" i="8"/>
  <c r="F22" i="66"/>
  <c r="I6" i="67"/>
  <c r="N6" i="67"/>
  <c r="O6" i="67"/>
  <c r="J6" i="67"/>
  <c r="A97" i="62" l="1"/>
  <c r="A98" i="62"/>
  <c r="A94" i="67"/>
  <c r="A95" i="67"/>
  <c r="B2" i="68" l="1"/>
  <c r="H4" i="67"/>
  <c r="C4" i="61"/>
  <c r="C4" i="67"/>
  <c r="C4" i="62"/>
  <c r="C5" i="61"/>
  <c r="C5" i="62"/>
  <c r="C5" i="67"/>
  <c r="A100" i="62"/>
  <c r="A99" i="62"/>
  <c r="A96" i="67"/>
  <c r="A97" i="67"/>
  <c r="B6" i="62"/>
  <c r="C6" i="66"/>
  <c r="A101" i="62" l="1"/>
  <c r="A102" i="62"/>
  <c r="A99" i="67"/>
  <c r="A98" i="67"/>
  <c r="A104" i="62" l="1"/>
  <c r="A103" i="62"/>
  <c r="A100" i="67"/>
  <c r="A101" i="67"/>
  <c r="C9" i="61"/>
  <c r="C8" i="61"/>
  <c r="A105" i="62" l="1"/>
  <c r="A106" i="62"/>
  <c r="A102" i="67"/>
  <c r="A103" i="67"/>
  <c r="E2" i="4"/>
  <c r="S1" i="4"/>
  <c r="M1" i="4"/>
  <c r="Q1" i="4"/>
  <c r="W1" i="4"/>
  <c r="U1" i="4"/>
  <c r="L1" i="4"/>
  <c r="N1" i="4"/>
  <c r="K1" i="4"/>
  <c r="O1" i="4"/>
  <c r="P1" i="4"/>
  <c r="R1" i="4"/>
  <c r="V1" i="4"/>
  <c r="T1" i="4"/>
  <c r="A108" i="62" l="1"/>
  <c r="A107" i="62"/>
  <c r="A105" i="67"/>
  <c r="A104" i="67"/>
  <c r="J285" i="4"/>
  <c r="J284" i="4"/>
  <c r="J283" i="4"/>
  <c r="J282" i="4"/>
  <c r="J281" i="4"/>
  <c r="J280" i="4"/>
  <c r="J279" i="4"/>
  <c r="J278" i="4"/>
  <c r="J277" i="4"/>
  <c r="J276" i="4"/>
  <c r="J275" i="4"/>
  <c r="J274" i="4"/>
  <c r="J273" i="4"/>
  <c r="J272" i="4"/>
  <c r="J271" i="4"/>
  <c r="J270" i="4"/>
  <c r="J269" i="4"/>
  <c r="J268" i="4"/>
  <c r="J267" i="4"/>
  <c r="J266" i="4"/>
  <c r="A109" i="62" l="1"/>
  <c r="A111" i="62" s="1"/>
  <c r="A110" i="62"/>
  <c r="A106" i="67"/>
  <c r="A107" i="67"/>
  <c r="BZ2" i="57"/>
  <c r="AS2" i="57"/>
  <c r="AJ2" i="57"/>
  <c r="B2" i="57"/>
  <c r="C2" i="57"/>
  <c r="BZ1" i="57"/>
  <c r="AT1" i="57"/>
  <c r="AJ1" i="57"/>
  <c r="D1" i="57"/>
  <c r="AI285" i="4"/>
  <c r="AI284" i="4"/>
  <c r="AI283" i="4"/>
  <c r="AI282" i="4"/>
  <c r="AI281" i="4"/>
  <c r="AI280" i="4"/>
  <c r="AI279" i="4"/>
  <c r="AI278" i="4"/>
  <c r="AI277" i="4"/>
  <c r="AI276" i="4"/>
  <c r="AI275" i="4"/>
  <c r="AI274" i="4"/>
  <c r="AI273" i="4"/>
  <c r="AI272" i="4"/>
  <c r="AI271" i="4"/>
  <c r="AI270" i="4"/>
  <c r="AI269" i="4"/>
  <c r="AI268" i="4"/>
  <c r="AI267" i="4"/>
  <c r="AI266" i="4"/>
  <c r="AS1" i="57"/>
  <c r="C1" i="57"/>
  <c r="E286" i="4"/>
  <c r="A112" i="62" l="1"/>
  <c r="A114" i="62" s="1"/>
  <c r="A109" i="67"/>
  <c r="A113" i="62"/>
  <c r="A108" i="67"/>
  <c r="K12" i="8"/>
  <c r="H12" i="8"/>
  <c r="J12" i="8"/>
  <c r="A7" i="8"/>
  <c r="A2" i="8"/>
  <c r="G2" i="68" l="1"/>
  <c r="G3" i="68"/>
  <c r="A111" i="67"/>
  <c r="A110" i="67"/>
  <c r="A115" i="62"/>
  <c r="A116" i="62"/>
  <c r="B3" i="62"/>
  <c r="B3" i="67"/>
  <c r="B3" i="66"/>
  <c r="B3" i="61"/>
  <c r="A5" i="8"/>
  <c r="A113" i="67" l="1"/>
  <c r="A112" i="67"/>
  <c r="A117" i="62"/>
  <c r="A118" i="62"/>
  <c r="D2" i="4"/>
  <c r="C54" i="8"/>
  <c r="I31" i="8"/>
  <c r="A115" i="67" l="1"/>
  <c r="A114" i="67"/>
  <c r="A120" i="62"/>
  <c r="A119" i="62"/>
  <c r="C55" i="8"/>
  <c r="B54" i="8"/>
  <c r="A117" i="67" l="1"/>
  <c r="A116" i="67"/>
  <c r="A121" i="62"/>
  <c r="A122" i="62"/>
  <c r="C56" i="8"/>
  <c r="B55" i="8"/>
  <c r="D54" i="8"/>
  <c r="A119" i="67" l="1"/>
  <c r="A121" i="67" s="1"/>
  <c r="A118" i="67"/>
  <c r="A123" i="62"/>
  <c r="A124" i="62"/>
  <c r="C57" i="8"/>
  <c r="C58" i="8" s="1"/>
  <c r="B56" i="8"/>
  <c r="D55" i="8"/>
  <c r="A120" i="67" l="1"/>
  <c r="A125" i="62"/>
  <c r="A126" i="62"/>
  <c r="A123" i="67"/>
  <c r="C59" i="8"/>
  <c r="D57" i="8"/>
  <c r="D56" i="8"/>
  <c r="B57" i="8"/>
  <c r="B59" i="8"/>
  <c r="A122" i="67" l="1"/>
  <c r="A128" i="62"/>
  <c r="A127" i="62"/>
  <c r="A125" i="67"/>
  <c r="C60" i="8"/>
  <c r="D58" i="8"/>
  <c r="B58" i="8"/>
  <c r="D59" i="8"/>
  <c r="B60" i="8"/>
  <c r="A124" i="67" l="1"/>
  <c r="A129" i="62"/>
  <c r="A130" i="62"/>
  <c r="A127" i="67"/>
  <c r="C61" i="8"/>
  <c r="D60" i="8"/>
  <c r="B61" i="8"/>
  <c r="A126" i="67" l="1"/>
  <c r="A129" i="67"/>
  <c r="A132" i="62"/>
  <c r="A131" i="62"/>
  <c r="C62" i="8"/>
  <c r="D61" i="8"/>
  <c r="B62" i="8"/>
  <c r="A128" i="67" l="1"/>
  <c r="A131" i="67"/>
  <c r="A133" i="62"/>
  <c r="A134" i="62"/>
  <c r="C63" i="8"/>
  <c r="D62" i="8"/>
  <c r="B63" i="8"/>
  <c r="A130" i="67" l="1"/>
  <c r="A132" i="67" s="1"/>
  <c r="A133" i="67"/>
  <c r="A136" i="62"/>
  <c r="A135" i="62"/>
  <c r="C64" i="8"/>
  <c r="C65" i="8" s="1"/>
  <c r="D63" i="8"/>
  <c r="D65" i="8"/>
  <c r="A135" i="67" l="1"/>
  <c r="A134" i="67"/>
  <c r="A137" i="62"/>
  <c r="A138" i="62"/>
  <c r="C66" i="8"/>
  <c r="B64" i="8"/>
  <c r="D64" i="8"/>
  <c r="B65" i="8"/>
  <c r="A137" i="67" l="1"/>
  <c r="A136" i="67"/>
  <c r="A140" i="62"/>
  <c r="A139" i="62"/>
  <c r="C67" i="8"/>
  <c r="D67" i="8"/>
  <c r="D66" i="8"/>
  <c r="B66" i="8"/>
  <c r="A139" i="67" l="1"/>
  <c r="A138" i="67"/>
  <c r="A141" i="62"/>
  <c r="A142" i="62"/>
  <c r="C68" i="8"/>
  <c r="B67" i="8"/>
  <c r="D68" i="8"/>
  <c r="A141" i="67" l="1"/>
  <c r="A140" i="67"/>
  <c r="A144" i="62"/>
  <c r="A143" i="62"/>
  <c r="C69" i="8"/>
  <c r="B68" i="8"/>
  <c r="D69" i="8"/>
  <c r="A143" i="67" l="1"/>
  <c r="A145" i="67" s="1"/>
  <c r="A142" i="67"/>
  <c r="A145" i="62"/>
  <c r="A146" i="62"/>
  <c r="C70" i="8"/>
  <c r="D70" i="8"/>
  <c r="B69" i="8"/>
  <c r="A144" i="67" l="1"/>
  <c r="A148" i="62"/>
  <c r="A147" i="62"/>
  <c r="A147" i="67"/>
  <c r="C71" i="8"/>
  <c r="B70" i="8"/>
  <c r="D71" i="8"/>
  <c r="A146" i="67" l="1"/>
  <c r="A149" i="62"/>
  <c r="A150" i="62"/>
  <c r="A149" i="67"/>
  <c r="C72" i="8"/>
  <c r="B71" i="8"/>
  <c r="D72" i="8"/>
  <c r="A148" i="67" l="1"/>
  <c r="A150" i="67" s="1"/>
  <c r="A152" i="62"/>
  <c r="A151" i="62"/>
  <c r="A151" i="67"/>
  <c r="C73" i="8"/>
  <c r="B72" i="8"/>
  <c r="B73" i="8"/>
  <c r="C4" i="72" l="1"/>
  <c r="A153" i="62"/>
  <c r="A154" i="62"/>
  <c r="A152" i="67"/>
  <c r="A153" i="67"/>
  <c r="I33" i="8"/>
  <c r="G286" i="4"/>
  <c r="X286" i="4"/>
  <c r="AF286" i="4"/>
  <c r="AN286" i="4"/>
  <c r="D73" i="8"/>
  <c r="A155" i="62" l="1"/>
  <c r="A156" i="62"/>
  <c r="A155" i="67"/>
  <c r="A154" i="67"/>
  <c r="AF264" i="4"/>
  <c r="X84" i="4" l="1"/>
  <c r="Y84" i="4" s="1"/>
  <c r="B84" i="4"/>
  <c r="A84" i="4" s="1"/>
  <c r="X73" i="4"/>
  <c r="Y73" i="4" s="1"/>
  <c r="B73" i="4"/>
  <c r="A73" i="4" s="1"/>
  <c r="X266" i="4" l="1"/>
  <c r="Y266" i="4" s="1"/>
  <c r="X97" i="4"/>
  <c r="Y97" i="4" s="1"/>
  <c r="X63" i="4"/>
  <c r="Y63" i="4" s="1"/>
  <c r="X87" i="4"/>
  <c r="Y87" i="4" s="1"/>
  <c r="X252" i="4"/>
  <c r="Y252" i="4" s="1"/>
  <c r="X131" i="4"/>
  <c r="Y131" i="4" s="1"/>
  <c r="X106" i="4"/>
  <c r="Y106" i="4" s="1"/>
  <c r="X105" i="4"/>
  <c r="Y105" i="4" s="1"/>
  <c r="X244" i="4"/>
  <c r="Y244" i="4" s="1"/>
  <c r="X86" i="4"/>
  <c r="Y86" i="4" s="1"/>
  <c r="X179" i="4"/>
  <c r="Y179" i="4" s="1"/>
  <c r="X129" i="4"/>
  <c r="Y129" i="4" s="1"/>
  <c r="X247" i="4"/>
  <c r="Y247" i="4" s="1"/>
  <c r="X151" i="4"/>
  <c r="Y151" i="4" s="1"/>
  <c r="X218" i="4"/>
  <c r="Y218" i="4" s="1"/>
  <c r="X224" i="4"/>
  <c r="Y224" i="4" s="1"/>
  <c r="X124" i="4"/>
  <c r="Y124" i="4" s="1"/>
  <c r="X175" i="4"/>
  <c r="Y175" i="4" s="1"/>
  <c r="X213" i="4"/>
  <c r="Y213" i="4" s="1"/>
  <c r="X245" i="4"/>
  <c r="Y245" i="4" s="1"/>
  <c r="X235" i="4"/>
  <c r="Y235" i="4" s="1"/>
  <c r="X220" i="4"/>
  <c r="Y220" i="4" s="1"/>
  <c r="X82" i="4"/>
  <c r="Y82" i="4" s="1"/>
  <c r="X154" i="4"/>
  <c r="Y154" i="4" s="1"/>
  <c r="X188" i="4"/>
  <c r="Y188" i="4" s="1"/>
  <c r="X123" i="4"/>
  <c r="Y123" i="4" s="1"/>
  <c r="X185" i="4"/>
  <c r="Y185" i="4" s="1"/>
  <c r="X261" i="4"/>
  <c r="Y261" i="4" s="1"/>
  <c r="X259" i="4"/>
  <c r="Y259" i="4" s="1"/>
  <c r="X211" i="4"/>
  <c r="Y211" i="4" s="1"/>
  <c r="X208" i="4"/>
  <c r="Y208" i="4" s="1"/>
  <c r="X181" i="4"/>
  <c r="Y181" i="4" s="1"/>
  <c r="X70" i="4"/>
  <c r="Y70" i="4" s="1"/>
  <c r="X177" i="4"/>
  <c r="Y177" i="4" s="1"/>
  <c r="X64" i="4"/>
  <c r="Y64" i="4" s="1"/>
  <c r="X137" i="4"/>
  <c r="Y137" i="4" s="1"/>
  <c r="X164" i="4"/>
  <c r="Y164" i="4" s="1"/>
  <c r="X65" i="4"/>
  <c r="Y65" i="4" s="1"/>
  <c r="X194" i="4"/>
  <c r="Y194" i="4" s="1"/>
  <c r="X210" i="4"/>
  <c r="Y210" i="4" s="1"/>
  <c r="X156" i="4"/>
  <c r="Y156" i="4" s="1"/>
  <c r="X190" i="4"/>
  <c r="Y190" i="4" s="1"/>
  <c r="X195" i="4"/>
  <c r="Y195" i="4" s="1"/>
  <c r="X242" i="4"/>
  <c r="Y242" i="4" s="1"/>
  <c r="X134" i="4"/>
  <c r="Y134" i="4" s="1"/>
  <c r="X143" i="4"/>
  <c r="Y143" i="4" s="1"/>
  <c r="X258" i="4"/>
  <c r="Y258" i="4" s="1"/>
  <c r="X189" i="4"/>
  <c r="Y189" i="4" s="1"/>
  <c r="X176" i="4"/>
  <c r="Y176" i="4" s="1"/>
  <c r="X135" i="4"/>
  <c r="Y135" i="4" s="1"/>
  <c r="X99" i="4"/>
  <c r="Y99" i="4" s="1"/>
  <c r="X79" i="4"/>
  <c r="Y79" i="4" s="1"/>
  <c r="X255" i="4"/>
  <c r="Y255" i="4" s="1"/>
  <c r="X81" i="4"/>
  <c r="Y81" i="4" s="1"/>
  <c r="X119" i="4"/>
  <c r="Y119" i="4" s="1"/>
  <c r="X117" i="4"/>
  <c r="Y117" i="4" s="1"/>
  <c r="X201" i="4"/>
  <c r="Y201" i="4" s="1"/>
  <c r="X192" i="4"/>
  <c r="Y192" i="4" s="1"/>
  <c r="X67" i="4"/>
  <c r="Y67" i="4" s="1"/>
  <c r="X168" i="4"/>
  <c r="Y168" i="4" s="1"/>
  <c r="X120" i="4"/>
  <c r="Y120" i="4" s="1"/>
  <c r="X212" i="4"/>
  <c r="Y212" i="4" s="1"/>
  <c r="X130" i="4"/>
  <c r="Y130" i="4" s="1"/>
  <c r="X153" i="4"/>
  <c r="Y153" i="4" s="1"/>
  <c r="X169" i="4"/>
  <c r="Y169" i="4" s="1"/>
  <c r="X57" i="4"/>
  <c r="Y57" i="4" s="1"/>
  <c r="X103" i="4"/>
  <c r="Y103" i="4" s="1"/>
  <c r="X147" i="4"/>
  <c r="Y147" i="4" s="1"/>
  <c r="X248" i="4"/>
  <c r="Y248" i="4" s="1"/>
  <c r="X184" i="4"/>
  <c r="Y184" i="4" s="1"/>
  <c r="X246" i="4"/>
  <c r="Y246" i="4" s="1"/>
  <c r="X204" i="4"/>
  <c r="Y204" i="4" s="1"/>
  <c r="X225" i="4"/>
  <c r="Y225" i="4" s="1"/>
  <c r="X217" i="4"/>
  <c r="Y217" i="4" s="1"/>
  <c r="X263" i="4"/>
  <c r="Y263" i="4" s="1"/>
  <c r="X254" i="4"/>
  <c r="Y254" i="4" s="1"/>
  <c r="X72" i="4"/>
  <c r="Y72" i="4" s="1"/>
  <c r="X180" i="4"/>
  <c r="Y180" i="4" s="1"/>
  <c r="X61" i="4"/>
  <c r="Y61" i="4" s="1"/>
  <c r="X238" i="4"/>
  <c r="Y238" i="4" s="1"/>
  <c r="X250" i="4"/>
  <c r="Y250" i="4" s="1"/>
  <c r="X234" i="4"/>
  <c r="Y234" i="4" s="1"/>
  <c r="X116" i="4"/>
  <c r="Y116" i="4" s="1"/>
  <c r="X240" i="4"/>
  <c r="Y240" i="4" s="1"/>
  <c r="X102" i="4"/>
  <c r="Y102" i="4" s="1"/>
  <c r="X172" i="4"/>
  <c r="Y172" i="4" s="1"/>
  <c r="X257" i="4"/>
  <c r="Y257" i="4" s="1"/>
  <c r="X139" i="4"/>
  <c r="Y139" i="4" s="1"/>
  <c r="X126" i="4"/>
  <c r="Y126" i="4" s="1"/>
  <c r="X214" i="4"/>
  <c r="Y214" i="4" s="1"/>
  <c r="X145" i="4"/>
  <c r="Y145" i="4" s="1"/>
  <c r="X199" i="4"/>
  <c r="Y199" i="4" s="1"/>
  <c r="X83" i="4"/>
  <c r="Y83" i="4" s="1"/>
  <c r="X91" i="4"/>
  <c r="Y91" i="4" s="1"/>
  <c r="X196" i="4"/>
  <c r="Y196" i="4" s="1"/>
  <c r="X256" i="4"/>
  <c r="Y256" i="4" s="1"/>
  <c r="X77" i="4"/>
  <c r="Y77" i="4" s="1"/>
  <c r="X76" i="4"/>
  <c r="Y76" i="4" s="1"/>
  <c r="X136" i="4"/>
  <c r="Y136" i="4" s="1"/>
  <c r="X239" i="4"/>
  <c r="Y239" i="4" s="1"/>
  <c r="X191" i="4"/>
  <c r="Y191" i="4" s="1"/>
  <c r="X233" i="4"/>
  <c r="Y233" i="4" s="1"/>
  <c r="X171" i="4"/>
  <c r="Y171" i="4" s="1"/>
  <c r="X159" i="4"/>
  <c r="Y159" i="4" s="1"/>
  <c r="X200" i="4"/>
  <c r="Y200" i="4" s="1"/>
  <c r="X221" i="4"/>
  <c r="Y221" i="4" s="1"/>
  <c r="X110" i="4"/>
  <c r="Y110" i="4" s="1"/>
  <c r="X216" i="4"/>
  <c r="Y216" i="4" s="1"/>
  <c r="X228" i="4"/>
  <c r="Y228" i="4" s="1"/>
  <c r="X107" i="4"/>
  <c r="Y107" i="4" s="1"/>
  <c r="X71" i="4"/>
  <c r="Y71" i="4" s="1"/>
  <c r="X66" i="4"/>
  <c r="Y66" i="4" s="1"/>
  <c r="X222" i="4"/>
  <c r="Y222" i="4" s="1"/>
  <c r="X59" i="4"/>
  <c r="Y59" i="4" s="1"/>
  <c r="X113" i="4"/>
  <c r="Y113" i="4" s="1"/>
  <c r="X230" i="4"/>
  <c r="Y230" i="4" s="1"/>
  <c r="X104" i="4"/>
  <c r="Y104" i="4" s="1"/>
  <c r="X92" i="4"/>
  <c r="Y92" i="4" s="1"/>
  <c r="X78" i="4"/>
  <c r="Y78" i="4" s="1"/>
  <c r="X253" i="4"/>
  <c r="Y253" i="4" s="1"/>
  <c r="X236" i="4"/>
  <c r="Y236" i="4" s="1"/>
  <c r="X62" i="4"/>
  <c r="Y62" i="4" s="1"/>
  <c r="X161" i="4"/>
  <c r="Y161" i="4" s="1"/>
  <c r="X144" i="4"/>
  <c r="Y144" i="4" s="1"/>
  <c r="X121" i="4"/>
  <c r="Y121" i="4" s="1"/>
  <c r="X90" i="4"/>
  <c r="Y90" i="4" s="1"/>
  <c r="X203" i="4"/>
  <c r="Y203" i="4" s="1"/>
  <c r="X146" i="4"/>
  <c r="Y146" i="4" s="1"/>
  <c r="X162" i="4"/>
  <c r="Y162" i="4" s="1"/>
  <c r="X249" i="4"/>
  <c r="Y249" i="4" s="1"/>
  <c r="X140" i="4"/>
  <c r="Y140" i="4" s="1"/>
  <c r="X114" i="4"/>
  <c r="Y114" i="4" s="1"/>
  <c r="X75" i="4"/>
  <c r="Y75" i="4" s="1"/>
  <c r="X148" i="4"/>
  <c r="Y148" i="4" s="1"/>
  <c r="X198" i="4"/>
  <c r="Y198" i="4" s="1"/>
  <c r="X170" i="4"/>
  <c r="Y170" i="4" s="1"/>
  <c r="X207" i="4"/>
  <c r="Y207" i="4" s="1"/>
  <c r="X60" i="4"/>
  <c r="Y60" i="4" s="1"/>
  <c r="X100" i="4"/>
  <c r="Y100" i="4" s="1"/>
  <c r="X80" i="4"/>
  <c r="Y80" i="4" s="1"/>
  <c r="X101" i="4"/>
  <c r="Y101" i="4" s="1"/>
  <c r="X158" i="4"/>
  <c r="Y158" i="4" s="1"/>
  <c r="X142" i="4"/>
  <c r="Y142" i="4" s="1"/>
  <c r="X227" i="4"/>
  <c r="Y227" i="4" s="1"/>
  <c r="X157" i="4"/>
  <c r="Y157" i="4" s="1"/>
  <c r="X219" i="4"/>
  <c r="Y219" i="4" s="1"/>
  <c r="X108" i="4"/>
  <c r="Y108" i="4" s="1"/>
  <c r="X193" i="4"/>
  <c r="Y193" i="4" s="1"/>
  <c r="X243" i="4"/>
  <c r="Y243" i="4" s="1"/>
  <c r="X205" i="4"/>
  <c r="Y205" i="4" s="1"/>
  <c r="X69" i="4"/>
  <c r="Y69" i="4" s="1"/>
  <c r="X281" i="4"/>
  <c r="Y281" i="4" s="1"/>
  <c r="X278" i="4"/>
  <c r="Y278" i="4" s="1"/>
  <c r="X279" i="4"/>
  <c r="Y279" i="4" s="1"/>
  <c r="X283" i="4"/>
  <c r="Y283" i="4" s="1"/>
  <c r="X271" i="4"/>
  <c r="Y271" i="4" s="1"/>
  <c r="X268" i="4"/>
  <c r="Y268" i="4" s="1"/>
  <c r="X285" i="4"/>
  <c r="Y285" i="4" s="1"/>
  <c r="X282" i="4"/>
  <c r="Y282" i="4" s="1"/>
  <c r="X276" i="4"/>
  <c r="Y276" i="4" s="1"/>
  <c r="X272" i="4"/>
  <c r="Y272" i="4" s="1"/>
  <c r="X275" i="4"/>
  <c r="Y275" i="4" s="1"/>
  <c r="X267" i="4"/>
  <c r="Y267" i="4" s="1"/>
  <c r="X274" i="4"/>
  <c r="Y274" i="4" s="1"/>
  <c r="X273" i="4"/>
  <c r="Y273" i="4" s="1"/>
  <c r="X277" i="4"/>
  <c r="Y277" i="4" s="1"/>
  <c r="X269" i="4"/>
  <c r="Y269" i="4" s="1"/>
  <c r="X284" i="4"/>
  <c r="Y284" i="4" s="1"/>
  <c r="X270" i="4"/>
  <c r="Y270" i="4" s="1"/>
  <c r="X280" i="4"/>
  <c r="Y280" i="4" s="1"/>
  <c r="A157" i="62"/>
  <c r="A158" i="62"/>
  <c r="A157" i="67"/>
  <c r="A156" i="67"/>
  <c r="B135" i="4"/>
  <c r="A135" i="4" s="1"/>
  <c r="B184" i="4"/>
  <c r="A184" i="4" s="1"/>
  <c r="B113" i="4"/>
  <c r="A113" i="4" s="1"/>
  <c r="B227" i="4"/>
  <c r="A227" i="4" s="1"/>
  <c r="B82" i="4"/>
  <c r="A82" i="4" s="1"/>
  <c r="B76" i="4"/>
  <c r="A76" i="4" s="1"/>
  <c r="B147" i="4"/>
  <c r="A147" i="4" s="1"/>
  <c r="B235" i="4"/>
  <c r="A235" i="4" s="1"/>
  <c r="B65" i="4"/>
  <c r="A65" i="4" s="1"/>
  <c r="B80" i="4"/>
  <c r="A80" i="4" s="1"/>
  <c r="B136" i="4"/>
  <c r="A136" i="4" s="1"/>
  <c r="B77" i="4"/>
  <c r="A77" i="4" s="1"/>
  <c r="B221" i="4"/>
  <c r="A221" i="4" s="1"/>
  <c r="B170" i="4"/>
  <c r="A170" i="4" s="1"/>
  <c r="B78" i="4"/>
  <c r="A78" i="4" s="1"/>
  <c r="B83" i="4"/>
  <c r="A83" i="4" s="1"/>
  <c r="B177" i="4"/>
  <c r="A177" i="4" s="1"/>
  <c r="B157" i="4"/>
  <c r="A157" i="4" s="1"/>
  <c r="B90" i="4"/>
  <c r="A90" i="4" s="1"/>
  <c r="B154" i="4"/>
  <c r="A154" i="4" s="1"/>
  <c r="B143" i="4"/>
  <c r="A143" i="4" s="1"/>
  <c r="B66" i="4"/>
  <c r="A66" i="4" s="1"/>
  <c r="B63" i="4"/>
  <c r="A63" i="4" s="1"/>
  <c r="B159" i="4"/>
  <c r="A159" i="4" s="1"/>
  <c r="B79" i="4"/>
  <c r="A79" i="4" s="1"/>
  <c r="B119" i="4"/>
  <c r="A119" i="4" s="1"/>
  <c r="B180" i="4"/>
  <c r="A180" i="4" s="1"/>
  <c r="B242" i="4"/>
  <c r="A242" i="4" s="1"/>
  <c r="B210" i="4"/>
  <c r="A210" i="4" s="1"/>
  <c r="B225" i="4"/>
  <c r="A225" i="4" s="1"/>
  <c r="B81" i="4"/>
  <c r="A81" i="4" s="1"/>
  <c r="B124" i="4"/>
  <c r="A124" i="4" s="1"/>
  <c r="B212" i="4"/>
  <c r="A212" i="4" s="1"/>
  <c r="B117" i="4"/>
  <c r="A117" i="4" s="1"/>
  <c r="B59" i="4"/>
  <c r="A59" i="4" s="1"/>
  <c r="B190" i="4"/>
  <c r="A190" i="4" s="1"/>
  <c r="B200" i="4"/>
  <c r="A200" i="4" s="1"/>
  <c r="B108" i="4"/>
  <c r="A108" i="4" s="1"/>
  <c r="B104" i="4"/>
  <c r="A104" i="4" s="1"/>
  <c r="B192" i="4"/>
  <c r="A192" i="4" s="1"/>
  <c r="B230" i="4"/>
  <c r="A230" i="4" s="1"/>
  <c r="B218" i="4"/>
  <c r="A218" i="4" s="1"/>
  <c r="B256" i="4"/>
  <c r="A256" i="4" s="1"/>
  <c r="B91" i="4"/>
  <c r="A91" i="4" s="1"/>
  <c r="B214" i="4"/>
  <c r="A214" i="4" s="1"/>
  <c r="B246" i="4"/>
  <c r="A246" i="4" s="1"/>
  <c r="B161" i="4"/>
  <c r="A161" i="4" s="1"/>
  <c r="B228" i="4"/>
  <c r="A228" i="4" s="1"/>
  <c r="B199" i="4"/>
  <c r="A199" i="4" s="1"/>
  <c r="B203" i="4"/>
  <c r="A203" i="4" s="1"/>
  <c r="B61" i="4"/>
  <c r="A61" i="4" s="1"/>
  <c r="B103" i="4"/>
  <c r="A103" i="4" s="1"/>
  <c r="B144" i="4"/>
  <c r="A144" i="4" s="1"/>
  <c r="B148" i="4"/>
  <c r="A148" i="4" s="1"/>
  <c r="B139" i="4"/>
  <c r="A139" i="4" s="1"/>
  <c r="B185" i="4"/>
  <c r="A185" i="4" s="1"/>
  <c r="B105" i="4"/>
  <c r="A105" i="4" s="1"/>
  <c r="B208" i="4"/>
  <c r="A208" i="4" s="1"/>
  <c r="B238" i="4"/>
  <c r="A238" i="4" s="1"/>
  <c r="B70" i="4"/>
  <c r="A70" i="4" s="1"/>
  <c r="B158" i="4"/>
  <c r="A158" i="4" s="1"/>
  <c r="B75" i="4"/>
  <c r="A75" i="4" s="1"/>
  <c r="B189" i="4"/>
  <c r="A189" i="4" s="1"/>
  <c r="B236" i="4"/>
  <c r="A236" i="4" s="1"/>
  <c r="B243" i="4"/>
  <c r="A243" i="4" s="1"/>
  <c r="B87" i="4"/>
  <c r="A87" i="4" s="1"/>
  <c r="B99" i="4"/>
  <c r="A99" i="4" s="1"/>
  <c r="B71" i="4"/>
  <c r="A71" i="4" s="1"/>
  <c r="B181" i="4"/>
  <c r="A181" i="4" s="1"/>
  <c r="B107" i="4"/>
  <c r="A107" i="4" s="1"/>
  <c r="B188" i="4"/>
  <c r="A188" i="4" s="1"/>
  <c r="B224" i="4"/>
  <c r="A224" i="4" s="1"/>
  <c r="B222" i="4"/>
  <c r="A222" i="4" s="1"/>
  <c r="B171" i="4"/>
  <c r="A171" i="4" s="1"/>
  <c r="B62" i="4"/>
  <c r="A62" i="4" s="1"/>
  <c r="B92" i="4"/>
  <c r="A92" i="4" s="1"/>
  <c r="B116" i="4"/>
  <c r="A116" i="4" s="1"/>
  <c r="B137" i="4"/>
  <c r="A137" i="4" s="1"/>
  <c r="B57" i="4"/>
  <c r="A57" i="4" s="1"/>
  <c r="B97" i="4"/>
  <c r="A97" i="4" s="1"/>
  <c r="B72" i="4"/>
  <c r="A72" i="4" s="1"/>
  <c r="B175" i="4"/>
  <c r="A175" i="4" s="1"/>
  <c r="B131" i="4"/>
  <c r="A131" i="4" s="1"/>
  <c r="B69" i="4"/>
  <c r="A69" i="4" s="1"/>
  <c r="B233" i="4"/>
  <c r="A233" i="4" s="1"/>
  <c r="B194" i="4"/>
  <c r="A194" i="4" s="1"/>
  <c r="B257" i="4"/>
  <c r="A257" i="4" s="1"/>
  <c r="B211" i="4"/>
  <c r="A211" i="4" s="1"/>
  <c r="B245" i="4"/>
  <c r="A245" i="4" s="1"/>
  <c r="B255" i="4"/>
  <c r="A255" i="4" s="1"/>
  <c r="B220" i="4"/>
  <c r="A220" i="4" s="1"/>
  <c r="B153" i="4"/>
  <c r="A153" i="4" s="1"/>
  <c r="B179" i="4"/>
  <c r="A179" i="4" s="1"/>
  <c r="B244" i="4"/>
  <c r="A244" i="4" s="1"/>
  <c r="B121" i="4"/>
  <c r="A121" i="4" s="1"/>
  <c r="B120" i="4"/>
  <c r="A120" i="4" s="1"/>
  <c r="B240" i="4"/>
  <c r="A240" i="4" s="1"/>
  <c r="B123" i="4"/>
  <c r="A123" i="4" s="1"/>
  <c r="B216" i="4"/>
  <c r="A216" i="4" s="1"/>
  <c r="B248" i="4"/>
  <c r="A248" i="4" s="1"/>
  <c r="B64" i="4"/>
  <c r="A64" i="4" s="1"/>
  <c r="B156" i="4"/>
  <c r="A156" i="4" s="1"/>
  <c r="B164" i="4"/>
  <c r="A164" i="4" s="1"/>
  <c r="B219" i="4"/>
  <c r="A219" i="4" s="1"/>
  <c r="B205" i="4"/>
  <c r="A205" i="4" s="1"/>
  <c r="B176" i="4"/>
  <c r="A176" i="4" s="1"/>
  <c r="B204" i="4"/>
  <c r="A204" i="4" s="1"/>
  <c r="B254" i="4"/>
  <c r="A254" i="4" s="1"/>
  <c r="B169" i="4"/>
  <c r="A169" i="4" s="1"/>
  <c r="B259" i="4"/>
  <c r="A259" i="4" s="1"/>
  <c r="B126" i="4"/>
  <c r="A126" i="4" s="1"/>
  <c r="B146" i="4"/>
  <c r="A146" i="4" s="1"/>
  <c r="B198" i="4"/>
  <c r="A198" i="4" s="1"/>
  <c r="B193" i="4"/>
  <c r="A193" i="4" s="1"/>
  <c r="B67" i="4"/>
  <c r="A67" i="4" s="1"/>
  <c r="B140" i="4"/>
  <c r="A140" i="4" s="1"/>
  <c r="B213" i="4"/>
  <c r="A213" i="4" s="1"/>
  <c r="B130" i="4"/>
  <c r="A130" i="4" s="1"/>
  <c r="B86" i="4"/>
  <c r="A86" i="4" s="1"/>
  <c r="B106" i="4"/>
  <c r="A106" i="4" s="1"/>
  <c r="B102" i="4"/>
  <c r="A102" i="4" s="1"/>
  <c r="B252" i="4"/>
  <c r="A252" i="4" s="1"/>
  <c r="B250" i="4"/>
  <c r="A250" i="4" s="1"/>
  <c r="B101" i="4"/>
  <c r="A101" i="4" s="1"/>
  <c r="B263" i="4"/>
  <c r="A263" i="4" s="1"/>
  <c r="B134" i="4"/>
  <c r="A134" i="4" s="1"/>
  <c r="B247" i="4"/>
  <c r="A247" i="4" s="1"/>
  <c r="B261" i="4"/>
  <c r="A261" i="4" s="1"/>
  <c r="B142" i="4"/>
  <c r="A142" i="4" s="1"/>
  <c r="B201" i="4"/>
  <c r="A201" i="4" s="1"/>
  <c r="B207" i="4"/>
  <c r="A207" i="4" s="1"/>
  <c r="B234" i="4"/>
  <c r="A234" i="4" s="1"/>
  <c r="B258" i="4"/>
  <c r="A258" i="4" s="1"/>
  <c r="B172" i="4"/>
  <c r="A172" i="4" s="1"/>
  <c r="B162" i="4"/>
  <c r="A162" i="4" s="1"/>
  <c r="B249" i="4"/>
  <c r="A249" i="4" s="1"/>
  <c r="B100" i="4"/>
  <c r="A100" i="4" s="1"/>
  <c r="B151" i="4"/>
  <c r="A151" i="4" s="1"/>
  <c r="B129" i="4"/>
  <c r="A129" i="4" s="1"/>
  <c r="B217" i="4"/>
  <c r="A217" i="4" s="1"/>
  <c r="B168" i="4"/>
  <c r="A168" i="4" s="1"/>
  <c r="B195" i="4"/>
  <c r="A195" i="4" s="1"/>
  <c r="B191" i="4"/>
  <c r="A191" i="4" s="1"/>
  <c r="B110" i="4"/>
  <c r="A110" i="4" s="1"/>
  <c r="B114" i="4"/>
  <c r="A114" i="4" s="1"/>
  <c r="B196" i="4"/>
  <c r="A196" i="4" s="1"/>
  <c r="B253" i="4"/>
  <c r="A253" i="4" s="1"/>
  <c r="B145" i="4"/>
  <c r="A145" i="4" s="1"/>
  <c r="B239" i="4"/>
  <c r="A239" i="4" s="1"/>
  <c r="B60" i="4"/>
  <c r="A60" i="4" s="1"/>
  <c r="B271" i="4"/>
  <c r="A271" i="4" s="1"/>
  <c r="B275" i="4"/>
  <c r="A275" i="4" s="1"/>
  <c r="B280" i="4"/>
  <c r="A280" i="4" s="1"/>
  <c r="B277" i="4"/>
  <c r="A277" i="4" s="1"/>
  <c r="B269" i="4"/>
  <c r="A269" i="4" s="1"/>
  <c r="B270" i="4"/>
  <c r="A270" i="4" s="1"/>
  <c r="B266" i="4"/>
  <c r="B284" i="4"/>
  <c r="A284" i="4" s="1"/>
  <c r="B285" i="4"/>
  <c r="A285" i="4" s="1"/>
  <c r="B278" i="4"/>
  <c r="A278" i="4" s="1"/>
  <c r="B274" i="4"/>
  <c r="A274" i="4" s="1"/>
  <c r="B281" i="4"/>
  <c r="A281" i="4" s="1"/>
  <c r="B267" i="4"/>
  <c r="B268" i="4"/>
  <c r="B279" i="4"/>
  <c r="A279" i="4" s="1"/>
  <c r="B283" i="4"/>
  <c r="A283" i="4" s="1"/>
  <c r="B282" i="4"/>
  <c r="A282" i="4" s="1"/>
  <c r="B276" i="4"/>
  <c r="A276" i="4" s="1"/>
  <c r="B272" i="4"/>
  <c r="A272" i="4" s="1"/>
  <c r="B273" i="4"/>
  <c r="A273" i="4" s="1"/>
  <c r="D271" i="4"/>
  <c r="D272" i="4"/>
  <c r="D280" i="4"/>
  <c r="D281" i="4"/>
  <c r="D274" i="4"/>
  <c r="D282" i="4"/>
  <c r="D275" i="4"/>
  <c r="D283" i="4"/>
  <c r="D273" i="4"/>
  <c r="D284" i="4"/>
  <c r="D269" i="4"/>
  <c r="D277" i="4"/>
  <c r="D285" i="4"/>
  <c r="D279" i="4"/>
  <c r="D276" i="4"/>
  <c r="D270" i="4"/>
  <c r="D278" i="4"/>
  <c r="D268" i="4"/>
  <c r="X229" i="4" l="1"/>
  <c r="Y229" i="4" s="1"/>
  <c r="B229" i="4"/>
  <c r="A229" i="4" s="1"/>
  <c r="X138" i="4"/>
  <c r="Y138" i="4" s="1"/>
  <c r="B138" i="4"/>
  <c r="A138" i="4" s="1"/>
  <c r="AM138" i="4" s="1"/>
  <c r="X149" i="4"/>
  <c r="Y149" i="4" s="1"/>
  <c r="X197" i="4"/>
  <c r="Y197" i="4" s="1"/>
  <c r="X167" i="4"/>
  <c r="Y167" i="4" s="1"/>
  <c r="X183" i="4"/>
  <c r="Y183" i="4" s="1"/>
  <c r="X141" i="4"/>
  <c r="Y141" i="4" s="1"/>
  <c r="X96" i="4"/>
  <c r="Y96" i="4" s="1"/>
  <c r="X155" i="4"/>
  <c r="Y155" i="4" s="1"/>
  <c r="X122" i="4"/>
  <c r="Y122" i="4" s="1"/>
  <c r="X118" i="4"/>
  <c r="Y118" i="4" s="1"/>
  <c r="X186" i="4"/>
  <c r="Y186" i="4" s="1"/>
  <c r="X132" i="4"/>
  <c r="Y132" i="4" s="1"/>
  <c r="X68" i="4"/>
  <c r="Y68" i="4" s="1"/>
  <c r="X74" i="4"/>
  <c r="Y74" i="4" s="1"/>
  <c r="X112" i="4"/>
  <c r="Y112" i="4" s="1"/>
  <c r="X166" i="4"/>
  <c r="Y166" i="4" s="1"/>
  <c r="X111" i="4"/>
  <c r="Y111" i="4" s="1"/>
  <c r="X223" i="4"/>
  <c r="Y223" i="4" s="1"/>
  <c r="X160" i="4"/>
  <c r="Y160" i="4" s="1"/>
  <c r="X187" i="4"/>
  <c r="Y187" i="4" s="1"/>
  <c r="X85" i="4"/>
  <c r="Y85" i="4" s="1"/>
  <c r="X231" i="4"/>
  <c r="Y231" i="4" s="1"/>
  <c r="X94" i="4"/>
  <c r="Y94" i="4" s="1"/>
  <c r="X182" i="4"/>
  <c r="Y182" i="4" s="1"/>
  <c r="X215" i="4"/>
  <c r="Y215" i="4" s="1"/>
  <c r="X55" i="4"/>
  <c r="Y55" i="4" s="1"/>
  <c r="X202" i="4"/>
  <c r="Y202" i="4" s="1"/>
  <c r="X262" i="4"/>
  <c r="Y262" i="4" s="1"/>
  <c r="X226" i="4"/>
  <c r="Y226" i="4" s="1"/>
  <c r="X128" i="4"/>
  <c r="Y128" i="4" s="1"/>
  <c r="X178" i="4"/>
  <c r="Y178" i="4" s="1"/>
  <c r="X241" i="4"/>
  <c r="Y241" i="4" s="1"/>
  <c r="X209" i="4"/>
  <c r="Y209" i="4" s="1"/>
  <c r="X237" i="4"/>
  <c r="Y237" i="4" s="1"/>
  <c r="X58" i="4"/>
  <c r="Y58" i="4" s="1"/>
  <c r="X232" i="4"/>
  <c r="Y232" i="4" s="1"/>
  <c r="X165" i="4"/>
  <c r="Y165" i="4" s="1"/>
  <c r="X173" i="4"/>
  <c r="Y173" i="4" s="1"/>
  <c r="X206" i="4"/>
  <c r="Y206" i="4" s="1"/>
  <c r="X260" i="4"/>
  <c r="Y260" i="4" s="1"/>
  <c r="X115" i="4"/>
  <c r="Y115" i="4" s="1"/>
  <c r="X93" i="4"/>
  <c r="Y93" i="4" s="1"/>
  <c r="X251" i="4"/>
  <c r="Y251" i="4" s="1"/>
  <c r="X152" i="4"/>
  <c r="Y152" i="4" s="1"/>
  <c r="X127" i="4"/>
  <c r="Y127" i="4" s="1"/>
  <c r="X95" i="4"/>
  <c r="Y95" i="4" s="1"/>
  <c r="X125" i="4"/>
  <c r="Y125" i="4" s="1"/>
  <c r="X88" i="4"/>
  <c r="Y88" i="4" s="1"/>
  <c r="X163" i="4"/>
  <c r="Y163" i="4" s="1"/>
  <c r="X109" i="4"/>
  <c r="Y109" i="4" s="1"/>
  <c r="X133" i="4"/>
  <c r="Y133" i="4" s="1"/>
  <c r="X89" i="4"/>
  <c r="Y89" i="4" s="1"/>
  <c r="X174" i="4"/>
  <c r="Y174" i="4" s="1"/>
  <c r="X98" i="4"/>
  <c r="Y98" i="4" s="1"/>
  <c r="X150" i="4"/>
  <c r="Y150" i="4" s="1"/>
  <c r="A160" i="62"/>
  <c r="A159" i="62"/>
  <c r="A159" i="67"/>
  <c r="A158" i="67"/>
  <c r="B49" i="4"/>
  <c r="B6" i="4"/>
  <c r="B187" i="4"/>
  <c r="B155" i="4"/>
  <c r="B85" i="4"/>
  <c r="A85" i="4" s="1"/>
  <c r="B127" i="4"/>
  <c r="B93" i="4"/>
  <c r="A93" i="4" s="1"/>
  <c r="B98" i="4"/>
  <c r="B165" i="4"/>
  <c r="B14" i="4"/>
  <c r="B68" i="4"/>
  <c r="A68" i="4" s="1"/>
  <c r="B152" i="4"/>
  <c r="A152" i="4" s="1"/>
  <c r="B47" i="4"/>
  <c r="B95" i="4"/>
  <c r="B209" i="4"/>
  <c r="B262" i="4"/>
  <c r="B251" i="4"/>
  <c r="B206" i="4"/>
  <c r="A206" i="4" s="1"/>
  <c r="B197" i="4"/>
  <c r="B173" i="4"/>
  <c r="B122" i="4"/>
  <c r="B186" i="4"/>
  <c r="B55" i="4"/>
  <c r="A55" i="4" s="1"/>
  <c r="B231" i="4"/>
  <c r="B118" i="4"/>
  <c r="A118" i="4" s="1"/>
  <c r="B111" i="4"/>
  <c r="A111" i="4" s="1"/>
  <c r="B8" i="4"/>
  <c r="B149" i="4"/>
  <c r="B17" i="4"/>
  <c r="B51" i="4"/>
  <c r="B226" i="4"/>
  <c r="A226" i="4" s="1"/>
  <c r="B166" i="4"/>
  <c r="B223" i="4"/>
  <c r="B34" i="4"/>
  <c r="B16" i="4"/>
  <c r="B215" i="4"/>
  <c r="B237" i="4"/>
  <c r="A237" i="4" s="1"/>
  <c r="B96" i="4"/>
  <c r="A96" i="4" s="1"/>
  <c r="B167" i="4"/>
  <c r="B112" i="4"/>
  <c r="B40" i="4"/>
  <c r="B260" i="4"/>
  <c r="B163" i="4"/>
  <c r="B174" i="4"/>
  <c r="A174" i="4" s="1"/>
  <c r="B150" i="4"/>
  <c r="B94" i="4"/>
  <c r="A94" i="4" s="1"/>
  <c r="B178" i="4"/>
  <c r="B132" i="4"/>
  <c r="B182" i="4"/>
  <c r="A182" i="4" s="1"/>
  <c r="B58" i="4"/>
  <c r="B133" i="4"/>
  <c r="B53" i="4"/>
  <c r="B141" i="4"/>
  <c r="A141" i="4" s="1"/>
  <c r="B115" i="4"/>
  <c r="A115" i="4" s="1"/>
  <c r="B160" i="4"/>
  <c r="B26" i="4"/>
  <c r="B109" i="4"/>
  <c r="A109" i="4" s="1"/>
  <c r="B31" i="4"/>
  <c r="B25" i="4"/>
  <c r="B128" i="4"/>
  <c r="A128" i="4" s="1"/>
  <c r="B125" i="4"/>
  <c r="B183" i="4"/>
  <c r="A183" i="4" s="1"/>
  <c r="B15" i="4"/>
  <c r="B39" i="4"/>
  <c r="B5" i="4"/>
  <c r="B27" i="4"/>
  <c r="B48" i="4"/>
  <c r="B10" i="4"/>
  <c r="B37" i="4"/>
  <c r="B20" i="4"/>
  <c r="B36" i="4"/>
  <c r="B13" i="4"/>
  <c r="B28" i="4"/>
  <c r="B50" i="4"/>
  <c r="B18" i="4"/>
  <c r="B52" i="4"/>
  <c r="B38" i="4"/>
  <c r="B12" i="4"/>
  <c r="B46" i="4"/>
  <c r="B43" i="4"/>
  <c r="B19" i="4"/>
  <c r="B23" i="4"/>
  <c r="B30" i="4"/>
  <c r="B56" i="4"/>
  <c r="B11" i="4"/>
  <c r="B42" i="4"/>
  <c r="B45" i="4"/>
  <c r="B32" i="4"/>
  <c r="B41" i="4"/>
  <c r="B33" i="4"/>
  <c r="B22" i="4"/>
  <c r="B44" i="4"/>
  <c r="B24" i="4"/>
  <c r="B21" i="4"/>
  <c r="B35" i="4"/>
  <c r="B241" i="4"/>
  <c r="B9" i="4"/>
  <c r="B74" i="4"/>
  <c r="A74" i="4" s="1"/>
  <c r="B88" i="4"/>
  <c r="A88" i="4" s="1"/>
  <c r="B29" i="4"/>
  <c r="B7" i="4"/>
  <c r="B89" i="4"/>
  <c r="A89" i="4" s="1"/>
  <c r="B232" i="4"/>
  <c r="B54" i="4"/>
  <c r="B202" i="4"/>
  <c r="AM156" i="4"/>
  <c r="AM170" i="4"/>
  <c r="AM220" i="4"/>
  <c r="AM185" i="4"/>
  <c r="AM188" i="4"/>
  <c r="AM129" i="4"/>
  <c r="AM255" i="4"/>
  <c r="AM114" i="4"/>
  <c r="AM105" i="4"/>
  <c r="AM228" i="4"/>
  <c r="AM194" i="4"/>
  <c r="AM253" i="4"/>
  <c r="AM238" i="4"/>
  <c r="AM212" i="4"/>
  <c r="AM225" i="4"/>
  <c r="AM201" i="4"/>
  <c r="AM177" i="4"/>
  <c r="AM145" i="4"/>
  <c r="AM158" i="4"/>
  <c r="AM204" i="4"/>
  <c r="AM181" i="4"/>
  <c r="AM151" i="4"/>
  <c r="AM126" i="4"/>
  <c r="AM103" i="4"/>
  <c r="AM222" i="4"/>
  <c r="AM144" i="4"/>
  <c r="AM189" i="4"/>
  <c r="AM168" i="4"/>
  <c r="AM246" i="4"/>
  <c r="AM208" i="4"/>
  <c r="AM242" i="4"/>
  <c r="AM203" i="4"/>
  <c r="AM162" i="4"/>
  <c r="AM233" i="4"/>
  <c r="AM200" i="4"/>
  <c r="AM199" i="4"/>
  <c r="AM130" i="4"/>
  <c r="AM147" i="4"/>
  <c r="AM164" i="4"/>
  <c r="AM234" i="4"/>
  <c r="AM217" i="4"/>
  <c r="AM137" i="4"/>
  <c r="AM106" i="4"/>
  <c r="AM143" i="4"/>
  <c r="AM97" i="4"/>
  <c r="AM77" i="4"/>
  <c r="AM252" i="4"/>
  <c r="AM124" i="4"/>
  <c r="AM148" i="4"/>
  <c r="AM224" i="4"/>
  <c r="AM134" i="4"/>
  <c r="AM236" i="4"/>
  <c r="AM257" i="4"/>
  <c r="AM219" i="4"/>
  <c r="AM207" i="4"/>
  <c r="AM159" i="4"/>
  <c r="AM210" i="4"/>
  <c r="AM216" i="4"/>
  <c r="AM184" i="4"/>
  <c r="AM221" i="4"/>
  <c r="AM179" i="4"/>
  <c r="AM102" i="4"/>
  <c r="AM136" i="4"/>
  <c r="AM245" i="4"/>
  <c r="AM213" i="4"/>
  <c r="AM193" i="4"/>
  <c r="AM146" i="4"/>
  <c r="AM196" i="4"/>
  <c r="AM139" i="4"/>
  <c r="AM248" i="4"/>
  <c r="AM180" i="4"/>
  <c r="AM120" i="4"/>
  <c r="AM247" i="4"/>
  <c r="AM157" i="4"/>
  <c r="AM117" i="4"/>
  <c r="AM100" i="4"/>
  <c r="AM153" i="4"/>
  <c r="AM110" i="4"/>
  <c r="AM239" i="4"/>
  <c r="AM249" i="4"/>
  <c r="AM235" i="4"/>
  <c r="AM154" i="4"/>
  <c r="AM107" i="4"/>
  <c r="AM121" i="4"/>
  <c r="AM263" i="4"/>
  <c r="AM258" i="4"/>
  <c r="AM254" i="4"/>
  <c r="AM256" i="4"/>
  <c r="AM227" i="4"/>
  <c r="AM211" i="4"/>
  <c r="AM192" i="4"/>
  <c r="AM161" i="4"/>
  <c r="AM142" i="4"/>
  <c r="AM191" i="4"/>
  <c r="AM99" i="4"/>
  <c r="AM135" i="4"/>
  <c r="AM113" i="4"/>
  <c r="AM240" i="4"/>
  <c r="AM176" i="4"/>
  <c r="AM108" i="4"/>
  <c r="AM116" i="4"/>
  <c r="D266" i="4"/>
  <c r="AL275" i="4"/>
  <c r="AM284" i="4"/>
  <c r="AM280" i="4"/>
  <c r="AM281" i="4"/>
  <c r="AM278" i="4"/>
  <c r="AM259" i="4"/>
  <c r="AM250" i="4"/>
  <c r="D267" i="4"/>
  <c r="AK279" i="4"/>
  <c r="AK283" i="4"/>
  <c r="AK269" i="4"/>
  <c r="AK285" i="4"/>
  <c r="AK276" i="4"/>
  <c r="AK281" i="4"/>
  <c r="AK280" i="4"/>
  <c r="AK275" i="4"/>
  <c r="AK277" i="4"/>
  <c r="AK282" i="4"/>
  <c r="AK270" i="4"/>
  <c r="AK278" i="4"/>
  <c r="AK274" i="4"/>
  <c r="AK73" i="4"/>
  <c r="AK84" i="4"/>
  <c r="AK284" i="4"/>
  <c r="AK272" i="4"/>
  <c r="AK273" i="4"/>
  <c r="AK271" i="4"/>
  <c r="A266" i="4" l="1"/>
  <c r="A161" i="62"/>
  <c r="A162" i="62"/>
  <c r="A58" i="4"/>
  <c r="A160" i="67"/>
  <c r="A161" i="67"/>
  <c r="A268" i="4"/>
  <c r="AJ285" i="4"/>
  <c r="AJ276" i="4"/>
  <c r="AJ283" i="4"/>
  <c r="AJ270" i="4"/>
  <c r="AJ280" i="4"/>
  <c r="AJ272" i="4"/>
  <c r="AJ273" i="4"/>
  <c r="AJ275" i="4"/>
  <c r="AJ279" i="4"/>
  <c r="AJ271" i="4"/>
  <c r="AJ282" i="4"/>
  <c r="AJ278" i="4"/>
  <c r="AJ277" i="4"/>
  <c r="AJ73" i="4"/>
  <c r="AJ269" i="4"/>
  <c r="AJ281" i="4"/>
  <c r="AJ274" i="4"/>
  <c r="AJ284" i="4"/>
  <c r="AJ84" i="4"/>
  <c r="AM206" i="4"/>
  <c r="AM141" i="4"/>
  <c r="AM118" i="4"/>
  <c r="AM183" i="4"/>
  <c r="AM115" i="4"/>
  <c r="AM111" i="4"/>
  <c r="A54" i="4"/>
  <c r="A29" i="4"/>
  <c r="A241" i="4"/>
  <c r="A38" i="4"/>
  <c r="A48" i="4"/>
  <c r="A52" i="4"/>
  <c r="A39" i="4"/>
  <c r="A53" i="4"/>
  <c r="A132" i="4"/>
  <c r="A112" i="4"/>
  <c r="A166" i="4"/>
  <c r="A149" i="4"/>
  <c r="A231" i="4"/>
  <c r="A173" i="4"/>
  <c r="A262" i="4"/>
  <c r="A155" i="4"/>
  <c r="A232" i="4"/>
  <c r="A23" i="4"/>
  <c r="A43" i="4"/>
  <c r="A50" i="4"/>
  <c r="A20" i="4"/>
  <c r="A25" i="4"/>
  <c r="A160" i="4"/>
  <c r="A133" i="4"/>
  <c r="A178" i="4"/>
  <c r="A163" i="4"/>
  <c r="A167" i="4"/>
  <c r="A16" i="4"/>
  <c r="A8" i="4"/>
  <c r="A197" i="4"/>
  <c r="A209" i="4"/>
  <c r="A187" i="4"/>
  <c r="A42" i="4"/>
  <c r="A22" i="4"/>
  <c r="A19" i="4"/>
  <c r="A5" i="4"/>
  <c r="A30" i="4"/>
  <c r="A28" i="4"/>
  <c r="A27" i="4"/>
  <c r="A21" i="4"/>
  <c r="A31" i="4"/>
  <c r="A260" i="4"/>
  <c r="A34" i="4"/>
  <c r="A51" i="4"/>
  <c r="A186" i="4"/>
  <c r="A95" i="4"/>
  <c r="A14" i="4"/>
  <c r="A127" i="4"/>
  <c r="A6" i="4"/>
  <c r="A18" i="4"/>
  <c r="A46" i="4"/>
  <c r="A45" i="4"/>
  <c r="A32" i="4"/>
  <c r="A26" i="4"/>
  <c r="A215" i="4"/>
  <c r="A98" i="4"/>
  <c r="AM98" i="4" s="1"/>
  <c r="A56" i="4"/>
  <c r="A24" i="4"/>
  <c r="A36" i="4"/>
  <c r="A12" i="4"/>
  <c r="A15" i="4"/>
  <c r="A202" i="4"/>
  <c r="A7" i="4"/>
  <c r="A9" i="4"/>
  <c r="A13" i="4"/>
  <c r="A37" i="4"/>
  <c r="A11" i="4"/>
  <c r="A33" i="4"/>
  <c r="A10" i="4"/>
  <c r="A41" i="4"/>
  <c r="A44" i="4"/>
  <c r="A35" i="4"/>
  <c r="A125" i="4"/>
  <c r="A150" i="4"/>
  <c r="A40" i="4"/>
  <c r="A223" i="4"/>
  <c r="A17" i="4"/>
  <c r="A122" i="4"/>
  <c r="A251" i="4"/>
  <c r="A47" i="4"/>
  <c r="A165" i="4"/>
  <c r="A49" i="4"/>
  <c r="A267" i="4"/>
  <c r="AM182" i="4"/>
  <c r="AM73" i="4"/>
  <c r="AM237" i="4"/>
  <c r="AM171" i="4"/>
  <c r="AM169" i="4"/>
  <c r="AM205" i="4"/>
  <c r="AM243" i="4"/>
  <c r="AM119" i="4"/>
  <c r="AM195" i="4"/>
  <c r="AM109" i="4"/>
  <c r="AM229" i="4"/>
  <c r="AM244" i="4"/>
  <c r="AM96" i="4"/>
  <c r="AM84" i="4"/>
  <c r="AM140" i="4"/>
  <c r="AM218" i="4"/>
  <c r="AM175" i="4"/>
  <c r="AM123" i="4"/>
  <c r="AM174" i="4"/>
  <c r="AM131" i="4"/>
  <c r="AM230" i="4"/>
  <c r="AM152" i="4"/>
  <c r="AM172" i="4"/>
  <c r="AM78" i="4"/>
  <c r="AM104" i="4"/>
  <c r="AM101" i="4"/>
  <c r="AM261" i="4"/>
  <c r="AM214" i="4"/>
  <c r="AM226" i="4"/>
  <c r="AM198" i="4"/>
  <c r="AM128" i="4"/>
  <c r="AM190" i="4"/>
  <c r="AM275" i="4"/>
  <c r="AL270" i="4"/>
  <c r="AM270" i="4"/>
  <c r="AL269" i="4"/>
  <c r="AM269" i="4"/>
  <c r="AM285" i="4"/>
  <c r="AL285" i="4"/>
  <c r="AL273" i="4"/>
  <c r="AM273" i="4"/>
  <c r="AL278" i="4"/>
  <c r="AL280" i="4"/>
  <c r="AM276" i="4"/>
  <c r="AL276" i="4"/>
  <c r="AL283" i="4"/>
  <c r="AM283" i="4"/>
  <c r="AL271" i="4"/>
  <c r="AM271" i="4"/>
  <c r="AM277" i="4"/>
  <c r="AL277" i="4"/>
  <c r="AM272" i="4"/>
  <c r="AL272" i="4"/>
  <c r="AM282" i="4"/>
  <c r="AL282" i="4"/>
  <c r="AM279" i="4"/>
  <c r="AL279" i="4"/>
  <c r="AM274" i="4"/>
  <c r="AL274" i="4"/>
  <c r="AL284" i="4"/>
  <c r="AL281" i="4"/>
  <c r="AK266" i="4"/>
  <c r="X43" i="4" l="1"/>
  <c r="Y43" i="4" s="1"/>
  <c r="X24" i="4"/>
  <c r="Y24" i="4" s="1"/>
  <c r="X34" i="4"/>
  <c r="Y34" i="4" s="1"/>
  <c r="X16" i="4"/>
  <c r="Y16" i="4" s="1"/>
  <c r="X48" i="4"/>
  <c r="Y48" i="4" s="1"/>
  <c r="X46" i="4"/>
  <c r="Y46" i="4" s="1"/>
  <c r="X39" i="4"/>
  <c r="Y39" i="4" s="1"/>
  <c r="X18" i="4"/>
  <c r="Y18" i="4" s="1"/>
  <c r="X19" i="4"/>
  <c r="Y19" i="4" s="1"/>
  <c r="X31" i="4"/>
  <c r="Y31" i="4" s="1"/>
  <c r="X26" i="4"/>
  <c r="Y26" i="4" s="1"/>
  <c r="X23" i="4"/>
  <c r="Y23" i="4" s="1"/>
  <c r="X35" i="4"/>
  <c r="Y35" i="4" s="1"/>
  <c r="X49" i="4"/>
  <c r="Y49" i="4" s="1"/>
  <c r="X56" i="4"/>
  <c r="Y56" i="4" s="1"/>
  <c r="X22" i="4"/>
  <c r="Y22" i="4" s="1"/>
  <c r="X42" i="4"/>
  <c r="Y42" i="4" s="1"/>
  <c r="X21" i="4"/>
  <c r="Y21" i="4" s="1"/>
  <c r="X54" i="4"/>
  <c r="Y54" i="4" s="1"/>
  <c r="X47" i="4"/>
  <c r="Y47" i="4" s="1"/>
  <c r="X44" i="4"/>
  <c r="Y44" i="4" s="1"/>
  <c r="X37" i="4"/>
  <c r="Y37" i="4" s="1"/>
  <c r="X36" i="4"/>
  <c r="Y36" i="4" s="1"/>
  <c r="X50" i="4"/>
  <c r="Y50" i="4" s="1"/>
  <c r="X30" i="4"/>
  <c r="Y30" i="4" s="1"/>
  <c r="X41" i="4"/>
  <c r="Y41" i="4" s="1"/>
  <c r="X32" i="4"/>
  <c r="Y32" i="4" s="1"/>
  <c r="X45" i="4"/>
  <c r="Y45" i="4" s="1"/>
  <c r="X15" i="4"/>
  <c r="Y15" i="4" s="1"/>
  <c r="X29" i="4"/>
  <c r="Y29" i="4" s="1"/>
  <c r="X38" i="4"/>
  <c r="Y38" i="4" s="1"/>
  <c r="X20" i="4"/>
  <c r="Y20" i="4" s="1"/>
  <c r="X40" i="4"/>
  <c r="Y40" i="4" s="1"/>
  <c r="X27" i="4"/>
  <c r="Y27" i="4" s="1"/>
  <c r="X53" i="4"/>
  <c r="Y53" i="4" s="1"/>
  <c r="X51" i="4"/>
  <c r="Y51" i="4" s="1"/>
  <c r="X33" i="4"/>
  <c r="Y33" i="4" s="1"/>
  <c r="X52" i="4"/>
  <c r="Y52" i="4" s="1"/>
  <c r="X25" i="4"/>
  <c r="Y25" i="4" s="1"/>
  <c r="X28" i="4"/>
  <c r="Y28" i="4" s="1"/>
  <c r="A164" i="62"/>
  <c r="A163" i="62"/>
  <c r="A163" i="67"/>
  <c r="A162" i="67"/>
  <c r="AM268" i="4"/>
  <c r="AM95" i="4"/>
  <c r="AM260" i="4"/>
  <c r="AM163" i="4"/>
  <c r="AM112" i="4"/>
  <c r="AM223" i="4"/>
  <c r="AM186" i="4"/>
  <c r="AM232" i="4"/>
  <c r="AM231" i="4"/>
  <c r="AM132" i="4"/>
  <c r="AM251" i="4"/>
  <c r="AM127" i="4"/>
  <c r="AM187" i="4"/>
  <c r="AM133" i="4"/>
  <c r="AM155" i="4"/>
  <c r="AM149" i="4"/>
  <c r="AM165" i="4"/>
  <c r="AM125" i="4"/>
  <c r="AM197" i="4"/>
  <c r="AM173" i="4"/>
  <c r="AM178" i="4"/>
  <c r="AM122" i="4"/>
  <c r="AM150" i="4"/>
  <c r="AM202" i="4"/>
  <c r="AM215" i="4"/>
  <c r="AM209" i="4"/>
  <c r="AM167" i="4"/>
  <c r="AM160" i="4"/>
  <c r="AM262" i="4"/>
  <c r="AM166" i="4"/>
  <c r="AM241" i="4"/>
  <c r="A166" i="62" l="1"/>
  <c r="A165" i="62"/>
  <c r="A164" i="67"/>
  <c r="A165" i="67"/>
  <c r="AM5" i="4"/>
  <c r="AM19" i="4"/>
  <c r="AM52" i="4"/>
  <c r="AM18" i="4"/>
  <c r="AM79" i="4"/>
  <c r="AM44" i="4"/>
  <c r="AM27" i="4"/>
  <c r="AM92" i="4"/>
  <c r="AM50" i="4"/>
  <c r="AM8" i="4"/>
  <c r="AM7" i="4"/>
  <c r="AM13" i="4"/>
  <c r="AM51" i="4"/>
  <c r="AM20" i="4"/>
  <c r="AM46" i="4"/>
  <c r="AM34" i="4"/>
  <c r="AM23" i="4"/>
  <c r="AM45" i="4"/>
  <c r="AM63" i="4"/>
  <c r="AM38" i="4"/>
  <c r="AM40" i="4"/>
  <c r="AM14" i="4"/>
  <c r="AM83" i="4"/>
  <c r="AM267" i="4"/>
  <c r="AM39" i="4"/>
  <c r="AM33" i="4"/>
  <c r="AM31" i="4"/>
  <c r="AM12" i="4"/>
  <c r="AM55" i="4"/>
  <c r="AM69" i="4"/>
  <c r="AM16" i="4"/>
  <c r="AM9" i="4"/>
  <c r="AM76" i="4"/>
  <c r="AM35" i="4"/>
  <c r="AM80" i="4"/>
  <c r="AM86" i="4"/>
  <c r="AM15" i="4"/>
  <c r="AM10" i="4"/>
  <c r="AM65" i="4"/>
  <c r="AM22" i="4"/>
  <c r="AM21" i="4"/>
  <c r="AM61" i="4"/>
  <c r="AM54" i="4"/>
  <c r="AM56" i="4"/>
  <c r="AM47" i="4"/>
  <c r="AM11" i="4"/>
  <c r="AM74" i="4"/>
  <c r="AM68" i="4"/>
  <c r="AM57" i="4"/>
  <c r="AM37" i="4"/>
  <c r="AM64" i="4"/>
  <c r="AM32" i="4"/>
  <c r="AM6" i="4"/>
  <c r="A286" i="4"/>
  <c r="E3" i="4" s="1"/>
  <c r="AM53" i="4"/>
  <c r="AM89" i="4"/>
  <c r="AM70" i="4"/>
  <c r="AM72" i="4"/>
  <c r="AM26" i="4"/>
  <c r="AM85" i="4"/>
  <c r="AM67" i="4"/>
  <c r="AM49" i="4"/>
  <c r="AM75" i="4"/>
  <c r="AM17" i="4"/>
  <c r="AM25" i="4"/>
  <c r="AM29" i="4"/>
  <c r="AM41" i="4"/>
  <c r="AM58" i="4"/>
  <c r="AM28" i="4"/>
  <c r="AM87" i="4"/>
  <c r="AM24" i="4"/>
  <c r="AM82" i="4"/>
  <c r="AM91" i="4"/>
  <c r="AM71" i="4"/>
  <c r="AM81" i="4"/>
  <c r="AM94" i="4"/>
  <c r="AM42" i="4"/>
  <c r="AM90" i="4"/>
  <c r="AM266" i="4"/>
  <c r="AM88" i="4"/>
  <c r="AM60" i="4"/>
  <c r="AM66" i="4"/>
  <c r="AM48" i="4"/>
  <c r="AM36" i="4"/>
  <c r="AM43" i="4"/>
  <c r="AM62" i="4"/>
  <c r="AM59" i="4"/>
  <c r="AM93" i="4"/>
  <c r="AM30" i="4"/>
  <c r="B164" i="62" l="1"/>
  <c r="AR164" i="62" s="1"/>
  <c r="B166" i="62"/>
  <c r="AR166" i="62" s="1"/>
  <c r="B110" i="62"/>
  <c r="AR110" i="62" s="1"/>
  <c r="B114" i="62"/>
  <c r="AR114" i="62" s="1"/>
  <c r="B112" i="62"/>
  <c r="AR112" i="62" s="1"/>
  <c r="B116" i="62"/>
  <c r="AR116" i="62" s="1"/>
  <c r="B118" i="62"/>
  <c r="AR118" i="62" s="1"/>
  <c r="B120" i="62"/>
  <c r="AR120" i="62" s="1"/>
  <c r="B122" i="62"/>
  <c r="AR122" i="62" s="1"/>
  <c r="B124" i="62"/>
  <c r="AR124" i="62" s="1"/>
  <c r="B126" i="62"/>
  <c r="AR126" i="62" s="1"/>
  <c r="B128" i="62"/>
  <c r="AR128" i="62" s="1"/>
  <c r="B130" i="62"/>
  <c r="AR130" i="62" s="1"/>
  <c r="B132" i="62"/>
  <c r="AR132" i="62" s="1"/>
  <c r="B134" i="62"/>
  <c r="AR134" i="62" s="1"/>
  <c r="B136" i="62"/>
  <c r="AR136" i="62" s="1"/>
  <c r="B138" i="62"/>
  <c r="AR138" i="62" s="1"/>
  <c r="B140" i="62"/>
  <c r="AR140" i="62" s="1"/>
  <c r="B142" i="62"/>
  <c r="AR142" i="62" s="1"/>
  <c r="B144" i="62"/>
  <c r="AR144" i="62" s="1"/>
  <c r="B146" i="62"/>
  <c r="AR146" i="62" s="1"/>
  <c r="B148" i="62"/>
  <c r="AR148" i="62" s="1"/>
  <c r="B150" i="62"/>
  <c r="AR150" i="62" s="1"/>
  <c r="B152" i="62"/>
  <c r="AR152" i="62" s="1"/>
  <c r="B154" i="62"/>
  <c r="AR154" i="62" s="1"/>
  <c r="B156" i="62"/>
  <c r="AR156" i="62" s="1"/>
  <c r="B158" i="62"/>
  <c r="AR158" i="62" s="1"/>
  <c r="B160" i="62"/>
  <c r="AR160" i="62" s="1"/>
  <c r="B162" i="62"/>
  <c r="AR162" i="62" s="1"/>
  <c r="B72" i="62"/>
  <c r="AR72" i="62" s="1"/>
  <c r="B74" i="62"/>
  <c r="AR74" i="62" s="1"/>
  <c r="B76" i="62"/>
  <c r="AR76" i="62" s="1"/>
  <c r="B78" i="62"/>
  <c r="AR78" i="62" s="1"/>
  <c r="B80" i="62"/>
  <c r="AR80" i="62" s="1"/>
  <c r="B82" i="62"/>
  <c r="AR82" i="62" s="1"/>
  <c r="B84" i="62"/>
  <c r="AR84" i="62" s="1"/>
  <c r="B86" i="62"/>
  <c r="AR86" i="62" s="1"/>
  <c r="B88" i="62"/>
  <c r="AR88" i="62" s="1"/>
  <c r="B90" i="62"/>
  <c r="AR90" i="62" s="1"/>
  <c r="B92" i="62"/>
  <c r="AR92" i="62" s="1"/>
  <c r="B94" i="62"/>
  <c r="AR94" i="62" s="1"/>
  <c r="B96" i="62"/>
  <c r="AR96" i="62" s="1"/>
  <c r="B98" i="62"/>
  <c r="AR98" i="62" s="1"/>
  <c r="B100" i="62"/>
  <c r="AR100" i="62" s="1"/>
  <c r="B102" i="62"/>
  <c r="AR102" i="62" s="1"/>
  <c r="B104" i="62"/>
  <c r="AR104" i="62" s="1"/>
  <c r="B106" i="62"/>
  <c r="AR106" i="62" s="1"/>
  <c r="B108" i="62"/>
  <c r="AR108" i="62" s="1"/>
  <c r="I44" i="8"/>
  <c r="A167" i="62"/>
  <c r="A168" i="62"/>
  <c r="A167" i="67"/>
  <c r="A166" i="67"/>
  <c r="B168" i="62" l="1"/>
  <c r="AR168" i="62" s="1"/>
  <c r="A170" i="62"/>
  <c r="A169" i="62"/>
  <c r="A169" i="67"/>
  <c r="A168" i="67"/>
  <c r="B170" i="62" l="1"/>
  <c r="AR170" i="62" s="1"/>
  <c r="A172" i="62"/>
  <c r="A171" i="62"/>
  <c r="A170" i="67"/>
  <c r="A171" i="67"/>
  <c r="B172" i="62" l="1"/>
  <c r="AR172" i="62" s="1"/>
  <c r="A174" i="62"/>
  <c r="A173" i="62"/>
  <c r="A173" i="67"/>
  <c r="A172" i="67"/>
  <c r="B174" i="62" l="1"/>
  <c r="AR174" i="62" s="1"/>
  <c r="A175" i="62"/>
  <c r="A176" i="62"/>
  <c r="A175" i="67"/>
  <c r="A174" i="67"/>
  <c r="B176" i="62" l="1"/>
  <c r="AR176" i="62" s="1"/>
  <c r="A177" i="62"/>
  <c r="A178" i="62"/>
  <c r="A176" i="67"/>
  <c r="A177" i="67"/>
  <c r="B178" i="62" l="1"/>
  <c r="AR178" i="62" s="1"/>
  <c r="A179" i="62"/>
  <c r="A180" i="62"/>
  <c r="A178" i="67"/>
  <c r="A179" i="67"/>
  <c r="X17" i="4" l="1"/>
  <c r="Y17" i="4" s="1"/>
  <c r="X13" i="4"/>
  <c r="Y13" i="4" s="1"/>
  <c r="X12" i="4"/>
  <c r="Y12" i="4" s="1"/>
  <c r="X14" i="4"/>
  <c r="Y14" i="4" s="1"/>
  <c r="X7" i="4"/>
  <c r="Y7" i="4" s="1"/>
  <c r="X5" i="4"/>
  <c r="X9" i="4"/>
  <c r="Y9" i="4" s="1"/>
  <c r="X10" i="4"/>
  <c r="Y10" i="4" s="1"/>
  <c r="X8" i="4"/>
  <c r="Y8" i="4" s="1"/>
  <c r="X6" i="4"/>
  <c r="Y6" i="4" s="1"/>
  <c r="X11" i="4"/>
  <c r="Y11" i="4" s="1"/>
  <c r="B180" i="62"/>
  <c r="AR180" i="62" s="1"/>
  <c r="A181" i="62"/>
  <c r="A182" i="62"/>
  <c r="A180" i="67"/>
  <c r="A181" i="67"/>
  <c r="AL267" i="4"/>
  <c r="B104" i="57"/>
  <c r="B107" i="57"/>
  <c r="B109" i="62"/>
  <c r="B9" i="62"/>
  <c r="B25" i="57"/>
  <c r="E100" i="62"/>
  <c r="D84" i="62"/>
  <c r="AK79" i="4"/>
  <c r="B224" i="57"/>
  <c r="AK189" i="4"/>
  <c r="AK154" i="4"/>
  <c r="B145" i="62"/>
  <c r="B65" i="62"/>
  <c r="AK59" i="4"/>
  <c r="AK40" i="4"/>
  <c r="D34" i="62"/>
  <c r="AK77" i="4"/>
  <c r="AK19" i="4"/>
  <c r="AK161" i="4"/>
  <c r="B114" i="57"/>
  <c r="AK66" i="4"/>
  <c r="AK56" i="4"/>
  <c r="D106" i="62"/>
  <c r="F108" i="62"/>
  <c r="B117" i="57"/>
  <c r="B142" i="57"/>
  <c r="B69" i="62"/>
  <c r="B220" i="57"/>
  <c r="AK33" i="4"/>
  <c r="B232" i="57"/>
  <c r="B249" i="57"/>
  <c r="AK127" i="4"/>
  <c r="B67" i="62"/>
  <c r="AK121" i="4"/>
  <c r="B195" i="57"/>
  <c r="F136" i="62"/>
  <c r="AK243" i="4"/>
  <c r="B55" i="57"/>
  <c r="B60" i="57"/>
  <c r="B228" i="57"/>
  <c r="AK78" i="4"/>
  <c r="AK140" i="4"/>
  <c r="B250" i="57"/>
  <c r="B19" i="57"/>
  <c r="AK97" i="4"/>
  <c r="B27" i="62"/>
  <c r="B81" i="62"/>
  <c r="AK71" i="4"/>
  <c r="E106" i="62"/>
  <c r="AK131" i="4"/>
  <c r="B244" i="57"/>
  <c r="B38" i="57"/>
  <c r="AK6" i="4"/>
  <c r="F20" i="62"/>
  <c r="AK10" i="4"/>
  <c r="B252" i="57"/>
  <c r="B115" i="62"/>
  <c r="AK39" i="4"/>
  <c r="F96" i="62"/>
  <c r="B118" i="57"/>
  <c r="E64" i="62"/>
  <c r="AK83" i="4"/>
  <c r="E130" i="62"/>
  <c r="AK111" i="4"/>
  <c r="B105" i="57"/>
  <c r="D114" i="62"/>
  <c r="D82" i="62"/>
  <c r="AK65" i="4"/>
  <c r="F42" i="62"/>
  <c r="E92" i="62"/>
  <c r="B77" i="62"/>
  <c r="B41" i="62"/>
  <c r="AK35" i="4"/>
  <c r="B120" i="57"/>
  <c r="B121" i="57"/>
  <c r="B169" i="62"/>
  <c r="E24" i="62"/>
  <c r="B155" i="62"/>
  <c r="D86" i="62"/>
  <c r="F26" i="62"/>
  <c r="B237" i="57"/>
  <c r="D12" i="62"/>
  <c r="D48" i="62"/>
  <c r="B62" i="57"/>
  <c r="B137" i="57"/>
  <c r="F118" i="62"/>
  <c r="F56" i="62"/>
  <c r="AK195" i="4"/>
  <c r="AK24" i="4"/>
  <c r="B8" i="57"/>
  <c r="AK238" i="4"/>
  <c r="B247" i="57"/>
  <c r="B47" i="62"/>
  <c r="B5" i="57"/>
  <c r="B13" i="57"/>
  <c r="AK156" i="4"/>
  <c r="B56" i="57"/>
  <c r="AK96" i="4"/>
  <c r="AK104" i="4"/>
  <c r="E52" i="62"/>
  <c r="E96" i="62"/>
  <c r="B147" i="62"/>
  <c r="AK239" i="4"/>
  <c r="F24" i="62"/>
  <c r="AK23" i="4"/>
  <c r="D136" i="62"/>
  <c r="F172" i="62"/>
  <c r="B123" i="57"/>
  <c r="B51" i="57"/>
  <c r="B83" i="62"/>
  <c r="E118" i="62"/>
  <c r="AK162" i="4"/>
  <c r="F140" i="62"/>
  <c r="F100" i="62"/>
  <c r="B165" i="57"/>
  <c r="B46" i="57"/>
  <c r="AK180" i="4"/>
  <c r="D36" i="62"/>
  <c r="B236" i="57"/>
  <c r="E174" i="62"/>
  <c r="F110" i="62"/>
  <c r="E152" i="62"/>
  <c r="B49" i="62"/>
  <c r="B146" i="57"/>
  <c r="AK72" i="4"/>
  <c r="B144" i="57"/>
  <c r="E142" i="62"/>
  <c r="E36" i="62"/>
  <c r="F170" i="62"/>
  <c r="F104" i="62"/>
  <c r="AK115" i="4"/>
  <c r="AK85" i="4"/>
  <c r="B32" i="57"/>
  <c r="D54" i="62"/>
  <c r="AK186" i="4"/>
  <c r="F90" i="62"/>
  <c r="B86" i="57"/>
  <c r="AK31" i="4"/>
  <c r="AK233" i="4"/>
  <c r="D122" i="62"/>
  <c r="D56" i="62"/>
  <c r="AK147" i="4"/>
  <c r="F158" i="62"/>
  <c r="AK164" i="4"/>
  <c r="B191" i="57"/>
  <c r="E38" i="62"/>
  <c r="F142" i="62"/>
  <c r="AK181" i="4"/>
  <c r="D88" i="62"/>
  <c r="D126" i="62"/>
  <c r="B227" i="57"/>
  <c r="F12" i="62"/>
  <c r="E28" i="62"/>
  <c r="AK103" i="4"/>
  <c r="AK157" i="4"/>
  <c r="E108" i="62"/>
  <c r="AK246" i="4"/>
  <c r="F62" i="62"/>
  <c r="F28" i="62"/>
  <c r="E88" i="62"/>
  <c r="B135" i="62"/>
  <c r="B165" i="62"/>
  <c r="E86" i="62"/>
  <c r="B251" i="57"/>
  <c r="AK112" i="4"/>
  <c r="F116" i="62"/>
  <c r="B193" i="57"/>
  <c r="B9" i="57"/>
  <c r="AK148" i="4"/>
  <c r="E44" i="62"/>
  <c r="AK51" i="4"/>
  <c r="E122" i="62"/>
  <c r="B11" i="62"/>
  <c r="B34" i="57"/>
  <c r="AK87" i="4"/>
  <c r="B141" i="57"/>
  <c r="B223" i="57"/>
  <c r="B202" i="57"/>
  <c r="AK248" i="4"/>
  <c r="AK80" i="4"/>
  <c r="D176" i="62"/>
  <c r="AK208" i="4"/>
  <c r="B93" i="62"/>
  <c r="AK76" i="4"/>
  <c r="AK28" i="4"/>
  <c r="B84" i="57"/>
  <c r="F178" i="62"/>
  <c r="D32" i="62"/>
  <c r="B219" i="57"/>
  <c r="F150" i="62"/>
  <c r="B58" i="57"/>
  <c r="B47" i="57"/>
  <c r="AK106" i="4"/>
  <c r="E42" i="62"/>
  <c r="D58" i="62"/>
  <c r="B222" i="57"/>
  <c r="B240" i="57"/>
  <c r="B185" i="57"/>
  <c r="F164" i="62"/>
  <c r="D68" i="62"/>
  <c r="B92" i="57"/>
  <c r="B210" i="57"/>
  <c r="AK7" i="4"/>
  <c r="AK109" i="4"/>
  <c r="B217" i="57"/>
  <c r="B182" i="57"/>
  <c r="F74" i="62"/>
  <c r="AK229" i="4"/>
  <c r="B162" i="57"/>
  <c r="AK57" i="4"/>
  <c r="B149" i="57"/>
  <c r="AK41" i="4"/>
  <c r="D70" i="62"/>
  <c r="B11" i="57"/>
  <c r="B103" i="57"/>
  <c r="D102" i="62"/>
  <c r="AK215" i="4"/>
  <c r="B20" i="57"/>
  <c r="AK152" i="4"/>
  <c r="AK126" i="4"/>
  <c r="AK199" i="4"/>
  <c r="B107" i="62"/>
  <c r="AK34" i="4"/>
  <c r="B176" i="57"/>
  <c r="D142" i="62"/>
  <c r="D18" i="62"/>
  <c r="B253" i="57"/>
  <c r="B139" i="57"/>
  <c r="E72" i="62"/>
  <c r="E20" i="62"/>
  <c r="B17" i="62"/>
  <c r="E74" i="62"/>
  <c r="AK88" i="4"/>
  <c r="B61" i="62"/>
  <c r="B82" i="57"/>
  <c r="B127" i="62"/>
  <c r="D166" i="62"/>
  <c r="B200" i="57"/>
  <c r="AK174" i="4"/>
  <c r="AK240" i="4"/>
  <c r="D66" i="62"/>
  <c r="B43" i="62"/>
  <c r="B127" i="57"/>
  <c r="F46" i="62"/>
  <c r="B143" i="57"/>
  <c r="AK52" i="4"/>
  <c r="AK17" i="4"/>
  <c r="F176" i="62"/>
  <c r="E136" i="62"/>
  <c r="B42" i="57"/>
  <c r="E68" i="62"/>
  <c r="F48" i="62"/>
  <c r="B179" i="62"/>
  <c r="F34" i="62"/>
  <c r="B226" i="57"/>
  <c r="B51" i="62"/>
  <c r="B87" i="62"/>
  <c r="B189" i="57"/>
  <c r="B50" i="57"/>
  <c r="B40" i="57"/>
  <c r="B143" i="62"/>
  <c r="AK224" i="4"/>
  <c r="B26" i="57"/>
  <c r="F70" i="62"/>
  <c r="F50" i="62"/>
  <c r="B201" i="57"/>
  <c r="B31" i="57"/>
  <c r="D140" i="62"/>
  <c r="B53" i="57"/>
  <c r="D110" i="62"/>
  <c r="B151" i="62"/>
  <c r="B216" i="57"/>
  <c r="D24" i="62"/>
  <c r="AK153" i="4"/>
  <c r="B186" i="57"/>
  <c r="AK216" i="4"/>
  <c r="F168" i="62"/>
  <c r="F72" i="62"/>
  <c r="AK119" i="4"/>
  <c r="AK68" i="4"/>
  <c r="B35" i="62"/>
  <c r="B102" i="57"/>
  <c r="AK75" i="4"/>
  <c r="B91" i="57"/>
  <c r="F88" i="62"/>
  <c r="D146" i="62"/>
  <c r="AK210" i="4"/>
  <c r="B10" i="57"/>
  <c r="B103" i="62"/>
  <c r="B70" i="57"/>
  <c r="B99" i="62"/>
  <c r="AK11" i="4"/>
  <c r="B168" i="57"/>
  <c r="F38" i="62"/>
  <c r="D40" i="62"/>
  <c r="B198" i="57"/>
  <c r="F152" i="62"/>
  <c r="AK37" i="4"/>
  <c r="E18" i="62"/>
  <c r="B137" i="62"/>
  <c r="AK129" i="4"/>
  <c r="AK217" i="4"/>
  <c r="B179" i="57"/>
  <c r="D80" i="62"/>
  <c r="AK158" i="4"/>
  <c r="B246" i="57"/>
  <c r="AK251" i="4"/>
  <c r="AK102" i="4"/>
  <c r="B33" i="62"/>
  <c r="D92" i="62"/>
  <c r="AK26" i="4"/>
  <c r="F52" i="62"/>
  <c r="B205" i="57"/>
  <c r="B90" i="57"/>
  <c r="B139" i="62"/>
  <c r="B109" i="57"/>
  <c r="B21" i="62"/>
  <c r="E132" i="62"/>
  <c r="B192" i="57"/>
  <c r="B242" i="57"/>
  <c r="B69" i="57"/>
  <c r="B31" i="62"/>
  <c r="B122" i="57"/>
  <c r="AK205" i="4"/>
  <c r="D94" i="62"/>
  <c r="E126" i="62"/>
  <c r="B76" i="57"/>
  <c r="AK25" i="4"/>
  <c r="AK267" i="4"/>
  <c r="AK45" i="4"/>
  <c r="B190" i="57"/>
  <c r="D116" i="62"/>
  <c r="B181" i="57"/>
  <c r="B158" i="57"/>
  <c r="E164" i="62"/>
  <c r="F78" i="62"/>
  <c r="B235" i="57"/>
  <c r="D180" i="62"/>
  <c r="AK44" i="4"/>
  <c r="AK221" i="4"/>
  <c r="B57" i="57"/>
  <c r="AK69" i="4"/>
  <c r="B229" i="57"/>
  <c r="D76" i="62"/>
  <c r="B161" i="57"/>
  <c r="AK263" i="4"/>
  <c r="AK258" i="4"/>
  <c r="AK194" i="4"/>
  <c r="AK21" i="4"/>
  <c r="F130" i="62"/>
  <c r="E98" i="62"/>
  <c r="B54" i="57"/>
  <c r="AK63" i="4"/>
  <c r="E10" i="62"/>
  <c r="B134" i="57"/>
  <c r="D22" i="62"/>
  <c r="B166" i="57"/>
  <c r="E70" i="62"/>
  <c r="AK230" i="4"/>
  <c r="AK155" i="4"/>
  <c r="AK46" i="4"/>
  <c r="B161" i="62"/>
  <c r="F156" i="62"/>
  <c r="B113" i="57"/>
  <c r="E176" i="62"/>
  <c r="B75" i="57"/>
  <c r="F160" i="62"/>
  <c r="D10" i="62"/>
  <c r="AK261" i="4"/>
  <c r="B177" i="62"/>
  <c r="E138" i="62"/>
  <c r="B153" i="57"/>
  <c r="E158" i="62"/>
  <c r="AK211" i="4"/>
  <c r="D170" i="62"/>
  <c r="B145" i="57"/>
  <c r="AK134" i="4"/>
  <c r="F66" i="62"/>
  <c r="B41" i="57"/>
  <c r="B138" i="57"/>
  <c r="B17" i="57"/>
  <c r="B159" i="62"/>
  <c r="AK165" i="4"/>
  <c r="E82" i="62"/>
  <c r="D158" i="62"/>
  <c r="AK241" i="4"/>
  <c r="AK55" i="4"/>
  <c r="E56" i="62"/>
  <c r="F54" i="62"/>
  <c r="D52" i="62"/>
  <c r="AK191" i="4"/>
  <c r="AK67" i="4"/>
  <c r="AK202" i="4"/>
  <c r="AK138" i="4"/>
  <c r="D28" i="62"/>
  <c r="B115" i="57"/>
  <c r="B19" i="62"/>
  <c r="E22" i="62"/>
  <c r="E120" i="62"/>
  <c r="B215" i="57"/>
  <c r="E46" i="62"/>
  <c r="B68" i="57"/>
  <c r="B13" i="62"/>
  <c r="B155" i="57"/>
  <c r="B96" i="57"/>
  <c r="E116" i="62"/>
  <c r="B171" i="62"/>
  <c r="F162" i="62"/>
  <c r="AK94" i="4"/>
  <c r="B112" i="57"/>
  <c r="B89" i="62"/>
  <c r="AK113" i="4"/>
  <c r="F40" i="62"/>
  <c r="B73" i="57"/>
  <c r="E66" i="62"/>
  <c r="D162" i="62"/>
  <c r="AK247" i="4"/>
  <c r="B150" i="57"/>
  <c r="B36" i="57"/>
  <c r="D98" i="62"/>
  <c r="B178" i="57"/>
  <c r="AK9" i="4"/>
  <c r="B160" i="57"/>
  <c r="E134" i="62"/>
  <c r="B89" i="57"/>
  <c r="B33" i="57"/>
  <c r="B16" i="57"/>
  <c r="B23" i="57"/>
  <c r="B15" i="62"/>
  <c r="D138" i="62"/>
  <c r="D26" i="62"/>
  <c r="B7" i="57"/>
  <c r="B233" i="57"/>
  <c r="B59" i="62"/>
  <c r="D108" i="62"/>
  <c r="B116" i="57"/>
  <c r="F146" i="62"/>
  <c r="B172" i="57"/>
  <c r="E26" i="62"/>
  <c r="B167" i="62"/>
  <c r="AK38" i="4"/>
  <c r="B99" i="57"/>
  <c r="B97" i="57"/>
  <c r="AK252" i="4"/>
  <c r="AK90" i="4"/>
  <c r="AK228" i="4"/>
  <c r="AK255" i="4"/>
  <c r="B93" i="57"/>
  <c r="D164" i="62"/>
  <c r="B154" i="57"/>
  <c r="B124" i="57"/>
  <c r="E124" i="62"/>
  <c r="B79" i="57"/>
  <c r="E80" i="62"/>
  <c r="AK62" i="4"/>
  <c r="B173" i="62"/>
  <c r="AK93" i="4"/>
  <c r="AK218" i="4"/>
  <c r="AK100" i="4"/>
  <c r="B230" i="57"/>
  <c r="E148" i="62"/>
  <c r="AK48" i="4"/>
  <c r="AK190" i="4"/>
  <c r="D14" i="62"/>
  <c r="E34" i="62"/>
  <c r="B212" i="57"/>
  <c r="AK125" i="4"/>
  <c r="B30" i="57"/>
  <c r="E112" i="62"/>
  <c r="D134" i="62"/>
  <c r="D74" i="62"/>
  <c r="E162" i="62"/>
  <c r="B52" i="57"/>
  <c r="B141" i="62"/>
  <c r="B45" i="57"/>
  <c r="B175" i="57"/>
  <c r="E170" i="62"/>
  <c r="B117" i="62"/>
  <c r="AK219" i="4"/>
  <c r="B61" i="57"/>
  <c r="B175" i="62"/>
  <c r="F120" i="62"/>
  <c r="AK123" i="4"/>
  <c r="B234" i="57"/>
  <c r="B188" i="57"/>
  <c r="B170" i="57"/>
  <c r="B241" i="57"/>
  <c r="AK206" i="4"/>
  <c r="B130" i="57"/>
  <c r="AK187" i="4"/>
  <c r="B133" i="57"/>
  <c r="B94" i="57"/>
  <c r="AK16" i="4"/>
  <c r="D46" i="62"/>
  <c r="J1" i="67"/>
  <c r="AK168" i="4"/>
  <c r="AK53" i="4"/>
  <c r="B85" i="57"/>
  <c r="F148" i="62"/>
  <c r="AK183" i="4"/>
  <c r="AK5" i="4"/>
  <c r="B136" i="57"/>
  <c r="AK169" i="4"/>
  <c r="D60" i="62"/>
  <c r="F114" i="62"/>
  <c r="AK43" i="4"/>
  <c r="B208" i="57"/>
  <c r="F14" i="62"/>
  <c r="B29" i="62"/>
  <c r="E114" i="62"/>
  <c r="B126" i="57"/>
  <c r="AK27" i="4"/>
  <c r="B95" i="57"/>
  <c r="F126" i="62"/>
  <c r="E76" i="62"/>
  <c r="AK118" i="4"/>
  <c r="B43" i="57"/>
  <c r="B91" i="62"/>
  <c r="AK101" i="4"/>
  <c r="B80" i="57"/>
  <c r="F58" i="62"/>
  <c r="B97" i="62"/>
  <c r="AK236" i="4"/>
  <c r="AK231" i="4"/>
  <c r="AK110" i="4"/>
  <c r="B48" i="57"/>
  <c r="AK128" i="4"/>
  <c r="D154" i="62"/>
  <c r="B177" i="57"/>
  <c r="B110" i="57"/>
  <c r="E84" i="62"/>
  <c r="E78" i="62"/>
  <c r="AK232" i="4"/>
  <c r="F60" i="62"/>
  <c r="F36" i="62"/>
  <c r="B39" i="57"/>
  <c r="B23" i="62"/>
  <c r="E172" i="62"/>
  <c r="AK150" i="4"/>
  <c r="AK196" i="4"/>
  <c r="AK197" i="4"/>
  <c r="B159" i="57"/>
  <c r="D120" i="62"/>
  <c r="AK260" i="4"/>
  <c r="F122" i="62"/>
  <c r="B63" i="62"/>
  <c r="B163" i="57"/>
  <c r="F22" i="62"/>
  <c r="AK116" i="4"/>
  <c r="B111" i="57"/>
  <c r="AK177" i="4"/>
  <c r="D168" i="62"/>
  <c r="E110" i="62"/>
  <c r="B123" i="62"/>
  <c r="B101" i="62"/>
  <c r="B22" i="57"/>
  <c r="B149" i="62"/>
  <c r="B6" i="57"/>
  <c r="B63" i="57"/>
  <c r="D30" i="62"/>
  <c r="B28" i="57"/>
  <c r="D178" i="62"/>
  <c r="AK124" i="4"/>
  <c r="B207" i="57"/>
  <c r="AK176" i="4"/>
  <c r="AK225" i="4"/>
  <c r="B209" i="57"/>
  <c r="B71" i="62"/>
  <c r="F76" i="62"/>
  <c r="D150" i="62"/>
  <c r="AK108" i="4"/>
  <c r="B78" i="57"/>
  <c r="E156" i="62"/>
  <c r="AK184" i="4"/>
  <c r="AK114" i="4"/>
  <c r="B25" i="62"/>
  <c r="AK70" i="4"/>
  <c r="B73" i="62"/>
  <c r="E178" i="62"/>
  <c r="AK166" i="4"/>
  <c r="B119" i="57"/>
  <c r="D90" i="62"/>
  <c r="F68" i="62"/>
  <c r="F138" i="62"/>
  <c r="B243" i="57"/>
  <c r="D96" i="62"/>
  <c r="F180" i="62"/>
  <c r="AK145" i="4"/>
  <c r="B225" i="57"/>
  <c r="AK227" i="4"/>
  <c r="AK244" i="4"/>
  <c r="AK220" i="4"/>
  <c r="AK130" i="4"/>
  <c r="AK12" i="4"/>
  <c r="E166" i="62"/>
  <c r="B174" i="57"/>
  <c r="E140" i="62"/>
  <c r="AK49" i="4"/>
  <c r="B39" i="62"/>
  <c r="AK254" i="4"/>
  <c r="AK30" i="4"/>
  <c r="F174" i="62"/>
  <c r="AK214" i="4"/>
  <c r="AK171" i="4"/>
  <c r="D132" i="62"/>
  <c r="B129" i="62"/>
  <c r="AK98" i="4"/>
  <c r="B245" i="57"/>
  <c r="AK193" i="4"/>
  <c r="AK122" i="4"/>
  <c r="B98" i="57"/>
  <c r="B211" i="57"/>
  <c r="AK188" i="4"/>
  <c r="D50" i="62"/>
  <c r="AK137" i="4"/>
  <c r="B29" i="57"/>
  <c r="D72" i="62"/>
  <c r="E62" i="62"/>
  <c r="B194" i="57"/>
  <c r="B108" i="57"/>
  <c r="AK242" i="4"/>
  <c r="AK135" i="4"/>
  <c r="E102" i="62"/>
  <c r="D174" i="62"/>
  <c r="AK91" i="4"/>
  <c r="D78" i="62"/>
  <c r="B88" i="57"/>
  <c r="AK139" i="4"/>
  <c r="B119" i="62"/>
  <c r="AK117" i="4"/>
  <c r="AK22" i="4"/>
  <c r="B55" i="62"/>
  <c r="AK234" i="4"/>
  <c r="B221" i="57"/>
  <c r="F80" i="62"/>
  <c r="AK50" i="4"/>
  <c r="AK47" i="4"/>
  <c r="E144" i="62"/>
  <c r="B157" i="57"/>
  <c r="B184" i="57"/>
  <c r="B37" i="62"/>
  <c r="B27" i="57"/>
  <c r="AK172" i="4"/>
  <c r="B53" i="62"/>
  <c r="AK268" i="4"/>
  <c r="AK257" i="4"/>
  <c r="F154" i="62"/>
  <c r="AK253" i="4"/>
  <c r="AK120" i="4"/>
  <c r="E60" i="62"/>
  <c r="AK74" i="4"/>
  <c r="AK249" i="4"/>
  <c r="F132" i="62"/>
  <c r="AK36" i="4"/>
  <c r="F84" i="62"/>
  <c r="E104" i="62"/>
  <c r="E48" i="62"/>
  <c r="E30" i="62"/>
  <c r="AK178" i="4"/>
  <c r="F134" i="62"/>
  <c r="B152" i="57"/>
  <c r="B35" i="57"/>
  <c r="AK160" i="4"/>
  <c r="AK64" i="4"/>
  <c r="B206" i="57"/>
  <c r="AK143" i="4"/>
  <c r="B157" i="62"/>
  <c r="B135" i="57"/>
  <c r="D112" i="62"/>
  <c r="D118" i="62"/>
  <c r="AK133" i="4"/>
  <c r="F112" i="62"/>
  <c r="AK185" i="4"/>
  <c r="F92" i="62"/>
  <c r="B15" i="57"/>
  <c r="B197" i="57"/>
  <c r="B14" i="57"/>
  <c r="B72" i="57"/>
  <c r="AK213" i="4"/>
  <c r="E16" i="62"/>
  <c r="AK175" i="4"/>
  <c r="AK192" i="4"/>
  <c r="AK203" i="4"/>
  <c r="F124" i="62"/>
  <c r="AK58" i="4"/>
  <c r="AK20" i="4"/>
  <c r="B173" i="57"/>
  <c r="B171" i="57"/>
  <c r="AK167" i="4"/>
  <c r="F166" i="62"/>
  <c r="F16" i="62"/>
  <c r="B151" i="57"/>
  <c r="B81" i="57"/>
  <c r="D20" i="62"/>
  <c r="F44" i="62"/>
  <c r="B24" i="57"/>
  <c r="B12" i="57"/>
  <c r="AK13" i="4"/>
  <c r="D62" i="62"/>
  <c r="B106" i="57"/>
  <c r="AK107" i="4"/>
  <c r="D128" i="62"/>
  <c r="AK136" i="4"/>
  <c r="B125" i="62"/>
  <c r="B132" i="57"/>
  <c r="B129" i="57"/>
  <c r="E146" i="62"/>
  <c r="B248" i="57"/>
  <c r="AK262" i="4"/>
  <c r="B238" i="57"/>
  <c r="AK222" i="4"/>
  <c r="B131" i="57"/>
  <c r="AK18" i="4"/>
  <c r="AK173" i="4"/>
  <c r="F30" i="62"/>
  <c r="B199" i="57"/>
  <c r="B121" i="62"/>
  <c r="F106" i="62"/>
  <c r="B187" i="57"/>
  <c r="AK14" i="4"/>
  <c r="B21" i="57"/>
  <c r="B75" i="62"/>
  <c r="B64" i="57"/>
  <c r="AK204" i="4"/>
  <c r="B105" i="62"/>
  <c r="B57" i="62"/>
  <c r="AK81" i="4"/>
  <c r="AK149" i="4"/>
  <c r="B18" i="57"/>
  <c r="E50" i="62"/>
  <c r="AK99" i="4"/>
  <c r="E40" i="62"/>
  <c r="B239" i="57"/>
  <c r="B101" i="57"/>
  <c r="AK54" i="4"/>
  <c r="AK86" i="4"/>
  <c r="B231" i="57"/>
  <c r="E180" i="62"/>
  <c r="F64" i="62"/>
  <c r="E54" i="62"/>
  <c r="F94" i="62"/>
  <c r="AK159" i="4"/>
  <c r="AK250" i="4"/>
  <c r="F18" i="62"/>
  <c r="B74" i="57"/>
  <c r="B140" i="57"/>
  <c r="B67" i="57"/>
  <c r="AK182" i="4"/>
  <c r="B203" i="57"/>
  <c r="F144" i="62"/>
  <c r="AK237" i="4"/>
  <c r="F10" i="62"/>
  <c r="AK95" i="4"/>
  <c r="F86" i="62"/>
  <c r="D130" i="62"/>
  <c r="B214" i="57"/>
  <c r="D100" i="62"/>
  <c r="B44" i="57"/>
  <c r="E32" i="62"/>
  <c r="D156" i="62"/>
  <c r="AK60" i="4"/>
  <c r="B66" i="57"/>
  <c r="B59" i="57"/>
  <c r="B180" i="57"/>
  <c r="B65" i="57"/>
  <c r="B85" i="62"/>
  <c r="E12" i="62"/>
  <c r="AK223" i="4"/>
  <c r="AK89" i="4"/>
  <c r="B83" i="57"/>
  <c r="AK142" i="4"/>
  <c r="AK170" i="4"/>
  <c r="AK201" i="4"/>
  <c r="F98" i="62"/>
  <c r="B131" i="62"/>
  <c r="B196" i="57"/>
  <c r="D172" i="62"/>
  <c r="AK144" i="4"/>
  <c r="E160" i="62"/>
  <c r="B156" i="57"/>
  <c r="B49" i="57"/>
  <c r="D152" i="62"/>
  <c r="B37" i="57"/>
  <c r="F102" i="62"/>
  <c r="B79" i="62"/>
  <c r="B100" i="57"/>
  <c r="B163" i="62"/>
  <c r="B111" i="62"/>
  <c r="E168" i="62"/>
  <c r="E128" i="62"/>
  <c r="AK259" i="4"/>
  <c r="B95" i="62"/>
  <c r="D64" i="62"/>
  <c r="B147" i="57"/>
  <c r="AK245" i="4"/>
  <c r="B204" i="57"/>
  <c r="B113" i="62"/>
  <c r="F32" i="62"/>
  <c r="AK29" i="4"/>
  <c r="AK8" i="4"/>
  <c r="AK256" i="4"/>
  <c r="B153" i="62"/>
  <c r="F27" i="66"/>
  <c r="B169" i="57"/>
  <c r="AK212" i="4"/>
  <c r="AK61" i="4"/>
  <c r="AK15" i="4"/>
  <c r="AK151" i="4"/>
  <c r="AK42" i="4"/>
  <c r="AK82" i="4"/>
  <c r="B213" i="57"/>
  <c r="AK200" i="4"/>
  <c r="D148" i="62"/>
  <c r="D44" i="62"/>
  <c r="E90" i="62"/>
  <c r="AK226" i="4"/>
  <c r="E14" i="62"/>
  <c r="D16" i="62"/>
  <c r="E154" i="62"/>
  <c r="AK198" i="4"/>
  <c r="E58" i="62"/>
  <c r="B71" i="57"/>
  <c r="AK92" i="4"/>
  <c r="AK235" i="4"/>
  <c r="AK163" i="4"/>
  <c r="D42" i="62"/>
  <c r="B183" i="57"/>
  <c r="AK179" i="4"/>
  <c r="F128" i="62"/>
  <c r="B125" i="57"/>
  <c r="D160" i="62"/>
  <c r="D144" i="62"/>
  <c r="AK146" i="4"/>
  <c r="AK207" i="4"/>
  <c r="B128" i="57"/>
  <c r="B133" i="62"/>
  <c r="D104" i="62"/>
  <c r="B148" i="57"/>
  <c r="D38" i="62"/>
  <c r="AK141" i="4"/>
  <c r="E94" i="62"/>
  <c r="AK32" i="4"/>
  <c r="AK209" i="4"/>
  <c r="E150" i="62"/>
  <c r="B77" i="57"/>
  <c r="B45" i="62"/>
  <c r="B164" i="57"/>
  <c r="D124" i="62"/>
  <c r="B167" i="57"/>
  <c r="F82" i="62"/>
  <c r="AK105" i="4"/>
  <c r="B218" i="57"/>
  <c r="AK132" i="4"/>
  <c r="B87" i="57"/>
  <c r="B70" i="62" l="1"/>
  <c r="AR70" i="62" s="1"/>
  <c r="B68" i="62"/>
  <c r="AR68" i="62" s="1"/>
  <c r="B58" i="62"/>
  <c r="AR58" i="62" s="1"/>
  <c r="B56" i="62"/>
  <c r="AR56" i="62" s="1"/>
  <c r="B52" i="62"/>
  <c r="AR52" i="62" s="1"/>
  <c r="B50" i="62"/>
  <c r="AR50" i="62" s="1"/>
  <c r="B60" i="62"/>
  <c r="AR60" i="62" s="1"/>
  <c r="B64" i="62"/>
  <c r="AR64" i="62" s="1"/>
  <c r="B54" i="62"/>
  <c r="AR54" i="62" s="1"/>
  <c r="B66" i="62"/>
  <c r="AR66" i="62" s="1"/>
  <c r="B62" i="62"/>
  <c r="AR62" i="62" s="1"/>
  <c r="B48" i="62"/>
  <c r="AR48" i="62" s="1"/>
  <c r="B44" i="62"/>
  <c r="AR44" i="62" s="1"/>
  <c r="B46" i="62"/>
  <c r="AR46" i="62" s="1"/>
  <c r="B42" i="62"/>
  <c r="AR42" i="62" s="1"/>
  <c r="B40" i="62"/>
  <c r="AR40" i="62" s="1"/>
  <c r="B36" i="62"/>
  <c r="AR36" i="62" s="1"/>
  <c r="B38" i="62"/>
  <c r="AR38" i="62" s="1"/>
  <c r="B32" i="62"/>
  <c r="AR32" i="62" s="1"/>
  <c r="B34" i="62"/>
  <c r="AR34" i="62" s="1"/>
  <c r="B30" i="62"/>
  <c r="AR30" i="62" s="1"/>
  <c r="AJ67" i="4"/>
  <c r="C28" i="57"/>
  <c r="C57" i="62" s="1"/>
  <c r="AJ62" i="4"/>
  <c r="AR109" i="62"/>
  <c r="C114" i="57"/>
  <c r="D114" i="57" s="1"/>
  <c r="E114" i="57" s="1"/>
  <c r="F114" i="57" s="1"/>
  <c r="G114" i="57" s="1"/>
  <c r="H114" i="57" s="1"/>
  <c r="I114" i="57" s="1"/>
  <c r="J114" i="57" s="1"/>
  <c r="K114" i="57" s="1"/>
  <c r="L114" i="57" s="1"/>
  <c r="M114" i="57" s="1"/>
  <c r="N114" i="57" s="1"/>
  <c r="O114" i="57" s="1"/>
  <c r="P114" i="57" s="1"/>
  <c r="Q114" i="57" s="1"/>
  <c r="R114" i="57" s="1"/>
  <c r="S114" i="57" s="1"/>
  <c r="AS114" i="57"/>
  <c r="AT114" i="57" s="1"/>
  <c r="AU114" i="57" s="1"/>
  <c r="AV114" i="57" s="1"/>
  <c r="AW114" i="57" s="1"/>
  <c r="AX114" i="57" s="1"/>
  <c r="AY114" i="57" s="1"/>
  <c r="AZ114" i="57" s="1"/>
  <c r="BA114" i="57" s="1"/>
  <c r="BB114" i="57" s="1"/>
  <c r="BC114" i="57" s="1"/>
  <c r="BD114" i="57" s="1"/>
  <c r="BE114" i="57" s="1"/>
  <c r="BF114" i="57" s="1"/>
  <c r="BG114" i="57" s="1"/>
  <c r="BH114" i="57" s="1"/>
  <c r="BI114" i="57" s="1"/>
  <c r="BJ114" i="57" s="1"/>
  <c r="BK114" i="57" s="1"/>
  <c r="BL114" i="57" s="1"/>
  <c r="BM114" i="57" s="1"/>
  <c r="BN114" i="57" s="1"/>
  <c r="BO114" i="57" s="1"/>
  <c r="BP114" i="57" s="1"/>
  <c r="BQ114" i="57" s="1"/>
  <c r="BR114" i="57" s="1"/>
  <c r="BS114" i="57" s="1"/>
  <c r="BT114" i="57" s="1"/>
  <c r="BU114" i="57" s="1"/>
  <c r="BV114" i="57" s="1"/>
  <c r="BW114" i="57" s="1"/>
  <c r="BX114" i="57" s="1"/>
  <c r="BY114" i="57" s="1"/>
  <c r="BZ114" i="57" s="1"/>
  <c r="AJ247" i="4"/>
  <c r="C73" i="57"/>
  <c r="C147" i="62" s="1"/>
  <c r="AS73" i="57"/>
  <c r="AJ103" i="4"/>
  <c r="AS167" i="57"/>
  <c r="C167" i="57"/>
  <c r="AJ251" i="4"/>
  <c r="AR123" i="62"/>
  <c r="AS54" i="57"/>
  <c r="C54" i="57"/>
  <c r="D54" i="57" s="1"/>
  <c r="E54" i="57" s="1"/>
  <c r="F54" i="57" s="1"/>
  <c r="G54" i="57" s="1"/>
  <c r="H54" i="57" s="1"/>
  <c r="I54" i="57" s="1"/>
  <c r="J54" i="57" s="1"/>
  <c r="K54" i="57" s="1"/>
  <c r="L54" i="57" s="1"/>
  <c r="M54" i="57" s="1"/>
  <c r="N54" i="57" s="1"/>
  <c r="O54" i="57" s="1"/>
  <c r="P54" i="57" s="1"/>
  <c r="Q54" i="57" s="1"/>
  <c r="R54" i="57" s="1"/>
  <c r="S54" i="57" s="1"/>
  <c r="T54" i="57" s="1"/>
  <c r="U54" i="57" s="1"/>
  <c r="V54" i="57" s="1"/>
  <c r="W54" i="57" s="1"/>
  <c r="X54" i="57" s="1"/>
  <c r="Y54" i="57" s="1"/>
  <c r="Z54" i="57" s="1"/>
  <c r="AA54" i="57" s="1"/>
  <c r="AB54" i="57" s="1"/>
  <c r="AC54" i="57" s="1"/>
  <c r="AD54" i="57" s="1"/>
  <c r="AE54" i="57" s="1"/>
  <c r="AF54" i="57" s="1"/>
  <c r="AG54" i="57" s="1"/>
  <c r="AH54" i="57" s="1"/>
  <c r="AI54" i="57" s="1"/>
  <c r="AS115" i="57"/>
  <c r="AT115" i="57" s="1"/>
  <c r="AU115" i="57" s="1"/>
  <c r="AV115" i="57" s="1"/>
  <c r="AW115" i="57" s="1"/>
  <c r="AX115" i="57" s="1"/>
  <c r="AY115" i="57" s="1"/>
  <c r="AZ115" i="57" s="1"/>
  <c r="BA115" i="57" s="1"/>
  <c r="BB115" i="57" s="1"/>
  <c r="BC115" i="57" s="1"/>
  <c r="BD115" i="57" s="1"/>
  <c r="BE115" i="57" s="1"/>
  <c r="BF115" i="57" s="1"/>
  <c r="BG115" i="57" s="1"/>
  <c r="BH115" i="57" s="1"/>
  <c r="BI115" i="57" s="1"/>
  <c r="C115" i="57"/>
  <c r="D115" i="57" s="1"/>
  <c r="E115" i="57" s="1"/>
  <c r="F115" i="57" s="1"/>
  <c r="G115" i="57" s="1"/>
  <c r="H115" i="57" s="1"/>
  <c r="I115" i="57" s="1"/>
  <c r="J115" i="57" s="1"/>
  <c r="K115" i="57" s="1"/>
  <c r="L115" i="57" s="1"/>
  <c r="M115" i="57" s="1"/>
  <c r="N115" i="57" s="1"/>
  <c r="O115" i="57" s="1"/>
  <c r="P115" i="57" s="1"/>
  <c r="Q115" i="57" s="1"/>
  <c r="R115" i="57" s="1"/>
  <c r="S115" i="57" s="1"/>
  <c r="T115" i="57" s="1"/>
  <c r="U115" i="57" s="1"/>
  <c r="V115" i="57" s="1"/>
  <c r="W115" i="57" s="1"/>
  <c r="X115" i="57" s="1"/>
  <c r="Y115" i="57" s="1"/>
  <c r="Z115" i="57" s="1"/>
  <c r="AA115" i="57" s="1"/>
  <c r="AB115" i="57" s="1"/>
  <c r="AC115" i="57" s="1"/>
  <c r="AD115" i="57" s="1"/>
  <c r="AE115" i="57" s="1"/>
  <c r="AF115" i="57" s="1"/>
  <c r="AG115" i="57" s="1"/>
  <c r="AH115" i="57" s="1"/>
  <c r="AI115" i="57" s="1"/>
  <c r="AR65" i="62"/>
  <c r="AJ249" i="4"/>
  <c r="C148" i="57"/>
  <c r="D148" i="57" s="1"/>
  <c r="E148" i="57" s="1"/>
  <c r="F148" i="57" s="1"/>
  <c r="G148" i="57" s="1"/>
  <c r="H148" i="57" s="1"/>
  <c r="I148" i="57" s="1"/>
  <c r="J148" i="57" s="1"/>
  <c r="K148" i="57" s="1"/>
  <c r="L148" i="57" s="1"/>
  <c r="M148" i="57" s="1"/>
  <c r="N148" i="57" s="1"/>
  <c r="O148" i="57" s="1"/>
  <c r="P148" i="57" s="1"/>
  <c r="Q148" i="57" s="1"/>
  <c r="R148" i="57" s="1"/>
  <c r="S148" i="57" s="1"/>
  <c r="AS148" i="57"/>
  <c r="AT148" i="57" s="1"/>
  <c r="AU148" i="57" s="1"/>
  <c r="AV148" i="57" s="1"/>
  <c r="AW148" i="57" s="1"/>
  <c r="AX148" i="57" s="1"/>
  <c r="AY148" i="57" s="1"/>
  <c r="AZ148" i="57" s="1"/>
  <c r="BA148" i="57" s="1"/>
  <c r="BB148" i="57" s="1"/>
  <c r="BC148" i="57" s="1"/>
  <c r="BD148" i="57" s="1"/>
  <c r="BE148" i="57" s="1"/>
  <c r="BF148" i="57" s="1"/>
  <c r="BG148" i="57" s="1"/>
  <c r="BH148" i="57" s="1"/>
  <c r="BI148" i="57" s="1"/>
  <c r="BJ148" i="57" s="1"/>
  <c r="BK148" i="57" s="1"/>
  <c r="BL148" i="57" s="1"/>
  <c r="BM148" i="57" s="1"/>
  <c r="BN148" i="57" s="1"/>
  <c r="BO148" i="57" s="1"/>
  <c r="BP148" i="57" s="1"/>
  <c r="BQ148" i="57" s="1"/>
  <c r="BR148" i="57" s="1"/>
  <c r="BS148" i="57" s="1"/>
  <c r="BT148" i="57" s="1"/>
  <c r="BU148" i="57" s="1"/>
  <c r="BV148" i="57" s="1"/>
  <c r="BW148" i="57" s="1"/>
  <c r="BX148" i="57" s="1"/>
  <c r="BY148" i="57" s="1"/>
  <c r="AR99" i="62"/>
  <c r="AR113" i="62"/>
  <c r="C190" i="57"/>
  <c r="AS190" i="57"/>
  <c r="AT190" i="57" s="1"/>
  <c r="AU190" i="57" s="1"/>
  <c r="AV190" i="57" s="1"/>
  <c r="AW190" i="57" s="1"/>
  <c r="AX190" i="57" s="1"/>
  <c r="AY190" i="57" s="1"/>
  <c r="AZ190" i="57" s="1"/>
  <c r="BA190" i="57" s="1"/>
  <c r="BB190" i="57" s="1"/>
  <c r="BC190" i="57" s="1"/>
  <c r="BD190" i="57" s="1"/>
  <c r="BE190" i="57" s="1"/>
  <c r="BF190" i="57" s="1"/>
  <c r="BG190" i="57" s="1"/>
  <c r="BH190" i="57" s="1"/>
  <c r="BI190" i="57" s="1"/>
  <c r="C32" i="57"/>
  <c r="C65" i="62" s="1"/>
  <c r="AJ143" i="4"/>
  <c r="AJ24" i="4"/>
  <c r="AS55" i="57"/>
  <c r="AT55" i="57" s="1"/>
  <c r="AU55" i="57" s="1"/>
  <c r="AV55" i="57" s="1"/>
  <c r="AW55" i="57" s="1"/>
  <c r="AX55" i="57" s="1"/>
  <c r="AY55" i="57" s="1"/>
  <c r="AZ55" i="57" s="1"/>
  <c r="BA55" i="57" s="1"/>
  <c r="BB55" i="57" s="1"/>
  <c r="BC55" i="57" s="1"/>
  <c r="BD55" i="57" s="1"/>
  <c r="BE55" i="57" s="1"/>
  <c r="BF55" i="57" s="1"/>
  <c r="BG55" i="57" s="1"/>
  <c r="BH55" i="57" s="1"/>
  <c r="BI55" i="57" s="1"/>
  <c r="BJ55" i="57" s="1"/>
  <c r="BK55" i="57" s="1"/>
  <c r="BL55" i="57" s="1"/>
  <c r="BM55" i="57" s="1"/>
  <c r="BN55" i="57" s="1"/>
  <c r="BO55" i="57" s="1"/>
  <c r="BP55" i="57" s="1"/>
  <c r="BQ55" i="57" s="1"/>
  <c r="BR55" i="57" s="1"/>
  <c r="BS55" i="57" s="1"/>
  <c r="BT55" i="57" s="1"/>
  <c r="BU55" i="57" s="1"/>
  <c r="BV55" i="57" s="1"/>
  <c r="BW55" i="57" s="1"/>
  <c r="BX55" i="57" s="1"/>
  <c r="BY55" i="57" s="1"/>
  <c r="C55" i="57"/>
  <c r="AJ260" i="4"/>
  <c r="C29" i="57"/>
  <c r="C59" i="62" s="1"/>
  <c r="AS174" i="57"/>
  <c r="AT174" i="57" s="1"/>
  <c r="AU174" i="57" s="1"/>
  <c r="AV174" i="57" s="1"/>
  <c r="AW174" i="57" s="1"/>
  <c r="AX174" i="57" s="1"/>
  <c r="AY174" i="57" s="1"/>
  <c r="AZ174" i="57" s="1"/>
  <c r="BA174" i="57" s="1"/>
  <c r="BB174" i="57" s="1"/>
  <c r="BC174" i="57" s="1"/>
  <c r="BD174" i="57" s="1"/>
  <c r="BE174" i="57" s="1"/>
  <c r="BF174" i="57" s="1"/>
  <c r="BG174" i="57" s="1"/>
  <c r="BH174" i="57" s="1"/>
  <c r="BI174" i="57" s="1"/>
  <c r="C174" i="57"/>
  <c r="D174" i="57" s="1"/>
  <c r="E174" i="57" s="1"/>
  <c r="AJ91" i="4"/>
  <c r="AR49" i="62"/>
  <c r="AJ176" i="4"/>
  <c r="C67" i="57"/>
  <c r="C135" i="62" s="1"/>
  <c r="AS67" i="57"/>
  <c r="C57" i="57"/>
  <c r="AS57" i="57"/>
  <c r="AT57" i="57" s="1"/>
  <c r="AU57" i="57" s="1"/>
  <c r="AV57" i="57" s="1"/>
  <c r="AW57" i="57" s="1"/>
  <c r="AX57" i="57" s="1"/>
  <c r="AY57" i="57" s="1"/>
  <c r="AZ57" i="57" s="1"/>
  <c r="BA57" i="57" s="1"/>
  <c r="BB57" i="57" s="1"/>
  <c r="BC57" i="57" s="1"/>
  <c r="BD57" i="57" s="1"/>
  <c r="BE57" i="57" s="1"/>
  <c r="BF57" i="57" s="1"/>
  <c r="BG57" i="57" s="1"/>
  <c r="BH57" i="57" s="1"/>
  <c r="BI57" i="57" s="1"/>
  <c r="AJ194" i="4"/>
  <c r="AJ76" i="4"/>
  <c r="C247" i="57"/>
  <c r="D247" i="57" s="1"/>
  <c r="E247" i="57" s="1"/>
  <c r="F247" i="57" s="1"/>
  <c r="G247" i="57" s="1"/>
  <c r="H247" i="57" s="1"/>
  <c r="I247" i="57" s="1"/>
  <c r="J247" i="57" s="1"/>
  <c r="K247" i="57" s="1"/>
  <c r="L247" i="57" s="1"/>
  <c r="M247" i="57" s="1"/>
  <c r="N247" i="57" s="1"/>
  <c r="O247" i="57" s="1"/>
  <c r="P247" i="57" s="1"/>
  <c r="Q247" i="57" s="1"/>
  <c r="R247" i="57" s="1"/>
  <c r="S247" i="57" s="1"/>
  <c r="AS247" i="57"/>
  <c r="AT247" i="57" s="1"/>
  <c r="AU247" i="57" s="1"/>
  <c r="AV247" i="57" s="1"/>
  <c r="AW247" i="57" s="1"/>
  <c r="AX247" i="57" s="1"/>
  <c r="AY247" i="57" s="1"/>
  <c r="AZ247" i="57" s="1"/>
  <c r="BA247" i="57" s="1"/>
  <c r="BB247" i="57" s="1"/>
  <c r="BC247" i="57" s="1"/>
  <c r="BD247" i="57" s="1"/>
  <c r="BE247" i="57" s="1"/>
  <c r="BF247" i="57" s="1"/>
  <c r="BG247" i="57" s="1"/>
  <c r="BH247" i="57" s="1"/>
  <c r="BI247" i="57" s="1"/>
  <c r="AJ252" i="4"/>
  <c r="AJ198" i="4"/>
  <c r="AJ216" i="4"/>
  <c r="AS253" i="57"/>
  <c r="AT253" i="57" s="1"/>
  <c r="AU253" i="57" s="1"/>
  <c r="AV253" i="57" s="1"/>
  <c r="AW253" i="57" s="1"/>
  <c r="AX253" i="57" s="1"/>
  <c r="AY253" i="57" s="1"/>
  <c r="AZ253" i="57" s="1"/>
  <c r="BA253" i="57" s="1"/>
  <c r="BB253" i="57" s="1"/>
  <c r="BC253" i="57" s="1"/>
  <c r="BD253" i="57" s="1"/>
  <c r="BE253" i="57" s="1"/>
  <c r="BF253" i="57" s="1"/>
  <c r="BG253" i="57" s="1"/>
  <c r="BH253" i="57" s="1"/>
  <c r="BI253" i="57" s="1"/>
  <c r="BJ253" i="57" s="1"/>
  <c r="BK253" i="57" s="1"/>
  <c r="BL253" i="57" s="1"/>
  <c r="BM253" i="57" s="1"/>
  <c r="BN253" i="57" s="1"/>
  <c r="BO253" i="57" s="1"/>
  <c r="BP253" i="57" s="1"/>
  <c r="BQ253" i="57" s="1"/>
  <c r="BR253" i="57" s="1"/>
  <c r="BS253" i="57" s="1"/>
  <c r="BT253" i="57" s="1"/>
  <c r="BU253" i="57" s="1"/>
  <c r="BV253" i="57" s="1"/>
  <c r="BW253" i="57" s="1"/>
  <c r="BX253" i="57" s="1"/>
  <c r="BY253" i="57" s="1"/>
  <c r="C253" i="57"/>
  <c r="AR103" i="62"/>
  <c r="AR11" i="62"/>
  <c r="AJ18" i="4"/>
  <c r="AJ93" i="4"/>
  <c r="AS81" i="57"/>
  <c r="AT81" i="57" s="1"/>
  <c r="AU81" i="57" s="1"/>
  <c r="AV81" i="57" s="1"/>
  <c r="AW81" i="57" s="1"/>
  <c r="AX81" i="57" s="1"/>
  <c r="AY81" i="57" s="1"/>
  <c r="AZ81" i="57" s="1"/>
  <c r="BA81" i="57" s="1"/>
  <c r="BB81" i="57" s="1"/>
  <c r="BC81" i="57" s="1"/>
  <c r="BD81" i="57" s="1"/>
  <c r="BE81" i="57" s="1"/>
  <c r="BF81" i="57" s="1"/>
  <c r="BG81" i="57" s="1"/>
  <c r="BH81" i="57" s="1"/>
  <c r="BI81" i="57" s="1"/>
  <c r="C81" i="57"/>
  <c r="AJ220" i="4"/>
  <c r="AS196" i="57"/>
  <c r="AT196" i="57" s="1"/>
  <c r="AU196" i="57" s="1"/>
  <c r="AV196" i="57" s="1"/>
  <c r="AW196" i="57" s="1"/>
  <c r="AX196" i="57" s="1"/>
  <c r="AY196" i="57" s="1"/>
  <c r="AZ196" i="57" s="1"/>
  <c r="BA196" i="57" s="1"/>
  <c r="BB196" i="57" s="1"/>
  <c r="BC196" i="57" s="1"/>
  <c r="BD196" i="57" s="1"/>
  <c r="BE196" i="57" s="1"/>
  <c r="BF196" i="57" s="1"/>
  <c r="BG196" i="57" s="1"/>
  <c r="BH196" i="57" s="1"/>
  <c r="BI196" i="57" s="1"/>
  <c r="C196" i="57"/>
  <c r="AJ182" i="4"/>
  <c r="AJ79" i="4"/>
  <c r="AJ147" i="4"/>
  <c r="C143" i="57"/>
  <c r="D143" i="57" s="1"/>
  <c r="E143" i="57" s="1"/>
  <c r="AS143" i="57"/>
  <c r="AT143" i="57" s="1"/>
  <c r="AU143" i="57" s="1"/>
  <c r="AV143" i="57" s="1"/>
  <c r="AW143" i="57" s="1"/>
  <c r="AX143" i="57" s="1"/>
  <c r="AY143" i="57" s="1"/>
  <c r="AZ143" i="57" s="1"/>
  <c r="BA143" i="57" s="1"/>
  <c r="BB143" i="57" s="1"/>
  <c r="BC143" i="57" s="1"/>
  <c r="BD143" i="57" s="1"/>
  <c r="BE143" i="57" s="1"/>
  <c r="BF143" i="57" s="1"/>
  <c r="BG143" i="57" s="1"/>
  <c r="BH143" i="57" s="1"/>
  <c r="BI143" i="57" s="1"/>
  <c r="BJ143" i="57" s="1"/>
  <c r="BK143" i="57" s="1"/>
  <c r="BL143" i="57" s="1"/>
  <c r="BM143" i="57" s="1"/>
  <c r="BN143" i="57" s="1"/>
  <c r="BO143" i="57" s="1"/>
  <c r="BP143" i="57" s="1"/>
  <c r="BQ143" i="57" s="1"/>
  <c r="BR143" i="57" s="1"/>
  <c r="BS143" i="57" s="1"/>
  <c r="BT143" i="57" s="1"/>
  <c r="BU143" i="57" s="1"/>
  <c r="BV143" i="57" s="1"/>
  <c r="BW143" i="57" s="1"/>
  <c r="BX143" i="57" s="1"/>
  <c r="BY143" i="57" s="1"/>
  <c r="AJ100" i="4"/>
  <c r="AS163" i="57"/>
  <c r="AT163" i="57" s="1"/>
  <c r="AU163" i="57" s="1"/>
  <c r="AV163" i="57" s="1"/>
  <c r="AW163" i="57" s="1"/>
  <c r="AX163" i="57" s="1"/>
  <c r="AY163" i="57" s="1"/>
  <c r="AZ163" i="57" s="1"/>
  <c r="BA163" i="57" s="1"/>
  <c r="BB163" i="57" s="1"/>
  <c r="BC163" i="57" s="1"/>
  <c r="BD163" i="57" s="1"/>
  <c r="BE163" i="57" s="1"/>
  <c r="BF163" i="57" s="1"/>
  <c r="BG163" i="57" s="1"/>
  <c r="BH163" i="57" s="1"/>
  <c r="BI163" i="57" s="1"/>
  <c r="BJ163" i="57" s="1"/>
  <c r="BK163" i="57" s="1"/>
  <c r="BL163" i="57" s="1"/>
  <c r="BM163" i="57" s="1"/>
  <c r="BN163" i="57" s="1"/>
  <c r="BO163" i="57" s="1"/>
  <c r="BP163" i="57" s="1"/>
  <c r="BQ163" i="57" s="1"/>
  <c r="BR163" i="57" s="1"/>
  <c r="BS163" i="57" s="1"/>
  <c r="BT163" i="57" s="1"/>
  <c r="BU163" i="57" s="1"/>
  <c r="BV163" i="57" s="1"/>
  <c r="BW163" i="57" s="1"/>
  <c r="BX163" i="57" s="1"/>
  <c r="BY163" i="57" s="1"/>
  <c r="BZ163" i="57" s="1"/>
  <c r="CA163" i="57" s="1"/>
  <c r="CB163" i="57" s="1"/>
  <c r="CC163" i="57" s="1"/>
  <c r="CD163" i="57" s="1"/>
  <c r="CE163" i="57" s="1"/>
  <c r="CF163" i="57" s="1"/>
  <c r="CG163" i="57" s="1"/>
  <c r="C163" i="57"/>
  <c r="D163" i="57" s="1"/>
  <c r="E163" i="57" s="1"/>
  <c r="F163" i="57" s="1"/>
  <c r="G163" i="57" s="1"/>
  <c r="H163" i="57" s="1"/>
  <c r="I163" i="57" s="1"/>
  <c r="J163" i="57" s="1"/>
  <c r="K163" i="57" s="1"/>
  <c r="L163" i="57" s="1"/>
  <c r="M163" i="57" s="1"/>
  <c r="N163" i="57" s="1"/>
  <c r="O163" i="57" s="1"/>
  <c r="P163" i="57" s="1"/>
  <c r="Q163" i="57" s="1"/>
  <c r="R163" i="57" s="1"/>
  <c r="S163" i="57" s="1"/>
  <c r="AS160" i="57"/>
  <c r="AT160" i="57" s="1"/>
  <c r="AU160" i="57" s="1"/>
  <c r="AV160" i="57" s="1"/>
  <c r="AW160" i="57" s="1"/>
  <c r="AX160" i="57" s="1"/>
  <c r="AY160" i="57" s="1"/>
  <c r="AZ160" i="57" s="1"/>
  <c r="BA160" i="57" s="1"/>
  <c r="BB160" i="57" s="1"/>
  <c r="BC160" i="57" s="1"/>
  <c r="BD160" i="57" s="1"/>
  <c r="BE160" i="57" s="1"/>
  <c r="BF160" i="57" s="1"/>
  <c r="BG160" i="57" s="1"/>
  <c r="BH160" i="57" s="1"/>
  <c r="BI160" i="57" s="1"/>
  <c r="BJ160" i="57" s="1"/>
  <c r="BK160" i="57" s="1"/>
  <c r="BL160" i="57" s="1"/>
  <c r="BM160" i="57" s="1"/>
  <c r="BN160" i="57" s="1"/>
  <c r="BO160" i="57" s="1"/>
  <c r="BP160" i="57" s="1"/>
  <c r="BQ160" i="57" s="1"/>
  <c r="BR160" i="57" s="1"/>
  <c r="BS160" i="57" s="1"/>
  <c r="BT160" i="57" s="1"/>
  <c r="BU160" i="57" s="1"/>
  <c r="BV160" i="57" s="1"/>
  <c r="BW160" i="57" s="1"/>
  <c r="BX160" i="57" s="1"/>
  <c r="BY160" i="57" s="1"/>
  <c r="C160" i="57"/>
  <c r="D160" i="57" s="1"/>
  <c r="E160" i="57" s="1"/>
  <c r="F160" i="57" s="1"/>
  <c r="G160" i="57" s="1"/>
  <c r="H160" i="57" s="1"/>
  <c r="I160" i="57" s="1"/>
  <c r="J160" i="57" s="1"/>
  <c r="K160" i="57" s="1"/>
  <c r="L160" i="57" s="1"/>
  <c r="M160" i="57" s="1"/>
  <c r="N160" i="57" s="1"/>
  <c r="O160" i="57" s="1"/>
  <c r="P160" i="57" s="1"/>
  <c r="Q160" i="57" s="1"/>
  <c r="R160" i="57" s="1"/>
  <c r="S160" i="57" s="1"/>
  <c r="AS109" i="57"/>
  <c r="AT109" i="57" s="1"/>
  <c r="AU109" i="57" s="1"/>
  <c r="AV109" i="57" s="1"/>
  <c r="AW109" i="57" s="1"/>
  <c r="AX109" i="57" s="1"/>
  <c r="AY109" i="57" s="1"/>
  <c r="AZ109" i="57" s="1"/>
  <c r="BA109" i="57" s="1"/>
  <c r="BB109" i="57" s="1"/>
  <c r="BC109" i="57" s="1"/>
  <c r="BD109" i="57" s="1"/>
  <c r="BE109" i="57" s="1"/>
  <c r="BF109" i="57" s="1"/>
  <c r="BG109" i="57" s="1"/>
  <c r="BH109" i="57" s="1"/>
  <c r="BI109" i="57" s="1"/>
  <c r="C109" i="57"/>
  <c r="D109" i="57" s="1"/>
  <c r="E109" i="57" s="1"/>
  <c r="F109" i="57" s="1"/>
  <c r="G109" i="57" s="1"/>
  <c r="H109" i="57" s="1"/>
  <c r="I109" i="57" s="1"/>
  <c r="J109" i="57" s="1"/>
  <c r="K109" i="57" s="1"/>
  <c r="L109" i="57" s="1"/>
  <c r="M109" i="57" s="1"/>
  <c r="N109" i="57" s="1"/>
  <c r="O109" i="57" s="1"/>
  <c r="P109" i="57" s="1"/>
  <c r="Q109" i="57" s="1"/>
  <c r="R109" i="57" s="1"/>
  <c r="S109" i="57" s="1"/>
  <c r="AJ184" i="4"/>
  <c r="AR155" i="62"/>
  <c r="AJ162" i="4"/>
  <c r="AS39" i="57"/>
  <c r="AT39" i="57" s="1"/>
  <c r="AU39" i="57" s="1"/>
  <c r="AV39" i="57" s="1"/>
  <c r="AW39" i="57" s="1"/>
  <c r="AX39" i="57" s="1"/>
  <c r="AY39" i="57" s="1"/>
  <c r="AZ39" i="57" s="1"/>
  <c r="BA39" i="57" s="1"/>
  <c r="BB39" i="57" s="1"/>
  <c r="BC39" i="57" s="1"/>
  <c r="BD39" i="57" s="1"/>
  <c r="BE39" i="57" s="1"/>
  <c r="BF39" i="57" s="1"/>
  <c r="BG39" i="57" s="1"/>
  <c r="BH39" i="57" s="1"/>
  <c r="BI39" i="57" s="1"/>
  <c r="BJ39" i="57" s="1"/>
  <c r="BK39" i="57" s="1"/>
  <c r="BL39" i="57" s="1"/>
  <c r="BM39" i="57" s="1"/>
  <c r="BN39" i="57" s="1"/>
  <c r="BO39" i="57" s="1"/>
  <c r="BP39" i="57" s="1"/>
  <c r="BQ39" i="57" s="1"/>
  <c r="BR39" i="57" s="1"/>
  <c r="BS39" i="57" s="1"/>
  <c r="BT39" i="57" s="1"/>
  <c r="BU39" i="57" s="1"/>
  <c r="BV39" i="57" s="1"/>
  <c r="BW39" i="57" s="1"/>
  <c r="BX39" i="57" s="1"/>
  <c r="BY39" i="57" s="1"/>
  <c r="C39" i="57"/>
  <c r="D39" i="57" s="1"/>
  <c r="E39" i="57" s="1"/>
  <c r="F39" i="57" s="1"/>
  <c r="G39" i="57" s="1"/>
  <c r="H39" i="57" s="1"/>
  <c r="I39" i="57" s="1"/>
  <c r="J39" i="57" s="1"/>
  <c r="K39" i="57" s="1"/>
  <c r="L39" i="57" s="1"/>
  <c r="M39" i="57" s="1"/>
  <c r="N39" i="57" s="1"/>
  <c r="O39" i="57" s="1"/>
  <c r="P39" i="57" s="1"/>
  <c r="Q39" i="57" s="1"/>
  <c r="R39" i="57" s="1"/>
  <c r="S39" i="57" s="1"/>
  <c r="AJ85" i="4"/>
  <c r="AJ155" i="4"/>
  <c r="AJ95" i="4"/>
  <c r="AR175" i="62"/>
  <c r="AJ55" i="4"/>
  <c r="C14" i="57"/>
  <c r="C29" i="62" s="1"/>
  <c r="AJ47" i="4"/>
  <c r="C48" i="57"/>
  <c r="AS48" i="57"/>
  <c r="AT48" i="57" s="1"/>
  <c r="AU48" i="57" s="1"/>
  <c r="AV48" i="57" s="1"/>
  <c r="AW48" i="57" s="1"/>
  <c r="AX48" i="57" s="1"/>
  <c r="AY48" i="57" s="1"/>
  <c r="AZ48" i="57" s="1"/>
  <c r="BA48" i="57" s="1"/>
  <c r="BB48" i="57" s="1"/>
  <c r="BC48" i="57" s="1"/>
  <c r="BD48" i="57" s="1"/>
  <c r="BE48" i="57" s="1"/>
  <c r="BF48" i="57" s="1"/>
  <c r="BG48" i="57" s="1"/>
  <c r="BH48" i="57" s="1"/>
  <c r="BI48" i="57" s="1"/>
  <c r="AR47" i="62"/>
  <c r="AJ57" i="4"/>
  <c r="C149" i="57"/>
  <c r="D149" i="57" s="1"/>
  <c r="E149" i="57" s="1"/>
  <c r="AS149" i="57"/>
  <c r="AT149" i="57" s="1"/>
  <c r="AU149" i="57" s="1"/>
  <c r="AV149" i="57" s="1"/>
  <c r="AW149" i="57" s="1"/>
  <c r="AX149" i="57" s="1"/>
  <c r="AY149" i="57" s="1"/>
  <c r="AZ149" i="57" s="1"/>
  <c r="BA149" i="57" s="1"/>
  <c r="BB149" i="57" s="1"/>
  <c r="BC149" i="57" s="1"/>
  <c r="BD149" i="57" s="1"/>
  <c r="BE149" i="57" s="1"/>
  <c r="BF149" i="57" s="1"/>
  <c r="BG149" i="57" s="1"/>
  <c r="BH149" i="57" s="1"/>
  <c r="BI149" i="57" s="1"/>
  <c r="BJ149" i="57" s="1"/>
  <c r="BK149" i="57" s="1"/>
  <c r="BL149" i="57" s="1"/>
  <c r="BM149" i="57" s="1"/>
  <c r="BN149" i="57" s="1"/>
  <c r="BO149" i="57" s="1"/>
  <c r="BP149" i="57" s="1"/>
  <c r="BQ149" i="57" s="1"/>
  <c r="BR149" i="57" s="1"/>
  <c r="BS149" i="57" s="1"/>
  <c r="BT149" i="57" s="1"/>
  <c r="BU149" i="57" s="1"/>
  <c r="BV149" i="57" s="1"/>
  <c r="BW149" i="57" s="1"/>
  <c r="BX149" i="57" s="1"/>
  <c r="BY149" i="57" s="1"/>
  <c r="AR137" i="62"/>
  <c r="AJ177" i="4"/>
  <c r="AJ36" i="4"/>
  <c r="AJ244" i="4"/>
  <c r="C20" i="57"/>
  <c r="AR153" i="62"/>
  <c r="AJ105" i="4"/>
  <c r="AJ30" i="4"/>
  <c r="C192" i="57"/>
  <c r="D192" i="57" s="1"/>
  <c r="E192" i="57" s="1"/>
  <c r="AS192" i="57"/>
  <c r="AT192" i="57" s="1"/>
  <c r="AU192" i="57" s="1"/>
  <c r="AV192" i="57" s="1"/>
  <c r="AW192" i="57" s="1"/>
  <c r="AX192" i="57" s="1"/>
  <c r="AY192" i="57" s="1"/>
  <c r="AZ192" i="57" s="1"/>
  <c r="BA192" i="57" s="1"/>
  <c r="BB192" i="57" s="1"/>
  <c r="BC192" i="57" s="1"/>
  <c r="BD192" i="57" s="1"/>
  <c r="BE192" i="57" s="1"/>
  <c r="BF192" i="57" s="1"/>
  <c r="BG192" i="57" s="1"/>
  <c r="BH192" i="57" s="1"/>
  <c r="BI192" i="57" s="1"/>
  <c r="BJ192" i="57" s="1"/>
  <c r="BK192" i="57" s="1"/>
  <c r="BL192" i="57" s="1"/>
  <c r="BM192" i="57" s="1"/>
  <c r="BN192" i="57" s="1"/>
  <c r="BO192" i="57" s="1"/>
  <c r="BP192" i="57" s="1"/>
  <c r="BQ192" i="57" s="1"/>
  <c r="BR192" i="57" s="1"/>
  <c r="BS192" i="57" s="1"/>
  <c r="BT192" i="57" s="1"/>
  <c r="BU192" i="57" s="1"/>
  <c r="BV192" i="57" s="1"/>
  <c r="BW192" i="57" s="1"/>
  <c r="BX192" i="57" s="1"/>
  <c r="BY192" i="57" s="1"/>
  <c r="AJ123" i="4"/>
  <c r="AS90" i="57"/>
  <c r="C90" i="57"/>
  <c r="D90" i="57" s="1"/>
  <c r="E90" i="57" s="1"/>
  <c r="AR17" i="62"/>
  <c r="AR177" i="62"/>
  <c r="AJ239" i="4"/>
  <c r="C35" i="57"/>
  <c r="AS35" i="57"/>
  <c r="AJ157" i="4"/>
  <c r="AJ263" i="4"/>
  <c r="AS231" i="57"/>
  <c r="AT231" i="57" s="1"/>
  <c r="AU231" i="57" s="1"/>
  <c r="AV231" i="57" s="1"/>
  <c r="AW231" i="57" s="1"/>
  <c r="AX231" i="57" s="1"/>
  <c r="AY231" i="57" s="1"/>
  <c r="AZ231" i="57" s="1"/>
  <c r="BA231" i="57" s="1"/>
  <c r="BB231" i="57" s="1"/>
  <c r="BC231" i="57" s="1"/>
  <c r="BD231" i="57" s="1"/>
  <c r="BE231" i="57" s="1"/>
  <c r="BF231" i="57" s="1"/>
  <c r="BG231" i="57" s="1"/>
  <c r="BH231" i="57" s="1"/>
  <c r="BI231" i="57" s="1"/>
  <c r="BJ231" i="57" s="1"/>
  <c r="BK231" i="57" s="1"/>
  <c r="BL231" i="57" s="1"/>
  <c r="BM231" i="57" s="1"/>
  <c r="BN231" i="57" s="1"/>
  <c r="BO231" i="57" s="1"/>
  <c r="BP231" i="57" s="1"/>
  <c r="BQ231" i="57" s="1"/>
  <c r="BR231" i="57" s="1"/>
  <c r="BS231" i="57" s="1"/>
  <c r="BT231" i="57" s="1"/>
  <c r="BU231" i="57" s="1"/>
  <c r="BV231" i="57" s="1"/>
  <c r="BW231" i="57" s="1"/>
  <c r="BX231" i="57" s="1"/>
  <c r="BY231" i="57" s="1"/>
  <c r="C231" i="57"/>
  <c r="C105" i="57"/>
  <c r="D105" i="57" s="1"/>
  <c r="E105" i="57" s="1"/>
  <c r="F105" i="57" s="1"/>
  <c r="G105" i="57" s="1"/>
  <c r="H105" i="57" s="1"/>
  <c r="I105" i="57" s="1"/>
  <c r="J105" i="57" s="1"/>
  <c r="K105" i="57" s="1"/>
  <c r="L105" i="57" s="1"/>
  <c r="M105" i="57" s="1"/>
  <c r="N105" i="57" s="1"/>
  <c r="O105" i="57" s="1"/>
  <c r="P105" i="57" s="1"/>
  <c r="Q105" i="57" s="1"/>
  <c r="R105" i="57" s="1"/>
  <c r="S105" i="57" s="1"/>
  <c r="AS105" i="57"/>
  <c r="AT105" i="57" s="1"/>
  <c r="AU105" i="57" s="1"/>
  <c r="AV105" i="57" s="1"/>
  <c r="AW105" i="57" s="1"/>
  <c r="AX105" i="57" s="1"/>
  <c r="AY105" i="57" s="1"/>
  <c r="AZ105" i="57" s="1"/>
  <c r="BA105" i="57" s="1"/>
  <c r="BB105" i="57" s="1"/>
  <c r="BC105" i="57" s="1"/>
  <c r="BD105" i="57" s="1"/>
  <c r="BE105" i="57" s="1"/>
  <c r="BF105" i="57" s="1"/>
  <c r="BG105" i="57" s="1"/>
  <c r="BH105" i="57" s="1"/>
  <c r="BI105" i="57" s="1"/>
  <c r="AS49" i="57"/>
  <c r="AT49" i="57" s="1"/>
  <c r="AU49" i="57" s="1"/>
  <c r="AV49" i="57" s="1"/>
  <c r="AW49" i="57" s="1"/>
  <c r="AX49" i="57" s="1"/>
  <c r="AY49" i="57" s="1"/>
  <c r="AZ49" i="57" s="1"/>
  <c r="BA49" i="57" s="1"/>
  <c r="BB49" i="57" s="1"/>
  <c r="BC49" i="57" s="1"/>
  <c r="BD49" i="57" s="1"/>
  <c r="BE49" i="57" s="1"/>
  <c r="BF49" i="57" s="1"/>
  <c r="BG49" i="57" s="1"/>
  <c r="BH49" i="57" s="1"/>
  <c r="BI49" i="57" s="1"/>
  <c r="C49" i="57"/>
  <c r="C99" i="62" s="1"/>
  <c r="AR13" i="62"/>
  <c r="AJ25" i="4"/>
  <c r="C74" i="57"/>
  <c r="AS74" i="57"/>
  <c r="AJ159" i="4"/>
  <c r="B16" i="62"/>
  <c r="AR16" i="62" s="1"/>
  <c r="C7" i="57"/>
  <c r="C168" i="57"/>
  <c r="D168" i="57" s="1"/>
  <c r="E168" i="57" s="1"/>
  <c r="F168" i="57" s="1"/>
  <c r="G168" i="57" s="1"/>
  <c r="H168" i="57" s="1"/>
  <c r="I168" i="57" s="1"/>
  <c r="J168" i="57" s="1"/>
  <c r="K168" i="57" s="1"/>
  <c r="L168" i="57" s="1"/>
  <c r="M168" i="57" s="1"/>
  <c r="N168" i="57" s="1"/>
  <c r="O168" i="57" s="1"/>
  <c r="P168" i="57" s="1"/>
  <c r="Q168" i="57" s="1"/>
  <c r="R168" i="57" s="1"/>
  <c r="S168" i="57" s="1"/>
  <c r="T168" i="57" s="1"/>
  <c r="U168" i="57" s="1"/>
  <c r="V168" i="57" s="1"/>
  <c r="W168" i="57" s="1"/>
  <c r="X168" i="57" s="1"/>
  <c r="Y168" i="57" s="1"/>
  <c r="Z168" i="57" s="1"/>
  <c r="AA168" i="57" s="1"/>
  <c r="AB168" i="57" s="1"/>
  <c r="AC168" i="57" s="1"/>
  <c r="AD168" i="57" s="1"/>
  <c r="AE168" i="57" s="1"/>
  <c r="AF168" i="57" s="1"/>
  <c r="AG168" i="57" s="1"/>
  <c r="AH168" i="57" s="1"/>
  <c r="AI168" i="57" s="1"/>
  <c r="AS168" i="57"/>
  <c r="AT168" i="57" s="1"/>
  <c r="AU168" i="57" s="1"/>
  <c r="AV168" i="57" s="1"/>
  <c r="AW168" i="57" s="1"/>
  <c r="AX168" i="57" s="1"/>
  <c r="AY168" i="57" s="1"/>
  <c r="AZ168" i="57" s="1"/>
  <c r="BA168" i="57" s="1"/>
  <c r="BB168" i="57" s="1"/>
  <c r="BC168" i="57" s="1"/>
  <c r="BD168" i="57" s="1"/>
  <c r="BE168" i="57" s="1"/>
  <c r="BF168" i="57" s="1"/>
  <c r="BG168" i="57" s="1"/>
  <c r="BH168" i="57" s="1"/>
  <c r="BI168" i="57" s="1"/>
  <c r="AS225" i="57"/>
  <c r="AT225" i="57" s="1"/>
  <c r="AU225" i="57" s="1"/>
  <c r="AV225" i="57" s="1"/>
  <c r="AW225" i="57" s="1"/>
  <c r="AX225" i="57" s="1"/>
  <c r="AY225" i="57" s="1"/>
  <c r="AZ225" i="57" s="1"/>
  <c r="BA225" i="57" s="1"/>
  <c r="BB225" i="57" s="1"/>
  <c r="BC225" i="57" s="1"/>
  <c r="BD225" i="57" s="1"/>
  <c r="BE225" i="57" s="1"/>
  <c r="BF225" i="57" s="1"/>
  <c r="BG225" i="57" s="1"/>
  <c r="BH225" i="57" s="1"/>
  <c r="BI225" i="57" s="1"/>
  <c r="BJ225" i="57" s="1"/>
  <c r="BK225" i="57" s="1"/>
  <c r="BL225" i="57" s="1"/>
  <c r="BM225" i="57" s="1"/>
  <c r="BN225" i="57" s="1"/>
  <c r="BO225" i="57" s="1"/>
  <c r="BP225" i="57" s="1"/>
  <c r="BQ225" i="57" s="1"/>
  <c r="BR225" i="57" s="1"/>
  <c r="BS225" i="57" s="1"/>
  <c r="BT225" i="57" s="1"/>
  <c r="BU225" i="57" s="1"/>
  <c r="BV225" i="57" s="1"/>
  <c r="BW225" i="57" s="1"/>
  <c r="BX225" i="57" s="1"/>
  <c r="BY225" i="57" s="1"/>
  <c r="C225" i="57"/>
  <c r="D225" i="57" s="1"/>
  <c r="E225" i="57" s="1"/>
  <c r="F225" i="57" s="1"/>
  <c r="G225" i="57" s="1"/>
  <c r="H225" i="57" s="1"/>
  <c r="I225" i="57" s="1"/>
  <c r="J225" i="57" s="1"/>
  <c r="K225" i="57" s="1"/>
  <c r="L225" i="57" s="1"/>
  <c r="M225" i="57" s="1"/>
  <c r="N225" i="57" s="1"/>
  <c r="O225" i="57" s="1"/>
  <c r="P225" i="57" s="1"/>
  <c r="Q225" i="57" s="1"/>
  <c r="R225" i="57" s="1"/>
  <c r="S225" i="57" s="1"/>
  <c r="AR27" i="62"/>
  <c r="AS183" i="57"/>
  <c r="C183" i="57"/>
  <c r="D183" i="57" s="1"/>
  <c r="E183" i="57" s="1"/>
  <c r="AR95" i="62"/>
  <c r="AJ227" i="4"/>
  <c r="AJ185" i="4"/>
  <c r="AS127" i="57"/>
  <c r="AT127" i="57" s="1"/>
  <c r="AU127" i="57" s="1"/>
  <c r="AV127" i="57" s="1"/>
  <c r="AW127" i="57" s="1"/>
  <c r="AX127" i="57" s="1"/>
  <c r="AY127" i="57" s="1"/>
  <c r="AZ127" i="57" s="1"/>
  <c r="BA127" i="57" s="1"/>
  <c r="BB127" i="57" s="1"/>
  <c r="BC127" i="57" s="1"/>
  <c r="BD127" i="57" s="1"/>
  <c r="BE127" i="57" s="1"/>
  <c r="BF127" i="57" s="1"/>
  <c r="BG127" i="57" s="1"/>
  <c r="BH127" i="57" s="1"/>
  <c r="BI127" i="57" s="1"/>
  <c r="BJ127" i="57" s="1"/>
  <c r="BK127" i="57" s="1"/>
  <c r="BL127" i="57" s="1"/>
  <c r="BM127" i="57" s="1"/>
  <c r="BN127" i="57" s="1"/>
  <c r="BO127" i="57" s="1"/>
  <c r="BP127" i="57" s="1"/>
  <c r="BQ127" i="57" s="1"/>
  <c r="BR127" i="57" s="1"/>
  <c r="BS127" i="57" s="1"/>
  <c r="BT127" i="57" s="1"/>
  <c r="BU127" i="57" s="1"/>
  <c r="BV127" i="57" s="1"/>
  <c r="BW127" i="57" s="1"/>
  <c r="BX127" i="57" s="1"/>
  <c r="BY127" i="57" s="1"/>
  <c r="C127" i="57"/>
  <c r="AJ69" i="4"/>
  <c r="C63" i="57"/>
  <c r="AS63" i="57"/>
  <c r="AT63" i="57" s="1"/>
  <c r="AU63" i="57" s="1"/>
  <c r="AV63" i="57" s="1"/>
  <c r="AW63" i="57" s="1"/>
  <c r="AX63" i="57" s="1"/>
  <c r="AY63" i="57" s="1"/>
  <c r="AZ63" i="57" s="1"/>
  <c r="BA63" i="57" s="1"/>
  <c r="BB63" i="57" s="1"/>
  <c r="BC63" i="57" s="1"/>
  <c r="BD63" i="57" s="1"/>
  <c r="BE63" i="57" s="1"/>
  <c r="BF63" i="57" s="1"/>
  <c r="BG63" i="57" s="1"/>
  <c r="BH63" i="57" s="1"/>
  <c r="BI63" i="57" s="1"/>
  <c r="AJ222" i="4"/>
  <c r="AJ238" i="4"/>
  <c r="AJ193" i="4"/>
  <c r="AS243" i="57"/>
  <c r="AT243" i="57" s="1"/>
  <c r="AU243" i="57" s="1"/>
  <c r="AV243" i="57" s="1"/>
  <c r="AW243" i="57" s="1"/>
  <c r="AX243" i="57" s="1"/>
  <c r="AY243" i="57" s="1"/>
  <c r="AZ243" i="57" s="1"/>
  <c r="BA243" i="57" s="1"/>
  <c r="BB243" i="57" s="1"/>
  <c r="BC243" i="57" s="1"/>
  <c r="BD243" i="57" s="1"/>
  <c r="BE243" i="57" s="1"/>
  <c r="BF243" i="57" s="1"/>
  <c r="BG243" i="57" s="1"/>
  <c r="BH243" i="57" s="1"/>
  <c r="BI243" i="57" s="1"/>
  <c r="C243" i="57"/>
  <c r="D243" i="57" s="1"/>
  <c r="E243" i="57" s="1"/>
  <c r="F243" i="57" s="1"/>
  <c r="G243" i="57" s="1"/>
  <c r="H243" i="57" s="1"/>
  <c r="I243" i="57" s="1"/>
  <c r="J243" i="57" s="1"/>
  <c r="K243" i="57" s="1"/>
  <c r="L243" i="57" s="1"/>
  <c r="M243" i="57" s="1"/>
  <c r="N243" i="57" s="1"/>
  <c r="O243" i="57" s="1"/>
  <c r="P243" i="57" s="1"/>
  <c r="Q243" i="57" s="1"/>
  <c r="R243" i="57" s="1"/>
  <c r="S243" i="57" s="1"/>
  <c r="T243" i="57" s="1"/>
  <c r="U243" i="57" s="1"/>
  <c r="V243" i="57" s="1"/>
  <c r="W243" i="57" s="1"/>
  <c r="X243" i="57" s="1"/>
  <c r="Y243" i="57" s="1"/>
  <c r="Z243" i="57" s="1"/>
  <c r="AA243" i="57" s="1"/>
  <c r="AB243" i="57" s="1"/>
  <c r="AC243" i="57" s="1"/>
  <c r="AD243" i="57" s="1"/>
  <c r="AE243" i="57" s="1"/>
  <c r="AF243" i="57" s="1"/>
  <c r="AG243" i="57" s="1"/>
  <c r="AH243" i="57" s="1"/>
  <c r="AI243" i="57" s="1"/>
  <c r="AJ211" i="4"/>
  <c r="AJ204" i="4"/>
  <c r="C237" i="57"/>
  <c r="D237" i="57" s="1"/>
  <c r="E237" i="57" s="1"/>
  <c r="F237" i="57" s="1"/>
  <c r="G237" i="57" s="1"/>
  <c r="H237" i="57" s="1"/>
  <c r="I237" i="57" s="1"/>
  <c r="J237" i="57" s="1"/>
  <c r="K237" i="57" s="1"/>
  <c r="L237" i="57" s="1"/>
  <c r="M237" i="57" s="1"/>
  <c r="N237" i="57" s="1"/>
  <c r="O237" i="57" s="1"/>
  <c r="P237" i="57" s="1"/>
  <c r="Q237" i="57" s="1"/>
  <c r="R237" i="57" s="1"/>
  <c r="S237" i="57" s="1"/>
  <c r="T237" i="57" s="1"/>
  <c r="U237" i="57" s="1"/>
  <c r="V237" i="57" s="1"/>
  <c r="W237" i="57" s="1"/>
  <c r="X237" i="57" s="1"/>
  <c r="Y237" i="57" s="1"/>
  <c r="Z237" i="57" s="1"/>
  <c r="AA237" i="57" s="1"/>
  <c r="AB237" i="57" s="1"/>
  <c r="AC237" i="57" s="1"/>
  <c r="AD237" i="57" s="1"/>
  <c r="AE237" i="57" s="1"/>
  <c r="AF237" i="57" s="1"/>
  <c r="AG237" i="57" s="1"/>
  <c r="AH237" i="57" s="1"/>
  <c r="AI237" i="57" s="1"/>
  <c r="AS237" i="57"/>
  <c r="AT237" i="57" s="1"/>
  <c r="AU237" i="57" s="1"/>
  <c r="AV237" i="57" s="1"/>
  <c r="AW237" i="57" s="1"/>
  <c r="AX237" i="57" s="1"/>
  <c r="AY237" i="57" s="1"/>
  <c r="AZ237" i="57" s="1"/>
  <c r="BA237" i="57" s="1"/>
  <c r="BB237" i="57" s="1"/>
  <c r="BC237" i="57" s="1"/>
  <c r="BD237" i="57" s="1"/>
  <c r="BE237" i="57" s="1"/>
  <c r="BF237" i="57" s="1"/>
  <c r="BG237" i="57" s="1"/>
  <c r="BH237" i="57" s="1"/>
  <c r="BI237" i="57" s="1"/>
  <c r="AJ45" i="4"/>
  <c r="AS176" i="57"/>
  <c r="AT176" i="57" s="1"/>
  <c r="AU176" i="57" s="1"/>
  <c r="AV176" i="57" s="1"/>
  <c r="AW176" i="57" s="1"/>
  <c r="AX176" i="57" s="1"/>
  <c r="AY176" i="57" s="1"/>
  <c r="AZ176" i="57" s="1"/>
  <c r="BA176" i="57" s="1"/>
  <c r="BB176" i="57" s="1"/>
  <c r="BC176" i="57" s="1"/>
  <c r="BD176" i="57" s="1"/>
  <c r="BE176" i="57" s="1"/>
  <c r="BF176" i="57" s="1"/>
  <c r="BG176" i="57" s="1"/>
  <c r="BH176" i="57" s="1"/>
  <c r="BI176" i="57" s="1"/>
  <c r="C176" i="57"/>
  <c r="C100" i="57"/>
  <c r="D100" i="57" s="1"/>
  <c r="E100" i="57" s="1"/>
  <c r="F100" i="57" s="1"/>
  <c r="G100" i="57" s="1"/>
  <c r="H100" i="57" s="1"/>
  <c r="I100" i="57" s="1"/>
  <c r="J100" i="57" s="1"/>
  <c r="K100" i="57" s="1"/>
  <c r="L100" i="57" s="1"/>
  <c r="M100" i="57" s="1"/>
  <c r="N100" i="57" s="1"/>
  <c r="O100" i="57" s="1"/>
  <c r="P100" i="57" s="1"/>
  <c r="Q100" i="57" s="1"/>
  <c r="R100" i="57" s="1"/>
  <c r="S100" i="57" s="1"/>
  <c r="AS100" i="57"/>
  <c r="C42" i="57"/>
  <c r="AS42" i="57"/>
  <c r="C88" i="57"/>
  <c r="C177" i="62" s="1"/>
  <c r="AS88" i="57"/>
  <c r="AT88" i="57" s="1"/>
  <c r="AU88" i="57" s="1"/>
  <c r="AV88" i="57" s="1"/>
  <c r="AW88" i="57" s="1"/>
  <c r="AX88" i="57" s="1"/>
  <c r="AY88" i="57" s="1"/>
  <c r="AZ88" i="57" s="1"/>
  <c r="BA88" i="57" s="1"/>
  <c r="BB88" i="57" s="1"/>
  <c r="BC88" i="57" s="1"/>
  <c r="BD88" i="57" s="1"/>
  <c r="BE88" i="57" s="1"/>
  <c r="BF88" i="57" s="1"/>
  <c r="BG88" i="57" s="1"/>
  <c r="BH88" i="57" s="1"/>
  <c r="BI88" i="57" s="1"/>
  <c r="BJ88" i="57" s="1"/>
  <c r="BK88" i="57" s="1"/>
  <c r="BL88" i="57" s="1"/>
  <c r="BM88" i="57" s="1"/>
  <c r="BN88" i="57" s="1"/>
  <c r="BO88" i="57" s="1"/>
  <c r="BP88" i="57" s="1"/>
  <c r="BQ88" i="57" s="1"/>
  <c r="BR88" i="57" s="1"/>
  <c r="BS88" i="57" s="1"/>
  <c r="BT88" i="57" s="1"/>
  <c r="BU88" i="57" s="1"/>
  <c r="BV88" i="57" s="1"/>
  <c r="BW88" i="57" s="1"/>
  <c r="BX88" i="57" s="1"/>
  <c r="BY88" i="57" s="1"/>
  <c r="AJ126" i="4"/>
  <c r="AJ20" i="4"/>
  <c r="AS53" i="57"/>
  <c r="AT53" i="57" s="1"/>
  <c r="AU53" i="57" s="1"/>
  <c r="AV53" i="57" s="1"/>
  <c r="AW53" i="57" s="1"/>
  <c r="AX53" i="57" s="1"/>
  <c r="AY53" i="57" s="1"/>
  <c r="AZ53" i="57" s="1"/>
  <c r="BA53" i="57" s="1"/>
  <c r="BB53" i="57" s="1"/>
  <c r="BC53" i="57" s="1"/>
  <c r="BD53" i="57" s="1"/>
  <c r="BE53" i="57" s="1"/>
  <c r="BF53" i="57" s="1"/>
  <c r="BG53" i="57" s="1"/>
  <c r="BH53" i="57" s="1"/>
  <c r="BI53" i="57" s="1"/>
  <c r="C53" i="57"/>
  <c r="AJ111" i="4"/>
  <c r="AR143" i="62"/>
  <c r="C17" i="57"/>
  <c r="AJ207" i="4"/>
  <c r="C147" i="57"/>
  <c r="D147" i="57" s="1"/>
  <c r="E147" i="57" s="1"/>
  <c r="F147" i="57" s="1"/>
  <c r="G147" i="57" s="1"/>
  <c r="H147" i="57" s="1"/>
  <c r="I147" i="57" s="1"/>
  <c r="J147" i="57" s="1"/>
  <c r="K147" i="57" s="1"/>
  <c r="L147" i="57" s="1"/>
  <c r="M147" i="57" s="1"/>
  <c r="N147" i="57" s="1"/>
  <c r="O147" i="57" s="1"/>
  <c r="P147" i="57" s="1"/>
  <c r="Q147" i="57" s="1"/>
  <c r="R147" i="57" s="1"/>
  <c r="S147" i="57" s="1"/>
  <c r="AS147" i="57"/>
  <c r="AT147" i="57" s="1"/>
  <c r="AU147" i="57" s="1"/>
  <c r="AV147" i="57" s="1"/>
  <c r="AW147" i="57" s="1"/>
  <c r="AX147" i="57" s="1"/>
  <c r="AY147" i="57" s="1"/>
  <c r="AZ147" i="57" s="1"/>
  <c r="BA147" i="57" s="1"/>
  <c r="BB147" i="57" s="1"/>
  <c r="BC147" i="57" s="1"/>
  <c r="BD147" i="57" s="1"/>
  <c r="BE147" i="57" s="1"/>
  <c r="BF147" i="57" s="1"/>
  <c r="BG147" i="57" s="1"/>
  <c r="BH147" i="57" s="1"/>
  <c r="BI147" i="57" s="1"/>
  <c r="C133" i="57"/>
  <c r="AS133" i="57"/>
  <c r="AT133" i="57" s="1"/>
  <c r="AU133" i="57" s="1"/>
  <c r="AV133" i="57" s="1"/>
  <c r="AW133" i="57" s="1"/>
  <c r="AX133" i="57" s="1"/>
  <c r="AY133" i="57" s="1"/>
  <c r="AZ133" i="57" s="1"/>
  <c r="BA133" i="57" s="1"/>
  <c r="BB133" i="57" s="1"/>
  <c r="BC133" i="57" s="1"/>
  <c r="BD133" i="57" s="1"/>
  <c r="BE133" i="57" s="1"/>
  <c r="BF133" i="57" s="1"/>
  <c r="BG133" i="57" s="1"/>
  <c r="BH133" i="57" s="1"/>
  <c r="BI133" i="57" s="1"/>
  <c r="BJ133" i="57" s="1"/>
  <c r="BK133" i="57" s="1"/>
  <c r="BL133" i="57" s="1"/>
  <c r="BM133" i="57" s="1"/>
  <c r="BN133" i="57" s="1"/>
  <c r="BO133" i="57" s="1"/>
  <c r="BP133" i="57" s="1"/>
  <c r="BQ133" i="57" s="1"/>
  <c r="BR133" i="57" s="1"/>
  <c r="BS133" i="57" s="1"/>
  <c r="BT133" i="57" s="1"/>
  <c r="BU133" i="57" s="1"/>
  <c r="BV133" i="57" s="1"/>
  <c r="BW133" i="57" s="1"/>
  <c r="BX133" i="57" s="1"/>
  <c r="BY133" i="57" s="1"/>
  <c r="AJ189" i="4"/>
  <c r="AJ141" i="4"/>
  <c r="AR119" i="62"/>
  <c r="AJ215" i="4"/>
  <c r="AJ212" i="4"/>
  <c r="C31" i="57"/>
  <c r="AJ219" i="4"/>
  <c r="C126" i="57"/>
  <c r="D126" i="57" s="1"/>
  <c r="E126" i="57" s="1"/>
  <c r="F126" i="57" s="1"/>
  <c r="G126" i="57" s="1"/>
  <c r="H126" i="57" s="1"/>
  <c r="I126" i="57" s="1"/>
  <c r="J126" i="57" s="1"/>
  <c r="K126" i="57" s="1"/>
  <c r="L126" i="57" s="1"/>
  <c r="M126" i="57" s="1"/>
  <c r="N126" i="57" s="1"/>
  <c r="O126" i="57" s="1"/>
  <c r="P126" i="57" s="1"/>
  <c r="Q126" i="57" s="1"/>
  <c r="R126" i="57" s="1"/>
  <c r="S126" i="57" s="1"/>
  <c r="AS126" i="57"/>
  <c r="AT126" i="57" s="1"/>
  <c r="AU126" i="57" s="1"/>
  <c r="AV126" i="57" s="1"/>
  <c r="AW126" i="57" s="1"/>
  <c r="AX126" i="57" s="1"/>
  <c r="AY126" i="57" s="1"/>
  <c r="AZ126" i="57" s="1"/>
  <c r="BA126" i="57" s="1"/>
  <c r="BB126" i="57" s="1"/>
  <c r="BC126" i="57" s="1"/>
  <c r="BD126" i="57" s="1"/>
  <c r="BE126" i="57" s="1"/>
  <c r="BF126" i="57" s="1"/>
  <c r="BG126" i="57" s="1"/>
  <c r="BH126" i="57" s="1"/>
  <c r="BI126" i="57" s="1"/>
  <c r="AJ46" i="4"/>
  <c r="AJ161" i="4"/>
  <c r="AR37" i="62"/>
  <c r="C22" i="57"/>
  <c r="C45" i="62" s="1"/>
  <c r="C60" i="57"/>
  <c r="D60" i="57" s="1"/>
  <c r="E60" i="57" s="1"/>
  <c r="F60" i="57" s="1"/>
  <c r="G60" i="57" s="1"/>
  <c r="H60" i="57" s="1"/>
  <c r="I60" i="57" s="1"/>
  <c r="J60" i="57" s="1"/>
  <c r="K60" i="57" s="1"/>
  <c r="L60" i="57" s="1"/>
  <c r="M60" i="57" s="1"/>
  <c r="N60" i="57" s="1"/>
  <c r="O60" i="57" s="1"/>
  <c r="P60" i="57" s="1"/>
  <c r="Q60" i="57" s="1"/>
  <c r="R60" i="57" s="1"/>
  <c r="S60" i="57" s="1"/>
  <c r="AS60" i="57"/>
  <c r="AT60" i="57" s="1"/>
  <c r="AU60" i="57" s="1"/>
  <c r="AV60" i="57" s="1"/>
  <c r="AW60" i="57" s="1"/>
  <c r="AX60" i="57" s="1"/>
  <c r="AY60" i="57" s="1"/>
  <c r="AZ60" i="57" s="1"/>
  <c r="BA60" i="57" s="1"/>
  <c r="BB60" i="57" s="1"/>
  <c r="BC60" i="57" s="1"/>
  <c r="BD60" i="57" s="1"/>
  <c r="BE60" i="57" s="1"/>
  <c r="BF60" i="57" s="1"/>
  <c r="BG60" i="57" s="1"/>
  <c r="BH60" i="57" s="1"/>
  <c r="BI60" i="57" s="1"/>
  <c r="BJ60" i="57" s="1"/>
  <c r="BK60" i="57" s="1"/>
  <c r="BL60" i="57" s="1"/>
  <c r="BM60" i="57" s="1"/>
  <c r="BN60" i="57" s="1"/>
  <c r="BO60" i="57" s="1"/>
  <c r="BP60" i="57" s="1"/>
  <c r="BQ60" i="57" s="1"/>
  <c r="BR60" i="57" s="1"/>
  <c r="BS60" i="57" s="1"/>
  <c r="BT60" i="57" s="1"/>
  <c r="BU60" i="57" s="1"/>
  <c r="BV60" i="57" s="1"/>
  <c r="BW60" i="57" s="1"/>
  <c r="BX60" i="57" s="1"/>
  <c r="BY60" i="57" s="1"/>
  <c r="AJ133" i="4"/>
  <c r="AR167" i="62"/>
  <c r="AJ186" i="4"/>
  <c r="AS235" i="57"/>
  <c r="AT235" i="57" s="1"/>
  <c r="AU235" i="57" s="1"/>
  <c r="AV235" i="57" s="1"/>
  <c r="AW235" i="57" s="1"/>
  <c r="AX235" i="57" s="1"/>
  <c r="AY235" i="57" s="1"/>
  <c r="AZ235" i="57" s="1"/>
  <c r="BA235" i="57" s="1"/>
  <c r="BB235" i="57" s="1"/>
  <c r="BC235" i="57" s="1"/>
  <c r="BD235" i="57" s="1"/>
  <c r="BE235" i="57" s="1"/>
  <c r="BF235" i="57" s="1"/>
  <c r="BG235" i="57" s="1"/>
  <c r="BH235" i="57" s="1"/>
  <c r="BI235" i="57" s="1"/>
  <c r="BJ235" i="57" s="1"/>
  <c r="BK235" i="57" s="1"/>
  <c r="BL235" i="57" s="1"/>
  <c r="BM235" i="57" s="1"/>
  <c r="BN235" i="57" s="1"/>
  <c r="BO235" i="57" s="1"/>
  <c r="BP235" i="57" s="1"/>
  <c r="BQ235" i="57" s="1"/>
  <c r="BR235" i="57" s="1"/>
  <c r="BS235" i="57" s="1"/>
  <c r="BT235" i="57" s="1"/>
  <c r="BU235" i="57" s="1"/>
  <c r="BV235" i="57" s="1"/>
  <c r="BW235" i="57" s="1"/>
  <c r="BX235" i="57" s="1"/>
  <c r="BY235" i="57" s="1"/>
  <c r="C235" i="57"/>
  <c r="D235" i="57" s="1"/>
  <c r="E235" i="57" s="1"/>
  <c r="F235" i="57" s="1"/>
  <c r="G235" i="57" s="1"/>
  <c r="H235" i="57" s="1"/>
  <c r="I235" i="57" s="1"/>
  <c r="J235" i="57" s="1"/>
  <c r="K235" i="57" s="1"/>
  <c r="L235" i="57" s="1"/>
  <c r="M235" i="57" s="1"/>
  <c r="N235" i="57" s="1"/>
  <c r="O235" i="57" s="1"/>
  <c r="P235" i="57" s="1"/>
  <c r="Q235" i="57" s="1"/>
  <c r="R235" i="57" s="1"/>
  <c r="S235" i="57" s="1"/>
  <c r="C33" i="57"/>
  <c r="C67" i="62" s="1"/>
  <c r="AS101" i="57"/>
  <c r="AT101" i="57" s="1"/>
  <c r="AU101" i="57" s="1"/>
  <c r="AV101" i="57" s="1"/>
  <c r="AW101" i="57" s="1"/>
  <c r="AX101" i="57" s="1"/>
  <c r="AY101" i="57" s="1"/>
  <c r="AZ101" i="57" s="1"/>
  <c r="BA101" i="57" s="1"/>
  <c r="BB101" i="57" s="1"/>
  <c r="BC101" i="57" s="1"/>
  <c r="BD101" i="57" s="1"/>
  <c r="BE101" i="57" s="1"/>
  <c r="BF101" i="57" s="1"/>
  <c r="BG101" i="57" s="1"/>
  <c r="BH101" i="57" s="1"/>
  <c r="BI101" i="57" s="1"/>
  <c r="BJ101" i="57" s="1"/>
  <c r="BK101" i="57" s="1"/>
  <c r="BL101" i="57" s="1"/>
  <c r="BM101" i="57" s="1"/>
  <c r="BN101" i="57" s="1"/>
  <c r="BO101" i="57" s="1"/>
  <c r="BP101" i="57" s="1"/>
  <c r="BQ101" i="57" s="1"/>
  <c r="C101" i="57"/>
  <c r="D101" i="57" s="1"/>
  <c r="E101" i="57" s="1"/>
  <c r="F101" i="57" s="1"/>
  <c r="G101" i="57" s="1"/>
  <c r="H101" i="57" s="1"/>
  <c r="I101" i="57" s="1"/>
  <c r="J101" i="57" s="1"/>
  <c r="K101" i="57" s="1"/>
  <c r="L101" i="57" s="1"/>
  <c r="M101" i="57" s="1"/>
  <c r="N101" i="57" s="1"/>
  <c r="O101" i="57" s="1"/>
  <c r="P101" i="57" s="1"/>
  <c r="Q101" i="57" s="1"/>
  <c r="R101" i="57" s="1"/>
  <c r="S101" i="57" s="1"/>
  <c r="AR111" i="62"/>
  <c r="C16" i="57"/>
  <c r="AJ27" i="4"/>
  <c r="B22" i="62"/>
  <c r="AR22" i="62" s="1"/>
  <c r="C10" i="57"/>
  <c r="C21" i="62" s="1"/>
  <c r="AR9" i="62"/>
  <c r="AS251" i="57"/>
  <c r="AT251" i="57" s="1"/>
  <c r="AU251" i="57" s="1"/>
  <c r="AV251" i="57" s="1"/>
  <c r="AW251" i="57" s="1"/>
  <c r="AX251" i="57" s="1"/>
  <c r="AY251" i="57" s="1"/>
  <c r="AZ251" i="57" s="1"/>
  <c r="BA251" i="57" s="1"/>
  <c r="BB251" i="57" s="1"/>
  <c r="BC251" i="57" s="1"/>
  <c r="BD251" i="57" s="1"/>
  <c r="BE251" i="57" s="1"/>
  <c r="BF251" i="57" s="1"/>
  <c r="BG251" i="57" s="1"/>
  <c r="BH251" i="57" s="1"/>
  <c r="BI251" i="57" s="1"/>
  <c r="BJ251" i="57" s="1"/>
  <c r="BK251" i="57" s="1"/>
  <c r="BL251" i="57" s="1"/>
  <c r="BM251" i="57" s="1"/>
  <c r="BN251" i="57" s="1"/>
  <c r="BO251" i="57" s="1"/>
  <c r="BP251" i="57" s="1"/>
  <c r="BQ251" i="57" s="1"/>
  <c r="BR251" i="57" s="1"/>
  <c r="BS251" i="57" s="1"/>
  <c r="BT251" i="57" s="1"/>
  <c r="BU251" i="57" s="1"/>
  <c r="BV251" i="57" s="1"/>
  <c r="BW251" i="57" s="1"/>
  <c r="BX251" i="57" s="1"/>
  <c r="BY251" i="57" s="1"/>
  <c r="C251" i="57"/>
  <c r="D251" i="57" s="1"/>
  <c r="E251" i="57" s="1"/>
  <c r="F251" i="57" s="1"/>
  <c r="G251" i="57" s="1"/>
  <c r="H251" i="57" s="1"/>
  <c r="I251" i="57" s="1"/>
  <c r="J251" i="57" s="1"/>
  <c r="K251" i="57" s="1"/>
  <c r="L251" i="57" s="1"/>
  <c r="M251" i="57" s="1"/>
  <c r="N251" i="57" s="1"/>
  <c r="O251" i="57" s="1"/>
  <c r="P251" i="57" s="1"/>
  <c r="Q251" i="57" s="1"/>
  <c r="R251" i="57" s="1"/>
  <c r="S251" i="57" s="1"/>
  <c r="T251" i="57" s="1"/>
  <c r="U251" i="57" s="1"/>
  <c r="V251" i="57" s="1"/>
  <c r="W251" i="57" s="1"/>
  <c r="X251" i="57" s="1"/>
  <c r="Y251" i="57" s="1"/>
  <c r="Z251" i="57" s="1"/>
  <c r="AA251" i="57" s="1"/>
  <c r="AB251" i="57" s="1"/>
  <c r="AC251" i="57" s="1"/>
  <c r="AD251" i="57" s="1"/>
  <c r="AE251" i="57" s="1"/>
  <c r="AF251" i="57" s="1"/>
  <c r="AG251" i="57" s="1"/>
  <c r="AH251" i="57" s="1"/>
  <c r="AI251" i="57" s="1"/>
  <c r="AS37" i="57"/>
  <c r="AT37" i="57" s="1"/>
  <c r="AU37" i="57" s="1"/>
  <c r="AV37" i="57" s="1"/>
  <c r="AW37" i="57" s="1"/>
  <c r="AX37" i="57" s="1"/>
  <c r="AY37" i="57" s="1"/>
  <c r="AZ37" i="57" s="1"/>
  <c r="BA37" i="57" s="1"/>
  <c r="BB37" i="57" s="1"/>
  <c r="BC37" i="57" s="1"/>
  <c r="BD37" i="57" s="1"/>
  <c r="BE37" i="57" s="1"/>
  <c r="BF37" i="57" s="1"/>
  <c r="BG37" i="57" s="1"/>
  <c r="BH37" i="57" s="1"/>
  <c r="BI37" i="57" s="1"/>
  <c r="BJ37" i="57" s="1"/>
  <c r="BK37" i="57" s="1"/>
  <c r="BL37" i="57" s="1"/>
  <c r="BM37" i="57" s="1"/>
  <c r="BN37" i="57" s="1"/>
  <c r="BO37" i="57" s="1"/>
  <c r="BP37" i="57" s="1"/>
  <c r="BQ37" i="57" s="1"/>
  <c r="BR37" i="57" s="1"/>
  <c r="BS37" i="57" s="1"/>
  <c r="BT37" i="57" s="1"/>
  <c r="BU37" i="57" s="1"/>
  <c r="BV37" i="57" s="1"/>
  <c r="BW37" i="57" s="1"/>
  <c r="BX37" i="57" s="1"/>
  <c r="BY37" i="57" s="1"/>
  <c r="C37" i="57"/>
  <c r="D37" i="57" s="1"/>
  <c r="E37" i="57" s="1"/>
  <c r="F37" i="57" s="1"/>
  <c r="G37" i="57" s="1"/>
  <c r="H37" i="57" s="1"/>
  <c r="I37" i="57" s="1"/>
  <c r="J37" i="57" s="1"/>
  <c r="K37" i="57" s="1"/>
  <c r="L37" i="57" s="1"/>
  <c r="M37" i="57" s="1"/>
  <c r="N37" i="57" s="1"/>
  <c r="O37" i="57" s="1"/>
  <c r="P37" i="57" s="1"/>
  <c r="Q37" i="57" s="1"/>
  <c r="R37" i="57" s="1"/>
  <c r="S37" i="57" s="1"/>
  <c r="T37" i="57" s="1"/>
  <c r="U37" i="57" s="1"/>
  <c r="V37" i="57" s="1"/>
  <c r="W37" i="57" s="1"/>
  <c r="X37" i="57" s="1"/>
  <c r="Y37" i="57" s="1"/>
  <c r="Z37" i="57" s="1"/>
  <c r="AA37" i="57" s="1"/>
  <c r="AB37" i="57" s="1"/>
  <c r="AC37" i="57" s="1"/>
  <c r="AD37" i="57" s="1"/>
  <c r="AE37" i="57" s="1"/>
  <c r="AF37" i="57" s="1"/>
  <c r="AG37" i="57" s="1"/>
  <c r="AH37" i="57" s="1"/>
  <c r="AI37" i="57" s="1"/>
  <c r="C220" i="57"/>
  <c r="D220" i="57" s="1"/>
  <c r="E220" i="57" s="1"/>
  <c r="F220" i="57" s="1"/>
  <c r="G220" i="57" s="1"/>
  <c r="H220" i="57" s="1"/>
  <c r="I220" i="57" s="1"/>
  <c r="J220" i="57" s="1"/>
  <c r="K220" i="57" s="1"/>
  <c r="L220" i="57" s="1"/>
  <c r="M220" i="57" s="1"/>
  <c r="N220" i="57" s="1"/>
  <c r="O220" i="57" s="1"/>
  <c r="P220" i="57" s="1"/>
  <c r="Q220" i="57" s="1"/>
  <c r="R220" i="57" s="1"/>
  <c r="S220" i="57" s="1"/>
  <c r="T220" i="57" s="1"/>
  <c r="U220" i="57" s="1"/>
  <c r="V220" i="57" s="1"/>
  <c r="W220" i="57" s="1"/>
  <c r="X220" i="57" s="1"/>
  <c r="Y220" i="57" s="1"/>
  <c r="Z220" i="57" s="1"/>
  <c r="AA220" i="57" s="1"/>
  <c r="AB220" i="57" s="1"/>
  <c r="AC220" i="57" s="1"/>
  <c r="AD220" i="57" s="1"/>
  <c r="AE220" i="57" s="1"/>
  <c r="AF220" i="57" s="1"/>
  <c r="AG220" i="57" s="1"/>
  <c r="AH220" i="57" s="1"/>
  <c r="AI220" i="57" s="1"/>
  <c r="AS220" i="57"/>
  <c r="AT220" i="57" s="1"/>
  <c r="AU220" i="57" s="1"/>
  <c r="AV220" i="57" s="1"/>
  <c r="AW220" i="57" s="1"/>
  <c r="AX220" i="57" s="1"/>
  <c r="AY220" i="57" s="1"/>
  <c r="AZ220" i="57" s="1"/>
  <c r="BA220" i="57" s="1"/>
  <c r="BB220" i="57" s="1"/>
  <c r="BC220" i="57" s="1"/>
  <c r="BD220" i="57" s="1"/>
  <c r="BE220" i="57" s="1"/>
  <c r="BF220" i="57" s="1"/>
  <c r="BG220" i="57" s="1"/>
  <c r="BH220" i="57" s="1"/>
  <c r="BI220" i="57" s="1"/>
  <c r="BJ220" i="57" s="1"/>
  <c r="BK220" i="57" s="1"/>
  <c r="BL220" i="57" s="1"/>
  <c r="BM220" i="57" s="1"/>
  <c r="BN220" i="57" s="1"/>
  <c r="BO220" i="57" s="1"/>
  <c r="BP220" i="57" s="1"/>
  <c r="BQ220" i="57" s="1"/>
  <c r="BR220" i="57" s="1"/>
  <c r="BS220" i="57" s="1"/>
  <c r="BT220" i="57" s="1"/>
  <c r="BU220" i="57" s="1"/>
  <c r="BV220" i="57" s="1"/>
  <c r="BW220" i="57" s="1"/>
  <c r="BX220" i="57" s="1"/>
  <c r="BY220" i="57" s="1"/>
  <c r="AJ98" i="4"/>
  <c r="C210" i="57"/>
  <c r="D210" i="57" s="1"/>
  <c r="E210" i="57" s="1"/>
  <c r="F210" i="57" s="1"/>
  <c r="G210" i="57" s="1"/>
  <c r="H210" i="57" s="1"/>
  <c r="I210" i="57" s="1"/>
  <c r="J210" i="57" s="1"/>
  <c r="K210" i="57" s="1"/>
  <c r="L210" i="57" s="1"/>
  <c r="M210" i="57" s="1"/>
  <c r="N210" i="57" s="1"/>
  <c r="O210" i="57" s="1"/>
  <c r="P210" i="57" s="1"/>
  <c r="Q210" i="57" s="1"/>
  <c r="R210" i="57" s="1"/>
  <c r="S210" i="57" s="1"/>
  <c r="AS210" i="57"/>
  <c r="AT210" i="57" s="1"/>
  <c r="AU210" i="57" s="1"/>
  <c r="AV210" i="57" s="1"/>
  <c r="AW210" i="57" s="1"/>
  <c r="AX210" i="57" s="1"/>
  <c r="AY210" i="57" s="1"/>
  <c r="AZ210" i="57" s="1"/>
  <c r="BA210" i="57" s="1"/>
  <c r="BB210" i="57" s="1"/>
  <c r="BC210" i="57" s="1"/>
  <c r="BD210" i="57" s="1"/>
  <c r="BE210" i="57" s="1"/>
  <c r="BF210" i="57" s="1"/>
  <c r="BG210" i="57" s="1"/>
  <c r="BH210" i="57" s="1"/>
  <c r="BI210" i="57" s="1"/>
  <c r="BJ210" i="57" s="1"/>
  <c r="BK210" i="57" s="1"/>
  <c r="BL210" i="57" s="1"/>
  <c r="BM210" i="57" s="1"/>
  <c r="BN210" i="57" s="1"/>
  <c r="BO210" i="57" s="1"/>
  <c r="BP210" i="57" s="1"/>
  <c r="BQ210" i="57" s="1"/>
  <c r="BR210" i="57" s="1"/>
  <c r="BS210" i="57" s="1"/>
  <c r="BT210" i="57" s="1"/>
  <c r="BU210" i="57" s="1"/>
  <c r="BV210" i="57" s="1"/>
  <c r="BW210" i="57" s="1"/>
  <c r="BX210" i="57" s="1"/>
  <c r="BY210" i="57" s="1"/>
  <c r="AJ124" i="4"/>
  <c r="AJ94" i="4"/>
  <c r="C191" i="57"/>
  <c r="D191" i="57" s="1"/>
  <c r="E191" i="57" s="1"/>
  <c r="AS191" i="57"/>
  <c r="AT191" i="57" s="1"/>
  <c r="AU191" i="57" s="1"/>
  <c r="AV191" i="57" s="1"/>
  <c r="AW191" i="57" s="1"/>
  <c r="AX191" i="57" s="1"/>
  <c r="AY191" i="57" s="1"/>
  <c r="AZ191" i="57" s="1"/>
  <c r="BA191" i="57" s="1"/>
  <c r="BB191" i="57" s="1"/>
  <c r="BC191" i="57" s="1"/>
  <c r="BD191" i="57" s="1"/>
  <c r="BE191" i="57" s="1"/>
  <c r="BF191" i="57" s="1"/>
  <c r="BG191" i="57" s="1"/>
  <c r="BH191" i="57" s="1"/>
  <c r="BI191" i="57" s="1"/>
  <c r="AS228" i="57"/>
  <c r="AT228" i="57" s="1"/>
  <c r="AU228" i="57" s="1"/>
  <c r="AV228" i="57" s="1"/>
  <c r="AW228" i="57" s="1"/>
  <c r="AX228" i="57" s="1"/>
  <c r="AY228" i="57" s="1"/>
  <c r="AZ228" i="57" s="1"/>
  <c r="BA228" i="57" s="1"/>
  <c r="BB228" i="57" s="1"/>
  <c r="BC228" i="57" s="1"/>
  <c r="BD228" i="57" s="1"/>
  <c r="BE228" i="57" s="1"/>
  <c r="BF228" i="57" s="1"/>
  <c r="BG228" i="57" s="1"/>
  <c r="BH228" i="57" s="1"/>
  <c r="BI228" i="57" s="1"/>
  <c r="BJ228" i="57" s="1"/>
  <c r="BK228" i="57" s="1"/>
  <c r="BL228" i="57" s="1"/>
  <c r="BM228" i="57" s="1"/>
  <c r="BN228" i="57" s="1"/>
  <c r="BO228" i="57" s="1"/>
  <c r="BP228" i="57" s="1"/>
  <c r="BQ228" i="57" s="1"/>
  <c r="C228" i="57"/>
  <c r="D228" i="57" s="1"/>
  <c r="E228" i="57" s="1"/>
  <c r="F228" i="57" s="1"/>
  <c r="G228" i="57" s="1"/>
  <c r="H228" i="57" s="1"/>
  <c r="I228" i="57" s="1"/>
  <c r="J228" i="57" s="1"/>
  <c r="K228" i="57" s="1"/>
  <c r="L228" i="57" s="1"/>
  <c r="M228" i="57" s="1"/>
  <c r="N228" i="57" s="1"/>
  <c r="O228" i="57" s="1"/>
  <c r="P228" i="57" s="1"/>
  <c r="Q228" i="57" s="1"/>
  <c r="R228" i="57" s="1"/>
  <c r="S228" i="57" s="1"/>
  <c r="AJ267" i="4"/>
  <c r="C89" i="57"/>
  <c r="D89" i="57" s="1"/>
  <c r="E89" i="57" s="1"/>
  <c r="F89" i="57" s="1"/>
  <c r="G89" i="57" s="1"/>
  <c r="H89" i="57" s="1"/>
  <c r="I89" i="57" s="1"/>
  <c r="J89" i="57" s="1"/>
  <c r="K89" i="57" s="1"/>
  <c r="L89" i="57" s="1"/>
  <c r="M89" i="57" s="1"/>
  <c r="N89" i="57" s="1"/>
  <c r="O89" i="57" s="1"/>
  <c r="P89" i="57" s="1"/>
  <c r="Q89" i="57" s="1"/>
  <c r="R89" i="57" s="1"/>
  <c r="S89" i="57" s="1"/>
  <c r="AS89" i="57"/>
  <c r="AT89" i="57" s="1"/>
  <c r="AU89" i="57" s="1"/>
  <c r="AV89" i="57" s="1"/>
  <c r="AW89" i="57" s="1"/>
  <c r="AX89" i="57" s="1"/>
  <c r="AY89" i="57" s="1"/>
  <c r="AZ89" i="57" s="1"/>
  <c r="BA89" i="57" s="1"/>
  <c r="BB89" i="57" s="1"/>
  <c r="BC89" i="57" s="1"/>
  <c r="BD89" i="57" s="1"/>
  <c r="BE89" i="57" s="1"/>
  <c r="BF89" i="57" s="1"/>
  <c r="BG89" i="57" s="1"/>
  <c r="BH89" i="57" s="1"/>
  <c r="BI89" i="57" s="1"/>
  <c r="BJ89" i="57" s="1"/>
  <c r="BK89" i="57" s="1"/>
  <c r="BL89" i="57" s="1"/>
  <c r="BM89" i="57" s="1"/>
  <c r="BN89" i="57" s="1"/>
  <c r="BO89" i="57" s="1"/>
  <c r="BP89" i="57" s="1"/>
  <c r="BQ89" i="57" s="1"/>
  <c r="BR89" i="57" s="1"/>
  <c r="BS89" i="57" s="1"/>
  <c r="BT89" i="57" s="1"/>
  <c r="BU89" i="57" s="1"/>
  <c r="BV89" i="57" s="1"/>
  <c r="BW89" i="57" s="1"/>
  <c r="BX89" i="57" s="1"/>
  <c r="BY89" i="57" s="1"/>
  <c r="AJ201" i="4"/>
  <c r="AJ16" i="4"/>
  <c r="AS111" i="57"/>
  <c r="AT111" i="57" s="1"/>
  <c r="AU111" i="57" s="1"/>
  <c r="AV111" i="57" s="1"/>
  <c r="AW111" i="57" s="1"/>
  <c r="AX111" i="57" s="1"/>
  <c r="AY111" i="57" s="1"/>
  <c r="AZ111" i="57" s="1"/>
  <c r="BA111" i="57" s="1"/>
  <c r="BB111" i="57" s="1"/>
  <c r="BC111" i="57" s="1"/>
  <c r="BD111" i="57" s="1"/>
  <c r="BE111" i="57" s="1"/>
  <c r="BF111" i="57" s="1"/>
  <c r="BG111" i="57" s="1"/>
  <c r="BH111" i="57" s="1"/>
  <c r="BI111" i="57" s="1"/>
  <c r="C111" i="57"/>
  <c r="D111" i="57" s="1"/>
  <c r="E111" i="57" s="1"/>
  <c r="C158" i="57"/>
  <c r="D158" i="57" s="1"/>
  <c r="E158" i="57" s="1"/>
  <c r="F158" i="57" s="1"/>
  <c r="G158" i="57" s="1"/>
  <c r="H158" i="57" s="1"/>
  <c r="I158" i="57" s="1"/>
  <c r="J158" i="57" s="1"/>
  <c r="K158" i="57" s="1"/>
  <c r="L158" i="57" s="1"/>
  <c r="M158" i="57" s="1"/>
  <c r="N158" i="57" s="1"/>
  <c r="O158" i="57" s="1"/>
  <c r="P158" i="57" s="1"/>
  <c r="Q158" i="57" s="1"/>
  <c r="R158" i="57" s="1"/>
  <c r="S158" i="57" s="1"/>
  <c r="T158" i="57" s="1"/>
  <c r="U158" i="57" s="1"/>
  <c r="V158" i="57" s="1"/>
  <c r="W158" i="57" s="1"/>
  <c r="X158" i="57" s="1"/>
  <c r="Y158" i="57" s="1"/>
  <c r="Z158" i="57" s="1"/>
  <c r="AA158" i="57" s="1"/>
  <c r="AB158" i="57" s="1"/>
  <c r="AC158" i="57" s="1"/>
  <c r="AD158" i="57" s="1"/>
  <c r="AE158" i="57" s="1"/>
  <c r="AF158" i="57" s="1"/>
  <c r="AG158" i="57" s="1"/>
  <c r="AH158" i="57" s="1"/>
  <c r="AI158" i="57" s="1"/>
  <c r="AS158" i="57"/>
  <c r="AT158" i="57" s="1"/>
  <c r="AU158" i="57" s="1"/>
  <c r="AV158" i="57" s="1"/>
  <c r="AW158" i="57" s="1"/>
  <c r="AX158" i="57" s="1"/>
  <c r="AY158" i="57" s="1"/>
  <c r="AZ158" i="57" s="1"/>
  <c r="BA158" i="57" s="1"/>
  <c r="BB158" i="57" s="1"/>
  <c r="BC158" i="57" s="1"/>
  <c r="BD158" i="57" s="1"/>
  <c r="BE158" i="57" s="1"/>
  <c r="BF158" i="57" s="1"/>
  <c r="BG158" i="57" s="1"/>
  <c r="BH158" i="57" s="1"/>
  <c r="BI158" i="57" s="1"/>
  <c r="BJ158" i="57" s="1"/>
  <c r="BK158" i="57" s="1"/>
  <c r="BL158" i="57" s="1"/>
  <c r="BM158" i="57" s="1"/>
  <c r="BN158" i="57" s="1"/>
  <c r="BO158" i="57" s="1"/>
  <c r="BP158" i="57" s="1"/>
  <c r="BQ158" i="57" s="1"/>
  <c r="BR158" i="57" s="1"/>
  <c r="BS158" i="57" s="1"/>
  <c r="BT158" i="57" s="1"/>
  <c r="BU158" i="57" s="1"/>
  <c r="BV158" i="57" s="1"/>
  <c r="BW158" i="57" s="1"/>
  <c r="BX158" i="57" s="1"/>
  <c r="BY158" i="57" s="1"/>
  <c r="C52" i="57"/>
  <c r="AS52" i="57"/>
  <c r="AT52" i="57" s="1"/>
  <c r="AU52" i="57" s="1"/>
  <c r="AV52" i="57" s="1"/>
  <c r="AW52" i="57" s="1"/>
  <c r="AX52" i="57" s="1"/>
  <c r="AY52" i="57" s="1"/>
  <c r="AZ52" i="57" s="1"/>
  <c r="BA52" i="57" s="1"/>
  <c r="BB52" i="57" s="1"/>
  <c r="BC52" i="57" s="1"/>
  <c r="BD52" i="57" s="1"/>
  <c r="BE52" i="57" s="1"/>
  <c r="BF52" i="57" s="1"/>
  <c r="BG52" i="57" s="1"/>
  <c r="BH52" i="57" s="1"/>
  <c r="BI52" i="57" s="1"/>
  <c r="BJ52" i="57" s="1"/>
  <c r="BK52" i="57" s="1"/>
  <c r="BL52" i="57" s="1"/>
  <c r="BM52" i="57" s="1"/>
  <c r="BN52" i="57" s="1"/>
  <c r="BO52" i="57" s="1"/>
  <c r="BP52" i="57" s="1"/>
  <c r="BQ52" i="57" s="1"/>
  <c r="BR52" i="57" s="1"/>
  <c r="BS52" i="57" s="1"/>
  <c r="BT52" i="57" s="1"/>
  <c r="BU52" i="57" s="1"/>
  <c r="BV52" i="57" s="1"/>
  <c r="BW52" i="57" s="1"/>
  <c r="BX52" i="57" s="1"/>
  <c r="BY52" i="57" s="1"/>
  <c r="AJ29" i="4"/>
  <c r="C41" i="57"/>
  <c r="AS41" i="57"/>
  <c r="AT41" i="57" s="1"/>
  <c r="AU41" i="57" s="1"/>
  <c r="AV41" i="57" s="1"/>
  <c r="AW41" i="57" s="1"/>
  <c r="AX41" i="57" s="1"/>
  <c r="AY41" i="57" s="1"/>
  <c r="AZ41" i="57" s="1"/>
  <c r="BA41" i="57" s="1"/>
  <c r="BB41" i="57" s="1"/>
  <c r="BC41" i="57" s="1"/>
  <c r="BD41" i="57" s="1"/>
  <c r="BE41" i="57" s="1"/>
  <c r="BF41" i="57" s="1"/>
  <c r="BG41" i="57" s="1"/>
  <c r="BH41" i="57" s="1"/>
  <c r="BI41" i="57" s="1"/>
  <c r="C155" i="57"/>
  <c r="D155" i="57" s="1"/>
  <c r="E155" i="57" s="1"/>
  <c r="F155" i="57" s="1"/>
  <c r="G155" i="57" s="1"/>
  <c r="H155" i="57" s="1"/>
  <c r="I155" i="57" s="1"/>
  <c r="J155" i="57" s="1"/>
  <c r="K155" i="57" s="1"/>
  <c r="L155" i="57" s="1"/>
  <c r="M155" i="57" s="1"/>
  <c r="N155" i="57" s="1"/>
  <c r="O155" i="57" s="1"/>
  <c r="P155" i="57" s="1"/>
  <c r="Q155" i="57" s="1"/>
  <c r="R155" i="57" s="1"/>
  <c r="S155" i="57" s="1"/>
  <c r="T155" i="57" s="1"/>
  <c r="U155" i="57" s="1"/>
  <c r="V155" i="57" s="1"/>
  <c r="W155" i="57" s="1"/>
  <c r="X155" i="57" s="1"/>
  <c r="Y155" i="57" s="1"/>
  <c r="Z155" i="57" s="1"/>
  <c r="AA155" i="57" s="1"/>
  <c r="AB155" i="57" s="1"/>
  <c r="AC155" i="57" s="1"/>
  <c r="AD155" i="57" s="1"/>
  <c r="AE155" i="57" s="1"/>
  <c r="AF155" i="57" s="1"/>
  <c r="AG155" i="57" s="1"/>
  <c r="AH155" i="57" s="1"/>
  <c r="AI155" i="57" s="1"/>
  <c r="AS155" i="57"/>
  <c r="AT155" i="57" s="1"/>
  <c r="AU155" i="57" s="1"/>
  <c r="AV155" i="57" s="1"/>
  <c r="AW155" i="57" s="1"/>
  <c r="AX155" i="57" s="1"/>
  <c r="AY155" i="57" s="1"/>
  <c r="AZ155" i="57" s="1"/>
  <c r="BA155" i="57" s="1"/>
  <c r="BB155" i="57" s="1"/>
  <c r="BC155" i="57" s="1"/>
  <c r="BD155" i="57" s="1"/>
  <c r="BE155" i="57" s="1"/>
  <c r="BF155" i="57" s="1"/>
  <c r="BG155" i="57" s="1"/>
  <c r="BH155" i="57" s="1"/>
  <c r="BI155" i="57" s="1"/>
  <c r="AJ96" i="4"/>
  <c r="AR59" i="62"/>
  <c r="AS125" i="57"/>
  <c r="AT125" i="57" s="1"/>
  <c r="AU125" i="57" s="1"/>
  <c r="AV125" i="57" s="1"/>
  <c r="AW125" i="57" s="1"/>
  <c r="AX125" i="57" s="1"/>
  <c r="AY125" i="57" s="1"/>
  <c r="AZ125" i="57" s="1"/>
  <c r="BA125" i="57" s="1"/>
  <c r="BB125" i="57" s="1"/>
  <c r="BC125" i="57" s="1"/>
  <c r="BD125" i="57" s="1"/>
  <c r="BE125" i="57" s="1"/>
  <c r="BF125" i="57" s="1"/>
  <c r="BG125" i="57" s="1"/>
  <c r="BH125" i="57" s="1"/>
  <c r="BI125" i="57" s="1"/>
  <c r="BJ125" i="57" s="1"/>
  <c r="BK125" i="57" s="1"/>
  <c r="BL125" i="57" s="1"/>
  <c r="BM125" i="57" s="1"/>
  <c r="BN125" i="57" s="1"/>
  <c r="BO125" i="57" s="1"/>
  <c r="BP125" i="57" s="1"/>
  <c r="BQ125" i="57" s="1"/>
  <c r="BR125" i="57" s="1"/>
  <c r="BS125" i="57" s="1"/>
  <c r="BT125" i="57" s="1"/>
  <c r="BU125" i="57" s="1"/>
  <c r="BV125" i="57" s="1"/>
  <c r="BW125" i="57" s="1"/>
  <c r="BX125" i="57" s="1"/>
  <c r="BY125" i="57" s="1"/>
  <c r="C125" i="57"/>
  <c r="AS212" i="57"/>
  <c r="AT212" i="57" s="1"/>
  <c r="AU212" i="57" s="1"/>
  <c r="AV212" i="57" s="1"/>
  <c r="AW212" i="57" s="1"/>
  <c r="AX212" i="57" s="1"/>
  <c r="AY212" i="57" s="1"/>
  <c r="AZ212" i="57" s="1"/>
  <c r="BA212" i="57" s="1"/>
  <c r="BB212" i="57" s="1"/>
  <c r="BC212" i="57" s="1"/>
  <c r="BD212" i="57" s="1"/>
  <c r="BE212" i="57" s="1"/>
  <c r="BF212" i="57" s="1"/>
  <c r="BG212" i="57" s="1"/>
  <c r="BH212" i="57" s="1"/>
  <c r="BI212" i="57" s="1"/>
  <c r="BJ212" i="57" s="1"/>
  <c r="BK212" i="57" s="1"/>
  <c r="BL212" i="57" s="1"/>
  <c r="BM212" i="57" s="1"/>
  <c r="BN212" i="57" s="1"/>
  <c r="BO212" i="57" s="1"/>
  <c r="BP212" i="57" s="1"/>
  <c r="BQ212" i="57" s="1"/>
  <c r="BR212" i="57" s="1"/>
  <c r="BS212" i="57" s="1"/>
  <c r="BT212" i="57" s="1"/>
  <c r="BU212" i="57" s="1"/>
  <c r="BV212" i="57" s="1"/>
  <c r="BW212" i="57" s="1"/>
  <c r="BX212" i="57" s="1"/>
  <c r="BY212" i="57" s="1"/>
  <c r="C212" i="57"/>
  <c r="D212" i="57" s="1"/>
  <c r="E212" i="57" s="1"/>
  <c r="AS185" i="57"/>
  <c r="C185" i="57"/>
  <c r="D185" i="57" s="1"/>
  <c r="E185" i="57" s="1"/>
  <c r="AR83" i="62"/>
  <c r="AJ235" i="4"/>
  <c r="AS72" i="57"/>
  <c r="AT72" i="57" s="1"/>
  <c r="AU72" i="57" s="1"/>
  <c r="AV72" i="57" s="1"/>
  <c r="AW72" i="57" s="1"/>
  <c r="AX72" i="57" s="1"/>
  <c r="AY72" i="57" s="1"/>
  <c r="AZ72" i="57" s="1"/>
  <c r="BA72" i="57" s="1"/>
  <c r="BB72" i="57" s="1"/>
  <c r="BC72" i="57" s="1"/>
  <c r="BD72" i="57" s="1"/>
  <c r="BE72" i="57" s="1"/>
  <c r="BF72" i="57" s="1"/>
  <c r="BG72" i="57" s="1"/>
  <c r="BH72" i="57" s="1"/>
  <c r="BI72" i="57" s="1"/>
  <c r="BJ72" i="57" s="1"/>
  <c r="BK72" i="57" s="1"/>
  <c r="BL72" i="57" s="1"/>
  <c r="BM72" i="57" s="1"/>
  <c r="BN72" i="57" s="1"/>
  <c r="BO72" i="57" s="1"/>
  <c r="BP72" i="57" s="1"/>
  <c r="BQ72" i="57" s="1"/>
  <c r="BR72" i="57" s="1"/>
  <c r="BS72" i="57" s="1"/>
  <c r="BT72" i="57" s="1"/>
  <c r="BU72" i="57" s="1"/>
  <c r="BV72" i="57" s="1"/>
  <c r="BW72" i="57" s="1"/>
  <c r="BX72" i="57" s="1"/>
  <c r="BY72" i="57" s="1"/>
  <c r="C72" i="57"/>
  <c r="AJ187" i="4"/>
  <c r="AJ259" i="4"/>
  <c r="AJ48" i="4"/>
  <c r="AJ142" i="4"/>
  <c r="AJ195" i="4"/>
  <c r="AR135" i="62"/>
  <c r="AJ104" i="4"/>
  <c r="C128" i="57"/>
  <c r="D128" i="57" s="1"/>
  <c r="E128" i="57" s="1"/>
  <c r="F128" i="57" s="1"/>
  <c r="G128" i="57" s="1"/>
  <c r="H128" i="57" s="1"/>
  <c r="I128" i="57" s="1"/>
  <c r="J128" i="57" s="1"/>
  <c r="K128" i="57" s="1"/>
  <c r="L128" i="57" s="1"/>
  <c r="M128" i="57" s="1"/>
  <c r="N128" i="57" s="1"/>
  <c r="O128" i="57" s="1"/>
  <c r="P128" i="57" s="1"/>
  <c r="Q128" i="57" s="1"/>
  <c r="R128" i="57" s="1"/>
  <c r="S128" i="57" s="1"/>
  <c r="AS128" i="57"/>
  <c r="AT128" i="57" s="1"/>
  <c r="AU128" i="57" s="1"/>
  <c r="AV128" i="57" s="1"/>
  <c r="AW128" i="57" s="1"/>
  <c r="AX128" i="57" s="1"/>
  <c r="AY128" i="57" s="1"/>
  <c r="AZ128" i="57" s="1"/>
  <c r="BA128" i="57" s="1"/>
  <c r="BB128" i="57" s="1"/>
  <c r="BC128" i="57" s="1"/>
  <c r="BD128" i="57" s="1"/>
  <c r="BE128" i="57" s="1"/>
  <c r="BF128" i="57" s="1"/>
  <c r="BG128" i="57" s="1"/>
  <c r="BH128" i="57" s="1"/>
  <c r="BI128" i="57" s="1"/>
  <c r="BJ128" i="57" s="1"/>
  <c r="BK128" i="57" s="1"/>
  <c r="BL128" i="57" s="1"/>
  <c r="BM128" i="57" s="1"/>
  <c r="BN128" i="57" s="1"/>
  <c r="BO128" i="57" s="1"/>
  <c r="BP128" i="57" s="1"/>
  <c r="BQ128" i="57" s="1"/>
  <c r="BR128" i="57" s="1"/>
  <c r="BS128" i="57" s="1"/>
  <c r="BT128" i="57" s="1"/>
  <c r="BU128" i="57" s="1"/>
  <c r="BV128" i="57" s="1"/>
  <c r="BW128" i="57" s="1"/>
  <c r="BX128" i="57" s="1"/>
  <c r="BY128" i="57" s="1"/>
  <c r="AJ90" i="4"/>
  <c r="AJ56" i="4"/>
  <c r="AR67" i="62"/>
  <c r="AJ121" i="4"/>
  <c r="C34" i="57"/>
  <c r="C69" i="62" s="1"/>
  <c r="AJ236" i="4"/>
  <c r="AS207" i="57"/>
  <c r="AT207" i="57" s="1"/>
  <c r="AU207" i="57" s="1"/>
  <c r="AV207" i="57" s="1"/>
  <c r="AW207" i="57" s="1"/>
  <c r="AX207" i="57" s="1"/>
  <c r="AY207" i="57" s="1"/>
  <c r="AZ207" i="57" s="1"/>
  <c r="BA207" i="57" s="1"/>
  <c r="BB207" i="57" s="1"/>
  <c r="BC207" i="57" s="1"/>
  <c r="BD207" i="57" s="1"/>
  <c r="BE207" i="57" s="1"/>
  <c r="BF207" i="57" s="1"/>
  <c r="BG207" i="57" s="1"/>
  <c r="BH207" i="57" s="1"/>
  <c r="BI207" i="57" s="1"/>
  <c r="C207" i="57"/>
  <c r="AJ197" i="4"/>
  <c r="AJ119" i="4"/>
  <c r="AJ173" i="4"/>
  <c r="AR173" i="62"/>
  <c r="C206" i="57"/>
  <c r="D206" i="57" s="1"/>
  <c r="E206" i="57" s="1"/>
  <c r="F206" i="57" s="1"/>
  <c r="G206" i="57" s="1"/>
  <c r="H206" i="57" s="1"/>
  <c r="I206" i="57" s="1"/>
  <c r="J206" i="57" s="1"/>
  <c r="K206" i="57" s="1"/>
  <c r="L206" i="57" s="1"/>
  <c r="M206" i="57" s="1"/>
  <c r="N206" i="57" s="1"/>
  <c r="O206" i="57" s="1"/>
  <c r="P206" i="57" s="1"/>
  <c r="Q206" i="57" s="1"/>
  <c r="R206" i="57" s="1"/>
  <c r="S206" i="57" s="1"/>
  <c r="AS206" i="57"/>
  <c r="AT206" i="57" s="1"/>
  <c r="AU206" i="57" s="1"/>
  <c r="AV206" i="57" s="1"/>
  <c r="AW206" i="57" s="1"/>
  <c r="AX206" i="57" s="1"/>
  <c r="AY206" i="57" s="1"/>
  <c r="AZ206" i="57" s="1"/>
  <c r="BA206" i="57" s="1"/>
  <c r="BB206" i="57" s="1"/>
  <c r="BC206" i="57" s="1"/>
  <c r="BD206" i="57" s="1"/>
  <c r="BE206" i="57" s="1"/>
  <c r="BF206" i="57" s="1"/>
  <c r="BG206" i="57" s="1"/>
  <c r="BH206" i="57" s="1"/>
  <c r="BI206" i="57" s="1"/>
  <c r="AJ188" i="4"/>
  <c r="AJ181" i="4"/>
  <c r="C132" i="57"/>
  <c r="AS132" i="57"/>
  <c r="AT132" i="57" s="1"/>
  <c r="AU132" i="57" s="1"/>
  <c r="AV132" i="57" s="1"/>
  <c r="AW132" i="57" s="1"/>
  <c r="AX132" i="57" s="1"/>
  <c r="AY132" i="57" s="1"/>
  <c r="AZ132" i="57" s="1"/>
  <c r="BA132" i="57" s="1"/>
  <c r="BB132" i="57" s="1"/>
  <c r="BC132" i="57" s="1"/>
  <c r="BD132" i="57" s="1"/>
  <c r="BE132" i="57" s="1"/>
  <c r="BF132" i="57" s="1"/>
  <c r="BG132" i="57" s="1"/>
  <c r="BH132" i="57" s="1"/>
  <c r="BI132" i="57" s="1"/>
  <c r="C92" i="57"/>
  <c r="D92" i="57" s="1"/>
  <c r="E92" i="57" s="1"/>
  <c r="F92" i="57" s="1"/>
  <c r="G92" i="57" s="1"/>
  <c r="H92" i="57" s="1"/>
  <c r="I92" i="57" s="1"/>
  <c r="J92" i="57" s="1"/>
  <c r="K92" i="57" s="1"/>
  <c r="L92" i="57" s="1"/>
  <c r="M92" i="57" s="1"/>
  <c r="N92" i="57" s="1"/>
  <c r="O92" i="57" s="1"/>
  <c r="P92" i="57" s="1"/>
  <c r="Q92" i="57" s="1"/>
  <c r="R92" i="57" s="1"/>
  <c r="S92" i="57" s="1"/>
  <c r="T92" i="57" s="1"/>
  <c r="U92" i="57" s="1"/>
  <c r="V92" i="57" s="1"/>
  <c r="W92" i="57" s="1"/>
  <c r="X92" i="57" s="1"/>
  <c r="Y92" i="57" s="1"/>
  <c r="Z92" i="57" s="1"/>
  <c r="AA92" i="57" s="1"/>
  <c r="AB92" i="57" s="1"/>
  <c r="AC92" i="57" s="1"/>
  <c r="AD92" i="57" s="1"/>
  <c r="AE92" i="57" s="1"/>
  <c r="AF92" i="57" s="1"/>
  <c r="AG92" i="57" s="1"/>
  <c r="AH92" i="57" s="1"/>
  <c r="AI92" i="57" s="1"/>
  <c r="AS92" i="57"/>
  <c r="AT92" i="57" s="1"/>
  <c r="AU92" i="57" s="1"/>
  <c r="AV92" i="57" s="1"/>
  <c r="AW92" i="57" s="1"/>
  <c r="AX92" i="57" s="1"/>
  <c r="AY92" i="57" s="1"/>
  <c r="AZ92" i="57" s="1"/>
  <c r="BA92" i="57" s="1"/>
  <c r="BB92" i="57" s="1"/>
  <c r="BC92" i="57" s="1"/>
  <c r="BD92" i="57" s="1"/>
  <c r="BE92" i="57" s="1"/>
  <c r="BF92" i="57" s="1"/>
  <c r="BG92" i="57" s="1"/>
  <c r="BH92" i="57" s="1"/>
  <c r="BI92" i="57" s="1"/>
  <c r="AS80" i="57"/>
  <c r="AT80" i="57" s="1"/>
  <c r="AU80" i="57" s="1"/>
  <c r="AV80" i="57" s="1"/>
  <c r="AW80" i="57" s="1"/>
  <c r="AX80" i="57" s="1"/>
  <c r="AY80" i="57" s="1"/>
  <c r="AZ80" i="57" s="1"/>
  <c r="BA80" i="57" s="1"/>
  <c r="BB80" i="57" s="1"/>
  <c r="BC80" i="57" s="1"/>
  <c r="BD80" i="57" s="1"/>
  <c r="BE80" i="57" s="1"/>
  <c r="BF80" i="57" s="1"/>
  <c r="BG80" i="57" s="1"/>
  <c r="BH80" i="57" s="1"/>
  <c r="BI80" i="57" s="1"/>
  <c r="C80" i="57"/>
  <c r="C161" i="62" s="1"/>
  <c r="AJ154" i="4"/>
  <c r="AS116" i="57"/>
  <c r="AT116" i="57" s="1"/>
  <c r="AU116" i="57" s="1"/>
  <c r="AV116" i="57" s="1"/>
  <c r="AW116" i="57" s="1"/>
  <c r="AX116" i="57" s="1"/>
  <c r="AY116" i="57" s="1"/>
  <c r="AZ116" i="57" s="1"/>
  <c r="BA116" i="57" s="1"/>
  <c r="BB116" i="57" s="1"/>
  <c r="BC116" i="57" s="1"/>
  <c r="BD116" i="57" s="1"/>
  <c r="BE116" i="57" s="1"/>
  <c r="BF116" i="57" s="1"/>
  <c r="BG116" i="57" s="1"/>
  <c r="BH116" i="57" s="1"/>
  <c r="BI116" i="57" s="1"/>
  <c r="BJ116" i="57" s="1"/>
  <c r="BK116" i="57" s="1"/>
  <c r="BL116" i="57" s="1"/>
  <c r="BM116" i="57" s="1"/>
  <c r="BN116" i="57" s="1"/>
  <c r="BO116" i="57" s="1"/>
  <c r="BP116" i="57" s="1"/>
  <c r="BQ116" i="57" s="1"/>
  <c r="BR116" i="57" s="1"/>
  <c r="BS116" i="57" s="1"/>
  <c r="BT116" i="57" s="1"/>
  <c r="BU116" i="57" s="1"/>
  <c r="BV116" i="57" s="1"/>
  <c r="BW116" i="57" s="1"/>
  <c r="BX116" i="57" s="1"/>
  <c r="BY116" i="57" s="1"/>
  <c r="C116" i="57"/>
  <c r="D116" i="57" s="1"/>
  <c r="E116" i="57" s="1"/>
  <c r="F116" i="57" s="1"/>
  <c r="G116" i="57" s="1"/>
  <c r="H116" i="57" s="1"/>
  <c r="I116" i="57" s="1"/>
  <c r="J116" i="57" s="1"/>
  <c r="K116" i="57" s="1"/>
  <c r="L116" i="57" s="1"/>
  <c r="M116" i="57" s="1"/>
  <c r="N116" i="57" s="1"/>
  <c r="O116" i="57" s="1"/>
  <c r="P116" i="57" s="1"/>
  <c r="Q116" i="57" s="1"/>
  <c r="R116" i="57" s="1"/>
  <c r="S116" i="57" s="1"/>
  <c r="T116" i="57" s="1"/>
  <c r="U116" i="57" s="1"/>
  <c r="V116" i="57" s="1"/>
  <c r="W116" i="57" s="1"/>
  <c r="X116" i="57" s="1"/>
  <c r="Y116" i="57" s="1"/>
  <c r="Z116" i="57" s="1"/>
  <c r="AA116" i="57" s="1"/>
  <c r="AB116" i="57" s="1"/>
  <c r="AC116" i="57" s="1"/>
  <c r="AD116" i="57" s="1"/>
  <c r="AE116" i="57" s="1"/>
  <c r="AF116" i="57" s="1"/>
  <c r="AG116" i="57" s="1"/>
  <c r="AH116" i="57" s="1"/>
  <c r="AI116" i="57" s="1"/>
  <c r="AS56" i="57"/>
  <c r="AT56" i="57" s="1"/>
  <c r="AU56" i="57" s="1"/>
  <c r="AV56" i="57" s="1"/>
  <c r="AW56" i="57" s="1"/>
  <c r="AX56" i="57" s="1"/>
  <c r="AY56" i="57" s="1"/>
  <c r="AZ56" i="57" s="1"/>
  <c r="BA56" i="57" s="1"/>
  <c r="BB56" i="57" s="1"/>
  <c r="BC56" i="57" s="1"/>
  <c r="BD56" i="57" s="1"/>
  <c r="BE56" i="57" s="1"/>
  <c r="BF56" i="57" s="1"/>
  <c r="BG56" i="57" s="1"/>
  <c r="BH56" i="57" s="1"/>
  <c r="BI56" i="57" s="1"/>
  <c r="C56" i="57"/>
  <c r="D56" i="57" s="1"/>
  <c r="E56" i="57" s="1"/>
  <c r="F56" i="57" s="1"/>
  <c r="G56" i="57" s="1"/>
  <c r="H56" i="57" s="1"/>
  <c r="I56" i="57" s="1"/>
  <c r="J56" i="57" s="1"/>
  <c r="K56" i="57" s="1"/>
  <c r="L56" i="57" s="1"/>
  <c r="M56" i="57" s="1"/>
  <c r="N56" i="57" s="1"/>
  <c r="O56" i="57" s="1"/>
  <c r="P56" i="57" s="1"/>
  <c r="Q56" i="57" s="1"/>
  <c r="R56" i="57" s="1"/>
  <c r="S56" i="57" s="1"/>
  <c r="T56" i="57" s="1"/>
  <c r="U56" i="57" s="1"/>
  <c r="V56" i="57" s="1"/>
  <c r="W56" i="57" s="1"/>
  <c r="X56" i="57" s="1"/>
  <c r="Y56" i="57" s="1"/>
  <c r="Z56" i="57" s="1"/>
  <c r="AA56" i="57" s="1"/>
  <c r="AB56" i="57" s="1"/>
  <c r="AC56" i="57" s="1"/>
  <c r="AD56" i="57" s="1"/>
  <c r="AE56" i="57" s="1"/>
  <c r="AF56" i="57" s="1"/>
  <c r="AG56" i="57" s="1"/>
  <c r="AH56" i="57" s="1"/>
  <c r="AI56" i="57" s="1"/>
  <c r="AJ78" i="4"/>
  <c r="AR115" i="62"/>
  <c r="AJ261" i="4"/>
  <c r="AR161" i="62"/>
  <c r="C26" i="57"/>
  <c r="AJ110" i="4"/>
  <c r="AS120" i="57"/>
  <c r="AT120" i="57" s="1"/>
  <c r="AU120" i="57" s="1"/>
  <c r="AV120" i="57" s="1"/>
  <c r="AW120" i="57" s="1"/>
  <c r="AX120" i="57" s="1"/>
  <c r="AY120" i="57" s="1"/>
  <c r="AZ120" i="57" s="1"/>
  <c r="BA120" i="57" s="1"/>
  <c r="BB120" i="57" s="1"/>
  <c r="BC120" i="57" s="1"/>
  <c r="BD120" i="57" s="1"/>
  <c r="BE120" i="57" s="1"/>
  <c r="BF120" i="57" s="1"/>
  <c r="BG120" i="57" s="1"/>
  <c r="BH120" i="57" s="1"/>
  <c r="BI120" i="57" s="1"/>
  <c r="BJ120" i="57" s="1"/>
  <c r="BK120" i="57" s="1"/>
  <c r="BL120" i="57" s="1"/>
  <c r="BM120" i="57" s="1"/>
  <c r="BN120" i="57" s="1"/>
  <c r="BO120" i="57" s="1"/>
  <c r="BP120" i="57" s="1"/>
  <c r="BQ120" i="57" s="1"/>
  <c r="BR120" i="57" s="1"/>
  <c r="BS120" i="57" s="1"/>
  <c r="BT120" i="57" s="1"/>
  <c r="BU120" i="57" s="1"/>
  <c r="BV120" i="57" s="1"/>
  <c r="BW120" i="57" s="1"/>
  <c r="BX120" i="57" s="1"/>
  <c r="BY120" i="57" s="1"/>
  <c r="C120" i="57"/>
  <c r="D120" i="57" s="1"/>
  <c r="E120" i="57" s="1"/>
  <c r="F120" i="57" s="1"/>
  <c r="G120" i="57" s="1"/>
  <c r="H120" i="57" s="1"/>
  <c r="I120" i="57" s="1"/>
  <c r="J120" i="57" s="1"/>
  <c r="K120" i="57" s="1"/>
  <c r="L120" i="57" s="1"/>
  <c r="M120" i="57" s="1"/>
  <c r="N120" i="57" s="1"/>
  <c r="O120" i="57" s="1"/>
  <c r="P120" i="57" s="1"/>
  <c r="Q120" i="57" s="1"/>
  <c r="R120" i="57" s="1"/>
  <c r="S120" i="57" s="1"/>
  <c r="T120" i="57" s="1"/>
  <c r="U120" i="57" s="1"/>
  <c r="V120" i="57" s="1"/>
  <c r="W120" i="57" s="1"/>
  <c r="X120" i="57" s="1"/>
  <c r="Y120" i="57" s="1"/>
  <c r="Z120" i="57" s="1"/>
  <c r="AA120" i="57" s="1"/>
  <c r="AB120" i="57" s="1"/>
  <c r="AC120" i="57" s="1"/>
  <c r="AD120" i="57" s="1"/>
  <c r="AE120" i="57" s="1"/>
  <c r="AF120" i="57" s="1"/>
  <c r="AG120" i="57" s="1"/>
  <c r="AH120" i="57" s="1"/>
  <c r="AI120" i="57" s="1"/>
  <c r="C193" i="57"/>
  <c r="AS193" i="57"/>
  <c r="AT193" i="57" s="1"/>
  <c r="AU193" i="57" s="1"/>
  <c r="AV193" i="57" s="1"/>
  <c r="AW193" i="57" s="1"/>
  <c r="AX193" i="57" s="1"/>
  <c r="AY193" i="57" s="1"/>
  <c r="AZ193" i="57" s="1"/>
  <c r="BA193" i="57" s="1"/>
  <c r="BB193" i="57" s="1"/>
  <c r="BC193" i="57" s="1"/>
  <c r="BD193" i="57" s="1"/>
  <c r="BE193" i="57" s="1"/>
  <c r="BF193" i="57" s="1"/>
  <c r="BG193" i="57" s="1"/>
  <c r="BH193" i="57" s="1"/>
  <c r="BI193" i="57" s="1"/>
  <c r="AJ101" i="4"/>
  <c r="AS108" i="57"/>
  <c r="C108" i="57"/>
  <c r="D108" i="57" s="1"/>
  <c r="E108" i="57" s="1"/>
  <c r="F108" i="57" s="1"/>
  <c r="G108" i="57" s="1"/>
  <c r="H108" i="57" s="1"/>
  <c r="I108" i="57" s="1"/>
  <c r="J108" i="57" s="1"/>
  <c r="K108" i="57" s="1"/>
  <c r="L108" i="57" s="1"/>
  <c r="M108" i="57" s="1"/>
  <c r="N108" i="57" s="1"/>
  <c r="O108" i="57" s="1"/>
  <c r="P108" i="57" s="1"/>
  <c r="Q108" i="57" s="1"/>
  <c r="R108" i="57" s="1"/>
  <c r="S108" i="57" s="1"/>
  <c r="T108" i="57" s="1"/>
  <c r="U108" i="57" s="1"/>
  <c r="V108" i="57" s="1"/>
  <c r="W108" i="57" s="1"/>
  <c r="X108" i="57" s="1"/>
  <c r="Y108" i="57" s="1"/>
  <c r="Z108" i="57" s="1"/>
  <c r="AA108" i="57" s="1"/>
  <c r="AB108" i="57" s="1"/>
  <c r="AC108" i="57" s="1"/>
  <c r="AD108" i="57" s="1"/>
  <c r="AE108" i="57" s="1"/>
  <c r="AF108" i="57" s="1"/>
  <c r="AG108" i="57" s="1"/>
  <c r="AH108" i="57" s="1"/>
  <c r="AI108" i="57" s="1"/>
  <c r="AJ153" i="4"/>
  <c r="AR171" i="62"/>
  <c r="AJ213" i="4"/>
  <c r="AJ145" i="4"/>
  <c r="AJ35" i="4"/>
  <c r="AJ42" i="4"/>
  <c r="AJ112" i="4"/>
  <c r="AJ232" i="4"/>
  <c r="AJ17" i="4"/>
  <c r="AJ38" i="4"/>
  <c r="AS135" i="57"/>
  <c r="AT135" i="57" s="1"/>
  <c r="AU135" i="57" s="1"/>
  <c r="AV135" i="57" s="1"/>
  <c r="AW135" i="57" s="1"/>
  <c r="AX135" i="57" s="1"/>
  <c r="AY135" i="57" s="1"/>
  <c r="AZ135" i="57" s="1"/>
  <c r="BA135" i="57" s="1"/>
  <c r="BB135" i="57" s="1"/>
  <c r="BC135" i="57" s="1"/>
  <c r="BD135" i="57" s="1"/>
  <c r="BE135" i="57" s="1"/>
  <c r="BF135" i="57" s="1"/>
  <c r="BG135" i="57" s="1"/>
  <c r="BH135" i="57" s="1"/>
  <c r="BI135" i="57" s="1"/>
  <c r="BJ135" i="57" s="1"/>
  <c r="BK135" i="57" s="1"/>
  <c r="BL135" i="57" s="1"/>
  <c r="BM135" i="57" s="1"/>
  <c r="BN135" i="57" s="1"/>
  <c r="BO135" i="57" s="1"/>
  <c r="BP135" i="57" s="1"/>
  <c r="BQ135" i="57" s="1"/>
  <c r="BR135" i="57" s="1"/>
  <c r="BS135" i="57" s="1"/>
  <c r="BT135" i="57" s="1"/>
  <c r="BU135" i="57" s="1"/>
  <c r="BV135" i="57" s="1"/>
  <c r="BW135" i="57" s="1"/>
  <c r="BX135" i="57" s="1"/>
  <c r="BY135" i="57" s="1"/>
  <c r="C135" i="57"/>
  <c r="D135" i="57" s="1"/>
  <c r="E135" i="57" s="1"/>
  <c r="F135" i="57" s="1"/>
  <c r="G135" i="57" s="1"/>
  <c r="H135" i="57" s="1"/>
  <c r="I135" i="57" s="1"/>
  <c r="J135" i="57" s="1"/>
  <c r="K135" i="57" s="1"/>
  <c r="L135" i="57" s="1"/>
  <c r="M135" i="57" s="1"/>
  <c r="N135" i="57" s="1"/>
  <c r="O135" i="57" s="1"/>
  <c r="P135" i="57" s="1"/>
  <c r="Q135" i="57" s="1"/>
  <c r="R135" i="57" s="1"/>
  <c r="S135" i="57" s="1"/>
  <c r="T135" i="57" s="1"/>
  <c r="U135" i="57" s="1"/>
  <c r="V135" i="57" s="1"/>
  <c r="W135" i="57" s="1"/>
  <c r="X135" i="57" s="1"/>
  <c r="Y135" i="57" s="1"/>
  <c r="Z135" i="57" s="1"/>
  <c r="AA135" i="57" s="1"/>
  <c r="AB135" i="57" s="1"/>
  <c r="AC135" i="57" s="1"/>
  <c r="AD135" i="57" s="1"/>
  <c r="AE135" i="57" s="1"/>
  <c r="AF135" i="57" s="1"/>
  <c r="AG135" i="57" s="1"/>
  <c r="AH135" i="57" s="1"/>
  <c r="AI135" i="57" s="1"/>
  <c r="AS93" i="57"/>
  <c r="AT93" i="57" s="1"/>
  <c r="AU93" i="57" s="1"/>
  <c r="AV93" i="57" s="1"/>
  <c r="AW93" i="57" s="1"/>
  <c r="AX93" i="57" s="1"/>
  <c r="AY93" i="57" s="1"/>
  <c r="AZ93" i="57" s="1"/>
  <c r="BA93" i="57" s="1"/>
  <c r="BB93" i="57" s="1"/>
  <c r="BC93" i="57" s="1"/>
  <c r="BD93" i="57" s="1"/>
  <c r="BE93" i="57" s="1"/>
  <c r="BF93" i="57" s="1"/>
  <c r="BG93" i="57" s="1"/>
  <c r="BH93" i="57" s="1"/>
  <c r="BI93" i="57" s="1"/>
  <c r="BJ93" i="57" s="1"/>
  <c r="BK93" i="57" s="1"/>
  <c r="BL93" i="57" s="1"/>
  <c r="BM93" i="57" s="1"/>
  <c r="BN93" i="57" s="1"/>
  <c r="BO93" i="57" s="1"/>
  <c r="BP93" i="57" s="1"/>
  <c r="BQ93" i="57" s="1"/>
  <c r="BR93" i="57" s="1"/>
  <c r="BS93" i="57" s="1"/>
  <c r="BT93" i="57" s="1"/>
  <c r="BU93" i="57" s="1"/>
  <c r="BV93" i="57" s="1"/>
  <c r="BW93" i="57" s="1"/>
  <c r="BX93" i="57" s="1"/>
  <c r="BY93" i="57" s="1"/>
  <c r="C93" i="57"/>
  <c r="D93" i="57" s="1"/>
  <c r="E93" i="57" s="1"/>
  <c r="F93" i="57" s="1"/>
  <c r="G93" i="57" s="1"/>
  <c r="H93" i="57" s="1"/>
  <c r="I93" i="57" s="1"/>
  <c r="J93" i="57" s="1"/>
  <c r="K93" i="57" s="1"/>
  <c r="L93" i="57" s="1"/>
  <c r="M93" i="57" s="1"/>
  <c r="N93" i="57" s="1"/>
  <c r="O93" i="57" s="1"/>
  <c r="P93" i="57" s="1"/>
  <c r="Q93" i="57" s="1"/>
  <c r="R93" i="57" s="1"/>
  <c r="S93" i="57" s="1"/>
  <c r="T93" i="57" s="1"/>
  <c r="U93" i="57" s="1"/>
  <c r="V93" i="57" s="1"/>
  <c r="W93" i="57" s="1"/>
  <c r="X93" i="57" s="1"/>
  <c r="Y93" i="57" s="1"/>
  <c r="Z93" i="57" s="1"/>
  <c r="AA93" i="57" s="1"/>
  <c r="AB93" i="57" s="1"/>
  <c r="AC93" i="57" s="1"/>
  <c r="AD93" i="57" s="1"/>
  <c r="AE93" i="57" s="1"/>
  <c r="AF93" i="57" s="1"/>
  <c r="AG93" i="57" s="1"/>
  <c r="AH93" i="57" s="1"/>
  <c r="AI93" i="57" s="1"/>
  <c r="AS154" i="57"/>
  <c r="AT154" i="57" s="1"/>
  <c r="AU154" i="57" s="1"/>
  <c r="AV154" i="57" s="1"/>
  <c r="AW154" i="57" s="1"/>
  <c r="AX154" i="57" s="1"/>
  <c r="AY154" i="57" s="1"/>
  <c r="AZ154" i="57" s="1"/>
  <c r="BA154" i="57" s="1"/>
  <c r="BB154" i="57" s="1"/>
  <c r="BC154" i="57" s="1"/>
  <c r="BD154" i="57" s="1"/>
  <c r="BE154" i="57" s="1"/>
  <c r="BF154" i="57" s="1"/>
  <c r="BG154" i="57" s="1"/>
  <c r="BH154" i="57" s="1"/>
  <c r="BI154" i="57" s="1"/>
  <c r="BJ154" i="57" s="1"/>
  <c r="BK154" i="57" s="1"/>
  <c r="BL154" i="57" s="1"/>
  <c r="BM154" i="57" s="1"/>
  <c r="BN154" i="57" s="1"/>
  <c r="BO154" i="57" s="1"/>
  <c r="BP154" i="57" s="1"/>
  <c r="BQ154" i="57" s="1"/>
  <c r="BR154" i="57" s="1"/>
  <c r="BS154" i="57" s="1"/>
  <c r="BT154" i="57" s="1"/>
  <c r="BU154" i="57" s="1"/>
  <c r="BV154" i="57" s="1"/>
  <c r="BW154" i="57" s="1"/>
  <c r="BX154" i="57" s="1"/>
  <c r="BY154" i="57" s="1"/>
  <c r="C154" i="57"/>
  <c r="D154" i="57" s="1"/>
  <c r="E154" i="57" s="1"/>
  <c r="F154" i="57" s="1"/>
  <c r="G154" i="57" s="1"/>
  <c r="H154" i="57" s="1"/>
  <c r="I154" i="57" s="1"/>
  <c r="J154" i="57" s="1"/>
  <c r="K154" i="57" s="1"/>
  <c r="L154" i="57" s="1"/>
  <c r="M154" i="57" s="1"/>
  <c r="N154" i="57" s="1"/>
  <c r="O154" i="57" s="1"/>
  <c r="P154" i="57" s="1"/>
  <c r="Q154" i="57" s="1"/>
  <c r="R154" i="57" s="1"/>
  <c r="S154" i="57" s="1"/>
  <c r="T154" i="57" s="1"/>
  <c r="U154" i="57" s="1"/>
  <c r="V154" i="57" s="1"/>
  <c r="W154" i="57" s="1"/>
  <c r="X154" i="57" s="1"/>
  <c r="Y154" i="57" s="1"/>
  <c r="Z154" i="57" s="1"/>
  <c r="AA154" i="57" s="1"/>
  <c r="AB154" i="57" s="1"/>
  <c r="AC154" i="57" s="1"/>
  <c r="AD154" i="57" s="1"/>
  <c r="AE154" i="57" s="1"/>
  <c r="AF154" i="57" s="1"/>
  <c r="AG154" i="57" s="1"/>
  <c r="AH154" i="57" s="1"/>
  <c r="AI154" i="57" s="1"/>
  <c r="AS188" i="57"/>
  <c r="AT188" i="57" s="1"/>
  <c r="AU188" i="57" s="1"/>
  <c r="AV188" i="57" s="1"/>
  <c r="AW188" i="57" s="1"/>
  <c r="AX188" i="57" s="1"/>
  <c r="AY188" i="57" s="1"/>
  <c r="AZ188" i="57" s="1"/>
  <c r="BA188" i="57" s="1"/>
  <c r="BB188" i="57" s="1"/>
  <c r="BC188" i="57" s="1"/>
  <c r="BD188" i="57" s="1"/>
  <c r="BE188" i="57" s="1"/>
  <c r="BF188" i="57" s="1"/>
  <c r="BG188" i="57" s="1"/>
  <c r="BH188" i="57" s="1"/>
  <c r="BI188" i="57" s="1"/>
  <c r="C188" i="57"/>
  <c r="D188" i="57" s="1"/>
  <c r="E188" i="57" s="1"/>
  <c r="F188" i="57" s="1"/>
  <c r="G188" i="57" s="1"/>
  <c r="H188" i="57" s="1"/>
  <c r="I188" i="57" s="1"/>
  <c r="J188" i="57" s="1"/>
  <c r="K188" i="57" s="1"/>
  <c r="L188" i="57" s="1"/>
  <c r="M188" i="57" s="1"/>
  <c r="N188" i="57" s="1"/>
  <c r="O188" i="57" s="1"/>
  <c r="P188" i="57" s="1"/>
  <c r="Q188" i="57" s="1"/>
  <c r="R188" i="57" s="1"/>
  <c r="S188" i="57" s="1"/>
  <c r="T188" i="57" s="1"/>
  <c r="U188" i="57" s="1"/>
  <c r="V188" i="57" s="1"/>
  <c r="W188" i="57" s="1"/>
  <c r="X188" i="57" s="1"/>
  <c r="Y188" i="57" s="1"/>
  <c r="Z188" i="57" s="1"/>
  <c r="AA188" i="57" s="1"/>
  <c r="AB188" i="57" s="1"/>
  <c r="AC188" i="57" s="1"/>
  <c r="AD188" i="57" s="1"/>
  <c r="AE188" i="57" s="1"/>
  <c r="AF188" i="57" s="1"/>
  <c r="AG188" i="57" s="1"/>
  <c r="AH188" i="57" s="1"/>
  <c r="AI188" i="57" s="1"/>
  <c r="C146" i="57"/>
  <c r="D146" i="57" s="1"/>
  <c r="E146" i="57" s="1"/>
  <c r="F146" i="57" s="1"/>
  <c r="G146" i="57" s="1"/>
  <c r="H146" i="57" s="1"/>
  <c r="I146" i="57" s="1"/>
  <c r="J146" i="57" s="1"/>
  <c r="K146" i="57" s="1"/>
  <c r="L146" i="57" s="1"/>
  <c r="M146" i="57" s="1"/>
  <c r="N146" i="57" s="1"/>
  <c r="O146" i="57" s="1"/>
  <c r="P146" i="57" s="1"/>
  <c r="Q146" i="57" s="1"/>
  <c r="R146" i="57" s="1"/>
  <c r="S146" i="57" s="1"/>
  <c r="AS146" i="57"/>
  <c r="AS79" i="57"/>
  <c r="AT79" i="57" s="1"/>
  <c r="AU79" i="57" s="1"/>
  <c r="AV79" i="57" s="1"/>
  <c r="AW79" i="57" s="1"/>
  <c r="AX79" i="57" s="1"/>
  <c r="AY79" i="57" s="1"/>
  <c r="AZ79" i="57" s="1"/>
  <c r="BA79" i="57" s="1"/>
  <c r="BB79" i="57" s="1"/>
  <c r="BC79" i="57" s="1"/>
  <c r="BD79" i="57" s="1"/>
  <c r="BE79" i="57" s="1"/>
  <c r="BF79" i="57" s="1"/>
  <c r="BG79" i="57" s="1"/>
  <c r="BH79" i="57" s="1"/>
  <c r="BI79" i="57" s="1"/>
  <c r="C79" i="57"/>
  <c r="D79" i="57" s="1"/>
  <c r="E79" i="57" s="1"/>
  <c r="F79" i="57" s="1"/>
  <c r="G79" i="57" s="1"/>
  <c r="H79" i="57" s="1"/>
  <c r="I79" i="57" s="1"/>
  <c r="J79" i="57" s="1"/>
  <c r="K79" i="57" s="1"/>
  <c r="L79" i="57" s="1"/>
  <c r="M79" i="57" s="1"/>
  <c r="N79" i="57" s="1"/>
  <c r="O79" i="57" s="1"/>
  <c r="P79" i="57" s="1"/>
  <c r="Q79" i="57" s="1"/>
  <c r="R79" i="57" s="1"/>
  <c r="S79" i="57" s="1"/>
  <c r="T79" i="57" s="1"/>
  <c r="U79" i="57" s="1"/>
  <c r="V79" i="57" s="1"/>
  <c r="W79" i="57" s="1"/>
  <c r="X79" i="57" s="1"/>
  <c r="Y79" i="57" s="1"/>
  <c r="Z79" i="57" s="1"/>
  <c r="AA79" i="57" s="1"/>
  <c r="AB79" i="57" s="1"/>
  <c r="AC79" i="57" s="1"/>
  <c r="AD79" i="57" s="1"/>
  <c r="AE79" i="57" s="1"/>
  <c r="AF79" i="57" s="1"/>
  <c r="AG79" i="57" s="1"/>
  <c r="AH79" i="57" s="1"/>
  <c r="AI79" i="57" s="1"/>
  <c r="AS76" i="57"/>
  <c r="AT76" i="57" s="1"/>
  <c r="AU76" i="57" s="1"/>
  <c r="AV76" i="57" s="1"/>
  <c r="AW76" i="57" s="1"/>
  <c r="AX76" i="57" s="1"/>
  <c r="AY76" i="57" s="1"/>
  <c r="AZ76" i="57" s="1"/>
  <c r="BA76" i="57" s="1"/>
  <c r="BB76" i="57" s="1"/>
  <c r="BC76" i="57" s="1"/>
  <c r="BD76" i="57" s="1"/>
  <c r="BE76" i="57" s="1"/>
  <c r="BF76" i="57" s="1"/>
  <c r="BG76" i="57" s="1"/>
  <c r="BH76" i="57" s="1"/>
  <c r="BI76" i="57" s="1"/>
  <c r="BJ76" i="57" s="1"/>
  <c r="BK76" i="57" s="1"/>
  <c r="BL76" i="57" s="1"/>
  <c r="BM76" i="57" s="1"/>
  <c r="BN76" i="57" s="1"/>
  <c r="BO76" i="57" s="1"/>
  <c r="BP76" i="57" s="1"/>
  <c r="BQ76" i="57" s="1"/>
  <c r="BR76" i="57" s="1"/>
  <c r="BS76" i="57" s="1"/>
  <c r="BT76" i="57" s="1"/>
  <c r="BU76" i="57" s="1"/>
  <c r="BV76" i="57" s="1"/>
  <c r="BW76" i="57" s="1"/>
  <c r="BX76" i="57" s="1"/>
  <c r="BY76" i="57" s="1"/>
  <c r="C76" i="57"/>
  <c r="D76" i="57" s="1"/>
  <c r="E76" i="57" s="1"/>
  <c r="F76" i="57" s="1"/>
  <c r="G76" i="57" s="1"/>
  <c r="H76" i="57" s="1"/>
  <c r="I76" i="57" s="1"/>
  <c r="J76" i="57" s="1"/>
  <c r="K76" i="57" s="1"/>
  <c r="L76" i="57" s="1"/>
  <c r="M76" i="57" s="1"/>
  <c r="N76" i="57" s="1"/>
  <c r="O76" i="57" s="1"/>
  <c r="P76" i="57" s="1"/>
  <c r="Q76" i="57" s="1"/>
  <c r="R76" i="57" s="1"/>
  <c r="S76" i="57" s="1"/>
  <c r="AR169" i="62"/>
  <c r="AR45" i="62"/>
  <c r="AS157" i="57"/>
  <c r="AT157" i="57" s="1"/>
  <c r="AU157" i="57" s="1"/>
  <c r="AV157" i="57" s="1"/>
  <c r="AW157" i="57" s="1"/>
  <c r="AX157" i="57" s="1"/>
  <c r="AY157" i="57" s="1"/>
  <c r="AZ157" i="57" s="1"/>
  <c r="BA157" i="57" s="1"/>
  <c r="BB157" i="57" s="1"/>
  <c r="BC157" i="57" s="1"/>
  <c r="BD157" i="57" s="1"/>
  <c r="BE157" i="57" s="1"/>
  <c r="BF157" i="57" s="1"/>
  <c r="BG157" i="57" s="1"/>
  <c r="BH157" i="57" s="1"/>
  <c r="BI157" i="57" s="1"/>
  <c r="BJ157" i="57" s="1"/>
  <c r="BK157" i="57" s="1"/>
  <c r="BL157" i="57" s="1"/>
  <c r="BM157" i="57" s="1"/>
  <c r="BN157" i="57" s="1"/>
  <c r="BO157" i="57" s="1"/>
  <c r="BP157" i="57" s="1"/>
  <c r="BQ157" i="57" s="1"/>
  <c r="BR157" i="57" s="1"/>
  <c r="BS157" i="57" s="1"/>
  <c r="BT157" i="57" s="1"/>
  <c r="BU157" i="57" s="1"/>
  <c r="BV157" i="57" s="1"/>
  <c r="BW157" i="57" s="1"/>
  <c r="BX157" i="57" s="1"/>
  <c r="BY157" i="57" s="1"/>
  <c r="C157" i="57"/>
  <c r="D157" i="57" s="1"/>
  <c r="E157" i="57" s="1"/>
  <c r="AJ258" i="4"/>
  <c r="AJ243" i="4"/>
  <c r="B20" i="62"/>
  <c r="AR20" i="62" s="1"/>
  <c r="C9" i="57"/>
  <c r="C19" i="62" s="1"/>
  <c r="AS241" i="57"/>
  <c r="AT241" i="57" s="1"/>
  <c r="AU241" i="57" s="1"/>
  <c r="AV241" i="57" s="1"/>
  <c r="AW241" i="57" s="1"/>
  <c r="AX241" i="57" s="1"/>
  <c r="AY241" i="57" s="1"/>
  <c r="AZ241" i="57" s="1"/>
  <c r="BA241" i="57" s="1"/>
  <c r="BB241" i="57" s="1"/>
  <c r="BC241" i="57" s="1"/>
  <c r="BD241" i="57" s="1"/>
  <c r="BE241" i="57" s="1"/>
  <c r="BF241" i="57" s="1"/>
  <c r="BG241" i="57" s="1"/>
  <c r="BH241" i="57" s="1"/>
  <c r="BI241" i="57" s="1"/>
  <c r="BJ241" i="57" s="1"/>
  <c r="BK241" i="57" s="1"/>
  <c r="BL241" i="57" s="1"/>
  <c r="BM241" i="57" s="1"/>
  <c r="BN241" i="57" s="1"/>
  <c r="BO241" i="57" s="1"/>
  <c r="BP241" i="57" s="1"/>
  <c r="BQ241" i="57" s="1"/>
  <c r="C241" i="57"/>
  <c r="D241" i="57" s="1"/>
  <c r="E241" i="57" s="1"/>
  <c r="AJ134" i="4"/>
  <c r="AS217" i="57"/>
  <c r="AT217" i="57" s="1"/>
  <c r="AU217" i="57" s="1"/>
  <c r="AV217" i="57" s="1"/>
  <c r="AW217" i="57" s="1"/>
  <c r="AX217" i="57" s="1"/>
  <c r="AY217" i="57" s="1"/>
  <c r="AZ217" i="57" s="1"/>
  <c r="BA217" i="57" s="1"/>
  <c r="BB217" i="57" s="1"/>
  <c r="BC217" i="57" s="1"/>
  <c r="BD217" i="57" s="1"/>
  <c r="BE217" i="57" s="1"/>
  <c r="BF217" i="57" s="1"/>
  <c r="BG217" i="57" s="1"/>
  <c r="BH217" i="57" s="1"/>
  <c r="BI217" i="57" s="1"/>
  <c r="BJ217" i="57" s="1"/>
  <c r="BK217" i="57" s="1"/>
  <c r="BL217" i="57" s="1"/>
  <c r="BM217" i="57" s="1"/>
  <c r="BN217" i="57" s="1"/>
  <c r="BO217" i="57" s="1"/>
  <c r="BP217" i="57" s="1"/>
  <c r="BQ217" i="57" s="1"/>
  <c r="BR217" i="57" s="1"/>
  <c r="BS217" i="57" s="1"/>
  <c r="BT217" i="57" s="1"/>
  <c r="BU217" i="57" s="1"/>
  <c r="BV217" i="57" s="1"/>
  <c r="BW217" i="57" s="1"/>
  <c r="BX217" i="57" s="1"/>
  <c r="BY217" i="57" s="1"/>
  <c r="C217" i="57"/>
  <c r="D217" i="57" s="1"/>
  <c r="E217" i="57" s="1"/>
  <c r="AJ203" i="4"/>
  <c r="AJ28" i="4"/>
  <c r="AJ22" i="4"/>
  <c r="C202" i="57"/>
  <c r="D202" i="57" s="1"/>
  <c r="E202" i="57" s="1"/>
  <c r="F202" i="57" s="1"/>
  <c r="G202" i="57" s="1"/>
  <c r="H202" i="57" s="1"/>
  <c r="I202" i="57" s="1"/>
  <c r="J202" i="57" s="1"/>
  <c r="K202" i="57" s="1"/>
  <c r="L202" i="57" s="1"/>
  <c r="M202" i="57" s="1"/>
  <c r="N202" i="57" s="1"/>
  <c r="O202" i="57" s="1"/>
  <c r="P202" i="57" s="1"/>
  <c r="Q202" i="57" s="1"/>
  <c r="R202" i="57" s="1"/>
  <c r="S202" i="57" s="1"/>
  <c r="AS202" i="57"/>
  <c r="AT202" i="57" s="1"/>
  <c r="AU202" i="57" s="1"/>
  <c r="AV202" i="57" s="1"/>
  <c r="AW202" i="57" s="1"/>
  <c r="AX202" i="57" s="1"/>
  <c r="AY202" i="57" s="1"/>
  <c r="AZ202" i="57" s="1"/>
  <c r="BA202" i="57" s="1"/>
  <c r="BB202" i="57" s="1"/>
  <c r="BC202" i="57" s="1"/>
  <c r="BD202" i="57" s="1"/>
  <c r="BE202" i="57" s="1"/>
  <c r="BF202" i="57" s="1"/>
  <c r="BG202" i="57" s="1"/>
  <c r="BH202" i="57" s="1"/>
  <c r="BI202" i="57" s="1"/>
  <c r="BJ202" i="57" s="1"/>
  <c r="BK202" i="57" s="1"/>
  <c r="BL202" i="57" s="1"/>
  <c r="BM202" i="57" s="1"/>
  <c r="BN202" i="57" s="1"/>
  <c r="BO202" i="57" s="1"/>
  <c r="BP202" i="57" s="1"/>
  <c r="BQ202" i="57" s="1"/>
  <c r="BR202" i="57" s="1"/>
  <c r="BS202" i="57" s="1"/>
  <c r="BT202" i="57" s="1"/>
  <c r="BU202" i="57" s="1"/>
  <c r="BV202" i="57" s="1"/>
  <c r="BW202" i="57" s="1"/>
  <c r="BX202" i="57" s="1"/>
  <c r="BY202" i="57" s="1"/>
  <c r="C142" i="57"/>
  <c r="D142" i="57" s="1"/>
  <c r="E142" i="57" s="1"/>
  <c r="F142" i="57" s="1"/>
  <c r="G142" i="57" s="1"/>
  <c r="H142" i="57" s="1"/>
  <c r="I142" i="57" s="1"/>
  <c r="J142" i="57" s="1"/>
  <c r="K142" i="57" s="1"/>
  <c r="L142" i="57" s="1"/>
  <c r="M142" i="57" s="1"/>
  <c r="N142" i="57" s="1"/>
  <c r="O142" i="57" s="1"/>
  <c r="P142" i="57" s="1"/>
  <c r="Q142" i="57" s="1"/>
  <c r="R142" i="57" s="1"/>
  <c r="S142" i="57" s="1"/>
  <c r="T142" i="57" s="1"/>
  <c r="U142" i="57" s="1"/>
  <c r="V142" i="57" s="1"/>
  <c r="W142" i="57" s="1"/>
  <c r="X142" i="57" s="1"/>
  <c r="Y142" i="57" s="1"/>
  <c r="Z142" i="57" s="1"/>
  <c r="AA142" i="57" s="1"/>
  <c r="AB142" i="57" s="1"/>
  <c r="AC142" i="57" s="1"/>
  <c r="AD142" i="57" s="1"/>
  <c r="AE142" i="57" s="1"/>
  <c r="AF142" i="57" s="1"/>
  <c r="AG142" i="57" s="1"/>
  <c r="AH142" i="57" s="1"/>
  <c r="AI142" i="57" s="1"/>
  <c r="AS142" i="57"/>
  <c r="AT142" i="57" s="1"/>
  <c r="AU142" i="57" s="1"/>
  <c r="AV142" i="57" s="1"/>
  <c r="AW142" i="57" s="1"/>
  <c r="AX142" i="57" s="1"/>
  <c r="AY142" i="57" s="1"/>
  <c r="AZ142" i="57" s="1"/>
  <c r="BA142" i="57" s="1"/>
  <c r="BB142" i="57" s="1"/>
  <c r="BC142" i="57" s="1"/>
  <c r="BD142" i="57" s="1"/>
  <c r="BE142" i="57" s="1"/>
  <c r="BF142" i="57" s="1"/>
  <c r="BG142" i="57" s="1"/>
  <c r="BH142" i="57" s="1"/>
  <c r="BI142" i="57" s="1"/>
  <c r="AS66" i="57"/>
  <c r="C66" i="57"/>
  <c r="C133" i="62" s="1"/>
  <c r="C6" i="57"/>
  <c r="D6" i="57" s="1"/>
  <c r="E6" i="57" s="1"/>
  <c r="F6" i="57" s="1"/>
  <c r="G6" i="57" s="1"/>
  <c r="H6" i="57" s="1"/>
  <c r="I6" i="57" s="1"/>
  <c r="J6" i="57" s="1"/>
  <c r="K6" i="57" s="1"/>
  <c r="L6" i="57" s="1"/>
  <c r="M6" i="57" s="1"/>
  <c r="N6" i="57" s="1"/>
  <c r="O6" i="57" s="1"/>
  <c r="P6" i="57" s="1"/>
  <c r="Q6" i="57" s="1"/>
  <c r="R6" i="57" s="1"/>
  <c r="S6" i="57" s="1"/>
  <c r="B14" i="62"/>
  <c r="AR14" i="62" s="1"/>
  <c r="AS150" i="57"/>
  <c r="AT150" i="57" s="1"/>
  <c r="AU150" i="57" s="1"/>
  <c r="AV150" i="57" s="1"/>
  <c r="AW150" i="57" s="1"/>
  <c r="AX150" i="57" s="1"/>
  <c r="AY150" i="57" s="1"/>
  <c r="AZ150" i="57" s="1"/>
  <c r="BA150" i="57" s="1"/>
  <c r="BB150" i="57" s="1"/>
  <c r="BC150" i="57" s="1"/>
  <c r="BD150" i="57" s="1"/>
  <c r="BE150" i="57" s="1"/>
  <c r="BF150" i="57" s="1"/>
  <c r="BG150" i="57" s="1"/>
  <c r="BH150" i="57" s="1"/>
  <c r="BI150" i="57" s="1"/>
  <c r="C150" i="57"/>
  <c r="AJ178" i="4"/>
  <c r="C106" i="57"/>
  <c r="D106" i="57" s="1"/>
  <c r="E106" i="57" s="1"/>
  <c r="F106" i="57" s="1"/>
  <c r="G106" i="57" s="1"/>
  <c r="H106" i="57" s="1"/>
  <c r="I106" i="57" s="1"/>
  <c r="J106" i="57" s="1"/>
  <c r="K106" i="57" s="1"/>
  <c r="L106" i="57" s="1"/>
  <c r="M106" i="57" s="1"/>
  <c r="N106" i="57" s="1"/>
  <c r="O106" i="57" s="1"/>
  <c r="P106" i="57" s="1"/>
  <c r="Q106" i="57" s="1"/>
  <c r="R106" i="57" s="1"/>
  <c r="S106" i="57" s="1"/>
  <c r="AS106" i="57"/>
  <c r="AR23" i="62"/>
  <c r="AJ199" i="4"/>
  <c r="AR93" i="62"/>
  <c r="AJ225" i="4"/>
  <c r="C216" i="57"/>
  <c r="AS216" i="57"/>
  <c r="AT216" i="57" s="1"/>
  <c r="AU216" i="57" s="1"/>
  <c r="AV216" i="57" s="1"/>
  <c r="AW216" i="57" s="1"/>
  <c r="AX216" i="57" s="1"/>
  <c r="AY216" i="57" s="1"/>
  <c r="AZ216" i="57" s="1"/>
  <c r="BA216" i="57" s="1"/>
  <c r="BB216" i="57" s="1"/>
  <c r="BC216" i="57" s="1"/>
  <c r="BD216" i="57" s="1"/>
  <c r="BE216" i="57" s="1"/>
  <c r="BF216" i="57" s="1"/>
  <c r="BG216" i="57" s="1"/>
  <c r="BH216" i="57" s="1"/>
  <c r="BI216" i="57" s="1"/>
  <c r="AR159" i="62"/>
  <c r="C199" i="57"/>
  <c r="D199" i="57" s="1"/>
  <c r="E199" i="57" s="1"/>
  <c r="F199" i="57" s="1"/>
  <c r="G199" i="57" s="1"/>
  <c r="H199" i="57" s="1"/>
  <c r="I199" i="57" s="1"/>
  <c r="J199" i="57" s="1"/>
  <c r="K199" i="57" s="1"/>
  <c r="L199" i="57" s="1"/>
  <c r="M199" i="57" s="1"/>
  <c r="N199" i="57" s="1"/>
  <c r="O199" i="57" s="1"/>
  <c r="P199" i="57" s="1"/>
  <c r="Q199" i="57" s="1"/>
  <c r="R199" i="57" s="1"/>
  <c r="S199" i="57" s="1"/>
  <c r="AS199" i="57"/>
  <c r="C171" i="57"/>
  <c r="D171" i="57" s="1"/>
  <c r="E171" i="57" s="1"/>
  <c r="F171" i="57" s="1"/>
  <c r="G171" i="57" s="1"/>
  <c r="H171" i="57" s="1"/>
  <c r="I171" i="57" s="1"/>
  <c r="J171" i="57" s="1"/>
  <c r="K171" i="57" s="1"/>
  <c r="L171" i="57" s="1"/>
  <c r="M171" i="57" s="1"/>
  <c r="N171" i="57" s="1"/>
  <c r="O171" i="57" s="1"/>
  <c r="P171" i="57" s="1"/>
  <c r="Q171" i="57" s="1"/>
  <c r="R171" i="57" s="1"/>
  <c r="S171" i="57" s="1"/>
  <c r="AS171" i="57"/>
  <c r="AS165" i="57"/>
  <c r="AT165" i="57" s="1"/>
  <c r="AU165" i="57" s="1"/>
  <c r="AV165" i="57" s="1"/>
  <c r="AW165" i="57" s="1"/>
  <c r="AX165" i="57" s="1"/>
  <c r="AY165" i="57" s="1"/>
  <c r="AZ165" i="57" s="1"/>
  <c r="BA165" i="57" s="1"/>
  <c r="BB165" i="57" s="1"/>
  <c r="BC165" i="57" s="1"/>
  <c r="BD165" i="57" s="1"/>
  <c r="BE165" i="57" s="1"/>
  <c r="BF165" i="57" s="1"/>
  <c r="BG165" i="57" s="1"/>
  <c r="BH165" i="57" s="1"/>
  <c r="BI165" i="57" s="1"/>
  <c r="BJ165" i="57" s="1"/>
  <c r="BK165" i="57" s="1"/>
  <c r="BL165" i="57" s="1"/>
  <c r="BM165" i="57" s="1"/>
  <c r="BN165" i="57" s="1"/>
  <c r="BO165" i="57" s="1"/>
  <c r="BP165" i="57" s="1"/>
  <c r="BQ165" i="57" s="1"/>
  <c r="BR165" i="57" s="1"/>
  <c r="BS165" i="57" s="1"/>
  <c r="BT165" i="57" s="1"/>
  <c r="BU165" i="57" s="1"/>
  <c r="BV165" i="57" s="1"/>
  <c r="BW165" i="57" s="1"/>
  <c r="BX165" i="57" s="1"/>
  <c r="BY165" i="57" s="1"/>
  <c r="C165" i="57"/>
  <c r="D165" i="57" s="1"/>
  <c r="E165" i="57" s="1"/>
  <c r="F165" i="57" s="1"/>
  <c r="G165" i="57" s="1"/>
  <c r="H165" i="57" s="1"/>
  <c r="I165" i="57" s="1"/>
  <c r="J165" i="57" s="1"/>
  <c r="K165" i="57" s="1"/>
  <c r="L165" i="57" s="1"/>
  <c r="M165" i="57" s="1"/>
  <c r="N165" i="57" s="1"/>
  <c r="O165" i="57" s="1"/>
  <c r="P165" i="57" s="1"/>
  <c r="Q165" i="57" s="1"/>
  <c r="R165" i="57" s="1"/>
  <c r="S165" i="57" s="1"/>
  <c r="AS78" i="57"/>
  <c r="AT78" i="57" s="1"/>
  <c r="AU78" i="57" s="1"/>
  <c r="AV78" i="57" s="1"/>
  <c r="AW78" i="57" s="1"/>
  <c r="AX78" i="57" s="1"/>
  <c r="AY78" i="57" s="1"/>
  <c r="AZ78" i="57" s="1"/>
  <c r="BA78" i="57" s="1"/>
  <c r="BB78" i="57" s="1"/>
  <c r="BC78" i="57" s="1"/>
  <c r="BD78" i="57" s="1"/>
  <c r="BE78" i="57" s="1"/>
  <c r="BF78" i="57" s="1"/>
  <c r="BG78" i="57" s="1"/>
  <c r="BH78" i="57" s="1"/>
  <c r="BI78" i="57" s="1"/>
  <c r="C78" i="57"/>
  <c r="AJ233" i="4"/>
  <c r="AJ31" i="4"/>
  <c r="AR165" i="62"/>
  <c r="AJ209" i="4"/>
  <c r="AJ39" i="4"/>
  <c r="AS172" i="57"/>
  <c r="AT172" i="57" s="1"/>
  <c r="AU172" i="57" s="1"/>
  <c r="AV172" i="57" s="1"/>
  <c r="AW172" i="57" s="1"/>
  <c r="AX172" i="57" s="1"/>
  <c r="AY172" i="57" s="1"/>
  <c r="AZ172" i="57" s="1"/>
  <c r="BA172" i="57" s="1"/>
  <c r="BB172" i="57" s="1"/>
  <c r="BC172" i="57" s="1"/>
  <c r="BD172" i="57" s="1"/>
  <c r="BE172" i="57" s="1"/>
  <c r="BF172" i="57" s="1"/>
  <c r="BG172" i="57" s="1"/>
  <c r="BH172" i="57" s="1"/>
  <c r="BI172" i="57" s="1"/>
  <c r="C172" i="57"/>
  <c r="D172" i="57" s="1"/>
  <c r="E172" i="57" s="1"/>
  <c r="F172" i="57" s="1"/>
  <c r="G172" i="57" s="1"/>
  <c r="H172" i="57" s="1"/>
  <c r="I172" i="57" s="1"/>
  <c r="J172" i="57" s="1"/>
  <c r="K172" i="57" s="1"/>
  <c r="L172" i="57" s="1"/>
  <c r="M172" i="57" s="1"/>
  <c r="N172" i="57" s="1"/>
  <c r="O172" i="57" s="1"/>
  <c r="P172" i="57" s="1"/>
  <c r="Q172" i="57" s="1"/>
  <c r="R172" i="57" s="1"/>
  <c r="S172" i="57" s="1"/>
  <c r="AJ97" i="4"/>
  <c r="C203" i="57"/>
  <c r="D203" i="57" s="1"/>
  <c r="E203" i="57" s="1"/>
  <c r="F203" i="57" s="1"/>
  <c r="G203" i="57" s="1"/>
  <c r="H203" i="57" s="1"/>
  <c r="I203" i="57" s="1"/>
  <c r="J203" i="57" s="1"/>
  <c r="K203" i="57" s="1"/>
  <c r="L203" i="57" s="1"/>
  <c r="M203" i="57" s="1"/>
  <c r="N203" i="57" s="1"/>
  <c r="O203" i="57" s="1"/>
  <c r="P203" i="57" s="1"/>
  <c r="Q203" i="57" s="1"/>
  <c r="R203" i="57" s="1"/>
  <c r="S203" i="57" s="1"/>
  <c r="AS203" i="57"/>
  <c r="AT203" i="57" s="1"/>
  <c r="AU203" i="57" s="1"/>
  <c r="AV203" i="57" s="1"/>
  <c r="AW203" i="57" s="1"/>
  <c r="AX203" i="57" s="1"/>
  <c r="AY203" i="57" s="1"/>
  <c r="AZ203" i="57" s="1"/>
  <c r="BA203" i="57" s="1"/>
  <c r="BB203" i="57" s="1"/>
  <c r="BC203" i="57" s="1"/>
  <c r="BD203" i="57" s="1"/>
  <c r="BE203" i="57" s="1"/>
  <c r="BF203" i="57" s="1"/>
  <c r="BG203" i="57" s="1"/>
  <c r="BH203" i="57" s="1"/>
  <c r="BI203" i="57" s="1"/>
  <c r="BJ203" i="57" s="1"/>
  <c r="BK203" i="57" s="1"/>
  <c r="BL203" i="57" s="1"/>
  <c r="BM203" i="57" s="1"/>
  <c r="BN203" i="57" s="1"/>
  <c r="BO203" i="57" s="1"/>
  <c r="BP203" i="57" s="1"/>
  <c r="BQ203" i="57" s="1"/>
  <c r="BR203" i="57" s="1"/>
  <c r="BS203" i="57" s="1"/>
  <c r="BT203" i="57" s="1"/>
  <c r="BU203" i="57" s="1"/>
  <c r="BV203" i="57" s="1"/>
  <c r="BW203" i="57" s="1"/>
  <c r="BX203" i="57" s="1"/>
  <c r="BY203" i="57" s="1"/>
  <c r="AS64" i="57"/>
  <c r="C64" i="57"/>
  <c r="C129" i="62" s="1"/>
  <c r="AS152" i="57"/>
  <c r="AT152" i="57" s="1"/>
  <c r="AU152" i="57" s="1"/>
  <c r="AV152" i="57" s="1"/>
  <c r="AW152" i="57" s="1"/>
  <c r="AX152" i="57" s="1"/>
  <c r="AY152" i="57" s="1"/>
  <c r="AZ152" i="57" s="1"/>
  <c r="BA152" i="57" s="1"/>
  <c r="BB152" i="57" s="1"/>
  <c r="BC152" i="57" s="1"/>
  <c r="BD152" i="57" s="1"/>
  <c r="BE152" i="57" s="1"/>
  <c r="BF152" i="57" s="1"/>
  <c r="BG152" i="57" s="1"/>
  <c r="BH152" i="57" s="1"/>
  <c r="BI152" i="57" s="1"/>
  <c r="C152" i="57"/>
  <c r="D152" i="57" s="1"/>
  <c r="E152" i="57" s="1"/>
  <c r="F152" i="57" s="1"/>
  <c r="G152" i="57" s="1"/>
  <c r="H152" i="57" s="1"/>
  <c r="I152" i="57" s="1"/>
  <c r="J152" i="57" s="1"/>
  <c r="K152" i="57" s="1"/>
  <c r="L152" i="57" s="1"/>
  <c r="M152" i="57" s="1"/>
  <c r="N152" i="57" s="1"/>
  <c r="O152" i="57" s="1"/>
  <c r="P152" i="57" s="1"/>
  <c r="Q152" i="57" s="1"/>
  <c r="R152" i="57" s="1"/>
  <c r="S152" i="57" s="1"/>
  <c r="T152" i="57" s="1"/>
  <c r="U152" i="57" s="1"/>
  <c r="V152" i="57" s="1"/>
  <c r="W152" i="57" s="1"/>
  <c r="X152" i="57" s="1"/>
  <c r="Y152" i="57" s="1"/>
  <c r="Z152" i="57" s="1"/>
  <c r="AA152" i="57" s="1"/>
  <c r="AB152" i="57" s="1"/>
  <c r="AC152" i="57" s="1"/>
  <c r="AD152" i="57" s="1"/>
  <c r="AE152" i="57" s="1"/>
  <c r="AF152" i="57" s="1"/>
  <c r="AG152" i="57" s="1"/>
  <c r="AH152" i="57" s="1"/>
  <c r="AI152" i="57" s="1"/>
  <c r="AR127" i="62"/>
  <c r="C27" i="57"/>
  <c r="C55" i="62" s="1"/>
  <c r="C250" i="57"/>
  <c r="AS250" i="57"/>
  <c r="AT250" i="57" s="1"/>
  <c r="AU250" i="57" s="1"/>
  <c r="AV250" i="57" s="1"/>
  <c r="AW250" i="57" s="1"/>
  <c r="AX250" i="57" s="1"/>
  <c r="AY250" i="57" s="1"/>
  <c r="AZ250" i="57" s="1"/>
  <c r="BA250" i="57" s="1"/>
  <c r="BB250" i="57" s="1"/>
  <c r="BC250" i="57" s="1"/>
  <c r="BD250" i="57" s="1"/>
  <c r="BE250" i="57" s="1"/>
  <c r="BF250" i="57" s="1"/>
  <c r="BG250" i="57" s="1"/>
  <c r="BH250" i="57" s="1"/>
  <c r="BI250" i="57" s="1"/>
  <c r="C219" i="57"/>
  <c r="D219" i="57" s="1"/>
  <c r="E219" i="57" s="1"/>
  <c r="F219" i="57" s="1"/>
  <c r="G219" i="57" s="1"/>
  <c r="H219" i="57" s="1"/>
  <c r="I219" i="57" s="1"/>
  <c r="J219" i="57" s="1"/>
  <c r="K219" i="57" s="1"/>
  <c r="L219" i="57" s="1"/>
  <c r="M219" i="57" s="1"/>
  <c r="N219" i="57" s="1"/>
  <c r="O219" i="57" s="1"/>
  <c r="P219" i="57" s="1"/>
  <c r="Q219" i="57" s="1"/>
  <c r="R219" i="57" s="1"/>
  <c r="S219" i="57" s="1"/>
  <c r="AS219" i="57"/>
  <c r="AT219" i="57" s="1"/>
  <c r="AU219" i="57" s="1"/>
  <c r="AV219" i="57" s="1"/>
  <c r="AW219" i="57" s="1"/>
  <c r="AX219" i="57" s="1"/>
  <c r="AY219" i="57" s="1"/>
  <c r="AZ219" i="57" s="1"/>
  <c r="BA219" i="57" s="1"/>
  <c r="BB219" i="57" s="1"/>
  <c r="BC219" i="57" s="1"/>
  <c r="BD219" i="57" s="1"/>
  <c r="BE219" i="57" s="1"/>
  <c r="BF219" i="57" s="1"/>
  <c r="BG219" i="57" s="1"/>
  <c r="BH219" i="57" s="1"/>
  <c r="BI219" i="57" s="1"/>
  <c r="AR19" i="62"/>
  <c r="AJ183" i="4"/>
  <c r="AJ136" i="4"/>
  <c r="C144" i="57"/>
  <c r="D144" i="57" s="1"/>
  <c r="E144" i="57" s="1"/>
  <c r="F144" i="57" s="1"/>
  <c r="G144" i="57" s="1"/>
  <c r="H144" i="57" s="1"/>
  <c r="I144" i="57" s="1"/>
  <c r="J144" i="57" s="1"/>
  <c r="K144" i="57" s="1"/>
  <c r="L144" i="57" s="1"/>
  <c r="M144" i="57" s="1"/>
  <c r="N144" i="57" s="1"/>
  <c r="O144" i="57" s="1"/>
  <c r="P144" i="57" s="1"/>
  <c r="Q144" i="57" s="1"/>
  <c r="R144" i="57" s="1"/>
  <c r="S144" i="57" s="1"/>
  <c r="AS144" i="57"/>
  <c r="AT144" i="57" s="1"/>
  <c r="AU144" i="57" s="1"/>
  <c r="AV144" i="57" s="1"/>
  <c r="AW144" i="57" s="1"/>
  <c r="AX144" i="57" s="1"/>
  <c r="AY144" i="57" s="1"/>
  <c r="AZ144" i="57" s="1"/>
  <c r="BA144" i="57" s="1"/>
  <c r="BB144" i="57" s="1"/>
  <c r="BC144" i="57" s="1"/>
  <c r="BD144" i="57" s="1"/>
  <c r="BE144" i="57" s="1"/>
  <c r="BF144" i="57" s="1"/>
  <c r="BG144" i="57" s="1"/>
  <c r="BH144" i="57" s="1"/>
  <c r="BI144" i="57" s="1"/>
  <c r="C205" i="57"/>
  <c r="AS205" i="57"/>
  <c r="AJ50" i="4"/>
  <c r="AJ86" i="4"/>
  <c r="AJ125" i="4"/>
  <c r="AJ171" i="4"/>
  <c r="AJ226" i="4"/>
  <c r="AR107" i="62"/>
  <c r="AJ170" i="4"/>
  <c r="AJ66" i="4"/>
  <c r="AJ71" i="4"/>
  <c r="AJ135" i="4"/>
  <c r="AJ49" i="4"/>
  <c r="C30" i="57"/>
  <c r="C61" i="62" s="1"/>
  <c r="AS113" i="57"/>
  <c r="C113" i="57"/>
  <c r="D113" i="57" s="1"/>
  <c r="E113" i="57" s="1"/>
  <c r="F113" i="57" s="1"/>
  <c r="G113" i="57" s="1"/>
  <c r="H113" i="57" s="1"/>
  <c r="I113" i="57" s="1"/>
  <c r="J113" i="57" s="1"/>
  <c r="K113" i="57" s="1"/>
  <c r="L113" i="57" s="1"/>
  <c r="M113" i="57" s="1"/>
  <c r="N113" i="57" s="1"/>
  <c r="O113" i="57" s="1"/>
  <c r="P113" i="57" s="1"/>
  <c r="Q113" i="57" s="1"/>
  <c r="R113" i="57" s="1"/>
  <c r="S113" i="57" s="1"/>
  <c r="AJ120" i="4"/>
  <c r="C18" i="57"/>
  <c r="AS230" i="57"/>
  <c r="AT230" i="57" s="1"/>
  <c r="AU230" i="57" s="1"/>
  <c r="AV230" i="57" s="1"/>
  <c r="AW230" i="57" s="1"/>
  <c r="AX230" i="57" s="1"/>
  <c r="AY230" i="57" s="1"/>
  <c r="AZ230" i="57" s="1"/>
  <c r="BA230" i="57" s="1"/>
  <c r="BB230" i="57" s="1"/>
  <c r="BC230" i="57" s="1"/>
  <c r="BD230" i="57" s="1"/>
  <c r="BE230" i="57" s="1"/>
  <c r="BF230" i="57" s="1"/>
  <c r="BG230" i="57" s="1"/>
  <c r="BH230" i="57" s="1"/>
  <c r="BI230" i="57" s="1"/>
  <c r="C230" i="57"/>
  <c r="AJ88" i="4"/>
  <c r="AR35" i="62"/>
  <c r="AS245" i="57"/>
  <c r="AT245" i="57" s="1"/>
  <c r="AU245" i="57" s="1"/>
  <c r="AV245" i="57" s="1"/>
  <c r="AW245" i="57" s="1"/>
  <c r="AX245" i="57" s="1"/>
  <c r="AY245" i="57" s="1"/>
  <c r="AZ245" i="57" s="1"/>
  <c r="BA245" i="57" s="1"/>
  <c r="BB245" i="57" s="1"/>
  <c r="BC245" i="57" s="1"/>
  <c r="BD245" i="57" s="1"/>
  <c r="BE245" i="57" s="1"/>
  <c r="BF245" i="57" s="1"/>
  <c r="BG245" i="57" s="1"/>
  <c r="BH245" i="57" s="1"/>
  <c r="BI245" i="57" s="1"/>
  <c r="BJ245" i="57" s="1"/>
  <c r="BK245" i="57" s="1"/>
  <c r="BL245" i="57" s="1"/>
  <c r="BM245" i="57" s="1"/>
  <c r="BN245" i="57" s="1"/>
  <c r="BO245" i="57" s="1"/>
  <c r="BP245" i="57" s="1"/>
  <c r="BQ245" i="57" s="1"/>
  <c r="BR245" i="57" s="1"/>
  <c r="BS245" i="57" s="1"/>
  <c r="BT245" i="57" s="1"/>
  <c r="BU245" i="57" s="1"/>
  <c r="BV245" i="57" s="1"/>
  <c r="BW245" i="57" s="1"/>
  <c r="BX245" i="57" s="1"/>
  <c r="BY245" i="57" s="1"/>
  <c r="C245" i="57"/>
  <c r="D245" i="57" s="1"/>
  <c r="E245" i="57" s="1"/>
  <c r="F245" i="57" s="1"/>
  <c r="G245" i="57" s="1"/>
  <c r="H245" i="57" s="1"/>
  <c r="I245" i="57" s="1"/>
  <c r="J245" i="57" s="1"/>
  <c r="K245" i="57" s="1"/>
  <c r="L245" i="57" s="1"/>
  <c r="M245" i="57" s="1"/>
  <c r="N245" i="57" s="1"/>
  <c r="O245" i="57" s="1"/>
  <c r="P245" i="57" s="1"/>
  <c r="Q245" i="57" s="1"/>
  <c r="R245" i="57" s="1"/>
  <c r="S245" i="57" s="1"/>
  <c r="AR145" i="62"/>
  <c r="AR57" i="62"/>
  <c r="AJ23" i="4"/>
  <c r="AS215" i="57"/>
  <c r="AT215" i="57" s="1"/>
  <c r="AU215" i="57" s="1"/>
  <c r="AV215" i="57" s="1"/>
  <c r="AW215" i="57" s="1"/>
  <c r="AX215" i="57" s="1"/>
  <c r="AY215" i="57" s="1"/>
  <c r="AZ215" i="57" s="1"/>
  <c r="BA215" i="57" s="1"/>
  <c r="BB215" i="57" s="1"/>
  <c r="BC215" i="57" s="1"/>
  <c r="BD215" i="57" s="1"/>
  <c r="BE215" i="57" s="1"/>
  <c r="BF215" i="57" s="1"/>
  <c r="BG215" i="57" s="1"/>
  <c r="BH215" i="57" s="1"/>
  <c r="BI215" i="57" s="1"/>
  <c r="BJ215" i="57" s="1"/>
  <c r="BK215" i="57" s="1"/>
  <c r="BL215" i="57" s="1"/>
  <c r="BM215" i="57" s="1"/>
  <c r="BN215" i="57" s="1"/>
  <c r="BO215" i="57" s="1"/>
  <c r="BP215" i="57" s="1"/>
  <c r="BQ215" i="57" s="1"/>
  <c r="BR215" i="57" s="1"/>
  <c r="BS215" i="57" s="1"/>
  <c r="BT215" i="57" s="1"/>
  <c r="BU215" i="57" s="1"/>
  <c r="BV215" i="57" s="1"/>
  <c r="BW215" i="57" s="1"/>
  <c r="BX215" i="57" s="1"/>
  <c r="BY215" i="57" s="1"/>
  <c r="C215" i="57"/>
  <c r="D215" i="57" s="1"/>
  <c r="E215" i="57" s="1"/>
  <c r="F215" i="57" s="1"/>
  <c r="G215" i="57" s="1"/>
  <c r="H215" i="57" s="1"/>
  <c r="I215" i="57" s="1"/>
  <c r="J215" i="57" s="1"/>
  <c r="K215" i="57" s="1"/>
  <c r="L215" i="57" s="1"/>
  <c r="M215" i="57" s="1"/>
  <c r="N215" i="57" s="1"/>
  <c r="O215" i="57" s="1"/>
  <c r="P215" i="57" s="1"/>
  <c r="Q215" i="57" s="1"/>
  <c r="R215" i="57" s="1"/>
  <c r="S215" i="57" s="1"/>
  <c r="T215" i="57" s="1"/>
  <c r="U215" i="57" s="1"/>
  <c r="V215" i="57" s="1"/>
  <c r="W215" i="57" s="1"/>
  <c r="X215" i="57" s="1"/>
  <c r="Y215" i="57" s="1"/>
  <c r="Z215" i="57" s="1"/>
  <c r="AA215" i="57" s="1"/>
  <c r="AB215" i="57" s="1"/>
  <c r="AC215" i="57" s="1"/>
  <c r="AD215" i="57" s="1"/>
  <c r="AE215" i="57" s="1"/>
  <c r="AF215" i="57" s="1"/>
  <c r="AG215" i="57" s="1"/>
  <c r="AH215" i="57" s="1"/>
  <c r="AI215" i="57" s="1"/>
  <c r="AR101" i="62"/>
  <c r="AS70" i="57"/>
  <c r="AT70" i="57" s="1"/>
  <c r="AU70" i="57" s="1"/>
  <c r="AV70" i="57" s="1"/>
  <c r="AW70" i="57" s="1"/>
  <c r="AX70" i="57" s="1"/>
  <c r="AY70" i="57" s="1"/>
  <c r="AZ70" i="57" s="1"/>
  <c r="BA70" i="57" s="1"/>
  <c r="BB70" i="57" s="1"/>
  <c r="BC70" i="57" s="1"/>
  <c r="BD70" i="57" s="1"/>
  <c r="BE70" i="57" s="1"/>
  <c r="BF70" i="57" s="1"/>
  <c r="BG70" i="57" s="1"/>
  <c r="BH70" i="57" s="1"/>
  <c r="BI70" i="57" s="1"/>
  <c r="BJ70" i="57" s="1"/>
  <c r="BK70" i="57" s="1"/>
  <c r="BL70" i="57" s="1"/>
  <c r="BM70" i="57" s="1"/>
  <c r="BN70" i="57" s="1"/>
  <c r="BO70" i="57" s="1"/>
  <c r="BP70" i="57" s="1"/>
  <c r="BQ70" i="57" s="1"/>
  <c r="C70" i="57"/>
  <c r="C141" i="62" s="1"/>
  <c r="AR139" i="62"/>
  <c r="AJ58" i="4"/>
  <c r="AJ217" i="4"/>
  <c r="AJ242" i="4"/>
  <c r="AJ72" i="4"/>
  <c r="AR105" i="62"/>
  <c r="AS249" i="57"/>
  <c r="AT249" i="57" s="1"/>
  <c r="AU249" i="57" s="1"/>
  <c r="AV249" i="57" s="1"/>
  <c r="AW249" i="57" s="1"/>
  <c r="AX249" i="57" s="1"/>
  <c r="AY249" i="57" s="1"/>
  <c r="AZ249" i="57" s="1"/>
  <c r="BA249" i="57" s="1"/>
  <c r="BB249" i="57" s="1"/>
  <c r="BC249" i="57" s="1"/>
  <c r="BD249" i="57" s="1"/>
  <c r="BE249" i="57" s="1"/>
  <c r="BF249" i="57" s="1"/>
  <c r="BG249" i="57" s="1"/>
  <c r="BH249" i="57" s="1"/>
  <c r="BI249" i="57" s="1"/>
  <c r="BJ249" i="57" s="1"/>
  <c r="BK249" i="57" s="1"/>
  <c r="BL249" i="57" s="1"/>
  <c r="BM249" i="57" s="1"/>
  <c r="BN249" i="57" s="1"/>
  <c r="BO249" i="57" s="1"/>
  <c r="BP249" i="57" s="1"/>
  <c r="BQ249" i="57" s="1"/>
  <c r="BR249" i="57" s="1"/>
  <c r="BS249" i="57" s="1"/>
  <c r="BT249" i="57" s="1"/>
  <c r="BU249" i="57" s="1"/>
  <c r="BV249" i="57" s="1"/>
  <c r="BW249" i="57" s="1"/>
  <c r="BX249" i="57" s="1"/>
  <c r="BY249" i="57" s="1"/>
  <c r="C249" i="57"/>
  <c r="D249" i="57" s="1"/>
  <c r="E249" i="57" s="1"/>
  <c r="F249" i="57" s="1"/>
  <c r="G249" i="57" s="1"/>
  <c r="H249" i="57" s="1"/>
  <c r="I249" i="57" s="1"/>
  <c r="J249" i="57" s="1"/>
  <c r="K249" i="57" s="1"/>
  <c r="L249" i="57" s="1"/>
  <c r="M249" i="57" s="1"/>
  <c r="N249" i="57" s="1"/>
  <c r="O249" i="57" s="1"/>
  <c r="P249" i="57" s="1"/>
  <c r="Q249" i="57" s="1"/>
  <c r="R249" i="57" s="1"/>
  <c r="S249" i="57" s="1"/>
  <c r="AR121" i="62"/>
  <c r="AS107" i="57"/>
  <c r="AT107" i="57" s="1"/>
  <c r="AU107" i="57" s="1"/>
  <c r="AV107" i="57" s="1"/>
  <c r="AW107" i="57" s="1"/>
  <c r="AX107" i="57" s="1"/>
  <c r="AY107" i="57" s="1"/>
  <c r="AZ107" i="57" s="1"/>
  <c r="BA107" i="57" s="1"/>
  <c r="BB107" i="57" s="1"/>
  <c r="BC107" i="57" s="1"/>
  <c r="BD107" i="57" s="1"/>
  <c r="BE107" i="57" s="1"/>
  <c r="BF107" i="57" s="1"/>
  <c r="BG107" i="57" s="1"/>
  <c r="BH107" i="57" s="1"/>
  <c r="BI107" i="57" s="1"/>
  <c r="BJ107" i="57" s="1"/>
  <c r="BK107" i="57" s="1"/>
  <c r="BL107" i="57" s="1"/>
  <c r="BM107" i="57" s="1"/>
  <c r="BN107" i="57" s="1"/>
  <c r="BO107" i="57" s="1"/>
  <c r="BP107" i="57" s="1"/>
  <c r="BQ107" i="57" s="1"/>
  <c r="BR107" i="57" s="1"/>
  <c r="BS107" i="57" s="1"/>
  <c r="BT107" i="57" s="1"/>
  <c r="BU107" i="57" s="1"/>
  <c r="BV107" i="57" s="1"/>
  <c r="BW107" i="57" s="1"/>
  <c r="BX107" i="57" s="1"/>
  <c r="BY107" i="57" s="1"/>
  <c r="C107" i="57"/>
  <c r="D107" i="57" s="1"/>
  <c r="E107" i="57" s="1"/>
  <c r="C47" i="57"/>
  <c r="C95" i="62" s="1"/>
  <c r="AS47" i="57"/>
  <c r="AJ113" i="4"/>
  <c r="C134" i="57"/>
  <c r="D134" i="57" s="1"/>
  <c r="E134" i="57" s="1"/>
  <c r="F134" i="57" s="1"/>
  <c r="G134" i="57" s="1"/>
  <c r="H134" i="57" s="1"/>
  <c r="I134" i="57" s="1"/>
  <c r="J134" i="57" s="1"/>
  <c r="K134" i="57" s="1"/>
  <c r="L134" i="57" s="1"/>
  <c r="M134" i="57" s="1"/>
  <c r="N134" i="57" s="1"/>
  <c r="O134" i="57" s="1"/>
  <c r="P134" i="57" s="1"/>
  <c r="Q134" i="57" s="1"/>
  <c r="R134" i="57" s="1"/>
  <c r="S134" i="57" s="1"/>
  <c r="T134" i="57" s="1"/>
  <c r="U134" i="57" s="1"/>
  <c r="V134" i="57" s="1"/>
  <c r="W134" i="57" s="1"/>
  <c r="X134" i="57" s="1"/>
  <c r="Y134" i="57" s="1"/>
  <c r="Z134" i="57" s="1"/>
  <c r="AA134" i="57" s="1"/>
  <c r="AB134" i="57" s="1"/>
  <c r="AC134" i="57" s="1"/>
  <c r="AD134" i="57" s="1"/>
  <c r="AE134" i="57" s="1"/>
  <c r="AF134" i="57" s="1"/>
  <c r="AG134" i="57" s="1"/>
  <c r="AH134" i="57" s="1"/>
  <c r="AI134" i="57" s="1"/>
  <c r="AS134" i="57"/>
  <c r="AT134" i="57" s="1"/>
  <c r="AU134" i="57" s="1"/>
  <c r="AV134" i="57" s="1"/>
  <c r="AW134" i="57" s="1"/>
  <c r="AX134" i="57" s="1"/>
  <c r="AY134" i="57" s="1"/>
  <c r="AZ134" i="57" s="1"/>
  <c r="BA134" i="57" s="1"/>
  <c r="BB134" i="57" s="1"/>
  <c r="BC134" i="57" s="1"/>
  <c r="BD134" i="57" s="1"/>
  <c r="BE134" i="57" s="1"/>
  <c r="BF134" i="57" s="1"/>
  <c r="BG134" i="57" s="1"/>
  <c r="BH134" i="57" s="1"/>
  <c r="BI134" i="57" s="1"/>
  <c r="AJ241" i="4"/>
  <c r="AS75" i="57"/>
  <c r="C75" i="57"/>
  <c r="C151" i="62" s="1"/>
  <c r="C178" i="57"/>
  <c r="D178" i="57" s="1"/>
  <c r="E178" i="57" s="1"/>
  <c r="F178" i="57" s="1"/>
  <c r="G178" i="57" s="1"/>
  <c r="H178" i="57" s="1"/>
  <c r="I178" i="57" s="1"/>
  <c r="J178" i="57" s="1"/>
  <c r="K178" i="57" s="1"/>
  <c r="L178" i="57" s="1"/>
  <c r="M178" i="57" s="1"/>
  <c r="N178" i="57" s="1"/>
  <c r="O178" i="57" s="1"/>
  <c r="P178" i="57" s="1"/>
  <c r="Q178" i="57" s="1"/>
  <c r="R178" i="57" s="1"/>
  <c r="S178" i="57" s="1"/>
  <c r="T178" i="57" s="1"/>
  <c r="U178" i="57" s="1"/>
  <c r="V178" i="57" s="1"/>
  <c r="W178" i="57" s="1"/>
  <c r="X178" i="57" s="1"/>
  <c r="Y178" i="57" s="1"/>
  <c r="Z178" i="57" s="1"/>
  <c r="AA178" i="57" s="1"/>
  <c r="AB178" i="57" s="1"/>
  <c r="AC178" i="57" s="1"/>
  <c r="AD178" i="57" s="1"/>
  <c r="AE178" i="57" s="1"/>
  <c r="AF178" i="57" s="1"/>
  <c r="AG178" i="57" s="1"/>
  <c r="AH178" i="57" s="1"/>
  <c r="AI178" i="57" s="1"/>
  <c r="AS178" i="57"/>
  <c r="AT178" i="57" s="1"/>
  <c r="AU178" i="57" s="1"/>
  <c r="AV178" i="57" s="1"/>
  <c r="AW178" i="57" s="1"/>
  <c r="AX178" i="57" s="1"/>
  <c r="AY178" i="57" s="1"/>
  <c r="AZ178" i="57" s="1"/>
  <c r="BA178" i="57" s="1"/>
  <c r="BB178" i="57" s="1"/>
  <c r="BC178" i="57" s="1"/>
  <c r="BD178" i="57" s="1"/>
  <c r="BE178" i="57" s="1"/>
  <c r="BF178" i="57" s="1"/>
  <c r="BG178" i="57" s="1"/>
  <c r="BH178" i="57" s="1"/>
  <c r="BI178" i="57" s="1"/>
  <c r="BJ178" i="57" s="1"/>
  <c r="BK178" i="57" s="1"/>
  <c r="BL178" i="57" s="1"/>
  <c r="BM178" i="57" s="1"/>
  <c r="BN178" i="57" s="1"/>
  <c r="BO178" i="57" s="1"/>
  <c r="BP178" i="57" s="1"/>
  <c r="BQ178" i="57" s="1"/>
  <c r="BR178" i="57" s="1"/>
  <c r="BS178" i="57" s="1"/>
  <c r="BT178" i="57" s="1"/>
  <c r="BU178" i="57" s="1"/>
  <c r="BV178" i="57" s="1"/>
  <c r="BW178" i="57" s="1"/>
  <c r="BX178" i="57" s="1"/>
  <c r="BY178" i="57" s="1"/>
  <c r="AR31" i="62"/>
  <c r="C166" i="57"/>
  <c r="D166" i="57" s="1"/>
  <c r="E166" i="57" s="1"/>
  <c r="AS166" i="57"/>
  <c r="AT166" i="57" s="1"/>
  <c r="AU166" i="57" s="1"/>
  <c r="AV166" i="57" s="1"/>
  <c r="AW166" i="57" s="1"/>
  <c r="AX166" i="57" s="1"/>
  <c r="AY166" i="57" s="1"/>
  <c r="AZ166" i="57" s="1"/>
  <c r="BA166" i="57" s="1"/>
  <c r="BB166" i="57" s="1"/>
  <c r="BC166" i="57" s="1"/>
  <c r="BD166" i="57" s="1"/>
  <c r="BE166" i="57" s="1"/>
  <c r="BF166" i="57" s="1"/>
  <c r="BG166" i="57" s="1"/>
  <c r="BH166" i="57" s="1"/>
  <c r="BI166" i="57" s="1"/>
  <c r="BJ166" i="57" s="1"/>
  <c r="BK166" i="57" s="1"/>
  <c r="BL166" i="57" s="1"/>
  <c r="BM166" i="57" s="1"/>
  <c r="BN166" i="57" s="1"/>
  <c r="BO166" i="57" s="1"/>
  <c r="BP166" i="57" s="1"/>
  <c r="BQ166" i="57" s="1"/>
  <c r="BR166" i="57" s="1"/>
  <c r="BS166" i="57" s="1"/>
  <c r="BT166" i="57" s="1"/>
  <c r="BU166" i="57" s="1"/>
  <c r="BV166" i="57" s="1"/>
  <c r="BW166" i="57" s="1"/>
  <c r="BX166" i="57" s="1"/>
  <c r="BY166" i="57" s="1"/>
  <c r="C130" i="57"/>
  <c r="D130" i="57" s="1"/>
  <c r="E130" i="57" s="1"/>
  <c r="F130" i="57" s="1"/>
  <c r="G130" i="57" s="1"/>
  <c r="H130" i="57" s="1"/>
  <c r="I130" i="57" s="1"/>
  <c r="J130" i="57" s="1"/>
  <c r="K130" i="57" s="1"/>
  <c r="L130" i="57" s="1"/>
  <c r="M130" i="57" s="1"/>
  <c r="N130" i="57" s="1"/>
  <c r="O130" i="57" s="1"/>
  <c r="P130" i="57" s="1"/>
  <c r="Q130" i="57" s="1"/>
  <c r="R130" i="57" s="1"/>
  <c r="S130" i="57" s="1"/>
  <c r="T130" i="57" s="1"/>
  <c r="U130" i="57" s="1"/>
  <c r="V130" i="57" s="1"/>
  <c r="W130" i="57" s="1"/>
  <c r="X130" i="57" s="1"/>
  <c r="Y130" i="57" s="1"/>
  <c r="Z130" i="57" s="1"/>
  <c r="AA130" i="57" s="1"/>
  <c r="AB130" i="57" s="1"/>
  <c r="AC130" i="57" s="1"/>
  <c r="AD130" i="57" s="1"/>
  <c r="AE130" i="57" s="1"/>
  <c r="AF130" i="57" s="1"/>
  <c r="AG130" i="57" s="1"/>
  <c r="AH130" i="57" s="1"/>
  <c r="AI130" i="57" s="1"/>
  <c r="AS130" i="57"/>
  <c r="AT130" i="57" s="1"/>
  <c r="AU130" i="57" s="1"/>
  <c r="AV130" i="57" s="1"/>
  <c r="AW130" i="57" s="1"/>
  <c r="AX130" i="57" s="1"/>
  <c r="AY130" i="57" s="1"/>
  <c r="AZ130" i="57" s="1"/>
  <c r="BA130" i="57" s="1"/>
  <c r="BB130" i="57" s="1"/>
  <c r="BC130" i="57" s="1"/>
  <c r="BD130" i="57" s="1"/>
  <c r="BE130" i="57" s="1"/>
  <c r="BF130" i="57" s="1"/>
  <c r="BG130" i="57" s="1"/>
  <c r="BH130" i="57" s="1"/>
  <c r="BI130" i="57" s="1"/>
  <c r="AJ248" i="4"/>
  <c r="AR151" i="62"/>
  <c r="AR87" i="62"/>
  <c r="AR21" i="62"/>
  <c r="B24" i="62"/>
  <c r="AR24" i="62" s="1"/>
  <c r="C11" i="57"/>
  <c r="AJ41" i="4"/>
  <c r="AS85" i="57"/>
  <c r="AT85" i="57" s="1"/>
  <c r="AU85" i="57" s="1"/>
  <c r="AV85" i="57" s="1"/>
  <c r="AW85" i="57" s="1"/>
  <c r="AX85" i="57" s="1"/>
  <c r="AY85" i="57" s="1"/>
  <c r="AZ85" i="57" s="1"/>
  <c r="BA85" i="57" s="1"/>
  <c r="BB85" i="57" s="1"/>
  <c r="BC85" i="57" s="1"/>
  <c r="BD85" i="57" s="1"/>
  <c r="BE85" i="57" s="1"/>
  <c r="BF85" i="57" s="1"/>
  <c r="BG85" i="57" s="1"/>
  <c r="BH85" i="57" s="1"/>
  <c r="BI85" i="57" s="1"/>
  <c r="C85" i="57"/>
  <c r="C171" i="62" s="1"/>
  <c r="AJ148" i="4"/>
  <c r="AJ158" i="4"/>
  <c r="AS252" i="57"/>
  <c r="AT252" i="57" s="1"/>
  <c r="AU252" i="57" s="1"/>
  <c r="AV252" i="57" s="1"/>
  <c r="AW252" i="57" s="1"/>
  <c r="AX252" i="57" s="1"/>
  <c r="AY252" i="57" s="1"/>
  <c r="AZ252" i="57" s="1"/>
  <c r="BA252" i="57" s="1"/>
  <c r="BB252" i="57" s="1"/>
  <c r="BC252" i="57" s="1"/>
  <c r="BD252" i="57" s="1"/>
  <c r="BE252" i="57" s="1"/>
  <c r="BF252" i="57" s="1"/>
  <c r="BG252" i="57" s="1"/>
  <c r="BH252" i="57" s="1"/>
  <c r="BI252" i="57" s="1"/>
  <c r="BJ252" i="57" s="1"/>
  <c r="BK252" i="57" s="1"/>
  <c r="BL252" i="57" s="1"/>
  <c r="BM252" i="57" s="1"/>
  <c r="BN252" i="57" s="1"/>
  <c r="BO252" i="57" s="1"/>
  <c r="BP252" i="57" s="1"/>
  <c r="BQ252" i="57" s="1"/>
  <c r="BR252" i="57" s="1"/>
  <c r="BS252" i="57" s="1"/>
  <c r="BT252" i="57" s="1"/>
  <c r="BU252" i="57" s="1"/>
  <c r="BV252" i="57" s="1"/>
  <c r="BW252" i="57" s="1"/>
  <c r="BX252" i="57" s="1"/>
  <c r="BY252" i="57" s="1"/>
  <c r="C252" i="57"/>
  <c r="D252" i="57" s="1"/>
  <c r="E252" i="57" s="1"/>
  <c r="F252" i="57" s="1"/>
  <c r="G252" i="57" s="1"/>
  <c r="H252" i="57" s="1"/>
  <c r="I252" i="57" s="1"/>
  <c r="J252" i="57" s="1"/>
  <c r="K252" i="57" s="1"/>
  <c r="L252" i="57" s="1"/>
  <c r="M252" i="57" s="1"/>
  <c r="N252" i="57" s="1"/>
  <c r="O252" i="57" s="1"/>
  <c r="P252" i="57" s="1"/>
  <c r="Q252" i="57" s="1"/>
  <c r="R252" i="57" s="1"/>
  <c r="S252" i="57" s="1"/>
  <c r="AS222" i="57"/>
  <c r="AT222" i="57" s="1"/>
  <c r="AU222" i="57" s="1"/>
  <c r="AV222" i="57" s="1"/>
  <c r="AW222" i="57" s="1"/>
  <c r="AX222" i="57" s="1"/>
  <c r="AY222" i="57" s="1"/>
  <c r="AZ222" i="57" s="1"/>
  <c r="BA222" i="57" s="1"/>
  <c r="BB222" i="57" s="1"/>
  <c r="BC222" i="57" s="1"/>
  <c r="BD222" i="57" s="1"/>
  <c r="BE222" i="57" s="1"/>
  <c r="BF222" i="57" s="1"/>
  <c r="BG222" i="57" s="1"/>
  <c r="BH222" i="57" s="1"/>
  <c r="BI222" i="57" s="1"/>
  <c r="BJ222" i="57" s="1"/>
  <c r="BK222" i="57" s="1"/>
  <c r="BL222" i="57" s="1"/>
  <c r="BM222" i="57" s="1"/>
  <c r="BN222" i="57" s="1"/>
  <c r="BO222" i="57" s="1"/>
  <c r="BP222" i="57" s="1"/>
  <c r="BQ222" i="57" s="1"/>
  <c r="BR222" i="57" s="1"/>
  <c r="BS222" i="57" s="1"/>
  <c r="BT222" i="57" s="1"/>
  <c r="BU222" i="57" s="1"/>
  <c r="BV222" i="57" s="1"/>
  <c r="BW222" i="57" s="1"/>
  <c r="BX222" i="57" s="1"/>
  <c r="BY222" i="57" s="1"/>
  <c r="C222" i="57"/>
  <c r="D222" i="57" s="1"/>
  <c r="E222" i="57" s="1"/>
  <c r="F222" i="57" s="1"/>
  <c r="G222" i="57" s="1"/>
  <c r="H222" i="57" s="1"/>
  <c r="I222" i="57" s="1"/>
  <c r="J222" i="57" s="1"/>
  <c r="K222" i="57" s="1"/>
  <c r="L222" i="57" s="1"/>
  <c r="M222" i="57" s="1"/>
  <c r="N222" i="57" s="1"/>
  <c r="O222" i="57" s="1"/>
  <c r="P222" i="57" s="1"/>
  <c r="Q222" i="57" s="1"/>
  <c r="R222" i="57" s="1"/>
  <c r="S222" i="57" s="1"/>
  <c r="C123" i="57"/>
  <c r="D123" i="57" s="1"/>
  <c r="E123" i="57" s="1"/>
  <c r="F123" i="57" s="1"/>
  <c r="G123" i="57" s="1"/>
  <c r="H123" i="57" s="1"/>
  <c r="I123" i="57" s="1"/>
  <c r="J123" i="57" s="1"/>
  <c r="K123" i="57" s="1"/>
  <c r="L123" i="57" s="1"/>
  <c r="M123" i="57" s="1"/>
  <c r="N123" i="57" s="1"/>
  <c r="O123" i="57" s="1"/>
  <c r="P123" i="57" s="1"/>
  <c r="Q123" i="57" s="1"/>
  <c r="R123" i="57" s="1"/>
  <c r="S123" i="57" s="1"/>
  <c r="AS123" i="57"/>
  <c r="AR77" i="62"/>
  <c r="C62" i="57"/>
  <c r="C125" i="62" s="1"/>
  <c r="AS62" i="57"/>
  <c r="AT62" i="57" s="1"/>
  <c r="AU62" i="57" s="1"/>
  <c r="AV62" i="57" s="1"/>
  <c r="AW62" i="57" s="1"/>
  <c r="AX62" i="57" s="1"/>
  <c r="AY62" i="57" s="1"/>
  <c r="AZ62" i="57" s="1"/>
  <c r="BA62" i="57" s="1"/>
  <c r="BB62" i="57" s="1"/>
  <c r="BC62" i="57" s="1"/>
  <c r="BD62" i="57" s="1"/>
  <c r="BE62" i="57" s="1"/>
  <c r="BF62" i="57" s="1"/>
  <c r="BG62" i="57" s="1"/>
  <c r="BH62" i="57" s="1"/>
  <c r="BI62" i="57" s="1"/>
  <c r="AS122" i="57"/>
  <c r="AT122" i="57" s="1"/>
  <c r="AU122" i="57" s="1"/>
  <c r="AV122" i="57" s="1"/>
  <c r="AW122" i="57" s="1"/>
  <c r="AX122" i="57" s="1"/>
  <c r="AY122" i="57" s="1"/>
  <c r="AZ122" i="57" s="1"/>
  <c r="BA122" i="57" s="1"/>
  <c r="BB122" i="57" s="1"/>
  <c r="BC122" i="57" s="1"/>
  <c r="BD122" i="57" s="1"/>
  <c r="BE122" i="57" s="1"/>
  <c r="BF122" i="57" s="1"/>
  <c r="BG122" i="57" s="1"/>
  <c r="BH122" i="57" s="1"/>
  <c r="BI122" i="57" s="1"/>
  <c r="BJ122" i="57" s="1"/>
  <c r="BK122" i="57" s="1"/>
  <c r="BL122" i="57" s="1"/>
  <c r="BM122" i="57" s="1"/>
  <c r="BN122" i="57" s="1"/>
  <c r="BO122" i="57" s="1"/>
  <c r="BP122" i="57" s="1"/>
  <c r="BQ122" i="57" s="1"/>
  <c r="BR122" i="57" s="1"/>
  <c r="BS122" i="57" s="1"/>
  <c r="BT122" i="57" s="1"/>
  <c r="BU122" i="57" s="1"/>
  <c r="BV122" i="57" s="1"/>
  <c r="BW122" i="57" s="1"/>
  <c r="BX122" i="57" s="1"/>
  <c r="BY122" i="57" s="1"/>
  <c r="C122" i="57"/>
  <c r="AS141" i="57"/>
  <c r="AT141" i="57" s="1"/>
  <c r="AU141" i="57" s="1"/>
  <c r="AV141" i="57" s="1"/>
  <c r="AW141" i="57" s="1"/>
  <c r="AX141" i="57" s="1"/>
  <c r="AY141" i="57" s="1"/>
  <c r="AZ141" i="57" s="1"/>
  <c r="BA141" i="57" s="1"/>
  <c r="BB141" i="57" s="1"/>
  <c r="BC141" i="57" s="1"/>
  <c r="BD141" i="57" s="1"/>
  <c r="BE141" i="57" s="1"/>
  <c r="BF141" i="57" s="1"/>
  <c r="BG141" i="57" s="1"/>
  <c r="BH141" i="57" s="1"/>
  <c r="BI141" i="57" s="1"/>
  <c r="C141" i="57"/>
  <c r="AR15" i="62"/>
  <c r="AS208" i="57"/>
  <c r="AT208" i="57" s="1"/>
  <c r="AU208" i="57" s="1"/>
  <c r="AV208" i="57" s="1"/>
  <c r="AW208" i="57" s="1"/>
  <c r="AX208" i="57" s="1"/>
  <c r="AY208" i="57" s="1"/>
  <c r="AZ208" i="57" s="1"/>
  <c r="BA208" i="57" s="1"/>
  <c r="BB208" i="57" s="1"/>
  <c r="BC208" i="57" s="1"/>
  <c r="BD208" i="57" s="1"/>
  <c r="BE208" i="57" s="1"/>
  <c r="BF208" i="57" s="1"/>
  <c r="BG208" i="57" s="1"/>
  <c r="BH208" i="57" s="1"/>
  <c r="BI208" i="57" s="1"/>
  <c r="BJ208" i="57" s="1"/>
  <c r="BK208" i="57" s="1"/>
  <c r="BL208" i="57" s="1"/>
  <c r="BM208" i="57" s="1"/>
  <c r="BN208" i="57" s="1"/>
  <c r="BO208" i="57" s="1"/>
  <c r="BP208" i="57" s="1"/>
  <c r="BQ208" i="57" s="1"/>
  <c r="BR208" i="57" s="1"/>
  <c r="BS208" i="57" s="1"/>
  <c r="BT208" i="57" s="1"/>
  <c r="BU208" i="57" s="1"/>
  <c r="BV208" i="57" s="1"/>
  <c r="BW208" i="57" s="1"/>
  <c r="BX208" i="57" s="1"/>
  <c r="BY208" i="57" s="1"/>
  <c r="C208" i="57"/>
  <c r="AS201" i="57"/>
  <c r="C201" i="57"/>
  <c r="D201" i="57" s="1"/>
  <c r="E201" i="57" s="1"/>
  <c r="F201" i="57" s="1"/>
  <c r="G201" i="57" s="1"/>
  <c r="H201" i="57" s="1"/>
  <c r="I201" i="57" s="1"/>
  <c r="J201" i="57" s="1"/>
  <c r="K201" i="57" s="1"/>
  <c r="L201" i="57" s="1"/>
  <c r="M201" i="57" s="1"/>
  <c r="N201" i="57" s="1"/>
  <c r="O201" i="57" s="1"/>
  <c r="P201" i="57" s="1"/>
  <c r="Q201" i="57" s="1"/>
  <c r="R201" i="57" s="1"/>
  <c r="S201" i="57" s="1"/>
  <c r="AJ151" i="4"/>
  <c r="AJ221" i="4"/>
  <c r="AS159" i="57"/>
  <c r="AT159" i="57" s="1"/>
  <c r="AU159" i="57" s="1"/>
  <c r="AV159" i="57" s="1"/>
  <c r="AW159" i="57" s="1"/>
  <c r="AX159" i="57" s="1"/>
  <c r="AY159" i="57" s="1"/>
  <c r="AZ159" i="57" s="1"/>
  <c r="BA159" i="57" s="1"/>
  <c r="BB159" i="57" s="1"/>
  <c r="BC159" i="57" s="1"/>
  <c r="BD159" i="57" s="1"/>
  <c r="BE159" i="57" s="1"/>
  <c r="BF159" i="57" s="1"/>
  <c r="BG159" i="57" s="1"/>
  <c r="BH159" i="57" s="1"/>
  <c r="BI159" i="57" s="1"/>
  <c r="BJ159" i="57" s="1"/>
  <c r="BK159" i="57" s="1"/>
  <c r="BL159" i="57" s="1"/>
  <c r="BM159" i="57" s="1"/>
  <c r="BN159" i="57" s="1"/>
  <c r="BO159" i="57" s="1"/>
  <c r="BP159" i="57" s="1"/>
  <c r="BQ159" i="57" s="1"/>
  <c r="BR159" i="57" s="1"/>
  <c r="BS159" i="57" s="1"/>
  <c r="BT159" i="57" s="1"/>
  <c r="BU159" i="57" s="1"/>
  <c r="BV159" i="57" s="1"/>
  <c r="BW159" i="57" s="1"/>
  <c r="BX159" i="57" s="1"/>
  <c r="BY159" i="57" s="1"/>
  <c r="C159" i="57"/>
  <c r="D159" i="57" s="1"/>
  <c r="E159" i="57" s="1"/>
  <c r="F159" i="57" s="1"/>
  <c r="G159" i="57" s="1"/>
  <c r="H159" i="57" s="1"/>
  <c r="I159" i="57" s="1"/>
  <c r="J159" i="57" s="1"/>
  <c r="K159" i="57" s="1"/>
  <c r="L159" i="57" s="1"/>
  <c r="M159" i="57" s="1"/>
  <c r="N159" i="57" s="1"/>
  <c r="O159" i="57" s="1"/>
  <c r="P159" i="57" s="1"/>
  <c r="Q159" i="57" s="1"/>
  <c r="R159" i="57" s="1"/>
  <c r="S159" i="57" s="1"/>
  <c r="AR53" i="62"/>
  <c r="AJ74" i="4"/>
  <c r="AJ254" i="4"/>
  <c r="AS236" i="57"/>
  <c r="AT236" i="57" s="1"/>
  <c r="AU236" i="57" s="1"/>
  <c r="AV236" i="57" s="1"/>
  <c r="AW236" i="57" s="1"/>
  <c r="AX236" i="57" s="1"/>
  <c r="AY236" i="57" s="1"/>
  <c r="AZ236" i="57" s="1"/>
  <c r="BA236" i="57" s="1"/>
  <c r="BB236" i="57" s="1"/>
  <c r="BC236" i="57" s="1"/>
  <c r="BD236" i="57" s="1"/>
  <c r="BE236" i="57" s="1"/>
  <c r="BF236" i="57" s="1"/>
  <c r="BG236" i="57" s="1"/>
  <c r="BH236" i="57" s="1"/>
  <c r="BI236" i="57" s="1"/>
  <c r="BJ236" i="57" s="1"/>
  <c r="BK236" i="57" s="1"/>
  <c r="BL236" i="57" s="1"/>
  <c r="BM236" i="57" s="1"/>
  <c r="BN236" i="57" s="1"/>
  <c r="BO236" i="57" s="1"/>
  <c r="BP236" i="57" s="1"/>
  <c r="BQ236" i="57" s="1"/>
  <c r="BR236" i="57" s="1"/>
  <c r="BS236" i="57" s="1"/>
  <c r="BT236" i="57" s="1"/>
  <c r="BU236" i="57" s="1"/>
  <c r="BV236" i="57" s="1"/>
  <c r="BW236" i="57" s="1"/>
  <c r="BX236" i="57" s="1"/>
  <c r="BY236" i="57" s="1"/>
  <c r="C236" i="57"/>
  <c r="AJ114" i="4"/>
  <c r="AR89" i="62"/>
  <c r="AJ54" i="4"/>
  <c r="AS181" i="57"/>
  <c r="AT181" i="57" s="1"/>
  <c r="AU181" i="57" s="1"/>
  <c r="AV181" i="57" s="1"/>
  <c r="AW181" i="57" s="1"/>
  <c r="AX181" i="57" s="1"/>
  <c r="AY181" i="57" s="1"/>
  <c r="AZ181" i="57" s="1"/>
  <c r="BA181" i="57" s="1"/>
  <c r="BB181" i="57" s="1"/>
  <c r="BC181" i="57" s="1"/>
  <c r="BD181" i="57" s="1"/>
  <c r="BE181" i="57" s="1"/>
  <c r="BF181" i="57" s="1"/>
  <c r="BG181" i="57" s="1"/>
  <c r="BH181" i="57" s="1"/>
  <c r="BI181" i="57" s="1"/>
  <c r="BJ181" i="57" s="1"/>
  <c r="BK181" i="57" s="1"/>
  <c r="BL181" i="57" s="1"/>
  <c r="BM181" i="57" s="1"/>
  <c r="BN181" i="57" s="1"/>
  <c r="BO181" i="57" s="1"/>
  <c r="BP181" i="57" s="1"/>
  <c r="BQ181" i="57" s="1"/>
  <c r="BR181" i="57" s="1"/>
  <c r="BS181" i="57" s="1"/>
  <c r="BT181" i="57" s="1"/>
  <c r="BU181" i="57" s="1"/>
  <c r="BV181" i="57" s="1"/>
  <c r="BW181" i="57" s="1"/>
  <c r="BX181" i="57" s="1"/>
  <c r="BY181" i="57" s="1"/>
  <c r="C181" i="57"/>
  <c r="D181" i="57" s="1"/>
  <c r="E181" i="57" s="1"/>
  <c r="F181" i="57" s="1"/>
  <c r="G181" i="57" s="1"/>
  <c r="H181" i="57" s="1"/>
  <c r="I181" i="57" s="1"/>
  <c r="J181" i="57" s="1"/>
  <c r="K181" i="57" s="1"/>
  <c r="L181" i="57" s="1"/>
  <c r="M181" i="57" s="1"/>
  <c r="N181" i="57" s="1"/>
  <c r="O181" i="57" s="1"/>
  <c r="P181" i="57" s="1"/>
  <c r="Q181" i="57" s="1"/>
  <c r="R181" i="57" s="1"/>
  <c r="S181" i="57" s="1"/>
  <c r="AJ87" i="4"/>
  <c r="AJ167" i="4"/>
  <c r="AJ139" i="4"/>
  <c r="C226" i="57"/>
  <c r="D226" i="57" s="1"/>
  <c r="E226" i="57" s="1"/>
  <c r="F226" i="57" s="1"/>
  <c r="G226" i="57" s="1"/>
  <c r="H226" i="57" s="1"/>
  <c r="I226" i="57" s="1"/>
  <c r="J226" i="57" s="1"/>
  <c r="K226" i="57" s="1"/>
  <c r="L226" i="57" s="1"/>
  <c r="M226" i="57" s="1"/>
  <c r="N226" i="57" s="1"/>
  <c r="O226" i="57" s="1"/>
  <c r="P226" i="57" s="1"/>
  <c r="Q226" i="57" s="1"/>
  <c r="R226" i="57" s="1"/>
  <c r="S226" i="57" s="1"/>
  <c r="T226" i="57" s="1"/>
  <c r="U226" i="57" s="1"/>
  <c r="V226" i="57" s="1"/>
  <c r="W226" i="57" s="1"/>
  <c r="X226" i="57" s="1"/>
  <c r="Y226" i="57" s="1"/>
  <c r="Z226" i="57" s="1"/>
  <c r="AA226" i="57" s="1"/>
  <c r="AB226" i="57" s="1"/>
  <c r="AC226" i="57" s="1"/>
  <c r="AD226" i="57" s="1"/>
  <c r="AE226" i="57" s="1"/>
  <c r="AF226" i="57" s="1"/>
  <c r="AG226" i="57" s="1"/>
  <c r="AH226" i="57" s="1"/>
  <c r="AI226" i="57" s="1"/>
  <c r="AS226" i="57"/>
  <c r="AT226" i="57" s="1"/>
  <c r="AU226" i="57" s="1"/>
  <c r="AV226" i="57" s="1"/>
  <c r="AW226" i="57" s="1"/>
  <c r="AX226" i="57" s="1"/>
  <c r="AY226" i="57" s="1"/>
  <c r="AZ226" i="57" s="1"/>
  <c r="BA226" i="57" s="1"/>
  <c r="BB226" i="57" s="1"/>
  <c r="BC226" i="57" s="1"/>
  <c r="BD226" i="57" s="1"/>
  <c r="BE226" i="57" s="1"/>
  <c r="BF226" i="57" s="1"/>
  <c r="BG226" i="57" s="1"/>
  <c r="BH226" i="57" s="1"/>
  <c r="BI226" i="57" s="1"/>
  <c r="BJ226" i="57" s="1"/>
  <c r="BK226" i="57" s="1"/>
  <c r="BL226" i="57" s="1"/>
  <c r="BM226" i="57" s="1"/>
  <c r="BN226" i="57" s="1"/>
  <c r="BO226" i="57" s="1"/>
  <c r="BP226" i="57" s="1"/>
  <c r="BQ226" i="57" s="1"/>
  <c r="BR226" i="57" s="1"/>
  <c r="BS226" i="57" s="1"/>
  <c r="BT226" i="57" s="1"/>
  <c r="BU226" i="57" s="1"/>
  <c r="BV226" i="57" s="1"/>
  <c r="BW226" i="57" s="1"/>
  <c r="BX226" i="57" s="1"/>
  <c r="BY226" i="57" s="1"/>
  <c r="C95" i="57"/>
  <c r="D95" i="57" s="1"/>
  <c r="E95" i="57" s="1"/>
  <c r="F95" i="57" s="1"/>
  <c r="G95" i="57" s="1"/>
  <c r="H95" i="57" s="1"/>
  <c r="I95" i="57" s="1"/>
  <c r="J95" i="57" s="1"/>
  <c r="K95" i="57" s="1"/>
  <c r="L95" i="57" s="1"/>
  <c r="M95" i="57" s="1"/>
  <c r="N95" i="57" s="1"/>
  <c r="O95" i="57" s="1"/>
  <c r="P95" i="57" s="1"/>
  <c r="Q95" i="57" s="1"/>
  <c r="R95" i="57" s="1"/>
  <c r="S95" i="57" s="1"/>
  <c r="T95" i="57" s="1"/>
  <c r="U95" i="57" s="1"/>
  <c r="V95" i="57" s="1"/>
  <c r="W95" i="57" s="1"/>
  <c r="X95" i="57" s="1"/>
  <c r="Y95" i="57" s="1"/>
  <c r="Z95" i="57" s="1"/>
  <c r="AA95" i="57" s="1"/>
  <c r="AB95" i="57" s="1"/>
  <c r="AC95" i="57" s="1"/>
  <c r="AD95" i="57" s="1"/>
  <c r="AE95" i="57" s="1"/>
  <c r="AF95" i="57" s="1"/>
  <c r="AG95" i="57" s="1"/>
  <c r="AH95" i="57" s="1"/>
  <c r="AI95" i="57" s="1"/>
  <c r="AS95" i="57"/>
  <c r="AJ172" i="4"/>
  <c r="AS97" i="57"/>
  <c r="AT97" i="57" s="1"/>
  <c r="AU97" i="57" s="1"/>
  <c r="AV97" i="57" s="1"/>
  <c r="AW97" i="57" s="1"/>
  <c r="AX97" i="57" s="1"/>
  <c r="AY97" i="57" s="1"/>
  <c r="AZ97" i="57" s="1"/>
  <c r="BA97" i="57" s="1"/>
  <c r="BB97" i="57" s="1"/>
  <c r="BC97" i="57" s="1"/>
  <c r="BD97" i="57" s="1"/>
  <c r="BE97" i="57" s="1"/>
  <c r="BF97" i="57" s="1"/>
  <c r="BG97" i="57" s="1"/>
  <c r="BH97" i="57" s="1"/>
  <c r="BI97" i="57" s="1"/>
  <c r="BJ97" i="57" s="1"/>
  <c r="BK97" i="57" s="1"/>
  <c r="BL97" i="57" s="1"/>
  <c r="BM97" i="57" s="1"/>
  <c r="BN97" i="57" s="1"/>
  <c r="BO97" i="57" s="1"/>
  <c r="BP97" i="57" s="1"/>
  <c r="BQ97" i="57" s="1"/>
  <c r="BR97" i="57" s="1"/>
  <c r="BS97" i="57" s="1"/>
  <c r="BT97" i="57" s="1"/>
  <c r="BU97" i="57" s="1"/>
  <c r="BV97" i="57" s="1"/>
  <c r="BW97" i="57" s="1"/>
  <c r="BX97" i="57" s="1"/>
  <c r="BY97" i="57" s="1"/>
  <c r="C97" i="57"/>
  <c r="D97" i="57" s="1"/>
  <c r="E97" i="57" s="1"/>
  <c r="F97" i="57" s="1"/>
  <c r="G97" i="57" s="1"/>
  <c r="H97" i="57" s="1"/>
  <c r="I97" i="57" s="1"/>
  <c r="J97" i="57" s="1"/>
  <c r="K97" i="57" s="1"/>
  <c r="L97" i="57" s="1"/>
  <c r="M97" i="57" s="1"/>
  <c r="N97" i="57" s="1"/>
  <c r="O97" i="57" s="1"/>
  <c r="P97" i="57" s="1"/>
  <c r="Q97" i="57" s="1"/>
  <c r="R97" i="57" s="1"/>
  <c r="S97" i="57" s="1"/>
  <c r="AS240" i="57"/>
  <c r="AT240" i="57" s="1"/>
  <c r="AU240" i="57" s="1"/>
  <c r="AV240" i="57" s="1"/>
  <c r="AW240" i="57" s="1"/>
  <c r="AX240" i="57" s="1"/>
  <c r="AY240" i="57" s="1"/>
  <c r="AZ240" i="57" s="1"/>
  <c r="BA240" i="57" s="1"/>
  <c r="BB240" i="57" s="1"/>
  <c r="BC240" i="57" s="1"/>
  <c r="BD240" i="57" s="1"/>
  <c r="BE240" i="57" s="1"/>
  <c r="BF240" i="57" s="1"/>
  <c r="BG240" i="57" s="1"/>
  <c r="BH240" i="57" s="1"/>
  <c r="BI240" i="57" s="1"/>
  <c r="C240" i="57"/>
  <c r="D240" i="57" s="1"/>
  <c r="E240" i="57" s="1"/>
  <c r="F240" i="57" s="1"/>
  <c r="G240" i="57" s="1"/>
  <c r="H240" i="57" s="1"/>
  <c r="I240" i="57" s="1"/>
  <c r="J240" i="57" s="1"/>
  <c r="K240" i="57" s="1"/>
  <c r="L240" i="57" s="1"/>
  <c r="M240" i="57" s="1"/>
  <c r="N240" i="57" s="1"/>
  <c r="O240" i="57" s="1"/>
  <c r="P240" i="57" s="1"/>
  <c r="Q240" i="57" s="1"/>
  <c r="R240" i="57" s="1"/>
  <c r="S240" i="57" s="1"/>
  <c r="AJ206" i="4"/>
  <c r="AJ250" i="4"/>
  <c r="C221" i="57"/>
  <c r="D221" i="57" s="1"/>
  <c r="E221" i="57" s="1"/>
  <c r="AS221" i="57"/>
  <c r="AT221" i="57" s="1"/>
  <c r="AU221" i="57" s="1"/>
  <c r="AV221" i="57" s="1"/>
  <c r="AW221" i="57" s="1"/>
  <c r="AX221" i="57" s="1"/>
  <c r="AY221" i="57" s="1"/>
  <c r="AZ221" i="57" s="1"/>
  <c r="BA221" i="57" s="1"/>
  <c r="BB221" i="57" s="1"/>
  <c r="BC221" i="57" s="1"/>
  <c r="BD221" i="57" s="1"/>
  <c r="BE221" i="57" s="1"/>
  <c r="BF221" i="57" s="1"/>
  <c r="BG221" i="57" s="1"/>
  <c r="BH221" i="57" s="1"/>
  <c r="BI221" i="57" s="1"/>
  <c r="BJ221" i="57" s="1"/>
  <c r="BK221" i="57" s="1"/>
  <c r="BL221" i="57" s="1"/>
  <c r="BM221" i="57" s="1"/>
  <c r="BN221" i="57" s="1"/>
  <c r="BO221" i="57" s="1"/>
  <c r="BP221" i="57" s="1"/>
  <c r="BQ221" i="57" s="1"/>
  <c r="AJ160" i="4"/>
  <c r="AJ137" i="4"/>
  <c r="AR43" i="62"/>
  <c r="AR131" i="62"/>
  <c r="C136" i="57"/>
  <c r="D136" i="57" s="1"/>
  <c r="E136" i="57" s="1"/>
  <c r="F136" i="57" s="1"/>
  <c r="G136" i="57" s="1"/>
  <c r="H136" i="57" s="1"/>
  <c r="I136" i="57" s="1"/>
  <c r="J136" i="57" s="1"/>
  <c r="K136" i="57" s="1"/>
  <c r="L136" i="57" s="1"/>
  <c r="M136" i="57" s="1"/>
  <c r="N136" i="57" s="1"/>
  <c r="O136" i="57" s="1"/>
  <c r="P136" i="57" s="1"/>
  <c r="Q136" i="57" s="1"/>
  <c r="R136" i="57" s="1"/>
  <c r="S136" i="57" s="1"/>
  <c r="T136" i="57" s="1"/>
  <c r="U136" i="57" s="1"/>
  <c r="V136" i="57" s="1"/>
  <c r="W136" i="57" s="1"/>
  <c r="X136" i="57" s="1"/>
  <c r="Y136" i="57" s="1"/>
  <c r="Z136" i="57" s="1"/>
  <c r="AA136" i="57" s="1"/>
  <c r="AB136" i="57" s="1"/>
  <c r="AC136" i="57" s="1"/>
  <c r="AD136" i="57" s="1"/>
  <c r="AE136" i="57" s="1"/>
  <c r="AF136" i="57" s="1"/>
  <c r="AG136" i="57" s="1"/>
  <c r="AH136" i="57" s="1"/>
  <c r="AI136" i="57" s="1"/>
  <c r="AS136" i="57"/>
  <c r="AT136" i="57" s="1"/>
  <c r="AU136" i="57" s="1"/>
  <c r="AV136" i="57" s="1"/>
  <c r="AW136" i="57" s="1"/>
  <c r="AX136" i="57" s="1"/>
  <c r="AY136" i="57" s="1"/>
  <c r="AZ136" i="57" s="1"/>
  <c r="BA136" i="57" s="1"/>
  <c r="BB136" i="57" s="1"/>
  <c r="BC136" i="57" s="1"/>
  <c r="BD136" i="57" s="1"/>
  <c r="BE136" i="57" s="1"/>
  <c r="BF136" i="57" s="1"/>
  <c r="BG136" i="57" s="1"/>
  <c r="BH136" i="57" s="1"/>
  <c r="BI136" i="57" s="1"/>
  <c r="AS170" i="57"/>
  <c r="AT170" i="57" s="1"/>
  <c r="AU170" i="57" s="1"/>
  <c r="AV170" i="57" s="1"/>
  <c r="AW170" i="57" s="1"/>
  <c r="AX170" i="57" s="1"/>
  <c r="AY170" i="57" s="1"/>
  <c r="AZ170" i="57" s="1"/>
  <c r="BA170" i="57" s="1"/>
  <c r="BB170" i="57" s="1"/>
  <c r="BC170" i="57" s="1"/>
  <c r="BD170" i="57" s="1"/>
  <c r="BE170" i="57" s="1"/>
  <c r="BF170" i="57" s="1"/>
  <c r="BG170" i="57" s="1"/>
  <c r="BH170" i="57" s="1"/>
  <c r="BI170" i="57" s="1"/>
  <c r="C170" i="57"/>
  <c r="D170" i="57" s="1"/>
  <c r="E170" i="57" s="1"/>
  <c r="F170" i="57" s="1"/>
  <c r="G170" i="57" s="1"/>
  <c r="H170" i="57" s="1"/>
  <c r="I170" i="57" s="1"/>
  <c r="J170" i="57" s="1"/>
  <c r="K170" i="57" s="1"/>
  <c r="L170" i="57" s="1"/>
  <c r="M170" i="57" s="1"/>
  <c r="N170" i="57" s="1"/>
  <c r="O170" i="57" s="1"/>
  <c r="P170" i="57" s="1"/>
  <c r="Q170" i="57" s="1"/>
  <c r="R170" i="57" s="1"/>
  <c r="S170" i="57" s="1"/>
  <c r="AJ34" i="4"/>
  <c r="AJ132" i="4"/>
  <c r="AJ15" i="4"/>
  <c r="AS209" i="57"/>
  <c r="C209" i="57"/>
  <c r="D209" i="57" s="1"/>
  <c r="E209" i="57" s="1"/>
  <c r="F209" i="57" s="1"/>
  <c r="G209" i="57" s="1"/>
  <c r="H209" i="57" s="1"/>
  <c r="I209" i="57" s="1"/>
  <c r="J209" i="57" s="1"/>
  <c r="K209" i="57" s="1"/>
  <c r="L209" i="57" s="1"/>
  <c r="M209" i="57" s="1"/>
  <c r="N209" i="57" s="1"/>
  <c r="O209" i="57" s="1"/>
  <c r="P209" i="57" s="1"/>
  <c r="Q209" i="57" s="1"/>
  <c r="R209" i="57" s="1"/>
  <c r="S209" i="57" s="1"/>
  <c r="C180" i="57"/>
  <c r="D180" i="57" s="1"/>
  <c r="E180" i="57" s="1"/>
  <c r="F180" i="57" s="1"/>
  <c r="G180" i="57" s="1"/>
  <c r="H180" i="57" s="1"/>
  <c r="I180" i="57" s="1"/>
  <c r="J180" i="57" s="1"/>
  <c r="K180" i="57" s="1"/>
  <c r="L180" i="57" s="1"/>
  <c r="M180" i="57" s="1"/>
  <c r="N180" i="57" s="1"/>
  <c r="O180" i="57" s="1"/>
  <c r="P180" i="57" s="1"/>
  <c r="Q180" i="57" s="1"/>
  <c r="R180" i="57" s="1"/>
  <c r="S180" i="57" s="1"/>
  <c r="AS180" i="57"/>
  <c r="AT180" i="57" s="1"/>
  <c r="AU180" i="57" s="1"/>
  <c r="AV180" i="57" s="1"/>
  <c r="AW180" i="57" s="1"/>
  <c r="AX180" i="57" s="1"/>
  <c r="AY180" i="57" s="1"/>
  <c r="AZ180" i="57" s="1"/>
  <c r="BA180" i="57" s="1"/>
  <c r="BB180" i="57" s="1"/>
  <c r="BC180" i="57" s="1"/>
  <c r="BD180" i="57" s="1"/>
  <c r="BE180" i="57" s="1"/>
  <c r="BF180" i="57" s="1"/>
  <c r="BG180" i="57" s="1"/>
  <c r="BH180" i="57" s="1"/>
  <c r="BI180" i="57" s="1"/>
  <c r="C233" i="57"/>
  <c r="D233" i="57" s="1"/>
  <c r="E233" i="57" s="1"/>
  <c r="F233" i="57" s="1"/>
  <c r="G233" i="57" s="1"/>
  <c r="H233" i="57" s="1"/>
  <c r="I233" i="57" s="1"/>
  <c r="J233" i="57" s="1"/>
  <c r="K233" i="57" s="1"/>
  <c r="L233" i="57" s="1"/>
  <c r="M233" i="57" s="1"/>
  <c r="N233" i="57" s="1"/>
  <c r="O233" i="57" s="1"/>
  <c r="P233" i="57" s="1"/>
  <c r="Q233" i="57" s="1"/>
  <c r="R233" i="57" s="1"/>
  <c r="S233" i="57" s="1"/>
  <c r="AS233" i="57"/>
  <c r="AT233" i="57" s="1"/>
  <c r="AU233" i="57" s="1"/>
  <c r="AV233" i="57" s="1"/>
  <c r="AW233" i="57" s="1"/>
  <c r="AX233" i="57" s="1"/>
  <c r="AY233" i="57" s="1"/>
  <c r="AZ233" i="57" s="1"/>
  <c r="BA233" i="57" s="1"/>
  <c r="BB233" i="57" s="1"/>
  <c r="BC233" i="57" s="1"/>
  <c r="BD233" i="57" s="1"/>
  <c r="BE233" i="57" s="1"/>
  <c r="BF233" i="57" s="1"/>
  <c r="BG233" i="57" s="1"/>
  <c r="BH233" i="57" s="1"/>
  <c r="BI233" i="57" s="1"/>
  <c r="AJ223" i="4"/>
  <c r="AJ237" i="4"/>
  <c r="AJ102" i="4"/>
  <c r="AR163" i="62"/>
  <c r="C58" i="57"/>
  <c r="C117" i="62" s="1"/>
  <c r="AS58" i="57"/>
  <c r="AT58" i="57" s="1"/>
  <c r="AU58" i="57" s="1"/>
  <c r="AV58" i="57" s="1"/>
  <c r="AW58" i="57" s="1"/>
  <c r="AX58" i="57" s="1"/>
  <c r="AY58" i="57" s="1"/>
  <c r="AZ58" i="57" s="1"/>
  <c r="BA58" i="57" s="1"/>
  <c r="BB58" i="57" s="1"/>
  <c r="BC58" i="57" s="1"/>
  <c r="BD58" i="57" s="1"/>
  <c r="BE58" i="57" s="1"/>
  <c r="BF58" i="57" s="1"/>
  <c r="BG58" i="57" s="1"/>
  <c r="BH58" i="57" s="1"/>
  <c r="BI58" i="57" s="1"/>
  <c r="BJ58" i="57" s="1"/>
  <c r="BK58" i="57" s="1"/>
  <c r="BL58" i="57" s="1"/>
  <c r="BM58" i="57" s="1"/>
  <c r="BN58" i="57" s="1"/>
  <c r="BO58" i="57" s="1"/>
  <c r="BP58" i="57" s="1"/>
  <c r="BQ58" i="57" s="1"/>
  <c r="BR58" i="57" s="1"/>
  <c r="BS58" i="57" s="1"/>
  <c r="BT58" i="57" s="1"/>
  <c r="BU58" i="57" s="1"/>
  <c r="BV58" i="57" s="1"/>
  <c r="BW58" i="57" s="1"/>
  <c r="BX58" i="57" s="1"/>
  <c r="BY58" i="57" s="1"/>
  <c r="AJ229" i="4"/>
  <c r="AS96" i="57"/>
  <c r="AT96" i="57" s="1"/>
  <c r="AU96" i="57" s="1"/>
  <c r="AV96" i="57" s="1"/>
  <c r="AW96" i="57" s="1"/>
  <c r="AX96" i="57" s="1"/>
  <c r="AY96" i="57" s="1"/>
  <c r="AZ96" i="57" s="1"/>
  <c r="BA96" i="57" s="1"/>
  <c r="BB96" i="57" s="1"/>
  <c r="BC96" i="57" s="1"/>
  <c r="BD96" i="57" s="1"/>
  <c r="BE96" i="57" s="1"/>
  <c r="BF96" i="57" s="1"/>
  <c r="BG96" i="57" s="1"/>
  <c r="BH96" i="57" s="1"/>
  <c r="BI96" i="57" s="1"/>
  <c r="C96" i="57"/>
  <c r="D96" i="57" s="1"/>
  <c r="E96" i="57" s="1"/>
  <c r="F96" i="57" s="1"/>
  <c r="G96" i="57" s="1"/>
  <c r="H96" i="57" s="1"/>
  <c r="I96" i="57" s="1"/>
  <c r="J96" i="57" s="1"/>
  <c r="K96" i="57" s="1"/>
  <c r="L96" i="57" s="1"/>
  <c r="M96" i="57" s="1"/>
  <c r="N96" i="57" s="1"/>
  <c r="O96" i="57" s="1"/>
  <c r="P96" i="57" s="1"/>
  <c r="Q96" i="57" s="1"/>
  <c r="R96" i="57" s="1"/>
  <c r="S96" i="57" s="1"/>
  <c r="AR79" i="62"/>
  <c r="AS187" i="57"/>
  <c r="AT187" i="57" s="1"/>
  <c r="AU187" i="57" s="1"/>
  <c r="AV187" i="57" s="1"/>
  <c r="AW187" i="57" s="1"/>
  <c r="AX187" i="57" s="1"/>
  <c r="AY187" i="57" s="1"/>
  <c r="AZ187" i="57" s="1"/>
  <c r="BA187" i="57" s="1"/>
  <c r="BB187" i="57" s="1"/>
  <c r="BC187" i="57" s="1"/>
  <c r="BD187" i="57" s="1"/>
  <c r="BE187" i="57" s="1"/>
  <c r="BF187" i="57" s="1"/>
  <c r="BG187" i="57" s="1"/>
  <c r="BH187" i="57" s="1"/>
  <c r="BI187" i="57" s="1"/>
  <c r="BJ187" i="57" s="1"/>
  <c r="BK187" i="57" s="1"/>
  <c r="BL187" i="57" s="1"/>
  <c r="BM187" i="57" s="1"/>
  <c r="BN187" i="57" s="1"/>
  <c r="BO187" i="57" s="1"/>
  <c r="BP187" i="57" s="1"/>
  <c r="BQ187" i="57" s="1"/>
  <c r="BR187" i="57" s="1"/>
  <c r="BS187" i="57" s="1"/>
  <c r="BT187" i="57" s="1"/>
  <c r="BU187" i="57" s="1"/>
  <c r="BV187" i="57" s="1"/>
  <c r="BW187" i="57" s="1"/>
  <c r="BX187" i="57" s="1"/>
  <c r="BY187" i="57" s="1"/>
  <c r="C187" i="57"/>
  <c r="D187" i="57" s="1"/>
  <c r="E187" i="57" s="1"/>
  <c r="F187" i="57" s="1"/>
  <c r="G187" i="57" s="1"/>
  <c r="H187" i="57" s="1"/>
  <c r="I187" i="57" s="1"/>
  <c r="J187" i="57" s="1"/>
  <c r="K187" i="57" s="1"/>
  <c r="L187" i="57" s="1"/>
  <c r="M187" i="57" s="1"/>
  <c r="N187" i="57" s="1"/>
  <c r="O187" i="57" s="1"/>
  <c r="P187" i="57" s="1"/>
  <c r="Q187" i="57" s="1"/>
  <c r="R187" i="57" s="1"/>
  <c r="S187" i="57" s="1"/>
  <c r="C23" i="57"/>
  <c r="C47" i="62" s="1"/>
  <c r="AS103" i="57"/>
  <c r="AT103" i="57" s="1"/>
  <c r="AU103" i="57" s="1"/>
  <c r="AV103" i="57" s="1"/>
  <c r="AW103" i="57" s="1"/>
  <c r="AX103" i="57" s="1"/>
  <c r="AY103" i="57" s="1"/>
  <c r="AZ103" i="57" s="1"/>
  <c r="BA103" i="57" s="1"/>
  <c r="BB103" i="57" s="1"/>
  <c r="BC103" i="57" s="1"/>
  <c r="BD103" i="57" s="1"/>
  <c r="BE103" i="57" s="1"/>
  <c r="BF103" i="57" s="1"/>
  <c r="BG103" i="57" s="1"/>
  <c r="BH103" i="57" s="1"/>
  <c r="BI103" i="57" s="1"/>
  <c r="BJ103" i="57" s="1"/>
  <c r="BK103" i="57" s="1"/>
  <c r="BL103" i="57" s="1"/>
  <c r="BM103" i="57" s="1"/>
  <c r="BN103" i="57" s="1"/>
  <c r="BO103" i="57" s="1"/>
  <c r="BP103" i="57" s="1"/>
  <c r="BQ103" i="57" s="1"/>
  <c r="BR103" i="57" s="1"/>
  <c r="BS103" i="57" s="1"/>
  <c r="BT103" i="57" s="1"/>
  <c r="BU103" i="57" s="1"/>
  <c r="BV103" i="57" s="1"/>
  <c r="BW103" i="57" s="1"/>
  <c r="BX103" i="57" s="1"/>
  <c r="BY103" i="57" s="1"/>
  <c r="C103" i="57"/>
  <c r="D103" i="57" s="1"/>
  <c r="E103" i="57" s="1"/>
  <c r="F103" i="57" s="1"/>
  <c r="G103" i="57" s="1"/>
  <c r="H103" i="57" s="1"/>
  <c r="I103" i="57" s="1"/>
  <c r="J103" i="57" s="1"/>
  <c r="K103" i="57" s="1"/>
  <c r="L103" i="57" s="1"/>
  <c r="M103" i="57" s="1"/>
  <c r="N103" i="57" s="1"/>
  <c r="O103" i="57" s="1"/>
  <c r="P103" i="57" s="1"/>
  <c r="Q103" i="57" s="1"/>
  <c r="R103" i="57" s="1"/>
  <c r="S103" i="57" s="1"/>
  <c r="AS238" i="57"/>
  <c r="AT238" i="57" s="1"/>
  <c r="AU238" i="57" s="1"/>
  <c r="AV238" i="57" s="1"/>
  <c r="AW238" i="57" s="1"/>
  <c r="AX238" i="57" s="1"/>
  <c r="AY238" i="57" s="1"/>
  <c r="AZ238" i="57" s="1"/>
  <c r="BA238" i="57" s="1"/>
  <c r="BB238" i="57" s="1"/>
  <c r="BC238" i="57" s="1"/>
  <c r="BD238" i="57" s="1"/>
  <c r="BE238" i="57" s="1"/>
  <c r="BF238" i="57" s="1"/>
  <c r="BG238" i="57" s="1"/>
  <c r="BH238" i="57" s="1"/>
  <c r="BI238" i="57" s="1"/>
  <c r="BJ238" i="57" s="1"/>
  <c r="BK238" i="57" s="1"/>
  <c r="BL238" i="57" s="1"/>
  <c r="BM238" i="57" s="1"/>
  <c r="BN238" i="57" s="1"/>
  <c r="BO238" i="57" s="1"/>
  <c r="BP238" i="57" s="1"/>
  <c r="BQ238" i="57" s="1"/>
  <c r="BR238" i="57" s="1"/>
  <c r="BS238" i="57" s="1"/>
  <c r="BT238" i="57" s="1"/>
  <c r="BU238" i="57" s="1"/>
  <c r="BV238" i="57" s="1"/>
  <c r="BW238" i="57" s="1"/>
  <c r="BX238" i="57" s="1"/>
  <c r="BY238" i="57" s="1"/>
  <c r="C238" i="57"/>
  <c r="D238" i="57" s="1"/>
  <c r="E238" i="57" s="1"/>
  <c r="F238" i="57" s="1"/>
  <c r="G238" i="57" s="1"/>
  <c r="H238" i="57" s="1"/>
  <c r="I238" i="57" s="1"/>
  <c r="J238" i="57" s="1"/>
  <c r="K238" i="57" s="1"/>
  <c r="L238" i="57" s="1"/>
  <c r="M238" i="57" s="1"/>
  <c r="N238" i="57" s="1"/>
  <c r="O238" i="57" s="1"/>
  <c r="P238" i="57" s="1"/>
  <c r="Q238" i="57" s="1"/>
  <c r="R238" i="57" s="1"/>
  <c r="S238" i="57" s="1"/>
  <c r="C229" i="57"/>
  <c r="D229" i="57" s="1"/>
  <c r="E229" i="57" s="1"/>
  <c r="F229" i="57" s="1"/>
  <c r="G229" i="57" s="1"/>
  <c r="H229" i="57" s="1"/>
  <c r="I229" i="57" s="1"/>
  <c r="J229" i="57" s="1"/>
  <c r="K229" i="57" s="1"/>
  <c r="L229" i="57" s="1"/>
  <c r="M229" i="57" s="1"/>
  <c r="N229" i="57" s="1"/>
  <c r="O229" i="57" s="1"/>
  <c r="P229" i="57" s="1"/>
  <c r="Q229" i="57" s="1"/>
  <c r="R229" i="57" s="1"/>
  <c r="S229" i="57" s="1"/>
  <c r="AS229" i="57"/>
  <c r="AT229" i="57" s="1"/>
  <c r="AU229" i="57" s="1"/>
  <c r="AV229" i="57" s="1"/>
  <c r="AW229" i="57" s="1"/>
  <c r="AX229" i="57" s="1"/>
  <c r="AY229" i="57" s="1"/>
  <c r="AZ229" i="57" s="1"/>
  <c r="BA229" i="57" s="1"/>
  <c r="BB229" i="57" s="1"/>
  <c r="BC229" i="57" s="1"/>
  <c r="BD229" i="57" s="1"/>
  <c r="BE229" i="57" s="1"/>
  <c r="BF229" i="57" s="1"/>
  <c r="BG229" i="57" s="1"/>
  <c r="BH229" i="57" s="1"/>
  <c r="BI229" i="57" s="1"/>
  <c r="BJ229" i="57" s="1"/>
  <c r="BK229" i="57" s="1"/>
  <c r="BL229" i="57" s="1"/>
  <c r="BM229" i="57" s="1"/>
  <c r="BN229" i="57" s="1"/>
  <c r="BO229" i="57" s="1"/>
  <c r="BP229" i="57" s="1"/>
  <c r="BQ229" i="57" s="1"/>
  <c r="BR229" i="57" s="1"/>
  <c r="BS229" i="57" s="1"/>
  <c r="BT229" i="57" s="1"/>
  <c r="BU229" i="57" s="1"/>
  <c r="BV229" i="57" s="1"/>
  <c r="BW229" i="57" s="1"/>
  <c r="BX229" i="57" s="1"/>
  <c r="BY229" i="57" s="1"/>
  <c r="C242" i="57"/>
  <c r="D242" i="57" s="1"/>
  <c r="E242" i="57" s="1"/>
  <c r="AS242" i="57"/>
  <c r="AT242" i="57" s="1"/>
  <c r="AU242" i="57" s="1"/>
  <c r="AV242" i="57" s="1"/>
  <c r="AW242" i="57" s="1"/>
  <c r="AX242" i="57" s="1"/>
  <c r="AY242" i="57" s="1"/>
  <c r="AZ242" i="57" s="1"/>
  <c r="BA242" i="57" s="1"/>
  <c r="BB242" i="57" s="1"/>
  <c r="BC242" i="57" s="1"/>
  <c r="BD242" i="57" s="1"/>
  <c r="BE242" i="57" s="1"/>
  <c r="BF242" i="57" s="1"/>
  <c r="BG242" i="57" s="1"/>
  <c r="BH242" i="57" s="1"/>
  <c r="BI242" i="57" s="1"/>
  <c r="BJ242" i="57" s="1"/>
  <c r="BK242" i="57" s="1"/>
  <c r="BL242" i="57" s="1"/>
  <c r="BM242" i="57" s="1"/>
  <c r="BN242" i="57" s="1"/>
  <c r="BO242" i="57" s="1"/>
  <c r="BP242" i="57" s="1"/>
  <c r="BQ242" i="57" s="1"/>
  <c r="BR242" i="57" s="1"/>
  <c r="BS242" i="57" s="1"/>
  <c r="BT242" i="57" s="1"/>
  <c r="BU242" i="57" s="1"/>
  <c r="BV242" i="57" s="1"/>
  <c r="BW242" i="57" s="1"/>
  <c r="BX242" i="57" s="1"/>
  <c r="BY242" i="57" s="1"/>
  <c r="AR91" i="62"/>
  <c r="AS44" i="57"/>
  <c r="AT44" i="57" s="1"/>
  <c r="AU44" i="57" s="1"/>
  <c r="AV44" i="57" s="1"/>
  <c r="AW44" i="57" s="1"/>
  <c r="AX44" i="57" s="1"/>
  <c r="AY44" i="57" s="1"/>
  <c r="AZ44" i="57" s="1"/>
  <c r="BA44" i="57" s="1"/>
  <c r="BB44" i="57" s="1"/>
  <c r="BC44" i="57" s="1"/>
  <c r="BD44" i="57" s="1"/>
  <c r="BE44" i="57" s="1"/>
  <c r="BF44" i="57" s="1"/>
  <c r="BG44" i="57" s="1"/>
  <c r="BH44" i="57" s="1"/>
  <c r="BI44" i="57" s="1"/>
  <c r="BJ44" i="57" s="1"/>
  <c r="BK44" i="57" s="1"/>
  <c r="BL44" i="57" s="1"/>
  <c r="BM44" i="57" s="1"/>
  <c r="BN44" i="57" s="1"/>
  <c r="BO44" i="57" s="1"/>
  <c r="BP44" i="57" s="1"/>
  <c r="BQ44" i="57" s="1"/>
  <c r="BR44" i="57" s="1"/>
  <c r="BS44" i="57" s="1"/>
  <c r="BT44" i="57" s="1"/>
  <c r="BU44" i="57" s="1"/>
  <c r="BV44" i="57" s="1"/>
  <c r="BW44" i="57" s="1"/>
  <c r="BX44" i="57" s="1"/>
  <c r="BY44" i="57" s="1"/>
  <c r="C44" i="57"/>
  <c r="C89" i="62" s="1"/>
  <c r="AJ43" i="4"/>
  <c r="C77" i="57"/>
  <c r="C155" i="62" s="1"/>
  <c r="AS77" i="57"/>
  <c r="AT77" i="57" s="1"/>
  <c r="AU77" i="57" s="1"/>
  <c r="AV77" i="57" s="1"/>
  <c r="AW77" i="57" s="1"/>
  <c r="AX77" i="57" s="1"/>
  <c r="AY77" i="57" s="1"/>
  <c r="AZ77" i="57" s="1"/>
  <c r="BA77" i="57" s="1"/>
  <c r="BB77" i="57" s="1"/>
  <c r="BC77" i="57" s="1"/>
  <c r="BD77" i="57" s="1"/>
  <c r="BE77" i="57" s="1"/>
  <c r="BF77" i="57" s="1"/>
  <c r="BG77" i="57" s="1"/>
  <c r="BH77" i="57" s="1"/>
  <c r="BI77" i="57" s="1"/>
  <c r="BJ77" i="57" s="1"/>
  <c r="BK77" i="57" s="1"/>
  <c r="BL77" i="57" s="1"/>
  <c r="BM77" i="57" s="1"/>
  <c r="BN77" i="57" s="1"/>
  <c r="BO77" i="57" s="1"/>
  <c r="BP77" i="57" s="1"/>
  <c r="BQ77" i="57" s="1"/>
  <c r="BR77" i="57" s="1"/>
  <c r="BS77" i="57" s="1"/>
  <c r="BT77" i="57" s="1"/>
  <c r="BU77" i="57" s="1"/>
  <c r="BV77" i="57" s="1"/>
  <c r="BW77" i="57" s="1"/>
  <c r="BX77" i="57" s="1"/>
  <c r="BY77" i="57" s="1"/>
  <c r="AJ268" i="4"/>
  <c r="C246" i="57"/>
  <c r="D246" i="57" s="1"/>
  <c r="E246" i="57" s="1"/>
  <c r="F246" i="57" s="1"/>
  <c r="G246" i="57" s="1"/>
  <c r="H246" i="57" s="1"/>
  <c r="I246" i="57" s="1"/>
  <c r="J246" i="57" s="1"/>
  <c r="K246" i="57" s="1"/>
  <c r="L246" i="57" s="1"/>
  <c r="M246" i="57" s="1"/>
  <c r="N246" i="57" s="1"/>
  <c r="O246" i="57" s="1"/>
  <c r="P246" i="57" s="1"/>
  <c r="Q246" i="57" s="1"/>
  <c r="R246" i="57" s="1"/>
  <c r="S246" i="57" s="1"/>
  <c r="AS246" i="57"/>
  <c r="AT246" i="57" s="1"/>
  <c r="AU246" i="57" s="1"/>
  <c r="AV246" i="57" s="1"/>
  <c r="AW246" i="57" s="1"/>
  <c r="AX246" i="57" s="1"/>
  <c r="AY246" i="57" s="1"/>
  <c r="AZ246" i="57" s="1"/>
  <c r="BA246" i="57" s="1"/>
  <c r="BB246" i="57" s="1"/>
  <c r="BC246" i="57" s="1"/>
  <c r="BD246" i="57" s="1"/>
  <c r="BE246" i="57" s="1"/>
  <c r="BF246" i="57" s="1"/>
  <c r="BG246" i="57" s="1"/>
  <c r="BH246" i="57" s="1"/>
  <c r="BI246" i="57" s="1"/>
  <c r="BJ246" i="57" s="1"/>
  <c r="BK246" i="57" s="1"/>
  <c r="BL246" i="57" s="1"/>
  <c r="BM246" i="57" s="1"/>
  <c r="BN246" i="57" s="1"/>
  <c r="BO246" i="57" s="1"/>
  <c r="BP246" i="57" s="1"/>
  <c r="BQ246" i="57" s="1"/>
  <c r="BR246" i="57" s="1"/>
  <c r="BS246" i="57" s="1"/>
  <c r="BT246" i="57" s="1"/>
  <c r="BU246" i="57" s="1"/>
  <c r="BV246" i="57" s="1"/>
  <c r="BW246" i="57" s="1"/>
  <c r="BX246" i="57" s="1"/>
  <c r="BY246" i="57" s="1"/>
  <c r="AJ108" i="4"/>
  <c r="AJ21" i="4"/>
  <c r="AJ128" i="4"/>
  <c r="AJ202" i="4"/>
  <c r="AJ60" i="4"/>
  <c r="AJ106" i="4"/>
  <c r="AJ149" i="4"/>
  <c r="AJ117" i="4"/>
  <c r="C189" i="57"/>
  <c r="D189" i="57" s="1"/>
  <c r="E189" i="57" s="1"/>
  <c r="F189" i="57" s="1"/>
  <c r="G189" i="57" s="1"/>
  <c r="H189" i="57" s="1"/>
  <c r="I189" i="57" s="1"/>
  <c r="J189" i="57" s="1"/>
  <c r="K189" i="57" s="1"/>
  <c r="L189" i="57" s="1"/>
  <c r="M189" i="57" s="1"/>
  <c r="N189" i="57" s="1"/>
  <c r="O189" i="57" s="1"/>
  <c r="P189" i="57" s="1"/>
  <c r="Q189" i="57" s="1"/>
  <c r="R189" i="57" s="1"/>
  <c r="S189" i="57" s="1"/>
  <c r="AS189" i="57"/>
  <c r="AT189" i="57" s="1"/>
  <c r="AU189" i="57" s="1"/>
  <c r="AV189" i="57" s="1"/>
  <c r="AW189" i="57" s="1"/>
  <c r="AX189" i="57" s="1"/>
  <c r="AY189" i="57" s="1"/>
  <c r="AZ189" i="57" s="1"/>
  <c r="BA189" i="57" s="1"/>
  <c r="BB189" i="57" s="1"/>
  <c r="BC189" i="57" s="1"/>
  <c r="BD189" i="57" s="1"/>
  <c r="BE189" i="57" s="1"/>
  <c r="BF189" i="57" s="1"/>
  <c r="BG189" i="57" s="1"/>
  <c r="BH189" i="57" s="1"/>
  <c r="BI189" i="57" s="1"/>
  <c r="C50" i="57"/>
  <c r="D50" i="57" s="1"/>
  <c r="E50" i="57" s="1"/>
  <c r="F50" i="57" s="1"/>
  <c r="G50" i="57" s="1"/>
  <c r="H50" i="57" s="1"/>
  <c r="I50" i="57" s="1"/>
  <c r="J50" i="57" s="1"/>
  <c r="K50" i="57" s="1"/>
  <c r="L50" i="57" s="1"/>
  <c r="M50" i="57" s="1"/>
  <c r="N50" i="57" s="1"/>
  <c r="O50" i="57" s="1"/>
  <c r="P50" i="57" s="1"/>
  <c r="Q50" i="57" s="1"/>
  <c r="R50" i="57" s="1"/>
  <c r="S50" i="57" s="1"/>
  <c r="AS50" i="57"/>
  <c r="AT50" i="57" s="1"/>
  <c r="AU50" i="57" s="1"/>
  <c r="AV50" i="57" s="1"/>
  <c r="AW50" i="57" s="1"/>
  <c r="AX50" i="57" s="1"/>
  <c r="AY50" i="57" s="1"/>
  <c r="AZ50" i="57" s="1"/>
  <c r="BA50" i="57" s="1"/>
  <c r="BB50" i="57" s="1"/>
  <c r="BC50" i="57" s="1"/>
  <c r="BD50" i="57" s="1"/>
  <c r="BE50" i="57" s="1"/>
  <c r="BF50" i="57" s="1"/>
  <c r="BG50" i="57" s="1"/>
  <c r="BH50" i="57" s="1"/>
  <c r="BI50" i="57" s="1"/>
  <c r="AJ205" i="4"/>
  <c r="AS214" i="57"/>
  <c r="AT214" i="57" s="1"/>
  <c r="AU214" i="57" s="1"/>
  <c r="AV214" i="57" s="1"/>
  <c r="AW214" i="57" s="1"/>
  <c r="AX214" i="57" s="1"/>
  <c r="AY214" i="57" s="1"/>
  <c r="AZ214" i="57" s="1"/>
  <c r="BA214" i="57" s="1"/>
  <c r="BB214" i="57" s="1"/>
  <c r="BC214" i="57" s="1"/>
  <c r="BD214" i="57" s="1"/>
  <c r="BE214" i="57" s="1"/>
  <c r="BF214" i="57" s="1"/>
  <c r="BG214" i="57" s="1"/>
  <c r="BH214" i="57" s="1"/>
  <c r="BI214" i="57" s="1"/>
  <c r="BJ214" i="57" s="1"/>
  <c r="BK214" i="57" s="1"/>
  <c r="BL214" i="57" s="1"/>
  <c r="BM214" i="57" s="1"/>
  <c r="BN214" i="57" s="1"/>
  <c r="BO214" i="57" s="1"/>
  <c r="BP214" i="57" s="1"/>
  <c r="BQ214" i="57" s="1"/>
  <c r="BR214" i="57" s="1"/>
  <c r="BS214" i="57" s="1"/>
  <c r="BT214" i="57" s="1"/>
  <c r="BU214" i="57" s="1"/>
  <c r="BV214" i="57" s="1"/>
  <c r="BW214" i="57" s="1"/>
  <c r="BX214" i="57" s="1"/>
  <c r="BY214" i="57" s="1"/>
  <c r="C214" i="57"/>
  <c r="D214" i="57" s="1"/>
  <c r="E214" i="57" s="1"/>
  <c r="AJ175" i="4"/>
  <c r="C169" i="57"/>
  <c r="D169" i="57" s="1"/>
  <c r="E169" i="57" s="1"/>
  <c r="F169" i="57" s="1"/>
  <c r="G169" i="57" s="1"/>
  <c r="H169" i="57" s="1"/>
  <c r="I169" i="57" s="1"/>
  <c r="J169" i="57" s="1"/>
  <c r="K169" i="57" s="1"/>
  <c r="L169" i="57" s="1"/>
  <c r="M169" i="57" s="1"/>
  <c r="N169" i="57" s="1"/>
  <c r="O169" i="57" s="1"/>
  <c r="P169" i="57" s="1"/>
  <c r="Q169" i="57" s="1"/>
  <c r="R169" i="57" s="1"/>
  <c r="S169" i="57" s="1"/>
  <c r="T169" i="57" s="1"/>
  <c r="U169" i="57" s="1"/>
  <c r="V169" i="57" s="1"/>
  <c r="W169" i="57" s="1"/>
  <c r="X169" i="57" s="1"/>
  <c r="Y169" i="57" s="1"/>
  <c r="Z169" i="57" s="1"/>
  <c r="AA169" i="57" s="1"/>
  <c r="AB169" i="57" s="1"/>
  <c r="AC169" i="57" s="1"/>
  <c r="AD169" i="57" s="1"/>
  <c r="AE169" i="57" s="1"/>
  <c r="AF169" i="57" s="1"/>
  <c r="AG169" i="57" s="1"/>
  <c r="AH169" i="57" s="1"/>
  <c r="AI169" i="57" s="1"/>
  <c r="AS169" i="57"/>
  <c r="AT169" i="57" s="1"/>
  <c r="AU169" i="57" s="1"/>
  <c r="AV169" i="57" s="1"/>
  <c r="AW169" i="57" s="1"/>
  <c r="AX169" i="57" s="1"/>
  <c r="AY169" i="57" s="1"/>
  <c r="AZ169" i="57" s="1"/>
  <c r="BA169" i="57" s="1"/>
  <c r="BB169" i="57" s="1"/>
  <c r="BC169" i="57" s="1"/>
  <c r="BD169" i="57" s="1"/>
  <c r="BE169" i="57" s="1"/>
  <c r="BF169" i="57" s="1"/>
  <c r="BG169" i="57" s="1"/>
  <c r="BH169" i="57" s="1"/>
  <c r="BI169" i="57" s="1"/>
  <c r="C71" i="57"/>
  <c r="AS71" i="57"/>
  <c r="AJ166" i="4"/>
  <c r="AJ70" i="4"/>
  <c r="AJ164" i="4"/>
  <c r="AJ68" i="4"/>
  <c r="AJ196" i="4"/>
  <c r="AJ63" i="4"/>
  <c r="AR71" i="62"/>
  <c r="AJ192" i="4"/>
  <c r="C61" i="57"/>
  <c r="C123" i="62" s="1"/>
  <c r="AS61" i="57"/>
  <c r="AT61" i="57" s="1"/>
  <c r="AU61" i="57" s="1"/>
  <c r="AV61" i="57" s="1"/>
  <c r="AW61" i="57" s="1"/>
  <c r="AX61" i="57" s="1"/>
  <c r="AY61" i="57" s="1"/>
  <c r="AZ61" i="57" s="1"/>
  <c r="BA61" i="57" s="1"/>
  <c r="BB61" i="57" s="1"/>
  <c r="BC61" i="57" s="1"/>
  <c r="BD61" i="57" s="1"/>
  <c r="BE61" i="57" s="1"/>
  <c r="BF61" i="57" s="1"/>
  <c r="BG61" i="57" s="1"/>
  <c r="BH61" i="57" s="1"/>
  <c r="BI61" i="57" s="1"/>
  <c r="BJ61" i="57" s="1"/>
  <c r="BK61" i="57" s="1"/>
  <c r="BL61" i="57" s="1"/>
  <c r="BM61" i="57" s="1"/>
  <c r="BN61" i="57" s="1"/>
  <c r="BO61" i="57" s="1"/>
  <c r="BP61" i="57" s="1"/>
  <c r="BQ61" i="57" s="1"/>
  <c r="BR61" i="57" s="1"/>
  <c r="BS61" i="57" s="1"/>
  <c r="BT61" i="57" s="1"/>
  <c r="BU61" i="57" s="1"/>
  <c r="BV61" i="57" s="1"/>
  <c r="BW61" i="57" s="1"/>
  <c r="BX61" i="57" s="1"/>
  <c r="BY61" i="57" s="1"/>
  <c r="C186" i="57"/>
  <c r="D186" i="57" s="1"/>
  <c r="E186" i="57" s="1"/>
  <c r="F186" i="57" s="1"/>
  <c r="G186" i="57" s="1"/>
  <c r="H186" i="57" s="1"/>
  <c r="I186" i="57" s="1"/>
  <c r="J186" i="57" s="1"/>
  <c r="K186" i="57" s="1"/>
  <c r="L186" i="57" s="1"/>
  <c r="M186" i="57" s="1"/>
  <c r="N186" i="57" s="1"/>
  <c r="O186" i="57" s="1"/>
  <c r="P186" i="57" s="1"/>
  <c r="Q186" i="57" s="1"/>
  <c r="R186" i="57" s="1"/>
  <c r="S186" i="57" s="1"/>
  <c r="AS186" i="57"/>
  <c r="AT186" i="57" s="1"/>
  <c r="AU186" i="57" s="1"/>
  <c r="AV186" i="57" s="1"/>
  <c r="AW186" i="57" s="1"/>
  <c r="AX186" i="57" s="1"/>
  <c r="AY186" i="57" s="1"/>
  <c r="AZ186" i="57" s="1"/>
  <c r="BA186" i="57" s="1"/>
  <c r="BB186" i="57" s="1"/>
  <c r="BC186" i="57" s="1"/>
  <c r="BD186" i="57" s="1"/>
  <c r="BE186" i="57" s="1"/>
  <c r="BF186" i="57" s="1"/>
  <c r="BG186" i="57" s="1"/>
  <c r="BH186" i="57" s="1"/>
  <c r="BI186" i="57" s="1"/>
  <c r="BJ186" i="57" s="1"/>
  <c r="BK186" i="57" s="1"/>
  <c r="BL186" i="57" s="1"/>
  <c r="BM186" i="57" s="1"/>
  <c r="BN186" i="57" s="1"/>
  <c r="BO186" i="57" s="1"/>
  <c r="BP186" i="57" s="1"/>
  <c r="BQ186" i="57" s="1"/>
  <c r="BR186" i="57" s="1"/>
  <c r="BS186" i="57" s="1"/>
  <c r="BT186" i="57" s="1"/>
  <c r="BU186" i="57" s="1"/>
  <c r="BV186" i="57" s="1"/>
  <c r="BW186" i="57" s="1"/>
  <c r="BX186" i="57" s="1"/>
  <c r="BY186" i="57" s="1"/>
  <c r="AJ179" i="4"/>
  <c r="AS195" i="57"/>
  <c r="AT195" i="57" s="1"/>
  <c r="AU195" i="57" s="1"/>
  <c r="AV195" i="57" s="1"/>
  <c r="AW195" i="57" s="1"/>
  <c r="AX195" i="57" s="1"/>
  <c r="AY195" i="57" s="1"/>
  <c r="AZ195" i="57" s="1"/>
  <c r="BA195" i="57" s="1"/>
  <c r="BB195" i="57" s="1"/>
  <c r="BC195" i="57" s="1"/>
  <c r="BD195" i="57" s="1"/>
  <c r="BE195" i="57" s="1"/>
  <c r="BF195" i="57" s="1"/>
  <c r="BG195" i="57" s="1"/>
  <c r="BH195" i="57" s="1"/>
  <c r="BI195" i="57" s="1"/>
  <c r="C195" i="57"/>
  <c r="D195" i="57" s="1"/>
  <c r="E195" i="57" s="1"/>
  <c r="F195" i="57" s="1"/>
  <c r="G195" i="57" s="1"/>
  <c r="H195" i="57" s="1"/>
  <c r="I195" i="57" s="1"/>
  <c r="J195" i="57" s="1"/>
  <c r="K195" i="57" s="1"/>
  <c r="L195" i="57" s="1"/>
  <c r="M195" i="57" s="1"/>
  <c r="N195" i="57" s="1"/>
  <c r="O195" i="57" s="1"/>
  <c r="P195" i="57" s="1"/>
  <c r="Q195" i="57" s="1"/>
  <c r="R195" i="57" s="1"/>
  <c r="S195" i="57" s="1"/>
  <c r="C204" i="57"/>
  <c r="D204" i="57" s="1"/>
  <c r="E204" i="57" s="1"/>
  <c r="F204" i="57" s="1"/>
  <c r="G204" i="57" s="1"/>
  <c r="H204" i="57" s="1"/>
  <c r="I204" i="57" s="1"/>
  <c r="J204" i="57" s="1"/>
  <c r="K204" i="57" s="1"/>
  <c r="L204" i="57" s="1"/>
  <c r="M204" i="57" s="1"/>
  <c r="N204" i="57" s="1"/>
  <c r="O204" i="57" s="1"/>
  <c r="P204" i="57" s="1"/>
  <c r="Q204" i="57" s="1"/>
  <c r="R204" i="57" s="1"/>
  <c r="S204" i="57" s="1"/>
  <c r="T204" i="57" s="1"/>
  <c r="U204" i="57" s="1"/>
  <c r="V204" i="57" s="1"/>
  <c r="W204" i="57" s="1"/>
  <c r="X204" i="57" s="1"/>
  <c r="Y204" i="57" s="1"/>
  <c r="Z204" i="57" s="1"/>
  <c r="AA204" i="57" s="1"/>
  <c r="AB204" i="57" s="1"/>
  <c r="AC204" i="57" s="1"/>
  <c r="AD204" i="57" s="1"/>
  <c r="AE204" i="57" s="1"/>
  <c r="AF204" i="57" s="1"/>
  <c r="AG204" i="57" s="1"/>
  <c r="AH204" i="57" s="1"/>
  <c r="AI204" i="57" s="1"/>
  <c r="AS204" i="57"/>
  <c r="AT204" i="57" s="1"/>
  <c r="AU204" i="57" s="1"/>
  <c r="AV204" i="57" s="1"/>
  <c r="AW204" i="57" s="1"/>
  <c r="AX204" i="57" s="1"/>
  <c r="AY204" i="57" s="1"/>
  <c r="AZ204" i="57" s="1"/>
  <c r="BA204" i="57" s="1"/>
  <c r="BB204" i="57" s="1"/>
  <c r="BC204" i="57" s="1"/>
  <c r="BD204" i="57" s="1"/>
  <c r="BE204" i="57" s="1"/>
  <c r="BF204" i="57" s="1"/>
  <c r="BG204" i="57" s="1"/>
  <c r="BH204" i="57" s="1"/>
  <c r="BI204" i="57" s="1"/>
  <c r="B12" i="62"/>
  <c r="AR12" i="62" s="1"/>
  <c r="C5" i="57"/>
  <c r="D5" i="57" s="1"/>
  <c r="E5" i="57" s="1"/>
  <c r="F5" i="57" s="1"/>
  <c r="G5" i="57" s="1"/>
  <c r="H5" i="57" s="1"/>
  <c r="I5" i="57" s="1"/>
  <c r="J5" i="57" s="1"/>
  <c r="K5" i="57" s="1"/>
  <c r="L5" i="57" s="1"/>
  <c r="M5" i="57" s="1"/>
  <c r="N5" i="57" s="1"/>
  <c r="O5" i="57" s="1"/>
  <c r="P5" i="57" s="1"/>
  <c r="Q5" i="57" s="1"/>
  <c r="R5" i="57" s="1"/>
  <c r="S5" i="57" s="1"/>
  <c r="AS51" i="57"/>
  <c r="AT51" i="57" s="1"/>
  <c r="AU51" i="57" s="1"/>
  <c r="AV51" i="57" s="1"/>
  <c r="AW51" i="57" s="1"/>
  <c r="AX51" i="57" s="1"/>
  <c r="AY51" i="57" s="1"/>
  <c r="AZ51" i="57" s="1"/>
  <c r="BA51" i="57" s="1"/>
  <c r="BB51" i="57" s="1"/>
  <c r="BC51" i="57" s="1"/>
  <c r="BD51" i="57" s="1"/>
  <c r="BE51" i="57" s="1"/>
  <c r="BF51" i="57" s="1"/>
  <c r="BG51" i="57" s="1"/>
  <c r="BH51" i="57" s="1"/>
  <c r="BI51" i="57" s="1"/>
  <c r="C51" i="57"/>
  <c r="AR149" i="62"/>
  <c r="AJ156" i="4"/>
  <c r="B18" i="62"/>
  <c r="AR18" i="62" s="1"/>
  <c r="C8" i="57"/>
  <c r="D8" i="57" s="1"/>
  <c r="E8" i="57" s="1"/>
  <c r="F8" i="57" s="1"/>
  <c r="G8" i="57" s="1"/>
  <c r="H8" i="57" s="1"/>
  <c r="I8" i="57" s="1"/>
  <c r="J8" i="57" s="1"/>
  <c r="K8" i="57" s="1"/>
  <c r="L8" i="57" s="1"/>
  <c r="M8" i="57" s="1"/>
  <c r="N8" i="57" s="1"/>
  <c r="O8" i="57" s="1"/>
  <c r="P8" i="57" s="1"/>
  <c r="Q8" i="57" s="1"/>
  <c r="R8" i="57" s="1"/>
  <c r="S8" i="57" s="1"/>
  <c r="AJ200" i="4"/>
  <c r="AS38" i="57"/>
  <c r="C38" i="57"/>
  <c r="C77" i="62" s="1"/>
  <c r="AS119" i="57"/>
  <c r="AT119" i="57" s="1"/>
  <c r="AU119" i="57" s="1"/>
  <c r="AV119" i="57" s="1"/>
  <c r="AW119" i="57" s="1"/>
  <c r="AX119" i="57" s="1"/>
  <c r="AY119" i="57" s="1"/>
  <c r="AZ119" i="57" s="1"/>
  <c r="BA119" i="57" s="1"/>
  <c r="BB119" i="57" s="1"/>
  <c r="BC119" i="57" s="1"/>
  <c r="BD119" i="57" s="1"/>
  <c r="BE119" i="57" s="1"/>
  <c r="BF119" i="57" s="1"/>
  <c r="BG119" i="57" s="1"/>
  <c r="BH119" i="57" s="1"/>
  <c r="BI119" i="57" s="1"/>
  <c r="BJ119" i="57" s="1"/>
  <c r="BK119" i="57" s="1"/>
  <c r="BL119" i="57" s="1"/>
  <c r="BM119" i="57" s="1"/>
  <c r="BN119" i="57" s="1"/>
  <c r="BO119" i="57" s="1"/>
  <c r="BP119" i="57" s="1"/>
  <c r="BQ119" i="57" s="1"/>
  <c r="BR119" i="57" s="1"/>
  <c r="BS119" i="57" s="1"/>
  <c r="BT119" i="57" s="1"/>
  <c r="BU119" i="57" s="1"/>
  <c r="BV119" i="57" s="1"/>
  <c r="BW119" i="57" s="1"/>
  <c r="BX119" i="57" s="1"/>
  <c r="BY119" i="57" s="1"/>
  <c r="C119" i="57"/>
  <c r="D119" i="57" s="1"/>
  <c r="E119" i="57" s="1"/>
  <c r="F119" i="57" s="1"/>
  <c r="G119" i="57" s="1"/>
  <c r="H119" i="57" s="1"/>
  <c r="I119" i="57" s="1"/>
  <c r="J119" i="57" s="1"/>
  <c r="K119" i="57" s="1"/>
  <c r="L119" i="57" s="1"/>
  <c r="M119" i="57" s="1"/>
  <c r="N119" i="57" s="1"/>
  <c r="O119" i="57" s="1"/>
  <c r="P119" i="57" s="1"/>
  <c r="Q119" i="57" s="1"/>
  <c r="R119" i="57" s="1"/>
  <c r="S119" i="57" s="1"/>
  <c r="T119" i="57" s="1"/>
  <c r="U119" i="57" s="1"/>
  <c r="V119" i="57" s="1"/>
  <c r="W119" i="57" s="1"/>
  <c r="X119" i="57" s="1"/>
  <c r="Y119" i="57" s="1"/>
  <c r="Z119" i="57" s="1"/>
  <c r="AA119" i="57" s="1"/>
  <c r="AB119" i="57" s="1"/>
  <c r="AC119" i="57" s="1"/>
  <c r="AD119" i="57" s="1"/>
  <c r="AE119" i="57" s="1"/>
  <c r="AF119" i="57" s="1"/>
  <c r="AG119" i="57" s="1"/>
  <c r="AH119" i="57" s="1"/>
  <c r="AI119" i="57" s="1"/>
  <c r="AR117" i="62"/>
  <c r="AS239" i="57"/>
  <c r="C239" i="57"/>
  <c r="D239" i="57" s="1"/>
  <c r="E239" i="57" s="1"/>
  <c r="F239" i="57" s="1"/>
  <c r="G239" i="57" s="1"/>
  <c r="H239" i="57" s="1"/>
  <c r="I239" i="57" s="1"/>
  <c r="J239" i="57" s="1"/>
  <c r="K239" i="57" s="1"/>
  <c r="L239" i="57" s="1"/>
  <c r="M239" i="57" s="1"/>
  <c r="N239" i="57" s="1"/>
  <c r="O239" i="57" s="1"/>
  <c r="P239" i="57" s="1"/>
  <c r="Q239" i="57" s="1"/>
  <c r="R239" i="57" s="1"/>
  <c r="S239" i="57" s="1"/>
  <c r="AJ163" i="4"/>
  <c r="AJ257" i="4"/>
  <c r="AR25" i="62"/>
  <c r="C139" i="57"/>
  <c r="D139" i="57" s="1"/>
  <c r="E139" i="57" s="1"/>
  <c r="AS139" i="57"/>
  <c r="AT139" i="57" s="1"/>
  <c r="AU139" i="57" s="1"/>
  <c r="AV139" i="57" s="1"/>
  <c r="AW139" i="57" s="1"/>
  <c r="AX139" i="57" s="1"/>
  <c r="AY139" i="57" s="1"/>
  <c r="AZ139" i="57" s="1"/>
  <c r="BA139" i="57" s="1"/>
  <c r="BB139" i="57" s="1"/>
  <c r="BC139" i="57" s="1"/>
  <c r="BD139" i="57" s="1"/>
  <c r="BE139" i="57" s="1"/>
  <c r="BF139" i="57" s="1"/>
  <c r="BG139" i="57" s="1"/>
  <c r="BH139" i="57" s="1"/>
  <c r="BI139" i="57" s="1"/>
  <c r="AJ59" i="4"/>
  <c r="AR97" i="62"/>
  <c r="AJ256" i="4"/>
  <c r="AJ118" i="4"/>
  <c r="AJ81" i="4"/>
  <c r="AS112" i="57"/>
  <c r="AT112" i="57" s="1"/>
  <c r="AU112" i="57" s="1"/>
  <c r="AV112" i="57" s="1"/>
  <c r="AW112" i="57" s="1"/>
  <c r="AX112" i="57" s="1"/>
  <c r="AY112" i="57" s="1"/>
  <c r="AZ112" i="57" s="1"/>
  <c r="BA112" i="57" s="1"/>
  <c r="BB112" i="57" s="1"/>
  <c r="BC112" i="57" s="1"/>
  <c r="BD112" i="57" s="1"/>
  <c r="BE112" i="57" s="1"/>
  <c r="BF112" i="57" s="1"/>
  <c r="BG112" i="57" s="1"/>
  <c r="BH112" i="57" s="1"/>
  <c r="BI112" i="57" s="1"/>
  <c r="BJ112" i="57" s="1"/>
  <c r="BK112" i="57" s="1"/>
  <c r="BL112" i="57" s="1"/>
  <c r="BM112" i="57" s="1"/>
  <c r="BN112" i="57" s="1"/>
  <c r="BO112" i="57" s="1"/>
  <c r="BP112" i="57" s="1"/>
  <c r="BQ112" i="57" s="1"/>
  <c r="BR112" i="57" s="1"/>
  <c r="BS112" i="57" s="1"/>
  <c r="BT112" i="57" s="1"/>
  <c r="BU112" i="57" s="1"/>
  <c r="BV112" i="57" s="1"/>
  <c r="BW112" i="57" s="1"/>
  <c r="BX112" i="57" s="1"/>
  <c r="BY112" i="57" s="1"/>
  <c r="C112" i="57"/>
  <c r="AR141" i="62"/>
  <c r="AJ122" i="4"/>
  <c r="AS140" i="57"/>
  <c r="C140" i="57"/>
  <c r="D140" i="57" s="1"/>
  <c r="E140" i="57" s="1"/>
  <c r="F140" i="57" s="1"/>
  <c r="G140" i="57" s="1"/>
  <c r="H140" i="57" s="1"/>
  <c r="I140" i="57" s="1"/>
  <c r="J140" i="57" s="1"/>
  <c r="K140" i="57" s="1"/>
  <c r="L140" i="57" s="1"/>
  <c r="M140" i="57" s="1"/>
  <c r="N140" i="57" s="1"/>
  <c r="O140" i="57" s="1"/>
  <c r="P140" i="57" s="1"/>
  <c r="Q140" i="57" s="1"/>
  <c r="R140" i="57" s="1"/>
  <c r="S140" i="57" s="1"/>
  <c r="AR41" i="62"/>
  <c r="AJ130" i="4"/>
  <c r="C43" i="57"/>
  <c r="C87" i="62" s="1"/>
  <c r="AS43" i="57"/>
  <c r="AT43" i="57" s="1"/>
  <c r="AU43" i="57" s="1"/>
  <c r="AV43" i="57" s="1"/>
  <c r="AW43" i="57" s="1"/>
  <c r="AX43" i="57" s="1"/>
  <c r="AY43" i="57" s="1"/>
  <c r="AZ43" i="57" s="1"/>
  <c r="BA43" i="57" s="1"/>
  <c r="BB43" i="57" s="1"/>
  <c r="BC43" i="57" s="1"/>
  <c r="BD43" i="57" s="1"/>
  <c r="BE43" i="57" s="1"/>
  <c r="BF43" i="57" s="1"/>
  <c r="BG43" i="57" s="1"/>
  <c r="BH43" i="57" s="1"/>
  <c r="BI43" i="57" s="1"/>
  <c r="AR51" i="62"/>
  <c r="AS84" i="57"/>
  <c r="AT84" i="57" s="1"/>
  <c r="AU84" i="57" s="1"/>
  <c r="AV84" i="57" s="1"/>
  <c r="AW84" i="57" s="1"/>
  <c r="AX84" i="57" s="1"/>
  <c r="AY84" i="57" s="1"/>
  <c r="AZ84" i="57" s="1"/>
  <c r="BA84" i="57" s="1"/>
  <c r="BB84" i="57" s="1"/>
  <c r="BC84" i="57" s="1"/>
  <c r="BD84" i="57" s="1"/>
  <c r="BE84" i="57" s="1"/>
  <c r="BF84" i="57" s="1"/>
  <c r="BG84" i="57" s="1"/>
  <c r="BH84" i="57" s="1"/>
  <c r="BI84" i="57" s="1"/>
  <c r="BJ84" i="57" s="1"/>
  <c r="BK84" i="57" s="1"/>
  <c r="BL84" i="57" s="1"/>
  <c r="BM84" i="57" s="1"/>
  <c r="BN84" i="57" s="1"/>
  <c r="BO84" i="57" s="1"/>
  <c r="BP84" i="57" s="1"/>
  <c r="BQ84" i="57" s="1"/>
  <c r="BR84" i="57" s="1"/>
  <c r="BS84" i="57" s="1"/>
  <c r="BT84" i="57" s="1"/>
  <c r="BU84" i="57" s="1"/>
  <c r="BV84" i="57" s="1"/>
  <c r="BW84" i="57" s="1"/>
  <c r="BX84" i="57" s="1"/>
  <c r="BY84" i="57" s="1"/>
  <c r="C84" i="57"/>
  <c r="C169" i="62" s="1"/>
  <c r="AR157" i="62"/>
  <c r="AS65" i="57"/>
  <c r="AT65" i="57" s="1"/>
  <c r="AU65" i="57" s="1"/>
  <c r="AV65" i="57" s="1"/>
  <c r="AW65" i="57" s="1"/>
  <c r="AX65" i="57" s="1"/>
  <c r="AY65" i="57" s="1"/>
  <c r="AZ65" i="57" s="1"/>
  <c r="BA65" i="57" s="1"/>
  <c r="BB65" i="57" s="1"/>
  <c r="BC65" i="57" s="1"/>
  <c r="BD65" i="57" s="1"/>
  <c r="BE65" i="57" s="1"/>
  <c r="BF65" i="57" s="1"/>
  <c r="BG65" i="57" s="1"/>
  <c r="BH65" i="57" s="1"/>
  <c r="BI65" i="57" s="1"/>
  <c r="C65" i="57"/>
  <c r="D65" i="57" s="1"/>
  <c r="E65" i="57" s="1"/>
  <c r="F65" i="57" s="1"/>
  <c r="G65" i="57" s="1"/>
  <c r="H65" i="57" s="1"/>
  <c r="I65" i="57" s="1"/>
  <c r="J65" i="57" s="1"/>
  <c r="K65" i="57" s="1"/>
  <c r="L65" i="57" s="1"/>
  <c r="M65" i="57" s="1"/>
  <c r="N65" i="57" s="1"/>
  <c r="O65" i="57" s="1"/>
  <c r="P65" i="57" s="1"/>
  <c r="Q65" i="57" s="1"/>
  <c r="R65" i="57" s="1"/>
  <c r="S65" i="57" s="1"/>
  <c r="T65" i="57" s="1"/>
  <c r="U65" i="57" s="1"/>
  <c r="V65" i="57" s="1"/>
  <c r="W65" i="57" s="1"/>
  <c r="X65" i="57" s="1"/>
  <c r="Y65" i="57" s="1"/>
  <c r="Z65" i="57" s="1"/>
  <c r="AA65" i="57" s="1"/>
  <c r="AB65" i="57" s="1"/>
  <c r="AC65" i="57" s="1"/>
  <c r="AD65" i="57" s="1"/>
  <c r="AE65" i="57" s="1"/>
  <c r="AF65" i="57" s="1"/>
  <c r="AG65" i="57" s="1"/>
  <c r="AH65" i="57" s="1"/>
  <c r="AI65" i="57" s="1"/>
  <c r="AS244" i="57"/>
  <c r="AT244" i="57" s="1"/>
  <c r="AU244" i="57" s="1"/>
  <c r="AV244" i="57" s="1"/>
  <c r="AW244" i="57" s="1"/>
  <c r="AX244" i="57" s="1"/>
  <c r="AY244" i="57" s="1"/>
  <c r="AZ244" i="57" s="1"/>
  <c r="BA244" i="57" s="1"/>
  <c r="BB244" i="57" s="1"/>
  <c r="BC244" i="57" s="1"/>
  <c r="BD244" i="57" s="1"/>
  <c r="BE244" i="57" s="1"/>
  <c r="BF244" i="57" s="1"/>
  <c r="BG244" i="57" s="1"/>
  <c r="BH244" i="57" s="1"/>
  <c r="BI244" i="57" s="1"/>
  <c r="BJ244" i="57" s="1"/>
  <c r="BK244" i="57" s="1"/>
  <c r="BL244" i="57" s="1"/>
  <c r="BM244" i="57" s="1"/>
  <c r="BN244" i="57" s="1"/>
  <c r="BO244" i="57" s="1"/>
  <c r="BP244" i="57" s="1"/>
  <c r="BQ244" i="57" s="1"/>
  <c r="BR244" i="57" s="1"/>
  <c r="BS244" i="57" s="1"/>
  <c r="BT244" i="57" s="1"/>
  <c r="BU244" i="57" s="1"/>
  <c r="BV244" i="57" s="1"/>
  <c r="BW244" i="57" s="1"/>
  <c r="BX244" i="57" s="1"/>
  <c r="BY244" i="57" s="1"/>
  <c r="C244" i="57"/>
  <c r="D244" i="57" s="1"/>
  <c r="E244" i="57" s="1"/>
  <c r="F244" i="57" s="1"/>
  <c r="G244" i="57" s="1"/>
  <c r="H244" i="57" s="1"/>
  <c r="I244" i="57" s="1"/>
  <c r="J244" i="57" s="1"/>
  <c r="K244" i="57" s="1"/>
  <c r="L244" i="57" s="1"/>
  <c r="M244" i="57" s="1"/>
  <c r="N244" i="57" s="1"/>
  <c r="O244" i="57" s="1"/>
  <c r="P244" i="57" s="1"/>
  <c r="Q244" i="57" s="1"/>
  <c r="R244" i="57" s="1"/>
  <c r="S244" i="57" s="1"/>
  <c r="AJ144" i="4"/>
  <c r="AS179" i="57"/>
  <c r="AT179" i="57" s="1"/>
  <c r="AU179" i="57" s="1"/>
  <c r="AV179" i="57" s="1"/>
  <c r="AW179" i="57" s="1"/>
  <c r="AX179" i="57" s="1"/>
  <c r="AY179" i="57" s="1"/>
  <c r="AZ179" i="57" s="1"/>
  <c r="BA179" i="57" s="1"/>
  <c r="BB179" i="57" s="1"/>
  <c r="BC179" i="57" s="1"/>
  <c r="BD179" i="57" s="1"/>
  <c r="BE179" i="57" s="1"/>
  <c r="BF179" i="57" s="1"/>
  <c r="BG179" i="57" s="1"/>
  <c r="BH179" i="57" s="1"/>
  <c r="BI179" i="57" s="1"/>
  <c r="BJ179" i="57" s="1"/>
  <c r="BK179" i="57" s="1"/>
  <c r="BL179" i="57" s="1"/>
  <c r="BM179" i="57" s="1"/>
  <c r="BN179" i="57" s="1"/>
  <c r="BO179" i="57" s="1"/>
  <c r="BP179" i="57" s="1"/>
  <c r="BQ179" i="57" s="1"/>
  <c r="BR179" i="57" s="1"/>
  <c r="BS179" i="57" s="1"/>
  <c r="BT179" i="57" s="1"/>
  <c r="BU179" i="57" s="1"/>
  <c r="BV179" i="57" s="1"/>
  <c r="BW179" i="57" s="1"/>
  <c r="BX179" i="57" s="1"/>
  <c r="BY179" i="57" s="1"/>
  <c r="C179" i="57"/>
  <c r="D179" i="57" s="1"/>
  <c r="E179" i="57" s="1"/>
  <c r="C118" i="57"/>
  <c r="D118" i="57" s="1"/>
  <c r="E118" i="57" s="1"/>
  <c r="F118" i="57" s="1"/>
  <c r="G118" i="57" s="1"/>
  <c r="H118" i="57" s="1"/>
  <c r="I118" i="57" s="1"/>
  <c r="J118" i="57" s="1"/>
  <c r="K118" i="57" s="1"/>
  <c r="L118" i="57" s="1"/>
  <c r="M118" i="57" s="1"/>
  <c r="N118" i="57" s="1"/>
  <c r="O118" i="57" s="1"/>
  <c r="P118" i="57" s="1"/>
  <c r="Q118" i="57" s="1"/>
  <c r="R118" i="57" s="1"/>
  <c r="S118" i="57" s="1"/>
  <c r="T118" i="57" s="1"/>
  <c r="U118" i="57" s="1"/>
  <c r="V118" i="57" s="1"/>
  <c r="W118" i="57" s="1"/>
  <c r="X118" i="57" s="1"/>
  <c r="Y118" i="57" s="1"/>
  <c r="Z118" i="57" s="1"/>
  <c r="AA118" i="57" s="1"/>
  <c r="AS118" i="57"/>
  <c r="AT118" i="57" s="1"/>
  <c r="AU118" i="57" s="1"/>
  <c r="AV118" i="57" s="1"/>
  <c r="AW118" i="57" s="1"/>
  <c r="AX118" i="57" s="1"/>
  <c r="AY118" i="57" s="1"/>
  <c r="AZ118" i="57" s="1"/>
  <c r="BA118" i="57" s="1"/>
  <c r="BB118" i="57" s="1"/>
  <c r="BC118" i="57" s="1"/>
  <c r="BD118" i="57" s="1"/>
  <c r="BE118" i="57" s="1"/>
  <c r="BF118" i="57" s="1"/>
  <c r="BG118" i="57" s="1"/>
  <c r="BH118" i="57" s="1"/>
  <c r="BI118" i="57" s="1"/>
  <c r="BJ118" i="57" s="1"/>
  <c r="BK118" i="57" s="1"/>
  <c r="BL118" i="57" s="1"/>
  <c r="BM118" i="57" s="1"/>
  <c r="BN118" i="57" s="1"/>
  <c r="BO118" i="57" s="1"/>
  <c r="BP118" i="57" s="1"/>
  <c r="BQ118" i="57" s="1"/>
  <c r="BR118" i="57" s="1"/>
  <c r="BS118" i="57" s="1"/>
  <c r="BT118" i="57" s="1"/>
  <c r="BU118" i="57" s="1"/>
  <c r="BV118" i="57" s="1"/>
  <c r="BW118" i="57" s="1"/>
  <c r="BX118" i="57" s="1"/>
  <c r="BY118" i="57" s="1"/>
  <c r="C151" i="57"/>
  <c r="D151" i="57" s="1"/>
  <c r="E151" i="57" s="1"/>
  <c r="F151" i="57" s="1"/>
  <c r="G151" i="57" s="1"/>
  <c r="H151" i="57" s="1"/>
  <c r="I151" i="57" s="1"/>
  <c r="J151" i="57" s="1"/>
  <c r="K151" i="57" s="1"/>
  <c r="L151" i="57" s="1"/>
  <c r="M151" i="57" s="1"/>
  <c r="N151" i="57" s="1"/>
  <c r="O151" i="57" s="1"/>
  <c r="P151" i="57" s="1"/>
  <c r="Q151" i="57" s="1"/>
  <c r="R151" i="57" s="1"/>
  <c r="S151" i="57" s="1"/>
  <c r="AS151" i="57"/>
  <c r="AT151" i="57" s="1"/>
  <c r="AU151" i="57" s="1"/>
  <c r="AV151" i="57" s="1"/>
  <c r="AW151" i="57" s="1"/>
  <c r="AX151" i="57" s="1"/>
  <c r="AY151" i="57" s="1"/>
  <c r="AZ151" i="57" s="1"/>
  <c r="BA151" i="57" s="1"/>
  <c r="BB151" i="57" s="1"/>
  <c r="BC151" i="57" s="1"/>
  <c r="BD151" i="57" s="1"/>
  <c r="BE151" i="57" s="1"/>
  <c r="BF151" i="57" s="1"/>
  <c r="BG151" i="57" s="1"/>
  <c r="BH151" i="57" s="1"/>
  <c r="BI151" i="57" s="1"/>
  <c r="BJ151" i="57" s="1"/>
  <c r="BK151" i="57" s="1"/>
  <c r="BL151" i="57" s="1"/>
  <c r="BM151" i="57" s="1"/>
  <c r="BN151" i="57" s="1"/>
  <c r="BO151" i="57" s="1"/>
  <c r="BP151" i="57" s="1"/>
  <c r="BQ151" i="57" s="1"/>
  <c r="AJ150" i="4"/>
  <c r="C227" i="57"/>
  <c r="D227" i="57" s="1"/>
  <c r="E227" i="57" s="1"/>
  <c r="F227" i="57" s="1"/>
  <c r="G227" i="57" s="1"/>
  <c r="H227" i="57" s="1"/>
  <c r="I227" i="57" s="1"/>
  <c r="J227" i="57" s="1"/>
  <c r="K227" i="57" s="1"/>
  <c r="L227" i="57" s="1"/>
  <c r="M227" i="57" s="1"/>
  <c r="N227" i="57" s="1"/>
  <c r="O227" i="57" s="1"/>
  <c r="P227" i="57" s="1"/>
  <c r="Q227" i="57" s="1"/>
  <c r="R227" i="57" s="1"/>
  <c r="S227" i="57" s="1"/>
  <c r="AS227" i="57"/>
  <c r="AT227" i="57" s="1"/>
  <c r="AU227" i="57" s="1"/>
  <c r="AV227" i="57" s="1"/>
  <c r="AW227" i="57" s="1"/>
  <c r="AX227" i="57" s="1"/>
  <c r="AY227" i="57" s="1"/>
  <c r="AZ227" i="57" s="1"/>
  <c r="BA227" i="57" s="1"/>
  <c r="BB227" i="57" s="1"/>
  <c r="BC227" i="57" s="1"/>
  <c r="BD227" i="57" s="1"/>
  <c r="BE227" i="57" s="1"/>
  <c r="BF227" i="57" s="1"/>
  <c r="BG227" i="57" s="1"/>
  <c r="BH227" i="57" s="1"/>
  <c r="BI227" i="57" s="1"/>
  <c r="C68" i="57"/>
  <c r="C137" i="62" s="1"/>
  <c r="AS68" i="57"/>
  <c r="AT68" i="57" s="1"/>
  <c r="AU68" i="57" s="1"/>
  <c r="AV68" i="57" s="1"/>
  <c r="AW68" i="57" s="1"/>
  <c r="AX68" i="57" s="1"/>
  <c r="AY68" i="57" s="1"/>
  <c r="AZ68" i="57" s="1"/>
  <c r="BA68" i="57" s="1"/>
  <c r="BB68" i="57" s="1"/>
  <c r="BC68" i="57" s="1"/>
  <c r="BD68" i="57" s="1"/>
  <c r="BE68" i="57" s="1"/>
  <c r="BF68" i="57" s="1"/>
  <c r="BG68" i="57" s="1"/>
  <c r="BH68" i="57" s="1"/>
  <c r="BI68" i="57" s="1"/>
  <c r="AJ83" i="4"/>
  <c r="AJ210" i="4"/>
  <c r="AJ65" i="4"/>
  <c r="C177" i="57"/>
  <c r="D177" i="57" s="1"/>
  <c r="E177" i="57" s="1"/>
  <c r="F177" i="57" s="1"/>
  <c r="G177" i="57" s="1"/>
  <c r="H177" i="57" s="1"/>
  <c r="I177" i="57" s="1"/>
  <c r="J177" i="57" s="1"/>
  <c r="K177" i="57" s="1"/>
  <c r="L177" i="57" s="1"/>
  <c r="M177" i="57" s="1"/>
  <c r="N177" i="57" s="1"/>
  <c r="O177" i="57" s="1"/>
  <c r="P177" i="57" s="1"/>
  <c r="Q177" i="57" s="1"/>
  <c r="R177" i="57" s="1"/>
  <c r="S177" i="57" s="1"/>
  <c r="AS177" i="57"/>
  <c r="AT177" i="57" s="1"/>
  <c r="AU177" i="57" s="1"/>
  <c r="AV177" i="57" s="1"/>
  <c r="AW177" i="57" s="1"/>
  <c r="AX177" i="57" s="1"/>
  <c r="AY177" i="57" s="1"/>
  <c r="AZ177" i="57" s="1"/>
  <c r="BA177" i="57" s="1"/>
  <c r="BB177" i="57" s="1"/>
  <c r="BC177" i="57" s="1"/>
  <c r="BD177" i="57" s="1"/>
  <c r="BE177" i="57" s="1"/>
  <c r="BF177" i="57" s="1"/>
  <c r="BG177" i="57" s="1"/>
  <c r="BH177" i="57" s="1"/>
  <c r="BI177" i="57" s="1"/>
  <c r="AR55" i="62"/>
  <c r="C156" i="57"/>
  <c r="D156" i="57" s="1"/>
  <c r="E156" i="57" s="1"/>
  <c r="F156" i="57" s="1"/>
  <c r="G156" i="57" s="1"/>
  <c r="H156" i="57" s="1"/>
  <c r="I156" i="57" s="1"/>
  <c r="J156" i="57" s="1"/>
  <c r="K156" i="57" s="1"/>
  <c r="L156" i="57" s="1"/>
  <c r="M156" i="57" s="1"/>
  <c r="N156" i="57" s="1"/>
  <c r="O156" i="57" s="1"/>
  <c r="P156" i="57" s="1"/>
  <c r="Q156" i="57" s="1"/>
  <c r="R156" i="57" s="1"/>
  <c r="S156" i="57" s="1"/>
  <c r="T156" i="57" s="1"/>
  <c r="U156" i="57" s="1"/>
  <c r="V156" i="57" s="1"/>
  <c r="W156" i="57" s="1"/>
  <c r="X156" i="57" s="1"/>
  <c r="Y156" i="57" s="1"/>
  <c r="Z156" i="57" s="1"/>
  <c r="AA156" i="57" s="1"/>
  <c r="AB156" i="57" s="1"/>
  <c r="AC156" i="57" s="1"/>
  <c r="AD156" i="57" s="1"/>
  <c r="AE156" i="57" s="1"/>
  <c r="AF156" i="57" s="1"/>
  <c r="AG156" i="57" s="1"/>
  <c r="AH156" i="57" s="1"/>
  <c r="AI156" i="57" s="1"/>
  <c r="AS156" i="57"/>
  <c r="AT156" i="57" s="1"/>
  <c r="AU156" i="57" s="1"/>
  <c r="AV156" i="57" s="1"/>
  <c r="AW156" i="57" s="1"/>
  <c r="AX156" i="57" s="1"/>
  <c r="AY156" i="57" s="1"/>
  <c r="AZ156" i="57" s="1"/>
  <c r="BA156" i="57" s="1"/>
  <c r="BB156" i="57" s="1"/>
  <c r="BC156" i="57" s="1"/>
  <c r="BD156" i="57" s="1"/>
  <c r="BE156" i="57" s="1"/>
  <c r="BF156" i="57" s="1"/>
  <c r="BG156" i="57" s="1"/>
  <c r="BH156" i="57" s="1"/>
  <c r="BI156" i="57" s="1"/>
  <c r="BJ156" i="57" s="1"/>
  <c r="BK156" i="57" s="1"/>
  <c r="BL156" i="57" s="1"/>
  <c r="BM156" i="57" s="1"/>
  <c r="BN156" i="57" s="1"/>
  <c r="BO156" i="57" s="1"/>
  <c r="BP156" i="57" s="1"/>
  <c r="BQ156" i="57" s="1"/>
  <c r="BR156" i="57" s="1"/>
  <c r="BS156" i="57" s="1"/>
  <c r="BT156" i="57" s="1"/>
  <c r="BU156" i="57" s="1"/>
  <c r="BV156" i="57" s="1"/>
  <c r="BW156" i="57" s="1"/>
  <c r="BX156" i="57" s="1"/>
  <c r="BY156" i="57" s="1"/>
  <c r="AS223" i="57"/>
  <c r="AT223" i="57" s="1"/>
  <c r="AU223" i="57" s="1"/>
  <c r="AV223" i="57" s="1"/>
  <c r="AW223" i="57" s="1"/>
  <c r="AX223" i="57" s="1"/>
  <c r="AY223" i="57" s="1"/>
  <c r="AZ223" i="57" s="1"/>
  <c r="BA223" i="57" s="1"/>
  <c r="BB223" i="57" s="1"/>
  <c r="BC223" i="57" s="1"/>
  <c r="BD223" i="57" s="1"/>
  <c r="BE223" i="57" s="1"/>
  <c r="BF223" i="57" s="1"/>
  <c r="BG223" i="57" s="1"/>
  <c r="BH223" i="57" s="1"/>
  <c r="BI223" i="57" s="1"/>
  <c r="BJ223" i="57" s="1"/>
  <c r="BK223" i="57" s="1"/>
  <c r="BL223" i="57" s="1"/>
  <c r="BM223" i="57" s="1"/>
  <c r="BN223" i="57" s="1"/>
  <c r="BO223" i="57" s="1"/>
  <c r="BP223" i="57" s="1"/>
  <c r="BQ223" i="57" s="1"/>
  <c r="BR223" i="57" s="1"/>
  <c r="BS223" i="57" s="1"/>
  <c r="BT223" i="57" s="1"/>
  <c r="BU223" i="57" s="1"/>
  <c r="BV223" i="57" s="1"/>
  <c r="BW223" i="57" s="1"/>
  <c r="BX223" i="57" s="1"/>
  <c r="BY223" i="57" s="1"/>
  <c r="C223" i="57"/>
  <c r="D223" i="57" s="1"/>
  <c r="E223" i="57" s="1"/>
  <c r="F223" i="57" s="1"/>
  <c r="G223" i="57" s="1"/>
  <c r="H223" i="57" s="1"/>
  <c r="I223" i="57" s="1"/>
  <c r="J223" i="57" s="1"/>
  <c r="K223" i="57" s="1"/>
  <c r="L223" i="57" s="1"/>
  <c r="M223" i="57" s="1"/>
  <c r="N223" i="57" s="1"/>
  <c r="O223" i="57" s="1"/>
  <c r="P223" i="57" s="1"/>
  <c r="Q223" i="57" s="1"/>
  <c r="R223" i="57" s="1"/>
  <c r="S223" i="57" s="1"/>
  <c r="AJ174" i="4"/>
  <c r="AJ89" i="4"/>
  <c r="AJ190" i="4"/>
  <c r="AJ234" i="4"/>
  <c r="AJ82" i="4"/>
  <c r="AJ44" i="4"/>
  <c r="AJ92" i="4"/>
  <c r="AJ255" i="4"/>
  <c r="AJ33" i="4"/>
  <c r="AS87" i="57"/>
  <c r="AT87" i="57" s="1"/>
  <c r="AU87" i="57" s="1"/>
  <c r="AV87" i="57" s="1"/>
  <c r="AW87" i="57" s="1"/>
  <c r="AX87" i="57" s="1"/>
  <c r="AY87" i="57" s="1"/>
  <c r="AZ87" i="57" s="1"/>
  <c r="BA87" i="57" s="1"/>
  <c r="BB87" i="57" s="1"/>
  <c r="BC87" i="57" s="1"/>
  <c r="BD87" i="57" s="1"/>
  <c r="BE87" i="57" s="1"/>
  <c r="BF87" i="57" s="1"/>
  <c r="BG87" i="57" s="1"/>
  <c r="BH87" i="57" s="1"/>
  <c r="BI87" i="57" s="1"/>
  <c r="C87" i="57"/>
  <c r="C175" i="62" s="1"/>
  <c r="AJ152" i="4"/>
  <c r="AJ228" i="4"/>
  <c r="AR69" i="62"/>
  <c r="AJ168" i="4"/>
  <c r="AJ165" i="4"/>
  <c r="AR33" i="62"/>
  <c r="C25" i="57"/>
  <c r="C51" i="62" s="1"/>
  <c r="AJ115" i="4"/>
  <c r="AR61" i="62"/>
  <c r="AR147" i="62"/>
  <c r="AR63" i="62"/>
  <c r="AR81" i="62"/>
  <c r="AS224" i="57"/>
  <c r="AT224" i="57" s="1"/>
  <c r="AU224" i="57" s="1"/>
  <c r="AV224" i="57" s="1"/>
  <c r="AW224" i="57" s="1"/>
  <c r="AX224" i="57" s="1"/>
  <c r="AY224" i="57" s="1"/>
  <c r="AZ224" i="57" s="1"/>
  <c r="BA224" i="57" s="1"/>
  <c r="BB224" i="57" s="1"/>
  <c r="BC224" i="57" s="1"/>
  <c r="BD224" i="57" s="1"/>
  <c r="BE224" i="57" s="1"/>
  <c r="BF224" i="57" s="1"/>
  <c r="BG224" i="57" s="1"/>
  <c r="BH224" i="57" s="1"/>
  <c r="BI224" i="57" s="1"/>
  <c r="BJ224" i="57" s="1"/>
  <c r="BK224" i="57" s="1"/>
  <c r="BL224" i="57" s="1"/>
  <c r="BM224" i="57" s="1"/>
  <c r="BN224" i="57" s="1"/>
  <c r="BO224" i="57" s="1"/>
  <c r="BP224" i="57" s="1"/>
  <c r="BQ224" i="57" s="1"/>
  <c r="BR224" i="57" s="1"/>
  <c r="BS224" i="57" s="1"/>
  <c r="BT224" i="57" s="1"/>
  <c r="BU224" i="57" s="1"/>
  <c r="BV224" i="57" s="1"/>
  <c r="BW224" i="57" s="1"/>
  <c r="BX224" i="57" s="1"/>
  <c r="BY224" i="57" s="1"/>
  <c r="C224" i="57"/>
  <c r="D224" i="57" s="1"/>
  <c r="E224" i="57" s="1"/>
  <c r="F224" i="57" s="1"/>
  <c r="G224" i="57" s="1"/>
  <c r="H224" i="57" s="1"/>
  <c r="I224" i="57" s="1"/>
  <c r="J224" i="57" s="1"/>
  <c r="K224" i="57" s="1"/>
  <c r="L224" i="57" s="1"/>
  <c r="M224" i="57" s="1"/>
  <c r="N224" i="57" s="1"/>
  <c r="O224" i="57" s="1"/>
  <c r="P224" i="57" s="1"/>
  <c r="Q224" i="57" s="1"/>
  <c r="R224" i="57" s="1"/>
  <c r="S224" i="57" s="1"/>
  <c r="AS137" i="57"/>
  <c r="AT137" i="57" s="1"/>
  <c r="AU137" i="57" s="1"/>
  <c r="AV137" i="57" s="1"/>
  <c r="AW137" i="57" s="1"/>
  <c r="AX137" i="57" s="1"/>
  <c r="AY137" i="57" s="1"/>
  <c r="AZ137" i="57" s="1"/>
  <c r="BA137" i="57" s="1"/>
  <c r="BB137" i="57" s="1"/>
  <c r="BC137" i="57" s="1"/>
  <c r="BD137" i="57" s="1"/>
  <c r="BE137" i="57" s="1"/>
  <c r="BF137" i="57" s="1"/>
  <c r="BG137" i="57" s="1"/>
  <c r="BH137" i="57" s="1"/>
  <c r="BI137" i="57" s="1"/>
  <c r="C137" i="57"/>
  <c r="D137" i="57" s="1"/>
  <c r="E137" i="57" s="1"/>
  <c r="F137" i="57" s="1"/>
  <c r="G137" i="57" s="1"/>
  <c r="H137" i="57" s="1"/>
  <c r="I137" i="57" s="1"/>
  <c r="J137" i="57" s="1"/>
  <c r="K137" i="57" s="1"/>
  <c r="L137" i="57" s="1"/>
  <c r="M137" i="57" s="1"/>
  <c r="N137" i="57" s="1"/>
  <c r="O137" i="57" s="1"/>
  <c r="P137" i="57" s="1"/>
  <c r="Q137" i="57" s="1"/>
  <c r="R137" i="57" s="1"/>
  <c r="S137" i="57" s="1"/>
  <c r="AJ230" i="4"/>
  <c r="AJ51" i="4"/>
  <c r="AJ109" i="4"/>
  <c r="AS46" i="57"/>
  <c r="C46" i="57"/>
  <c r="D46" i="57" s="1"/>
  <c r="E46" i="57" s="1"/>
  <c r="F46" i="57" s="1"/>
  <c r="G46" i="57" s="1"/>
  <c r="H46" i="57" s="1"/>
  <c r="I46" i="57" s="1"/>
  <c r="J46" i="57" s="1"/>
  <c r="K46" i="57" s="1"/>
  <c r="L46" i="57" s="1"/>
  <c r="M46" i="57" s="1"/>
  <c r="N46" i="57" s="1"/>
  <c r="O46" i="57" s="1"/>
  <c r="P46" i="57" s="1"/>
  <c r="Q46" i="57" s="1"/>
  <c r="R46" i="57" s="1"/>
  <c r="S46" i="57" s="1"/>
  <c r="T46" i="57" s="1"/>
  <c r="U46" i="57" s="1"/>
  <c r="V46" i="57" s="1"/>
  <c r="W46" i="57" s="1"/>
  <c r="X46" i="57" s="1"/>
  <c r="Y46" i="57" s="1"/>
  <c r="Z46" i="57" s="1"/>
  <c r="AA46" i="57" s="1"/>
  <c r="AB46" i="57" s="1"/>
  <c r="AC46" i="57" s="1"/>
  <c r="AD46" i="57" s="1"/>
  <c r="AE46" i="57" s="1"/>
  <c r="AF46" i="57" s="1"/>
  <c r="AG46" i="57" s="1"/>
  <c r="AH46" i="57" s="1"/>
  <c r="AI46" i="57" s="1"/>
  <c r="AJ75" i="4"/>
  <c r="C145" i="57"/>
  <c r="D145" i="57" s="1"/>
  <c r="E145" i="57" s="1"/>
  <c r="F145" i="57" s="1"/>
  <c r="G145" i="57" s="1"/>
  <c r="H145" i="57" s="1"/>
  <c r="I145" i="57" s="1"/>
  <c r="J145" i="57" s="1"/>
  <c r="K145" i="57" s="1"/>
  <c r="L145" i="57" s="1"/>
  <c r="M145" i="57" s="1"/>
  <c r="N145" i="57" s="1"/>
  <c r="O145" i="57" s="1"/>
  <c r="P145" i="57" s="1"/>
  <c r="Q145" i="57" s="1"/>
  <c r="R145" i="57" s="1"/>
  <c r="S145" i="57" s="1"/>
  <c r="AS145" i="57"/>
  <c r="AT145" i="57" s="1"/>
  <c r="AU145" i="57" s="1"/>
  <c r="AV145" i="57" s="1"/>
  <c r="AW145" i="57" s="1"/>
  <c r="AX145" i="57" s="1"/>
  <c r="AY145" i="57" s="1"/>
  <c r="AZ145" i="57" s="1"/>
  <c r="BA145" i="57" s="1"/>
  <c r="BB145" i="57" s="1"/>
  <c r="BC145" i="57" s="1"/>
  <c r="BD145" i="57" s="1"/>
  <c r="BE145" i="57" s="1"/>
  <c r="BF145" i="57" s="1"/>
  <c r="BG145" i="57" s="1"/>
  <c r="BH145" i="57" s="1"/>
  <c r="BI145" i="57" s="1"/>
  <c r="AJ107" i="4"/>
  <c r="C40" i="57"/>
  <c r="C81" i="62" s="1"/>
  <c r="AS40" i="57"/>
  <c r="AT40" i="57" s="1"/>
  <c r="AU40" i="57" s="1"/>
  <c r="AV40" i="57" s="1"/>
  <c r="AW40" i="57" s="1"/>
  <c r="AX40" i="57" s="1"/>
  <c r="AY40" i="57" s="1"/>
  <c r="AZ40" i="57" s="1"/>
  <c r="BA40" i="57" s="1"/>
  <c r="BB40" i="57" s="1"/>
  <c r="BC40" i="57" s="1"/>
  <c r="BD40" i="57" s="1"/>
  <c r="BE40" i="57" s="1"/>
  <c r="BF40" i="57" s="1"/>
  <c r="BG40" i="57" s="1"/>
  <c r="BH40" i="57" s="1"/>
  <c r="BI40" i="57" s="1"/>
  <c r="BJ40" i="57" s="1"/>
  <c r="BK40" i="57" s="1"/>
  <c r="BL40" i="57" s="1"/>
  <c r="BM40" i="57" s="1"/>
  <c r="BN40" i="57" s="1"/>
  <c r="BO40" i="57" s="1"/>
  <c r="BP40" i="57" s="1"/>
  <c r="BQ40" i="57" s="1"/>
  <c r="AJ253" i="4"/>
  <c r="C121" i="57"/>
  <c r="D121" i="57" s="1"/>
  <c r="E121" i="57" s="1"/>
  <c r="F121" i="57" s="1"/>
  <c r="G121" i="57" s="1"/>
  <c r="H121" i="57" s="1"/>
  <c r="I121" i="57" s="1"/>
  <c r="J121" i="57" s="1"/>
  <c r="K121" i="57" s="1"/>
  <c r="L121" i="57" s="1"/>
  <c r="M121" i="57" s="1"/>
  <c r="N121" i="57" s="1"/>
  <c r="O121" i="57" s="1"/>
  <c r="P121" i="57" s="1"/>
  <c r="Q121" i="57" s="1"/>
  <c r="R121" i="57" s="1"/>
  <c r="S121" i="57" s="1"/>
  <c r="AS121" i="57"/>
  <c r="AT121" i="57" s="1"/>
  <c r="AU121" i="57" s="1"/>
  <c r="AV121" i="57" s="1"/>
  <c r="AW121" i="57" s="1"/>
  <c r="AX121" i="57" s="1"/>
  <c r="AY121" i="57" s="1"/>
  <c r="AZ121" i="57" s="1"/>
  <c r="BA121" i="57" s="1"/>
  <c r="BB121" i="57" s="1"/>
  <c r="BC121" i="57" s="1"/>
  <c r="BD121" i="57" s="1"/>
  <c r="BE121" i="57" s="1"/>
  <c r="BF121" i="57" s="1"/>
  <c r="BG121" i="57" s="1"/>
  <c r="BH121" i="57" s="1"/>
  <c r="BI121" i="57" s="1"/>
  <c r="BJ121" i="57" s="1"/>
  <c r="BK121" i="57" s="1"/>
  <c r="BL121" i="57" s="1"/>
  <c r="BM121" i="57" s="1"/>
  <c r="BN121" i="57" s="1"/>
  <c r="BO121" i="57" s="1"/>
  <c r="BP121" i="57" s="1"/>
  <c r="BQ121" i="57" s="1"/>
  <c r="BR121" i="57" s="1"/>
  <c r="BS121" i="57" s="1"/>
  <c r="BT121" i="57" s="1"/>
  <c r="BU121" i="57" s="1"/>
  <c r="BV121" i="57" s="1"/>
  <c r="BW121" i="57" s="1"/>
  <c r="BX121" i="57" s="1"/>
  <c r="BY121" i="57" s="1"/>
  <c r="AJ99" i="4"/>
  <c r="AR39" i="62"/>
  <c r="C12" i="57"/>
  <c r="D12" i="57" s="1"/>
  <c r="E12" i="57" s="1"/>
  <c r="F12" i="57" s="1"/>
  <c r="G12" i="57" s="1"/>
  <c r="H12" i="57" s="1"/>
  <c r="I12" i="57" s="1"/>
  <c r="J12" i="57" s="1"/>
  <c r="K12" i="57" s="1"/>
  <c r="L12" i="57" s="1"/>
  <c r="M12" i="57" s="1"/>
  <c r="N12" i="57" s="1"/>
  <c r="O12" i="57" s="1"/>
  <c r="P12" i="57" s="1"/>
  <c r="Q12" i="57" s="1"/>
  <c r="R12" i="57" s="1"/>
  <c r="S12" i="57" s="1"/>
  <c r="T12" i="57" s="1"/>
  <c r="U12" i="57" s="1"/>
  <c r="V12" i="57" s="1"/>
  <c r="W12" i="57" s="1"/>
  <c r="X12" i="57" s="1"/>
  <c r="Y12" i="57" s="1"/>
  <c r="Z12" i="57" s="1"/>
  <c r="AA12" i="57" s="1"/>
  <c r="AB12" i="57" s="1"/>
  <c r="AC12" i="57" s="1"/>
  <c r="AD12" i="57" s="1"/>
  <c r="AE12" i="57" s="1"/>
  <c r="AF12" i="57" s="1"/>
  <c r="AG12" i="57" s="1"/>
  <c r="AH12" i="57" s="1"/>
  <c r="AI12" i="57" s="1"/>
  <c r="B26" i="62"/>
  <c r="AR26" i="62" s="1"/>
  <c r="C19" i="57"/>
  <c r="C39" i="62" s="1"/>
  <c r="AS182" i="57"/>
  <c r="AT182" i="57" s="1"/>
  <c r="AU182" i="57" s="1"/>
  <c r="AV182" i="57" s="1"/>
  <c r="AW182" i="57" s="1"/>
  <c r="AX182" i="57" s="1"/>
  <c r="AY182" i="57" s="1"/>
  <c r="AZ182" i="57" s="1"/>
  <c r="BA182" i="57" s="1"/>
  <c r="BB182" i="57" s="1"/>
  <c r="BC182" i="57" s="1"/>
  <c r="BD182" i="57" s="1"/>
  <c r="BE182" i="57" s="1"/>
  <c r="BF182" i="57" s="1"/>
  <c r="BG182" i="57" s="1"/>
  <c r="BH182" i="57" s="1"/>
  <c r="BI182" i="57" s="1"/>
  <c r="C182" i="57"/>
  <c r="D182" i="57" s="1"/>
  <c r="E182" i="57" s="1"/>
  <c r="F182" i="57" s="1"/>
  <c r="G182" i="57" s="1"/>
  <c r="H182" i="57" s="1"/>
  <c r="I182" i="57" s="1"/>
  <c r="J182" i="57" s="1"/>
  <c r="K182" i="57" s="1"/>
  <c r="L182" i="57" s="1"/>
  <c r="M182" i="57" s="1"/>
  <c r="N182" i="57" s="1"/>
  <c r="O182" i="57" s="1"/>
  <c r="P182" i="57" s="1"/>
  <c r="Q182" i="57" s="1"/>
  <c r="R182" i="57" s="1"/>
  <c r="S182" i="57" s="1"/>
  <c r="AJ214" i="4"/>
  <c r="C153" i="57"/>
  <c r="AS153" i="57"/>
  <c r="AT153" i="57" s="1"/>
  <c r="AU153" i="57" s="1"/>
  <c r="AV153" i="57" s="1"/>
  <c r="AW153" i="57" s="1"/>
  <c r="AX153" i="57" s="1"/>
  <c r="AY153" i="57" s="1"/>
  <c r="AZ153" i="57" s="1"/>
  <c r="BA153" i="57" s="1"/>
  <c r="BB153" i="57" s="1"/>
  <c r="BC153" i="57" s="1"/>
  <c r="BD153" i="57" s="1"/>
  <c r="BE153" i="57" s="1"/>
  <c r="BF153" i="57" s="1"/>
  <c r="BG153" i="57" s="1"/>
  <c r="BH153" i="57" s="1"/>
  <c r="BI153" i="57" s="1"/>
  <c r="BJ153" i="57" s="1"/>
  <c r="BK153" i="57" s="1"/>
  <c r="BL153" i="57" s="1"/>
  <c r="BM153" i="57" s="1"/>
  <c r="BN153" i="57" s="1"/>
  <c r="BO153" i="57" s="1"/>
  <c r="BP153" i="57" s="1"/>
  <c r="BQ153" i="57" s="1"/>
  <c r="C21" i="57"/>
  <c r="AJ64" i="4"/>
  <c r="AS234" i="57"/>
  <c r="AT234" i="57" s="1"/>
  <c r="AU234" i="57" s="1"/>
  <c r="AV234" i="57" s="1"/>
  <c r="AW234" i="57" s="1"/>
  <c r="AX234" i="57" s="1"/>
  <c r="AY234" i="57" s="1"/>
  <c r="AZ234" i="57" s="1"/>
  <c r="BA234" i="57" s="1"/>
  <c r="BB234" i="57" s="1"/>
  <c r="BC234" i="57" s="1"/>
  <c r="BD234" i="57" s="1"/>
  <c r="BE234" i="57" s="1"/>
  <c r="BF234" i="57" s="1"/>
  <c r="BG234" i="57" s="1"/>
  <c r="BH234" i="57" s="1"/>
  <c r="BI234" i="57" s="1"/>
  <c r="BJ234" i="57" s="1"/>
  <c r="BK234" i="57" s="1"/>
  <c r="BL234" i="57" s="1"/>
  <c r="BM234" i="57" s="1"/>
  <c r="BN234" i="57" s="1"/>
  <c r="BO234" i="57" s="1"/>
  <c r="BP234" i="57" s="1"/>
  <c r="BQ234" i="57" s="1"/>
  <c r="BR234" i="57" s="1"/>
  <c r="BS234" i="57" s="1"/>
  <c r="BT234" i="57" s="1"/>
  <c r="BU234" i="57" s="1"/>
  <c r="BV234" i="57" s="1"/>
  <c r="BW234" i="57" s="1"/>
  <c r="BX234" i="57" s="1"/>
  <c r="BY234" i="57" s="1"/>
  <c r="C234" i="57"/>
  <c r="D234" i="57" s="1"/>
  <c r="E234" i="57" s="1"/>
  <c r="F234" i="57" s="1"/>
  <c r="G234" i="57" s="1"/>
  <c r="H234" i="57" s="1"/>
  <c r="I234" i="57" s="1"/>
  <c r="J234" i="57" s="1"/>
  <c r="K234" i="57" s="1"/>
  <c r="L234" i="57" s="1"/>
  <c r="M234" i="57" s="1"/>
  <c r="N234" i="57" s="1"/>
  <c r="O234" i="57" s="1"/>
  <c r="P234" i="57" s="1"/>
  <c r="Q234" i="57" s="1"/>
  <c r="R234" i="57" s="1"/>
  <c r="S234" i="57" s="1"/>
  <c r="AJ138" i="4"/>
  <c r="AS102" i="57"/>
  <c r="AT102" i="57" s="1"/>
  <c r="AU102" i="57" s="1"/>
  <c r="AV102" i="57" s="1"/>
  <c r="AW102" i="57" s="1"/>
  <c r="AX102" i="57" s="1"/>
  <c r="AY102" i="57" s="1"/>
  <c r="AZ102" i="57" s="1"/>
  <c r="BA102" i="57" s="1"/>
  <c r="BB102" i="57" s="1"/>
  <c r="BC102" i="57" s="1"/>
  <c r="BD102" i="57" s="1"/>
  <c r="BE102" i="57" s="1"/>
  <c r="BF102" i="57" s="1"/>
  <c r="BG102" i="57" s="1"/>
  <c r="BH102" i="57" s="1"/>
  <c r="BI102" i="57" s="1"/>
  <c r="C102" i="57"/>
  <c r="D102" i="57" s="1"/>
  <c r="E102" i="57" s="1"/>
  <c r="F102" i="57" s="1"/>
  <c r="G102" i="57" s="1"/>
  <c r="H102" i="57" s="1"/>
  <c r="I102" i="57" s="1"/>
  <c r="J102" i="57" s="1"/>
  <c r="K102" i="57" s="1"/>
  <c r="L102" i="57" s="1"/>
  <c r="M102" i="57" s="1"/>
  <c r="N102" i="57" s="1"/>
  <c r="O102" i="57" s="1"/>
  <c r="P102" i="57" s="1"/>
  <c r="Q102" i="57" s="1"/>
  <c r="R102" i="57" s="1"/>
  <c r="S102" i="57" s="1"/>
  <c r="AJ77" i="4"/>
  <c r="AS94" i="57"/>
  <c r="AT94" i="57" s="1"/>
  <c r="AU94" i="57" s="1"/>
  <c r="AV94" i="57" s="1"/>
  <c r="AW94" i="57" s="1"/>
  <c r="AX94" i="57" s="1"/>
  <c r="AY94" i="57" s="1"/>
  <c r="AZ94" i="57" s="1"/>
  <c r="BA94" i="57" s="1"/>
  <c r="BB94" i="57" s="1"/>
  <c r="BC94" i="57" s="1"/>
  <c r="BD94" i="57" s="1"/>
  <c r="BE94" i="57" s="1"/>
  <c r="BF94" i="57" s="1"/>
  <c r="BG94" i="57" s="1"/>
  <c r="BH94" i="57" s="1"/>
  <c r="BI94" i="57" s="1"/>
  <c r="BJ94" i="57" s="1"/>
  <c r="BK94" i="57" s="1"/>
  <c r="BL94" i="57" s="1"/>
  <c r="BM94" i="57" s="1"/>
  <c r="BN94" i="57" s="1"/>
  <c r="BO94" i="57" s="1"/>
  <c r="BP94" i="57" s="1"/>
  <c r="BQ94" i="57" s="1"/>
  <c r="BR94" i="57" s="1"/>
  <c r="BS94" i="57" s="1"/>
  <c r="BT94" i="57" s="1"/>
  <c r="BU94" i="57" s="1"/>
  <c r="BV94" i="57" s="1"/>
  <c r="BW94" i="57" s="1"/>
  <c r="BX94" i="57" s="1"/>
  <c r="BY94" i="57" s="1"/>
  <c r="C94" i="57"/>
  <c r="D94" i="57" s="1"/>
  <c r="E94" i="57" s="1"/>
  <c r="F94" i="57" s="1"/>
  <c r="G94" i="57" s="1"/>
  <c r="H94" i="57" s="1"/>
  <c r="I94" i="57" s="1"/>
  <c r="J94" i="57" s="1"/>
  <c r="K94" i="57" s="1"/>
  <c r="L94" i="57" s="1"/>
  <c r="M94" i="57" s="1"/>
  <c r="N94" i="57" s="1"/>
  <c r="O94" i="57" s="1"/>
  <c r="P94" i="57" s="1"/>
  <c r="Q94" i="57" s="1"/>
  <c r="R94" i="57" s="1"/>
  <c r="S94" i="57" s="1"/>
  <c r="T94" i="57" s="1"/>
  <c r="U94" i="57" s="1"/>
  <c r="V94" i="57" s="1"/>
  <c r="W94" i="57" s="1"/>
  <c r="X94" i="57" s="1"/>
  <c r="Y94" i="57" s="1"/>
  <c r="Z94" i="57" s="1"/>
  <c r="AA94" i="57" s="1"/>
  <c r="AB94" i="57" s="1"/>
  <c r="AC94" i="57" s="1"/>
  <c r="AD94" i="57" s="1"/>
  <c r="AE94" i="57" s="1"/>
  <c r="AF94" i="57" s="1"/>
  <c r="AG94" i="57" s="1"/>
  <c r="AH94" i="57" s="1"/>
  <c r="AI94" i="57" s="1"/>
  <c r="AJ19" i="4"/>
  <c r="AJ129" i="4"/>
  <c r="AS91" i="57"/>
  <c r="AT91" i="57" s="1"/>
  <c r="AU91" i="57" s="1"/>
  <c r="AV91" i="57" s="1"/>
  <c r="AW91" i="57" s="1"/>
  <c r="AX91" i="57" s="1"/>
  <c r="AY91" i="57" s="1"/>
  <c r="AZ91" i="57" s="1"/>
  <c r="BA91" i="57" s="1"/>
  <c r="BB91" i="57" s="1"/>
  <c r="BC91" i="57" s="1"/>
  <c r="BD91" i="57" s="1"/>
  <c r="BE91" i="57" s="1"/>
  <c r="BF91" i="57" s="1"/>
  <c r="BG91" i="57" s="1"/>
  <c r="BH91" i="57" s="1"/>
  <c r="BI91" i="57" s="1"/>
  <c r="BJ91" i="57" s="1"/>
  <c r="BK91" i="57" s="1"/>
  <c r="BL91" i="57" s="1"/>
  <c r="BM91" i="57" s="1"/>
  <c r="BN91" i="57" s="1"/>
  <c r="BO91" i="57" s="1"/>
  <c r="BP91" i="57" s="1"/>
  <c r="BQ91" i="57" s="1"/>
  <c r="C91" i="57"/>
  <c r="C218" i="57"/>
  <c r="D218" i="57" s="1"/>
  <c r="E218" i="57" s="1"/>
  <c r="F218" i="57" s="1"/>
  <c r="G218" i="57" s="1"/>
  <c r="H218" i="57" s="1"/>
  <c r="I218" i="57" s="1"/>
  <c r="J218" i="57" s="1"/>
  <c r="K218" i="57" s="1"/>
  <c r="L218" i="57" s="1"/>
  <c r="M218" i="57" s="1"/>
  <c r="N218" i="57" s="1"/>
  <c r="O218" i="57" s="1"/>
  <c r="P218" i="57" s="1"/>
  <c r="Q218" i="57" s="1"/>
  <c r="R218" i="57" s="1"/>
  <c r="S218" i="57" s="1"/>
  <c r="T218" i="57" s="1"/>
  <c r="U218" i="57" s="1"/>
  <c r="V218" i="57" s="1"/>
  <c r="W218" i="57" s="1"/>
  <c r="X218" i="57" s="1"/>
  <c r="Y218" i="57" s="1"/>
  <c r="Z218" i="57" s="1"/>
  <c r="AA218" i="57" s="1"/>
  <c r="AB218" i="57" s="1"/>
  <c r="AC218" i="57" s="1"/>
  <c r="AD218" i="57" s="1"/>
  <c r="AE218" i="57" s="1"/>
  <c r="AF218" i="57" s="1"/>
  <c r="AG218" i="57" s="1"/>
  <c r="AH218" i="57" s="1"/>
  <c r="AI218" i="57" s="1"/>
  <c r="AS218" i="57"/>
  <c r="AT218" i="57" s="1"/>
  <c r="AU218" i="57" s="1"/>
  <c r="AV218" i="57" s="1"/>
  <c r="AW218" i="57" s="1"/>
  <c r="AX218" i="57" s="1"/>
  <c r="AY218" i="57" s="1"/>
  <c r="AZ218" i="57" s="1"/>
  <c r="BA218" i="57" s="1"/>
  <c r="BB218" i="57" s="1"/>
  <c r="BC218" i="57" s="1"/>
  <c r="BD218" i="57" s="1"/>
  <c r="BE218" i="57" s="1"/>
  <c r="BF218" i="57" s="1"/>
  <c r="BG218" i="57" s="1"/>
  <c r="BH218" i="57" s="1"/>
  <c r="BI218" i="57" s="1"/>
  <c r="BJ218" i="57" s="1"/>
  <c r="BK218" i="57" s="1"/>
  <c r="BL218" i="57" s="1"/>
  <c r="BM218" i="57" s="1"/>
  <c r="BN218" i="57" s="1"/>
  <c r="BO218" i="57" s="1"/>
  <c r="BP218" i="57" s="1"/>
  <c r="BQ218" i="57" s="1"/>
  <c r="BR218" i="57" s="1"/>
  <c r="BS218" i="57" s="1"/>
  <c r="BT218" i="57" s="1"/>
  <c r="BU218" i="57" s="1"/>
  <c r="BV218" i="57" s="1"/>
  <c r="BW218" i="57" s="1"/>
  <c r="BX218" i="57" s="1"/>
  <c r="BY218" i="57" s="1"/>
  <c r="AJ53" i="4"/>
  <c r="AJ218" i="4"/>
  <c r="B28" i="62"/>
  <c r="AR28" i="62" s="1"/>
  <c r="C13" i="57"/>
  <c r="AJ169" i="4"/>
  <c r="AJ116" i="4"/>
  <c r="C36" i="57"/>
  <c r="AS36" i="57"/>
  <c r="AT36" i="57" s="1"/>
  <c r="AU36" i="57" s="1"/>
  <c r="AV36" i="57" s="1"/>
  <c r="AW36" i="57" s="1"/>
  <c r="AX36" i="57" s="1"/>
  <c r="AY36" i="57" s="1"/>
  <c r="AZ36" i="57" s="1"/>
  <c r="BA36" i="57" s="1"/>
  <c r="BB36" i="57" s="1"/>
  <c r="BC36" i="57" s="1"/>
  <c r="BD36" i="57" s="1"/>
  <c r="BE36" i="57" s="1"/>
  <c r="BF36" i="57" s="1"/>
  <c r="BG36" i="57" s="1"/>
  <c r="BH36" i="57" s="1"/>
  <c r="BI36" i="57" s="1"/>
  <c r="BJ36" i="57" s="1"/>
  <c r="BK36" i="57" s="1"/>
  <c r="BL36" i="57" s="1"/>
  <c r="BM36" i="57" s="1"/>
  <c r="BN36" i="57" s="1"/>
  <c r="BO36" i="57" s="1"/>
  <c r="BP36" i="57" s="1"/>
  <c r="BQ36" i="57" s="1"/>
  <c r="BR36" i="57" s="1"/>
  <c r="BS36" i="57" s="1"/>
  <c r="BT36" i="57" s="1"/>
  <c r="BU36" i="57" s="1"/>
  <c r="BV36" i="57" s="1"/>
  <c r="BW36" i="57" s="1"/>
  <c r="BX36" i="57" s="1"/>
  <c r="BY36" i="57" s="1"/>
  <c r="AS161" i="57"/>
  <c r="AT161" i="57" s="1"/>
  <c r="AU161" i="57" s="1"/>
  <c r="AV161" i="57" s="1"/>
  <c r="AW161" i="57" s="1"/>
  <c r="AX161" i="57" s="1"/>
  <c r="AY161" i="57" s="1"/>
  <c r="AZ161" i="57" s="1"/>
  <c r="BA161" i="57" s="1"/>
  <c r="BB161" i="57" s="1"/>
  <c r="BC161" i="57" s="1"/>
  <c r="BD161" i="57" s="1"/>
  <c r="BE161" i="57" s="1"/>
  <c r="BF161" i="57" s="1"/>
  <c r="BG161" i="57" s="1"/>
  <c r="BH161" i="57" s="1"/>
  <c r="BI161" i="57" s="1"/>
  <c r="BJ161" i="57" s="1"/>
  <c r="BK161" i="57" s="1"/>
  <c r="BL161" i="57" s="1"/>
  <c r="BM161" i="57" s="1"/>
  <c r="BN161" i="57" s="1"/>
  <c r="BO161" i="57" s="1"/>
  <c r="BP161" i="57" s="1"/>
  <c r="BQ161" i="57" s="1"/>
  <c r="C161" i="57"/>
  <c r="D161" i="57" s="1"/>
  <c r="E161" i="57" s="1"/>
  <c r="F161" i="57" s="1"/>
  <c r="G161" i="57" s="1"/>
  <c r="H161" i="57" s="1"/>
  <c r="I161" i="57" s="1"/>
  <c r="J161" i="57" s="1"/>
  <c r="K161" i="57" s="1"/>
  <c r="L161" i="57" s="1"/>
  <c r="M161" i="57" s="1"/>
  <c r="N161" i="57" s="1"/>
  <c r="O161" i="57" s="1"/>
  <c r="P161" i="57" s="1"/>
  <c r="Q161" i="57" s="1"/>
  <c r="R161" i="57" s="1"/>
  <c r="S161" i="57" s="1"/>
  <c r="T161" i="57" s="1"/>
  <c r="U161" i="57" s="1"/>
  <c r="V161" i="57" s="1"/>
  <c r="W161" i="57" s="1"/>
  <c r="X161" i="57" s="1"/>
  <c r="Y161" i="57" s="1"/>
  <c r="Z161" i="57" s="1"/>
  <c r="AA161" i="57" s="1"/>
  <c r="AB161" i="57" s="1"/>
  <c r="AC161" i="57" s="1"/>
  <c r="AD161" i="57" s="1"/>
  <c r="AE161" i="57" s="1"/>
  <c r="AF161" i="57" s="1"/>
  <c r="AG161" i="57" s="1"/>
  <c r="AH161" i="57" s="1"/>
  <c r="AI161" i="57" s="1"/>
  <c r="AJ180" i="4"/>
  <c r="C197" i="57"/>
  <c r="D197" i="57" s="1"/>
  <c r="E197" i="57" s="1"/>
  <c r="AS197" i="57"/>
  <c r="AS131" i="57"/>
  <c r="AT131" i="57" s="1"/>
  <c r="AU131" i="57" s="1"/>
  <c r="AV131" i="57" s="1"/>
  <c r="AW131" i="57" s="1"/>
  <c r="AX131" i="57" s="1"/>
  <c r="AY131" i="57" s="1"/>
  <c r="AZ131" i="57" s="1"/>
  <c r="BA131" i="57" s="1"/>
  <c r="BB131" i="57" s="1"/>
  <c r="BC131" i="57" s="1"/>
  <c r="BD131" i="57" s="1"/>
  <c r="BE131" i="57" s="1"/>
  <c r="BF131" i="57" s="1"/>
  <c r="BG131" i="57" s="1"/>
  <c r="BH131" i="57" s="1"/>
  <c r="BI131" i="57" s="1"/>
  <c r="BJ131" i="57" s="1"/>
  <c r="BK131" i="57" s="1"/>
  <c r="BL131" i="57" s="1"/>
  <c r="BM131" i="57" s="1"/>
  <c r="BN131" i="57" s="1"/>
  <c r="BO131" i="57" s="1"/>
  <c r="BP131" i="57" s="1"/>
  <c r="BQ131" i="57" s="1"/>
  <c r="BR131" i="57" s="1"/>
  <c r="BS131" i="57" s="1"/>
  <c r="BT131" i="57" s="1"/>
  <c r="BU131" i="57" s="1"/>
  <c r="BV131" i="57" s="1"/>
  <c r="BW131" i="57" s="1"/>
  <c r="BX131" i="57" s="1"/>
  <c r="BY131" i="57" s="1"/>
  <c r="C131" i="57"/>
  <c r="D131" i="57" s="1"/>
  <c r="E131" i="57" s="1"/>
  <c r="AJ245" i="4"/>
  <c r="AS99" i="57"/>
  <c r="AT99" i="57" s="1"/>
  <c r="AU99" i="57" s="1"/>
  <c r="AV99" i="57" s="1"/>
  <c r="AW99" i="57" s="1"/>
  <c r="AX99" i="57" s="1"/>
  <c r="AY99" i="57" s="1"/>
  <c r="AZ99" i="57" s="1"/>
  <c r="BA99" i="57" s="1"/>
  <c r="BB99" i="57" s="1"/>
  <c r="BC99" i="57" s="1"/>
  <c r="BD99" i="57" s="1"/>
  <c r="BE99" i="57" s="1"/>
  <c r="BF99" i="57" s="1"/>
  <c r="BG99" i="57" s="1"/>
  <c r="BH99" i="57" s="1"/>
  <c r="BI99" i="57" s="1"/>
  <c r="BJ99" i="57" s="1"/>
  <c r="BK99" i="57" s="1"/>
  <c r="BL99" i="57" s="1"/>
  <c r="BM99" i="57" s="1"/>
  <c r="BN99" i="57" s="1"/>
  <c r="BO99" i="57" s="1"/>
  <c r="BP99" i="57" s="1"/>
  <c r="BQ99" i="57" s="1"/>
  <c r="BR99" i="57" s="1"/>
  <c r="BS99" i="57" s="1"/>
  <c r="BT99" i="57" s="1"/>
  <c r="BU99" i="57" s="1"/>
  <c r="BV99" i="57" s="1"/>
  <c r="BW99" i="57" s="1"/>
  <c r="BX99" i="57" s="1"/>
  <c r="BY99" i="57" s="1"/>
  <c r="C99" i="57"/>
  <c r="D99" i="57" s="1"/>
  <c r="E99" i="57" s="1"/>
  <c r="F99" i="57" s="1"/>
  <c r="G99" i="57" s="1"/>
  <c r="H99" i="57" s="1"/>
  <c r="I99" i="57" s="1"/>
  <c r="J99" i="57" s="1"/>
  <c r="K99" i="57" s="1"/>
  <c r="L99" i="57" s="1"/>
  <c r="M99" i="57" s="1"/>
  <c r="N99" i="57" s="1"/>
  <c r="O99" i="57" s="1"/>
  <c r="P99" i="57" s="1"/>
  <c r="Q99" i="57" s="1"/>
  <c r="R99" i="57" s="1"/>
  <c r="S99" i="57" s="1"/>
  <c r="T99" i="57" s="1"/>
  <c r="U99" i="57" s="1"/>
  <c r="V99" i="57" s="1"/>
  <c r="W99" i="57" s="1"/>
  <c r="X99" i="57" s="1"/>
  <c r="Y99" i="57" s="1"/>
  <c r="Z99" i="57" s="1"/>
  <c r="AA99" i="57" s="1"/>
  <c r="AB99" i="57" s="1"/>
  <c r="AC99" i="57" s="1"/>
  <c r="AD99" i="57" s="1"/>
  <c r="AE99" i="57" s="1"/>
  <c r="AF99" i="57" s="1"/>
  <c r="AG99" i="57" s="1"/>
  <c r="AH99" i="57" s="1"/>
  <c r="AI99" i="57" s="1"/>
  <c r="C15" i="57"/>
  <c r="D15" i="57" s="1"/>
  <c r="E15" i="57" s="1"/>
  <c r="F15" i="57" s="1"/>
  <c r="G15" i="57" s="1"/>
  <c r="H15" i="57" s="1"/>
  <c r="I15" i="57" s="1"/>
  <c r="J15" i="57" s="1"/>
  <c r="K15" i="57" s="1"/>
  <c r="L15" i="57" s="1"/>
  <c r="M15" i="57" s="1"/>
  <c r="N15" i="57" s="1"/>
  <c r="O15" i="57" s="1"/>
  <c r="P15" i="57" s="1"/>
  <c r="Q15" i="57" s="1"/>
  <c r="R15" i="57" s="1"/>
  <c r="S15" i="57" s="1"/>
  <c r="T15" i="57" s="1"/>
  <c r="U15" i="57" s="1"/>
  <c r="V15" i="57" s="1"/>
  <c r="W15" i="57" s="1"/>
  <c r="X15" i="57" s="1"/>
  <c r="Y15" i="57" s="1"/>
  <c r="Z15" i="57" s="1"/>
  <c r="AA15" i="57" s="1"/>
  <c r="AB15" i="57" s="1"/>
  <c r="AC15" i="57" s="1"/>
  <c r="AD15" i="57" s="1"/>
  <c r="AE15" i="57" s="1"/>
  <c r="AF15" i="57" s="1"/>
  <c r="AG15" i="57" s="1"/>
  <c r="AH15" i="57" s="1"/>
  <c r="AI15" i="57" s="1"/>
  <c r="AJ140" i="4"/>
  <c r="AS194" i="57"/>
  <c r="AT194" i="57" s="1"/>
  <c r="AU194" i="57" s="1"/>
  <c r="AV194" i="57" s="1"/>
  <c r="AW194" i="57" s="1"/>
  <c r="AX194" i="57" s="1"/>
  <c r="AY194" i="57" s="1"/>
  <c r="AZ194" i="57" s="1"/>
  <c r="BA194" i="57" s="1"/>
  <c r="BB194" i="57" s="1"/>
  <c r="BC194" i="57" s="1"/>
  <c r="BD194" i="57" s="1"/>
  <c r="BE194" i="57" s="1"/>
  <c r="BF194" i="57" s="1"/>
  <c r="BG194" i="57" s="1"/>
  <c r="BH194" i="57" s="1"/>
  <c r="BI194" i="57" s="1"/>
  <c r="BJ194" i="57" s="1"/>
  <c r="BK194" i="57" s="1"/>
  <c r="BL194" i="57" s="1"/>
  <c r="BM194" i="57" s="1"/>
  <c r="BN194" i="57" s="1"/>
  <c r="BO194" i="57" s="1"/>
  <c r="BP194" i="57" s="1"/>
  <c r="BQ194" i="57" s="1"/>
  <c r="C194" i="57"/>
  <c r="D194" i="57" s="1"/>
  <c r="E194" i="57" s="1"/>
  <c r="F194" i="57" s="1"/>
  <c r="G194" i="57" s="1"/>
  <c r="H194" i="57" s="1"/>
  <c r="I194" i="57" s="1"/>
  <c r="J194" i="57" s="1"/>
  <c r="K194" i="57" s="1"/>
  <c r="L194" i="57" s="1"/>
  <c r="M194" i="57" s="1"/>
  <c r="N194" i="57" s="1"/>
  <c r="O194" i="57" s="1"/>
  <c r="P194" i="57" s="1"/>
  <c r="Q194" i="57" s="1"/>
  <c r="R194" i="57" s="1"/>
  <c r="S194" i="57" s="1"/>
  <c r="AS110" i="57"/>
  <c r="AT110" i="57" s="1"/>
  <c r="AU110" i="57" s="1"/>
  <c r="AV110" i="57" s="1"/>
  <c r="AW110" i="57" s="1"/>
  <c r="AX110" i="57" s="1"/>
  <c r="AY110" i="57" s="1"/>
  <c r="AZ110" i="57" s="1"/>
  <c r="BA110" i="57" s="1"/>
  <c r="BB110" i="57" s="1"/>
  <c r="BC110" i="57" s="1"/>
  <c r="BD110" i="57" s="1"/>
  <c r="BE110" i="57" s="1"/>
  <c r="BF110" i="57" s="1"/>
  <c r="BG110" i="57" s="1"/>
  <c r="BH110" i="57" s="1"/>
  <c r="BI110" i="57" s="1"/>
  <c r="BJ110" i="57" s="1"/>
  <c r="BK110" i="57" s="1"/>
  <c r="BL110" i="57" s="1"/>
  <c r="BM110" i="57" s="1"/>
  <c r="BN110" i="57" s="1"/>
  <c r="BO110" i="57" s="1"/>
  <c r="BP110" i="57" s="1"/>
  <c r="BQ110" i="57" s="1"/>
  <c r="BR110" i="57" s="1"/>
  <c r="BS110" i="57" s="1"/>
  <c r="BT110" i="57" s="1"/>
  <c r="BU110" i="57" s="1"/>
  <c r="BV110" i="57" s="1"/>
  <c r="BW110" i="57" s="1"/>
  <c r="BX110" i="57" s="1"/>
  <c r="BY110" i="57" s="1"/>
  <c r="C110" i="57"/>
  <c r="D110" i="57" s="1"/>
  <c r="E110" i="57" s="1"/>
  <c r="F110" i="57" s="1"/>
  <c r="G110" i="57" s="1"/>
  <c r="H110" i="57" s="1"/>
  <c r="I110" i="57" s="1"/>
  <c r="J110" i="57" s="1"/>
  <c r="K110" i="57" s="1"/>
  <c r="L110" i="57" s="1"/>
  <c r="M110" i="57" s="1"/>
  <c r="N110" i="57" s="1"/>
  <c r="O110" i="57" s="1"/>
  <c r="P110" i="57" s="1"/>
  <c r="Q110" i="57" s="1"/>
  <c r="R110" i="57" s="1"/>
  <c r="S110" i="57" s="1"/>
  <c r="AJ146" i="4"/>
  <c r="C45" i="57"/>
  <c r="C91" i="62" s="1"/>
  <c r="AS45" i="57"/>
  <c r="AT45" i="57" s="1"/>
  <c r="AU45" i="57" s="1"/>
  <c r="AV45" i="57" s="1"/>
  <c r="AW45" i="57" s="1"/>
  <c r="AX45" i="57" s="1"/>
  <c r="AY45" i="57" s="1"/>
  <c r="AZ45" i="57" s="1"/>
  <c r="BA45" i="57" s="1"/>
  <c r="BB45" i="57" s="1"/>
  <c r="BC45" i="57" s="1"/>
  <c r="BD45" i="57" s="1"/>
  <c r="BE45" i="57" s="1"/>
  <c r="BF45" i="57" s="1"/>
  <c r="BG45" i="57" s="1"/>
  <c r="BH45" i="57" s="1"/>
  <c r="BI45" i="57" s="1"/>
  <c r="AS211" i="57"/>
  <c r="AT211" i="57" s="1"/>
  <c r="AU211" i="57" s="1"/>
  <c r="AV211" i="57" s="1"/>
  <c r="AW211" i="57" s="1"/>
  <c r="AX211" i="57" s="1"/>
  <c r="AY211" i="57" s="1"/>
  <c r="AZ211" i="57" s="1"/>
  <c r="BA211" i="57" s="1"/>
  <c r="BB211" i="57" s="1"/>
  <c r="BC211" i="57" s="1"/>
  <c r="BD211" i="57" s="1"/>
  <c r="BE211" i="57" s="1"/>
  <c r="BF211" i="57" s="1"/>
  <c r="BG211" i="57" s="1"/>
  <c r="BH211" i="57" s="1"/>
  <c r="BI211" i="57" s="1"/>
  <c r="BJ211" i="57" s="1"/>
  <c r="BK211" i="57" s="1"/>
  <c r="BL211" i="57" s="1"/>
  <c r="BM211" i="57" s="1"/>
  <c r="BN211" i="57" s="1"/>
  <c r="BO211" i="57" s="1"/>
  <c r="BP211" i="57" s="1"/>
  <c r="BQ211" i="57" s="1"/>
  <c r="BR211" i="57" s="1"/>
  <c r="BS211" i="57" s="1"/>
  <c r="BT211" i="57" s="1"/>
  <c r="BU211" i="57" s="1"/>
  <c r="BV211" i="57" s="1"/>
  <c r="BW211" i="57" s="1"/>
  <c r="BX211" i="57" s="1"/>
  <c r="BY211" i="57" s="1"/>
  <c r="C211" i="57"/>
  <c r="D211" i="57" s="1"/>
  <c r="E211" i="57" s="1"/>
  <c r="F211" i="57" s="1"/>
  <c r="G211" i="57" s="1"/>
  <c r="H211" i="57" s="1"/>
  <c r="I211" i="57" s="1"/>
  <c r="J211" i="57" s="1"/>
  <c r="K211" i="57" s="1"/>
  <c r="L211" i="57" s="1"/>
  <c r="M211" i="57" s="1"/>
  <c r="N211" i="57" s="1"/>
  <c r="O211" i="57" s="1"/>
  <c r="P211" i="57" s="1"/>
  <c r="Q211" i="57" s="1"/>
  <c r="R211" i="57" s="1"/>
  <c r="S211" i="57" s="1"/>
  <c r="AJ131" i="4"/>
  <c r="C164" i="57"/>
  <c r="AS164" i="57"/>
  <c r="AT164" i="57" s="1"/>
  <c r="AU164" i="57" s="1"/>
  <c r="AV164" i="57" s="1"/>
  <c r="AW164" i="57" s="1"/>
  <c r="AX164" i="57" s="1"/>
  <c r="AY164" i="57" s="1"/>
  <c r="AZ164" i="57" s="1"/>
  <c r="BA164" i="57" s="1"/>
  <c r="BB164" i="57" s="1"/>
  <c r="BC164" i="57" s="1"/>
  <c r="BD164" i="57" s="1"/>
  <c r="BE164" i="57" s="1"/>
  <c r="BF164" i="57" s="1"/>
  <c r="BG164" i="57" s="1"/>
  <c r="BH164" i="57" s="1"/>
  <c r="BI164" i="57" s="1"/>
  <c r="BJ164" i="57" s="1"/>
  <c r="BK164" i="57" s="1"/>
  <c r="BL164" i="57" s="1"/>
  <c r="BM164" i="57" s="1"/>
  <c r="BN164" i="57" s="1"/>
  <c r="BO164" i="57" s="1"/>
  <c r="BP164" i="57" s="1"/>
  <c r="BQ164" i="57" s="1"/>
  <c r="BR164" i="57" s="1"/>
  <c r="BS164" i="57" s="1"/>
  <c r="BT164" i="57" s="1"/>
  <c r="BU164" i="57" s="1"/>
  <c r="BV164" i="57" s="1"/>
  <c r="BW164" i="57" s="1"/>
  <c r="BX164" i="57" s="1"/>
  <c r="BY164" i="57" s="1"/>
  <c r="AJ37" i="4"/>
  <c r="C98" i="57"/>
  <c r="D98" i="57" s="1"/>
  <c r="E98" i="57" s="1"/>
  <c r="F98" i="57" s="1"/>
  <c r="G98" i="57" s="1"/>
  <c r="H98" i="57" s="1"/>
  <c r="I98" i="57" s="1"/>
  <c r="J98" i="57" s="1"/>
  <c r="K98" i="57" s="1"/>
  <c r="L98" i="57" s="1"/>
  <c r="M98" i="57" s="1"/>
  <c r="N98" i="57" s="1"/>
  <c r="O98" i="57" s="1"/>
  <c r="P98" i="57" s="1"/>
  <c r="Q98" i="57" s="1"/>
  <c r="R98" i="57" s="1"/>
  <c r="S98" i="57" s="1"/>
  <c r="AS98" i="57"/>
  <c r="AT98" i="57" s="1"/>
  <c r="AU98" i="57" s="1"/>
  <c r="AV98" i="57" s="1"/>
  <c r="AW98" i="57" s="1"/>
  <c r="AX98" i="57" s="1"/>
  <c r="AY98" i="57" s="1"/>
  <c r="AZ98" i="57" s="1"/>
  <c r="BA98" i="57" s="1"/>
  <c r="BB98" i="57" s="1"/>
  <c r="BC98" i="57" s="1"/>
  <c r="BD98" i="57" s="1"/>
  <c r="BE98" i="57" s="1"/>
  <c r="BF98" i="57" s="1"/>
  <c r="BG98" i="57" s="1"/>
  <c r="BH98" i="57" s="1"/>
  <c r="BI98" i="57" s="1"/>
  <c r="AJ40" i="4"/>
  <c r="AJ191" i="4"/>
  <c r="AJ208" i="4"/>
  <c r="AJ231" i="4"/>
  <c r="AR75" i="62"/>
  <c r="C213" i="57"/>
  <c r="D213" i="57" s="1"/>
  <c r="E213" i="57" s="1"/>
  <c r="F213" i="57" s="1"/>
  <c r="G213" i="57" s="1"/>
  <c r="H213" i="57" s="1"/>
  <c r="I213" i="57" s="1"/>
  <c r="J213" i="57" s="1"/>
  <c r="K213" i="57" s="1"/>
  <c r="L213" i="57" s="1"/>
  <c r="M213" i="57" s="1"/>
  <c r="N213" i="57" s="1"/>
  <c r="O213" i="57" s="1"/>
  <c r="P213" i="57" s="1"/>
  <c r="Q213" i="57" s="1"/>
  <c r="R213" i="57" s="1"/>
  <c r="S213" i="57" s="1"/>
  <c r="AS213" i="57"/>
  <c r="AT213" i="57" s="1"/>
  <c r="AU213" i="57" s="1"/>
  <c r="AV213" i="57" s="1"/>
  <c r="AW213" i="57" s="1"/>
  <c r="AX213" i="57" s="1"/>
  <c r="AY213" i="57" s="1"/>
  <c r="AZ213" i="57" s="1"/>
  <c r="BA213" i="57" s="1"/>
  <c r="BB213" i="57" s="1"/>
  <c r="BC213" i="57" s="1"/>
  <c r="BD213" i="57" s="1"/>
  <c r="BE213" i="57" s="1"/>
  <c r="BF213" i="57" s="1"/>
  <c r="BG213" i="57" s="1"/>
  <c r="BH213" i="57" s="1"/>
  <c r="BI213" i="57" s="1"/>
  <c r="BJ213" i="57" s="1"/>
  <c r="BK213" i="57" s="1"/>
  <c r="BL213" i="57" s="1"/>
  <c r="BM213" i="57" s="1"/>
  <c r="BN213" i="57" s="1"/>
  <c r="BO213" i="57" s="1"/>
  <c r="BP213" i="57" s="1"/>
  <c r="BQ213" i="57" s="1"/>
  <c r="AJ32" i="4"/>
  <c r="C24" i="57"/>
  <c r="D24" i="57" s="1"/>
  <c r="E24" i="57" s="1"/>
  <c r="F24" i="57" s="1"/>
  <c r="G24" i="57" s="1"/>
  <c r="H24" i="57" s="1"/>
  <c r="I24" i="57" s="1"/>
  <c r="J24" i="57" s="1"/>
  <c r="K24" i="57" s="1"/>
  <c r="L24" i="57" s="1"/>
  <c r="M24" i="57" s="1"/>
  <c r="N24" i="57" s="1"/>
  <c r="O24" i="57" s="1"/>
  <c r="P24" i="57" s="1"/>
  <c r="Q24" i="57" s="1"/>
  <c r="R24" i="57" s="1"/>
  <c r="S24" i="57" s="1"/>
  <c r="T24" i="57" s="1"/>
  <c r="U24" i="57" s="1"/>
  <c r="V24" i="57" s="1"/>
  <c r="W24" i="57" s="1"/>
  <c r="X24" i="57" s="1"/>
  <c r="Y24" i="57" s="1"/>
  <c r="Z24" i="57" s="1"/>
  <c r="AA24" i="57" s="1"/>
  <c r="AB24" i="57" s="1"/>
  <c r="AC24" i="57" s="1"/>
  <c r="AD24" i="57" s="1"/>
  <c r="AE24" i="57" s="1"/>
  <c r="AF24" i="57" s="1"/>
  <c r="AG24" i="57" s="1"/>
  <c r="AH24" i="57" s="1"/>
  <c r="AI24" i="57" s="1"/>
  <c r="AR29" i="62"/>
  <c r="AS129" i="57"/>
  <c r="AT129" i="57" s="1"/>
  <c r="AU129" i="57" s="1"/>
  <c r="AV129" i="57" s="1"/>
  <c r="AW129" i="57" s="1"/>
  <c r="AX129" i="57" s="1"/>
  <c r="AY129" i="57" s="1"/>
  <c r="AZ129" i="57" s="1"/>
  <c r="BA129" i="57" s="1"/>
  <c r="BB129" i="57" s="1"/>
  <c r="BC129" i="57" s="1"/>
  <c r="BD129" i="57" s="1"/>
  <c r="BE129" i="57" s="1"/>
  <c r="BF129" i="57" s="1"/>
  <c r="BG129" i="57" s="1"/>
  <c r="BH129" i="57" s="1"/>
  <c r="BI129" i="57" s="1"/>
  <c r="BJ129" i="57" s="1"/>
  <c r="BK129" i="57" s="1"/>
  <c r="BL129" i="57" s="1"/>
  <c r="BM129" i="57" s="1"/>
  <c r="BN129" i="57" s="1"/>
  <c r="BO129" i="57" s="1"/>
  <c r="BP129" i="57" s="1"/>
  <c r="BQ129" i="57" s="1"/>
  <c r="BR129" i="57" s="1"/>
  <c r="BS129" i="57" s="1"/>
  <c r="BT129" i="57" s="1"/>
  <c r="BU129" i="57" s="1"/>
  <c r="BV129" i="57" s="1"/>
  <c r="BW129" i="57" s="1"/>
  <c r="BX129" i="57" s="1"/>
  <c r="BY129" i="57" s="1"/>
  <c r="C129" i="57"/>
  <c r="D129" i="57" s="1"/>
  <c r="E129" i="57" s="1"/>
  <c r="F129" i="57" s="1"/>
  <c r="G129" i="57" s="1"/>
  <c r="H129" i="57" s="1"/>
  <c r="I129" i="57" s="1"/>
  <c r="J129" i="57" s="1"/>
  <c r="K129" i="57" s="1"/>
  <c r="L129" i="57" s="1"/>
  <c r="M129" i="57" s="1"/>
  <c r="N129" i="57" s="1"/>
  <c r="O129" i="57" s="1"/>
  <c r="P129" i="57" s="1"/>
  <c r="Q129" i="57" s="1"/>
  <c r="R129" i="57" s="1"/>
  <c r="S129" i="57" s="1"/>
  <c r="AR133" i="62"/>
  <c r="AJ80" i="4"/>
  <c r="AS138" i="57"/>
  <c r="AT138" i="57" s="1"/>
  <c r="AU138" i="57" s="1"/>
  <c r="AV138" i="57" s="1"/>
  <c r="AW138" i="57" s="1"/>
  <c r="AX138" i="57" s="1"/>
  <c r="AY138" i="57" s="1"/>
  <c r="AZ138" i="57" s="1"/>
  <c r="BA138" i="57" s="1"/>
  <c r="BB138" i="57" s="1"/>
  <c r="BC138" i="57" s="1"/>
  <c r="BD138" i="57" s="1"/>
  <c r="BE138" i="57" s="1"/>
  <c r="BF138" i="57" s="1"/>
  <c r="BG138" i="57" s="1"/>
  <c r="BH138" i="57" s="1"/>
  <c r="BI138" i="57" s="1"/>
  <c r="C138" i="57"/>
  <c r="D138" i="57" s="1"/>
  <c r="E138" i="57" s="1"/>
  <c r="F138" i="57" s="1"/>
  <c r="G138" i="57" s="1"/>
  <c r="H138" i="57" s="1"/>
  <c r="I138" i="57" s="1"/>
  <c r="J138" i="57" s="1"/>
  <c r="K138" i="57" s="1"/>
  <c r="L138" i="57" s="1"/>
  <c r="M138" i="57" s="1"/>
  <c r="N138" i="57" s="1"/>
  <c r="O138" i="57" s="1"/>
  <c r="P138" i="57" s="1"/>
  <c r="Q138" i="57" s="1"/>
  <c r="R138" i="57" s="1"/>
  <c r="S138" i="57" s="1"/>
  <c r="C248" i="57"/>
  <c r="D248" i="57" s="1"/>
  <c r="E248" i="57" s="1"/>
  <c r="F248" i="57" s="1"/>
  <c r="G248" i="57" s="1"/>
  <c r="H248" i="57" s="1"/>
  <c r="I248" i="57" s="1"/>
  <c r="J248" i="57" s="1"/>
  <c r="K248" i="57" s="1"/>
  <c r="L248" i="57" s="1"/>
  <c r="M248" i="57" s="1"/>
  <c r="N248" i="57" s="1"/>
  <c r="O248" i="57" s="1"/>
  <c r="P248" i="57" s="1"/>
  <c r="Q248" i="57" s="1"/>
  <c r="R248" i="57" s="1"/>
  <c r="S248" i="57" s="1"/>
  <c r="AS248" i="57"/>
  <c r="AT248" i="57" s="1"/>
  <c r="AU248" i="57" s="1"/>
  <c r="AV248" i="57" s="1"/>
  <c r="AW248" i="57" s="1"/>
  <c r="AX248" i="57" s="1"/>
  <c r="AY248" i="57" s="1"/>
  <c r="AZ248" i="57" s="1"/>
  <c r="BA248" i="57" s="1"/>
  <c r="BB248" i="57" s="1"/>
  <c r="BC248" i="57" s="1"/>
  <c r="BD248" i="57" s="1"/>
  <c r="BE248" i="57" s="1"/>
  <c r="BF248" i="57" s="1"/>
  <c r="BG248" i="57" s="1"/>
  <c r="BH248" i="57" s="1"/>
  <c r="BI248" i="57" s="1"/>
  <c r="BJ248" i="57" s="1"/>
  <c r="BK248" i="57" s="1"/>
  <c r="BL248" i="57" s="1"/>
  <c r="BM248" i="57" s="1"/>
  <c r="BN248" i="57" s="1"/>
  <c r="BO248" i="57" s="1"/>
  <c r="BP248" i="57" s="1"/>
  <c r="BQ248" i="57" s="1"/>
  <c r="BR248" i="57" s="1"/>
  <c r="BS248" i="57" s="1"/>
  <c r="BT248" i="57" s="1"/>
  <c r="BU248" i="57" s="1"/>
  <c r="BV248" i="57" s="1"/>
  <c r="BW248" i="57" s="1"/>
  <c r="BX248" i="57" s="1"/>
  <c r="BY248" i="57" s="1"/>
  <c r="C59" i="57"/>
  <c r="AS59" i="57"/>
  <c r="AT59" i="57" s="1"/>
  <c r="AU59" i="57" s="1"/>
  <c r="AV59" i="57" s="1"/>
  <c r="AW59" i="57" s="1"/>
  <c r="AX59" i="57" s="1"/>
  <c r="AY59" i="57" s="1"/>
  <c r="AZ59" i="57" s="1"/>
  <c r="BA59" i="57" s="1"/>
  <c r="BB59" i="57" s="1"/>
  <c r="BC59" i="57" s="1"/>
  <c r="BD59" i="57" s="1"/>
  <c r="BE59" i="57" s="1"/>
  <c r="BF59" i="57" s="1"/>
  <c r="BG59" i="57" s="1"/>
  <c r="BH59" i="57" s="1"/>
  <c r="BI59" i="57" s="1"/>
  <c r="AJ224" i="4"/>
  <c r="AS83" i="57"/>
  <c r="C83" i="57"/>
  <c r="C167" i="62" s="1"/>
  <c r="AS104" i="57"/>
  <c r="AT104" i="57" s="1"/>
  <c r="AU104" i="57" s="1"/>
  <c r="AV104" i="57" s="1"/>
  <c r="AW104" i="57" s="1"/>
  <c r="AX104" i="57" s="1"/>
  <c r="AY104" i="57" s="1"/>
  <c r="AZ104" i="57" s="1"/>
  <c r="BA104" i="57" s="1"/>
  <c r="BB104" i="57" s="1"/>
  <c r="BC104" i="57" s="1"/>
  <c r="BD104" i="57" s="1"/>
  <c r="BE104" i="57" s="1"/>
  <c r="BF104" i="57" s="1"/>
  <c r="BG104" i="57" s="1"/>
  <c r="BH104" i="57" s="1"/>
  <c r="BI104" i="57" s="1"/>
  <c r="BJ104" i="57" s="1"/>
  <c r="BK104" i="57" s="1"/>
  <c r="BL104" i="57" s="1"/>
  <c r="BM104" i="57" s="1"/>
  <c r="BN104" i="57" s="1"/>
  <c r="BO104" i="57" s="1"/>
  <c r="BP104" i="57" s="1"/>
  <c r="BQ104" i="57" s="1"/>
  <c r="BR104" i="57" s="1"/>
  <c r="BS104" i="57" s="1"/>
  <c r="BT104" i="57" s="1"/>
  <c r="BU104" i="57" s="1"/>
  <c r="BV104" i="57" s="1"/>
  <c r="BW104" i="57" s="1"/>
  <c r="BX104" i="57" s="1"/>
  <c r="BY104" i="57" s="1"/>
  <c r="C104" i="57"/>
  <c r="D104" i="57" s="1"/>
  <c r="E104" i="57" s="1"/>
  <c r="F104" i="57" s="1"/>
  <c r="G104" i="57" s="1"/>
  <c r="H104" i="57" s="1"/>
  <c r="I104" i="57" s="1"/>
  <c r="J104" i="57" s="1"/>
  <c r="K104" i="57" s="1"/>
  <c r="L104" i="57" s="1"/>
  <c r="M104" i="57" s="1"/>
  <c r="N104" i="57" s="1"/>
  <c r="O104" i="57" s="1"/>
  <c r="P104" i="57" s="1"/>
  <c r="Q104" i="57" s="1"/>
  <c r="R104" i="57" s="1"/>
  <c r="S104" i="57" s="1"/>
  <c r="AJ61" i="4"/>
  <c r="AR125" i="62"/>
  <c r="AS124" i="57"/>
  <c r="AT124" i="57" s="1"/>
  <c r="AU124" i="57" s="1"/>
  <c r="AV124" i="57" s="1"/>
  <c r="AW124" i="57" s="1"/>
  <c r="AX124" i="57" s="1"/>
  <c r="AY124" i="57" s="1"/>
  <c r="AZ124" i="57" s="1"/>
  <c r="BA124" i="57" s="1"/>
  <c r="BB124" i="57" s="1"/>
  <c r="BC124" i="57" s="1"/>
  <c r="BD124" i="57" s="1"/>
  <c r="BE124" i="57" s="1"/>
  <c r="BF124" i="57" s="1"/>
  <c r="BG124" i="57" s="1"/>
  <c r="BH124" i="57" s="1"/>
  <c r="BI124" i="57" s="1"/>
  <c r="BJ124" i="57" s="1"/>
  <c r="BK124" i="57" s="1"/>
  <c r="BL124" i="57" s="1"/>
  <c r="BM124" i="57" s="1"/>
  <c r="BN124" i="57" s="1"/>
  <c r="BO124" i="57" s="1"/>
  <c r="BP124" i="57" s="1"/>
  <c r="BQ124" i="57" s="1"/>
  <c r="BR124" i="57" s="1"/>
  <c r="BS124" i="57" s="1"/>
  <c r="BT124" i="57" s="1"/>
  <c r="BU124" i="57" s="1"/>
  <c r="BV124" i="57" s="1"/>
  <c r="BW124" i="57" s="1"/>
  <c r="BX124" i="57" s="1"/>
  <c r="BY124" i="57" s="1"/>
  <c r="C124" i="57"/>
  <c r="D124" i="57" s="1"/>
  <c r="E124" i="57" s="1"/>
  <c r="F124" i="57" s="1"/>
  <c r="G124" i="57" s="1"/>
  <c r="H124" i="57" s="1"/>
  <c r="I124" i="57" s="1"/>
  <c r="J124" i="57" s="1"/>
  <c r="K124" i="57" s="1"/>
  <c r="L124" i="57" s="1"/>
  <c r="M124" i="57" s="1"/>
  <c r="N124" i="57" s="1"/>
  <c r="O124" i="57" s="1"/>
  <c r="P124" i="57" s="1"/>
  <c r="Q124" i="57" s="1"/>
  <c r="R124" i="57" s="1"/>
  <c r="S124" i="57" s="1"/>
  <c r="AR129" i="62"/>
  <c r="C86" i="57"/>
  <c r="D86" i="57" s="1"/>
  <c r="E86" i="57" s="1"/>
  <c r="F86" i="57" s="1"/>
  <c r="G86" i="57" s="1"/>
  <c r="H86" i="57" s="1"/>
  <c r="I86" i="57" s="1"/>
  <c r="J86" i="57" s="1"/>
  <c r="K86" i="57" s="1"/>
  <c r="L86" i="57" s="1"/>
  <c r="M86" i="57" s="1"/>
  <c r="N86" i="57" s="1"/>
  <c r="O86" i="57" s="1"/>
  <c r="P86" i="57" s="1"/>
  <c r="Q86" i="57" s="1"/>
  <c r="R86" i="57" s="1"/>
  <c r="S86" i="57" s="1"/>
  <c r="AS86" i="57"/>
  <c r="AT86" i="57" s="1"/>
  <c r="AU86" i="57" s="1"/>
  <c r="AV86" i="57" s="1"/>
  <c r="AW86" i="57" s="1"/>
  <c r="AX86" i="57" s="1"/>
  <c r="AY86" i="57" s="1"/>
  <c r="AZ86" i="57" s="1"/>
  <c r="BA86" i="57" s="1"/>
  <c r="BB86" i="57" s="1"/>
  <c r="BC86" i="57" s="1"/>
  <c r="BD86" i="57" s="1"/>
  <c r="BE86" i="57" s="1"/>
  <c r="BF86" i="57" s="1"/>
  <c r="BG86" i="57" s="1"/>
  <c r="BH86" i="57" s="1"/>
  <c r="BI86" i="57" s="1"/>
  <c r="BJ86" i="57" s="1"/>
  <c r="BK86" i="57" s="1"/>
  <c r="BL86" i="57" s="1"/>
  <c r="BM86" i="57" s="1"/>
  <c r="BN86" i="57" s="1"/>
  <c r="BO86" i="57" s="1"/>
  <c r="BP86" i="57" s="1"/>
  <c r="BQ86" i="57" s="1"/>
  <c r="BR86" i="57" s="1"/>
  <c r="BS86" i="57" s="1"/>
  <c r="BT86" i="57" s="1"/>
  <c r="BU86" i="57" s="1"/>
  <c r="BV86" i="57" s="1"/>
  <c r="BW86" i="57" s="1"/>
  <c r="BX86" i="57" s="1"/>
  <c r="BY86" i="57" s="1"/>
  <c r="AJ26" i="4"/>
  <c r="AJ240" i="4"/>
  <c r="C232" i="57"/>
  <c r="D232" i="57" s="1"/>
  <c r="E232" i="57" s="1"/>
  <c r="F232" i="57" s="1"/>
  <c r="G232" i="57" s="1"/>
  <c r="H232" i="57" s="1"/>
  <c r="I232" i="57" s="1"/>
  <c r="J232" i="57" s="1"/>
  <c r="K232" i="57" s="1"/>
  <c r="L232" i="57" s="1"/>
  <c r="M232" i="57" s="1"/>
  <c r="N232" i="57" s="1"/>
  <c r="O232" i="57" s="1"/>
  <c r="P232" i="57" s="1"/>
  <c r="Q232" i="57" s="1"/>
  <c r="R232" i="57" s="1"/>
  <c r="S232" i="57" s="1"/>
  <c r="AS232" i="57"/>
  <c r="AT232" i="57" s="1"/>
  <c r="AU232" i="57" s="1"/>
  <c r="AV232" i="57" s="1"/>
  <c r="AW232" i="57" s="1"/>
  <c r="AX232" i="57" s="1"/>
  <c r="AY232" i="57" s="1"/>
  <c r="AZ232" i="57" s="1"/>
  <c r="BA232" i="57" s="1"/>
  <c r="BB232" i="57" s="1"/>
  <c r="BC232" i="57" s="1"/>
  <c r="BD232" i="57" s="1"/>
  <c r="BE232" i="57" s="1"/>
  <c r="BF232" i="57" s="1"/>
  <c r="BG232" i="57" s="1"/>
  <c r="BH232" i="57" s="1"/>
  <c r="BI232" i="57" s="1"/>
  <c r="AJ262" i="4"/>
  <c r="AJ127" i="4"/>
  <c r="AJ246" i="4"/>
  <c r="C82" i="57"/>
  <c r="D82" i="57" s="1"/>
  <c r="E82" i="57" s="1"/>
  <c r="F82" i="57" s="1"/>
  <c r="G82" i="57" s="1"/>
  <c r="H82" i="57" s="1"/>
  <c r="I82" i="57" s="1"/>
  <c r="J82" i="57" s="1"/>
  <c r="K82" i="57" s="1"/>
  <c r="L82" i="57" s="1"/>
  <c r="M82" i="57" s="1"/>
  <c r="N82" i="57" s="1"/>
  <c r="O82" i="57" s="1"/>
  <c r="P82" i="57" s="1"/>
  <c r="Q82" i="57" s="1"/>
  <c r="R82" i="57" s="1"/>
  <c r="S82" i="57" s="1"/>
  <c r="T82" i="57" s="1"/>
  <c r="U82" i="57" s="1"/>
  <c r="V82" i="57" s="1"/>
  <c r="W82" i="57" s="1"/>
  <c r="X82" i="57" s="1"/>
  <c r="Y82" i="57" s="1"/>
  <c r="Z82" i="57" s="1"/>
  <c r="AA82" i="57" s="1"/>
  <c r="AB82" i="57" s="1"/>
  <c r="AC82" i="57" s="1"/>
  <c r="AD82" i="57" s="1"/>
  <c r="AE82" i="57" s="1"/>
  <c r="AF82" i="57" s="1"/>
  <c r="AG82" i="57" s="1"/>
  <c r="AH82" i="57" s="1"/>
  <c r="AI82" i="57" s="1"/>
  <c r="AS82" i="57"/>
  <c r="AT82" i="57" s="1"/>
  <c r="AU82" i="57" s="1"/>
  <c r="AV82" i="57" s="1"/>
  <c r="AW82" i="57" s="1"/>
  <c r="AX82" i="57" s="1"/>
  <c r="AY82" i="57" s="1"/>
  <c r="AZ82" i="57" s="1"/>
  <c r="BA82" i="57" s="1"/>
  <c r="BB82" i="57" s="1"/>
  <c r="BC82" i="57" s="1"/>
  <c r="BD82" i="57" s="1"/>
  <c r="BE82" i="57" s="1"/>
  <c r="BF82" i="57" s="1"/>
  <c r="BG82" i="57" s="1"/>
  <c r="BH82" i="57" s="1"/>
  <c r="BI82" i="57" s="1"/>
  <c r="BJ82" i="57" s="1"/>
  <c r="BK82" i="57" s="1"/>
  <c r="BL82" i="57" s="1"/>
  <c r="BM82" i="57" s="1"/>
  <c r="BN82" i="57" s="1"/>
  <c r="BO82" i="57" s="1"/>
  <c r="BP82" i="57" s="1"/>
  <c r="BQ82" i="57" s="1"/>
  <c r="BR82" i="57" s="1"/>
  <c r="BS82" i="57" s="1"/>
  <c r="BT82" i="57" s="1"/>
  <c r="BU82" i="57" s="1"/>
  <c r="BV82" i="57" s="1"/>
  <c r="BW82" i="57" s="1"/>
  <c r="BX82" i="57" s="1"/>
  <c r="BY82" i="57" s="1"/>
  <c r="C175" i="57"/>
  <c r="D175" i="57" s="1"/>
  <c r="E175" i="57" s="1"/>
  <c r="F175" i="57" s="1"/>
  <c r="G175" i="57" s="1"/>
  <c r="H175" i="57" s="1"/>
  <c r="I175" i="57" s="1"/>
  <c r="J175" i="57" s="1"/>
  <c r="K175" i="57" s="1"/>
  <c r="L175" i="57" s="1"/>
  <c r="M175" i="57" s="1"/>
  <c r="N175" i="57" s="1"/>
  <c r="O175" i="57" s="1"/>
  <c r="P175" i="57" s="1"/>
  <c r="Q175" i="57" s="1"/>
  <c r="R175" i="57" s="1"/>
  <c r="S175" i="57" s="1"/>
  <c r="AS175" i="57"/>
  <c r="AT175" i="57" s="1"/>
  <c r="AU175" i="57" s="1"/>
  <c r="AV175" i="57" s="1"/>
  <c r="AW175" i="57" s="1"/>
  <c r="AX175" i="57" s="1"/>
  <c r="AY175" i="57" s="1"/>
  <c r="AZ175" i="57" s="1"/>
  <c r="BA175" i="57" s="1"/>
  <c r="BB175" i="57" s="1"/>
  <c r="BC175" i="57" s="1"/>
  <c r="BD175" i="57" s="1"/>
  <c r="BE175" i="57" s="1"/>
  <c r="BF175" i="57" s="1"/>
  <c r="BG175" i="57" s="1"/>
  <c r="BH175" i="57" s="1"/>
  <c r="BI175" i="57" s="1"/>
  <c r="AR85" i="62"/>
  <c r="C173" i="57"/>
  <c r="D173" i="57" s="1"/>
  <c r="E173" i="57" s="1"/>
  <c r="F173" i="57" s="1"/>
  <c r="G173" i="57" s="1"/>
  <c r="H173" i="57" s="1"/>
  <c r="I173" i="57" s="1"/>
  <c r="J173" i="57" s="1"/>
  <c r="K173" i="57" s="1"/>
  <c r="L173" i="57" s="1"/>
  <c r="M173" i="57" s="1"/>
  <c r="N173" i="57" s="1"/>
  <c r="O173" i="57" s="1"/>
  <c r="P173" i="57" s="1"/>
  <c r="Q173" i="57" s="1"/>
  <c r="R173" i="57" s="1"/>
  <c r="S173" i="57" s="1"/>
  <c r="T173" i="57" s="1"/>
  <c r="U173" i="57" s="1"/>
  <c r="V173" i="57" s="1"/>
  <c r="W173" i="57" s="1"/>
  <c r="X173" i="57" s="1"/>
  <c r="Y173" i="57" s="1"/>
  <c r="Z173" i="57" s="1"/>
  <c r="AA173" i="57" s="1"/>
  <c r="AB173" i="57" s="1"/>
  <c r="AC173" i="57" s="1"/>
  <c r="AD173" i="57" s="1"/>
  <c r="AE173" i="57" s="1"/>
  <c r="AF173" i="57" s="1"/>
  <c r="AG173" i="57" s="1"/>
  <c r="AH173" i="57" s="1"/>
  <c r="AI173" i="57" s="1"/>
  <c r="AS173" i="57"/>
  <c r="AT173" i="57" s="1"/>
  <c r="AU173" i="57" s="1"/>
  <c r="AV173" i="57" s="1"/>
  <c r="AW173" i="57" s="1"/>
  <c r="AX173" i="57" s="1"/>
  <c r="AY173" i="57" s="1"/>
  <c r="AZ173" i="57" s="1"/>
  <c r="BA173" i="57" s="1"/>
  <c r="BB173" i="57" s="1"/>
  <c r="BC173" i="57" s="1"/>
  <c r="BD173" i="57" s="1"/>
  <c r="BE173" i="57" s="1"/>
  <c r="BF173" i="57" s="1"/>
  <c r="BG173" i="57" s="1"/>
  <c r="BH173" i="57" s="1"/>
  <c r="BI173" i="57" s="1"/>
  <c r="BJ173" i="57" s="1"/>
  <c r="BK173" i="57" s="1"/>
  <c r="BL173" i="57" s="1"/>
  <c r="BM173" i="57" s="1"/>
  <c r="BN173" i="57" s="1"/>
  <c r="BO173" i="57" s="1"/>
  <c r="BP173" i="57" s="1"/>
  <c r="BQ173" i="57" s="1"/>
  <c r="BR173" i="57" s="1"/>
  <c r="BS173" i="57" s="1"/>
  <c r="BT173" i="57" s="1"/>
  <c r="BU173" i="57" s="1"/>
  <c r="BV173" i="57" s="1"/>
  <c r="BW173" i="57" s="1"/>
  <c r="BX173" i="57" s="1"/>
  <c r="BY173" i="57" s="1"/>
  <c r="C184" i="57"/>
  <c r="D184" i="57" s="1"/>
  <c r="E184" i="57" s="1"/>
  <c r="F184" i="57" s="1"/>
  <c r="G184" i="57" s="1"/>
  <c r="H184" i="57" s="1"/>
  <c r="I184" i="57" s="1"/>
  <c r="J184" i="57" s="1"/>
  <c r="K184" i="57" s="1"/>
  <c r="L184" i="57" s="1"/>
  <c r="M184" i="57" s="1"/>
  <c r="N184" i="57" s="1"/>
  <c r="O184" i="57" s="1"/>
  <c r="P184" i="57" s="1"/>
  <c r="Q184" i="57" s="1"/>
  <c r="R184" i="57" s="1"/>
  <c r="S184" i="57" s="1"/>
  <c r="AS184" i="57"/>
  <c r="AT184" i="57" s="1"/>
  <c r="AU184" i="57" s="1"/>
  <c r="AV184" i="57" s="1"/>
  <c r="AW184" i="57" s="1"/>
  <c r="AX184" i="57" s="1"/>
  <c r="AY184" i="57" s="1"/>
  <c r="AZ184" i="57" s="1"/>
  <c r="BA184" i="57" s="1"/>
  <c r="BB184" i="57" s="1"/>
  <c r="BC184" i="57" s="1"/>
  <c r="BD184" i="57" s="1"/>
  <c r="BE184" i="57" s="1"/>
  <c r="BF184" i="57" s="1"/>
  <c r="BG184" i="57" s="1"/>
  <c r="BH184" i="57" s="1"/>
  <c r="BI184" i="57" s="1"/>
  <c r="BJ184" i="57" s="1"/>
  <c r="BK184" i="57" s="1"/>
  <c r="BL184" i="57" s="1"/>
  <c r="BM184" i="57" s="1"/>
  <c r="BN184" i="57" s="1"/>
  <c r="BO184" i="57" s="1"/>
  <c r="BP184" i="57" s="1"/>
  <c r="BQ184" i="57" s="1"/>
  <c r="BR184" i="57" s="1"/>
  <c r="BS184" i="57" s="1"/>
  <c r="BT184" i="57" s="1"/>
  <c r="BU184" i="57" s="1"/>
  <c r="BV184" i="57" s="1"/>
  <c r="BW184" i="57" s="1"/>
  <c r="BX184" i="57" s="1"/>
  <c r="BY184" i="57" s="1"/>
  <c r="AS198" i="57"/>
  <c r="AT198" i="57" s="1"/>
  <c r="AU198" i="57" s="1"/>
  <c r="AV198" i="57" s="1"/>
  <c r="AW198" i="57" s="1"/>
  <c r="AX198" i="57" s="1"/>
  <c r="AY198" i="57" s="1"/>
  <c r="AZ198" i="57" s="1"/>
  <c r="BA198" i="57" s="1"/>
  <c r="BB198" i="57" s="1"/>
  <c r="BC198" i="57" s="1"/>
  <c r="BD198" i="57" s="1"/>
  <c r="BE198" i="57" s="1"/>
  <c r="BF198" i="57" s="1"/>
  <c r="BG198" i="57" s="1"/>
  <c r="BH198" i="57" s="1"/>
  <c r="BI198" i="57" s="1"/>
  <c r="BJ198" i="57" s="1"/>
  <c r="BK198" i="57" s="1"/>
  <c r="BL198" i="57" s="1"/>
  <c r="BM198" i="57" s="1"/>
  <c r="BN198" i="57" s="1"/>
  <c r="BO198" i="57" s="1"/>
  <c r="BP198" i="57" s="1"/>
  <c r="BQ198" i="57" s="1"/>
  <c r="BR198" i="57" s="1"/>
  <c r="BS198" i="57" s="1"/>
  <c r="BT198" i="57" s="1"/>
  <c r="BU198" i="57" s="1"/>
  <c r="BV198" i="57" s="1"/>
  <c r="BW198" i="57" s="1"/>
  <c r="BX198" i="57" s="1"/>
  <c r="BY198" i="57" s="1"/>
  <c r="C198" i="57"/>
  <c r="D198" i="57" s="1"/>
  <c r="E198" i="57" s="1"/>
  <c r="F198" i="57" s="1"/>
  <c r="G198" i="57" s="1"/>
  <c r="H198" i="57" s="1"/>
  <c r="I198" i="57" s="1"/>
  <c r="J198" i="57" s="1"/>
  <c r="K198" i="57" s="1"/>
  <c r="L198" i="57" s="1"/>
  <c r="M198" i="57" s="1"/>
  <c r="N198" i="57" s="1"/>
  <c r="O198" i="57" s="1"/>
  <c r="P198" i="57" s="1"/>
  <c r="Q198" i="57" s="1"/>
  <c r="R198" i="57" s="1"/>
  <c r="S198" i="57" s="1"/>
  <c r="T198" i="57" s="1"/>
  <c r="U198" i="57" s="1"/>
  <c r="V198" i="57" s="1"/>
  <c r="W198" i="57" s="1"/>
  <c r="X198" i="57" s="1"/>
  <c r="Y198" i="57" s="1"/>
  <c r="Z198" i="57" s="1"/>
  <c r="AA198" i="57" s="1"/>
  <c r="AB198" i="57" s="1"/>
  <c r="AC198" i="57" s="1"/>
  <c r="AD198" i="57" s="1"/>
  <c r="AE198" i="57" s="1"/>
  <c r="AF198" i="57" s="1"/>
  <c r="AG198" i="57" s="1"/>
  <c r="AH198" i="57" s="1"/>
  <c r="AI198" i="57" s="1"/>
  <c r="AS69" i="57"/>
  <c r="AT69" i="57" s="1"/>
  <c r="AU69" i="57" s="1"/>
  <c r="AV69" i="57" s="1"/>
  <c r="AW69" i="57" s="1"/>
  <c r="AX69" i="57" s="1"/>
  <c r="AY69" i="57" s="1"/>
  <c r="AZ69" i="57" s="1"/>
  <c r="BA69" i="57" s="1"/>
  <c r="BB69" i="57" s="1"/>
  <c r="BC69" i="57" s="1"/>
  <c r="BD69" i="57" s="1"/>
  <c r="BE69" i="57" s="1"/>
  <c r="BF69" i="57" s="1"/>
  <c r="BG69" i="57" s="1"/>
  <c r="BH69" i="57" s="1"/>
  <c r="BI69" i="57" s="1"/>
  <c r="BJ69" i="57" s="1"/>
  <c r="BK69" i="57" s="1"/>
  <c r="BL69" i="57" s="1"/>
  <c r="BM69" i="57" s="1"/>
  <c r="BN69" i="57" s="1"/>
  <c r="BO69" i="57" s="1"/>
  <c r="BP69" i="57" s="1"/>
  <c r="BQ69" i="57" s="1"/>
  <c r="C69" i="57"/>
  <c r="C139" i="62" s="1"/>
  <c r="AR73" i="62"/>
  <c r="AJ52" i="4"/>
  <c r="C117" i="57"/>
  <c r="D117" i="57" s="1"/>
  <c r="E117" i="57" s="1"/>
  <c r="F117" i="57" s="1"/>
  <c r="G117" i="57" s="1"/>
  <c r="H117" i="57" s="1"/>
  <c r="I117" i="57" s="1"/>
  <c r="J117" i="57" s="1"/>
  <c r="K117" i="57" s="1"/>
  <c r="L117" i="57" s="1"/>
  <c r="M117" i="57" s="1"/>
  <c r="N117" i="57" s="1"/>
  <c r="O117" i="57" s="1"/>
  <c r="P117" i="57" s="1"/>
  <c r="Q117" i="57" s="1"/>
  <c r="R117" i="57" s="1"/>
  <c r="S117" i="57" s="1"/>
  <c r="T117" i="57" s="1"/>
  <c r="U117" i="57" s="1"/>
  <c r="V117" i="57" s="1"/>
  <c r="W117" i="57" s="1"/>
  <c r="X117" i="57" s="1"/>
  <c r="Y117" i="57" s="1"/>
  <c r="Z117" i="57" s="1"/>
  <c r="AA117" i="57" s="1"/>
  <c r="AB117" i="57" s="1"/>
  <c r="AC117" i="57" s="1"/>
  <c r="AD117" i="57" s="1"/>
  <c r="AE117" i="57" s="1"/>
  <c r="AF117" i="57" s="1"/>
  <c r="AG117" i="57" s="1"/>
  <c r="AH117" i="57" s="1"/>
  <c r="AI117" i="57" s="1"/>
  <c r="AS117" i="57"/>
  <c r="AT117" i="57" s="1"/>
  <c r="AU117" i="57" s="1"/>
  <c r="AV117" i="57" s="1"/>
  <c r="AW117" i="57" s="1"/>
  <c r="AX117" i="57" s="1"/>
  <c r="AY117" i="57" s="1"/>
  <c r="AZ117" i="57" s="1"/>
  <c r="BA117" i="57" s="1"/>
  <c r="BB117" i="57" s="1"/>
  <c r="BC117" i="57" s="1"/>
  <c r="BD117" i="57" s="1"/>
  <c r="BE117" i="57" s="1"/>
  <c r="BF117" i="57" s="1"/>
  <c r="BG117" i="57" s="1"/>
  <c r="BH117" i="57" s="1"/>
  <c r="BI117" i="57" s="1"/>
  <c r="BJ117" i="57" s="1"/>
  <c r="BK117" i="57" s="1"/>
  <c r="BL117" i="57" s="1"/>
  <c r="BM117" i="57" s="1"/>
  <c r="BN117" i="57" s="1"/>
  <c r="BO117" i="57" s="1"/>
  <c r="BP117" i="57" s="1"/>
  <c r="BQ117" i="57" s="1"/>
  <c r="BR117" i="57" s="1"/>
  <c r="BS117" i="57" s="1"/>
  <c r="BT117" i="57" s="1"/>
  <c r="BU117" i="57" s="1"/>
  <c r="BV117" i="57" s="1"/>
  <c r="BW117" i="57" s="1"/>
  <c r="BX117" i="57" s="1"/>
  <c r="BY117" i="57" s="1"/>
  <c r="AS200" i="57"/>
  <c r="C200" i="57"/>
  <c r="D200" i="57" s="1"/>
  <c r="E200" i="57" s="1"/>
  <c r="F200" i="57" s="1"/>
  <c r="G200" i="57" s="1"/>
  <c r="H200" i="57" s="1"/>
  <c r="I200" i="57" s="1"/>
  <c r="J200" i="57" s="1"/>
  <c r="K200" i="57" s="1"/>
  <c r="L200" i="57" s="1"/>
  <c r="M200" i="57" s="1"/>
  <c r="N200" i="57" s="1"/>
  <c r="O200" i="57" s="1"/>
  <c r="P200" i="57" s="1"/>
  <c r="Q200" i="57" s="1"/>
  <c r="R200" i="57" s="1"/>
  <c r="S200" i="57" s="1"/>
  <c r="T200" i="57" s="1"/>
  <c r="U200" i="57" s="1"/>
  <c r="V200" i="57" s="1"/>
  <c r="W200" i="57" s="1"/>
  <c r="X200" i="57" s="1"/>
  <c r="Y200" i="57" s="1"/>
  <c r="Z200" i="57" s="1"/>
  <c r="AA200" i="57" s="1"/>
  <c r="AB200" i="57" s="1"/>
  <c r="AC200" i="57" s="1"/>
  <c r="AD200" i="57" s="1"/>
  <c r="AE200" i="57" s="1"/>
  <c r="AF200" i="57" s="1"/>
  <c r="AG200" i="57" s="1"/>
  <c r="AH200" i="57" s="1"/>
  <c r="AI200" i="57" s="1"/>
  <c r="AS162" i="57"/>
  <c r="AT162" i="57" s="1"/>
  <c r="AU162" i="57" s="1"/>
  <c r="AV162" i="57" s="1"/>
  <c r="AW162" i="57" s="1"/>
  <c r="AX162" i="57" s="1"/>
  <c r="AY162" i="57" s="1"/>
  <c r="AZ162" i="57" s="1"/>
  <c r="BA162" i="57" s="1"/>
  <c r="BB162" i="57" s="1"/>
  <c r="BC162" i="57" s="1"/>
  <c r="BD162" i="57" s="1"/>
  <c r="BE162" i="57" s="1"/>
  <c r="BF162" i="57" s="1"/>
  <c r="BG162" i="57" s="1"/>
  <c r="BH162" i="57" s="1"/>
  <c r="BI162" i="57" s="1"/>
  <c r="C162" i="57"/>
  <c r="Y5" i="4"/>
  <c r="AR179" i="62"/>
  <c r="B182" i="62"/>
  <c r="AR182" i="62" s="1"/>
  <c r="A183" i="62"/>
  <c r="A184" i="62"/>
  <c r="A183" i="67"/>
  <c r="A182" i="67"/>
  <c r="C22" i="62"/>
  <c r="C10" i="62"/>
  <c r="C20" i="62"/>
  <c r="C18" i="62"/>
  <c r="CI243" i="57"/>
  <c r="CI74" i="57"/>
  <c r="C68" i="62"/>
  <c r="CI211" i="57"/>
  <c r="CI199" i="57"/>
  <c r="CI27" i="57"/>
  <c r="C164" i="62"/>
  <c r="C78" i="62"/>
  <c r="C42" i="62"/>
  <c r="C162" i="62"/>
  <c r="CI88" i="57"/>
  <c r="C98" i="62"/>
  <c r="CI17" i="57"/>
  <c r="CI186" i="57"/>
  <c r="CI116" i="57"/>
  <c r="C132" i="62"/>
  <c r="CI132" i="57"/>
  <c r="CI97" i="57"/>
  <c r="C88" i="62"/>
  <c r="CI104" i="57"/>
  <c r="CI44" i="57"/>
  <c r="CI232" i="57"/>
  <c r="C36" i="62"/>
  <c r="CI78" i="57"/>
  <c r="CI226" i="57"/>
  <c r="CI53" i="57"/>
  <c r="CI250" i="57"/>
  <c r="CI159" i="57"/>
  <c r="CI241" i="57"/>
  <c r="CI228" i="57"/>
  <c r="CI237" i="57"/>
  <c r="CI29" i="57"/>
  <c r="CI203" i="57"/>
  <c r="CI18" i="57"/>
  <c r="CI19" i="57"/>
  <c r="CI204" i="57"/>
  <c r="CI154" i="57"/>
  <c r="CI235" i="57"/>
  <c r="CI136" i="57"/>
  <c r="CI83" i="57"/>
  <c r="CI65" i="57"/>
  <c r="C112" i="62"/>
  <c r="CI184" i="57"/>
  <c r="CI145" i="57"/>
  <c r="C130" i="62"/>
  <c r="CI194" i="57"/>
  <c r="CI120" i="57"/>
  <c r="CI230" i="57"/>
  <c r="CI180" i="57"/>
  <c r="C126" i="62"/>
  <c r="CI96" i="57"/>
  <c r="CI68" i="57"/>
  <c r="CI62" i="57"/>
  <c r="C122" i="62"/>
  <c r="CI152" i="57"/>
  <c r="C110" i="62"/>
  <c r="CI55" i="57"/>
  <c r="CI94" i="57"/>
  <c r="CI212" i="57"/>
  <c r="CI168" i="57"/>
  <c r="CI190" i="57"/>
  <c r="CI28" i="57"/>
  <c r="CI41" i="57"/>
  <c r="CI248" i="57"/>
  <c r="CI10" i="57"/>
  <c r="CI202" i="57"/>
  <c r="CI95" i="57"/>
  <c r="CI81" i="57"/>
  <c r="C16" i="62"/>
  <c r="C138" i="62"/>
  <c r="CI242" i="57"/>
  <c r="CI124" i="57"/>
  <c r="CI158" i="57"/>
  <c r="CI247" i="57"/>
  <c r="C142" i="62"/>
  <c r="CI140" i="57"/>
  <c r="CI108" i="57"/>
  <c r="C174" i="62"/>
  <c r="CI224" i="57"/>
  <c r="C82" i="62"/>
  <c r="C12" i="62"/>
  <c r="CI89" i="57"/>
  <c r="C168" i="62"/>
  <c r="CI238" i="57"/>
  <c r="C70" i="62"/>
  <c r="CI252" i="57"/>
  <c r="CI240" i="57"/>
  <c r="CI100" i="57"/>
  <c r="CI37" i="57"/>
  <c r="CI253" i="57"/>
  <c r="CI214" i="57"/>
  <c r="CI82" i="57"/>
  <c r="CI72" i="57"/>
  <c r="CI125" i="57"/>
  <c r="CI21" i="57"/>
  <c r="CI123" i="57"/>
  <c r="CI119" i="57"/>
  <c r="CI239" i="57"/>
  <c r="CI197" i="57"/>
  <c r="C166" i="62"/>
  <c r="CI39" i="57"/>
  <c r="CI43" i="57"/>
  <c r="CI188" i="57"/>
  <c r="CI175" i="57"/>
  <c r="C160" i="62"/>
  <c r="CI139" i="57"/>
  <c r="C90" i="62"/>
  <c r="CI69" i="57"/>
  <c r="CI103" i="57"/>
  <c r="CI6" i="57"/>
  <c r="C86" i="62"/>
  <c r="CI46" i="57"/>
  <c r="CI133" i="57"/>
  <c r="C180" i="62"/>
  <c r="CI107" i="57"/>
  <c r="CI192" i="57"/>
  <c r="CI20" i="57"/>
  <c r="CI142" i="57"/>
  <c r="CI170" i="57"/>
  <c r="C94" i="62"/>
  <c r="CI179" i="57"/>
  <c r="CI35" i="57"/>
  <c r="CI219" i="57"/>
  <c r="CI223" i="57"/>
  <c r="CI98" i="57"/>
  <c r="CI198" i="57"/>
  <c r="C50" i="62"/>
  <c r="CI24" i="57"/>
  <c r="CI63" i="57"/>
  <c r="CI157" i="57"/>
  <c r="C128" i="62"/>
  <c r="CI112" i="57"/>
  <c r="CI210" i="57"/>
  <c r="C56" i="62"/>
  <c r="CI153" i="57"/>
  <c r="CI144" i="57"/>
  <c r="CI128" i="57"/>
  <c r="CI79" i="57"/>
  <c r="CI129" i="57"/>
  <c r="CI220" i="57"/>
  <c r="CI148" i="57"/>
  <c r="CI23" i="57"/>
  <c r="CI135" i="57"/>
  <c r="CI178" i="57"/>
  <c r="CI177" i="57"/>
  <c r="CI111" i="57"/>
  <c r="C34" i="62"/>
  <c r="CI109" i="57"/>
  <c r="CI169" i="57"/>
  <c r="CI195" i="57"/>
  <c r="CI70" i="57"/>
  <c r="CI115" i="57"/>
  <c r="C102" i="62"/>
  <c r="CI58" i="57"/>
  <c r="CI122" i="57"/>
  <c r="C150" i="62"/>
  <c r="CI245" i="57"/>
  <c r="CI93" i="57"/>
  <c r="C44" i="62"/>
  <c r="CI215" i="57"/>
  <c r="C66" i="62"/>
  <c r="CI86" i="57"/>
  <c r="CI8" i="57"/>
  <c r="CI50" i="57"/>
  <c r="CI13" i="57"/>
  <c r="CI229" i="57"/>
  <c r="C136" i="62"/>
  <c r="C108" i="62"/>
  <c r="CI231" i="57"/>
  <c r="CI105" i="57"/>
  <c r="CI106" i="57"/>
  <c r="CI233" i="57"/>
  <c r="CI167" i="57"/>
  <c r="CI172" i="57"/>
  <c r="CI162" i="57"/>
  <c r="CI110" i="57"/>
  <c r="CI146" i="57"/>
  <c r="C176" i="62"/>
  <c r="CI134" i="57"/>
  <c r="CI51" i="57"/>
  <c r="CI149" i="57"/>
  <c r="CI85" i="57"/>
  <c r="CI42" i="57"/>
  <c r="C106" i="62"/>
  <c r="CI45" i="57"/>
  <c r="CI246" i="57"/>
  <c r="CI130" i="57"/>
  <c r="C152" i="62"/>
  <c r="C120" i="62"/>
  <c r="CI14" i="57"/>
  <c r="C26" i="62"/>
  <c r="C172" i="62"/>
  <c r="CI77" i="57"/>
  <c r="CI185" i="57"/>
  <c r="CI147" i="57"/>
  <c r="CI216" i="57"/>
  <c r="CI92" i="57"/>
  <c r="F182" i="62"/>
  <c r="CI76" i="57"/>
  <c r="C76" i="62"/>
  <c r="CI151" i="57"/>
  <c r="CI217" i="57"/>
  <c r="CI166" i="57"/>
  <c r="CI54" i="57"/>
  <c r="C144" i="62"/>
  <c r="CI49" i="57"/>
  <c r="C54" i="62"/>
  <c r="CI99" i="57"/>
  <c r="CI251" i="57"/>
  <c r="C134" i="62"/>
  <c r="CI189" i="57"/>
  <c r="CI40" i="57"/>
  <c r="CI155" i="57"/>
  <c r="CI176" i="57"/>
  <c r="C96" i="62"/>
  <c r="CI121" i="57"/>
  <c r="CI127" i="57"/>
  <c r="B181" i="62"/>
  <c r="CI7" i="57"/>
  <c r="CI87" i="57"/>
  <c r="C58" i="62"/>
  <c r="CI193" i="57"/>
  <c r="CI236" i="57"/>
  <c r="CI187" i="57"/>
  <c r="CI36" i="57"/>
  <c r="CI34" i="57"/>
  <c r="CI33" i="57"/>
  <c r="CI249" i="57"/>
  <c r="C100" i="62"/>
  <c r="CI137" i="57"/>
  <c r="CI117" i="57"/>
  <c r="CI227" i="57"/>
  <c r="C158" i="62"/>
  <c r="CI196" i="57"/>
  <c r="CI234" i="57"/>
  <c r="CI163" i="57"/>
  <c r="CI56" i="57"/>
  <c r="CI181" i="57"/>
  <c r="CI31" i="57"/>
  <c r="C62" i="62"/>
  <c r="C48" i="62"/>
  <c r="CI75" i="57"/>
  <c r="CI38" i="57"/>
  <c r="C52" i="62"/>
  <c r="C40" i="62"/>
  <c r="D182" i="62"/>
  <c r="CI222" i="57"/>
  <c r="CI218" i="57"/>
  <c r="C146" i="62"/>
  <c r="C72" i="62"/>
  <c r="C74" i="62"/>
  <c r="CI84" i="57"/>
  <c r="CI205" i="57"/>
  <c r="CI164" i="57"/>
  <c r="CI91" i="57"/>
  <c r="C60" i="62"/>
  <c r="CI118" i="57"/>
  <c r="CI48" i="57"/>
  <c r="CI26" i="57"/>
  <c r="CI15" i="57"/>
  <c r="CI25" i="57"/>
  <c r="CI182" i="57"/>
  <c r="CI191" i="57"/>
  <c r="C84" i="62"/>
  <c r="CI126" i="57"/>
  <c r="CI141" i="57"/>
  <c r="CI60" i="57"/>
  <c r="C28" i="62"/>
  <c r="CI61" i="57"/>
  <c r="CI16" i="57"/>
  <c r="C38" i="62"/>
  <c r="CI114" i="57"/>
  <c r="CI52" i="57"/>
  <c r="C14" i="62"/>
  <c r="CI174" i="57"/>
  <c r="CI90" i="57"/>
  <c r="CI32" i="57"/>
  <c r="CI213" i="57"/>
  <c r="CI5" i="57"/>
  <c r="CI11" i="57"/>
  <c r="CI150" i="57"/>
  <c r="CI161" i="57"/>
  <c r="E182" i="62"/>
  <c r="C92" i="62"/>
  <c r="C24" i="62"/>
  <c r="C178" i="62"/>
  <c r="C154" i="62"/>
  <c r="CI138" i="57"/>
  <c r="CI12" i="57"/>
  <c r="CI47" i="57"/>
  <c r="CI80" i="57"/>
  <c r="CI59" i="57"/>
  <c r="CI73" i="57"/>
  <c r="CI201" i="57"/>
  <c r="C170" i="62"/>
  <c r="CI66" i="57"/>
  <c r="CI207" i="57"/>
  <c r="CI209" i="57"/>
  <c r="CI225" i="57"/>
  <c r="CI143" i="57"/>
  <c r="C140" i="62"/>
  <c r="CI206" i="57"/>
  <c r="CI173" i="57"/>
  <c r="C114" i="62"/>
  <c r="CI160" i="57"/>
  <c r="CI221" i="57"/>
  <c r="CI208" i="57"/>
  <c r="CI131" i="57"/>
  <c r="C124" i="62"/>
  <c r="C156" i="62"/>
  <c r="C148" i="62"/>
  <c r="CI30" i="57"/>
  <c r="C64" i="62"/>
  <c r="C80" i="62"/>
  <c r="CI67" i="57"/>
  <c r="CI244" i="57"/>
  <c r="C46" i="62"/>
  <c r="CI171" i="57"/>
  <c r="C30" i="62"/>
  <c r="CI165" i="57"/>
  <c r="CI22" i="57"/>
  <c r="CI101" i="57"/>
  <c r="CI57" i="57"/>
  <c r="C116" i="62"/>
  <c r="C118" i="62"/>
  <c r="C32" i="62"/>
  <c r="CI156" i="57"/>
  <c r="CI183" i="57"/>
  <c r="CI64" i="57"/>
  <c r="CI102" i="57"/>
  <c r="CI200" i="57"/>
  <c r="CI113" i="57"/>
  <c r="C104" i="62"/>
  <c r="CI9" i="57"/>
  <c r="CI71" i="57"/>
  <c r="BJ115" i="57" l="1"/>
  <c r="BK115" i="57" s="1"/>
  <c r="BL115" i="57" s="1"/>
  <c r="BM115" i="57" s="1"/>
  <c r="BN115" i="57" s="1"/>
  <c r="BO115" i="57" s="1"/>
  <c r="BP115" i="57" s="1"/>
  <c r="BQ115" i="57" s="1"/>
  <c r="BR115" i="57" s="1"/>
  <c r="BS115" i="57" s="1"/>
  <c r="BT115" i="57" s="1"/>
  <c r="BU115" i="57" s="1"/>
  <c r="BV115" i="57" s="1"/>
  <c r="BW115" i="57" s="1"/>
  <c r="BX115" i="57" s="1"/>
  <c r="BY115" i="57" s="1"/>
  <c r="AS34" i="57"/>
  <c r="AT34" i="57" s="1"/>
  <c r="AU34" i="57" s="1"/>
  <c r="AV34" i="57" s="1"/>
  <c r="AW34" i="57" s="1"/>
  <c r="AX34" i="57" s="1"/>
  <c r="AY34" i="57" s="1"/>
  <c r="AZ34" i="57" s="1"/>
  <c r="BA34" i="57" s="1"/>
  <c r="BB34" i="57" s="1"/>
  <c r="BC34" i="57" s="1"/>
  <c r="BD34" i="57" s="1"/>
  <c r="BE34" i="57" s="1"/>
  <c r="BF34" i="57" s="1"/>
  <c r="BG34" i="57" s="1"/>
  <c r="BH34" i="57" s="1"/>
  <c r="BI34" i="57" s="1"/>
  <c r="BJ34" i="57" s="1"/>
  <c r="BK34" i="57" s="1"/>
  <c r="BL34" i="57" s="1"/>
  <c r="BM34" i="57" s="1"/>
  <c r="BN34" i="57" s="1"/>
  <c r="BO34" i="57" s="1"/>
  <c r="BP34" i="57" s="1"/>
  <c r="BQ34" i="57" s="1"/>
  <c r="BR34" i="57" s="1"/>
  <c r="BS34" i="57" s="1"/>
  <c r="BT34" i="57" s="1"/>
  <c r="BU34" i="57" s="1"/>
  <c r="BV34" i="57" s="1"/>
  <c r="BW34" i="57" s="1"/>
  <c r="BX34" i="57" s="1"/>
  <c r="BY34" i="57" s="1"/>
  <c r="AS33" i="57"/>
  <c r="AT33" i="57" s="1"/>
  <c r="AU33" i="57" s="1"/>
  <c r="AV33" i="57" s="1"/>
  <c r="AW33" i="57" s="1"/>
  <c r="AX33" i="57" s="1"/>
  <c r="AY33" i="57" s="1"/>
  <c r="AZ33" i="57" s="1"/>
  <c r="BA33" i="57" s="1"/>
  <c r="BB33" i="57" s="1"/>
  <c r="BC33" i="57" s="1"/>
  <c r="BD33" i="57" s="1"/>
  <c r="BE33" i="57" s="1"/>
  <c r="BF33" i="57" s="1"/>
  <c r="BG33" i="57" s="1"/>
  <c r="BH33" i="57" s="1"/>
  <c r="BI33" i="57" s="1"/>
  <c r="D28" i="57"/>
  <c r="E28" i="57" s="1"/>
  <c r="F28" i="57" s="1"/>
  <c r="G28" i="57" s="1"/>
  <c r="H28" i="57" s="1"/>
  <c r="I28" i="57" s="1"/>
  <c r="J28" i="57" s="1"/>
  <c r="K28" i="57" s="1"/>
  <c r="L28" i="57" s="1"/>
  <c r="M28" i="57" s="1"/>
  <c r="N28" i="57" s="1"/>
  <c r="O28" i="57" s="1"/>
  <c r="P28" i="57" s="1"/>
  <c r="Q28" i="57" s="1"/>
  <c r="R28" i="57" s="1"/>
  <c r="S28" i="57" s="1"/>
  <c r="T28" i="57" s="1"/>
  <c r="U28" i="57" s="1"/>
  <c r="V28" i="57" s="1"/>
  <c r="W28" i="57" s="1"/>
  <c r="X28" i="57" s="1"/>
  <c r="Y28" i="57" s="1"/>
  <c r="Z28" i="57" s="1"/>
  <c r="AA28" i="57" s="1"/>
  <c r="AB28" i="57" s="1"/>
  <c r="AC28" i="57" s="1"/>
  <c r="AD28" i="57" s="1"/>
  <c r="AE28" i="57" s="1"/>
  <c r="AF28" i="57" s="1"/>
  <c r="AG28" i="57" s="1"/>
  <c r="AH28" i="57" s="1"/>
  <c r="AI28" i="57" s="1"/>
  <c r="AS27" i="57"/>
  <c r="AT27" i="57" s="1"/>
  <c r="AU27" i="57" s="1"/>
  <c r="AV27" i="57" s="1"/>
  <c r="AW27" i="57" s="1"/>
  <c r="AX27" i="57" s="1"/>
  <c r="AY27" i="57" s="1"/>
  <c r="AZ27" i="57" s="1"/>
  <c r="BA27" i="57" s="1"/>
  <c r="BB27" i="57" s="1"/>
  <c r="BC27" i="57" s="1"/>
  <c r="BD27" i="57" s="1"/>
  <c r="BE27" i="57" s="1"/>
  <c r="BF27" i="57" s="1"/>
  <c r="BG27" i="57" s="1"/>
  <c r="BH27" i="57" s="1"/>
  <c r="BI27" i="57" s="1"/>
  <c r="BJ27" i="57" s="1"/>
  <c r="BK27" i="57" s="1"/>
  <c r="BL27" i="57" s="1"/>
  <c r="BM27" i="57" s="1"/>
  <c r="BN27" i="57" s="1"/>
  <c r="BO27" i="57" s="1"/>
  <c r="BP27" i="57" s="1"/>
  <c r="BQ27" i="57" s="1"/>
  <c r="BR27" i="57" s="1"/>
  <c r="BS27" i="57" s="1"/>
  <c r="BT27" i="57" s="1"/>
  <c r="BU27" i="57" s="1"/>
  <c r="BV27" i="57" s="1"/>
  <c r="BW27" i="57" s="1"/>
  <c r="BX27" i="57" s="1"/>
  <c r="BY27" i="57" s="1"/>
  <c r="AS24" i="57"/>
  <c r="AT24" i="57" s="1"/>
  <c r="AU24" i="57" s="1"/>
  <c r="AV24" i="57" s="1"/>
  <c r="AW24" i="57" s="1"/>
  <c r="AX24" i="57" s="1"/>
  <c r="AY24" i="57" s="1"/>
  <c r="AZ24" i="57" s="1"/>
  <c r="BA24" i="57" s="1"/>
  <c r="BB24" i="57" s="1"/>
  <c r="BC24" i="57" s="1"/>
  <c r="BD24" i="57" s="1"/>
  <c r="BE24" i="57" s="1"/>
  <c r="BF24" i="57" s="1"/>
  <c r="BG24" i="57" s="1"/>
  <c r="BH24" i="57" s="1"/>
  <c r="BI24" i="57" s="1"/>
  <c r="BJ24" i="57" s="1"/>
  <c r="BK24" i="57" s="1"/>
  <c r="BL24" i="57" s="1"/>
  <c r="BM24" i="57" s="1"/>
  <c r="BN24" i="57" s="1"/>
  <c r="BO24" i="57" s="1"/>
  <c r="BP24" i="57" s="1"/>
  <c r="BQ24" i="57" s="1"/>
  <c r="BR24" i="57" s="1"/>
  <c r="BS24" i="57" s="1"/>
  <c r="BT24" i="57" s="1"/>
  <c r="BU24" i="57" s="1"/>
  <c r="BV24" i="57" s="1"/>
  <c r="BW24" i="57" s="1"/>
  <c r="BX24" i="57" s="1"/>
  <c r="BY24" i="57" s="1"/>
  <c r="AS28" i="57"/>
  <c r="AT28" i="57" s="1"/>
  <c r="AU28" i="57" s="1"/>
  <c r="AV28" i="57" s="1"/>
  <c r="AW28" i="57" s="1"/>
  <c r="AX28" i="57" s="1"/>
  <c r="AY28" i="57" s="1"/>
  <c r="AZ28" i="57" s="1"/>
  <c r="BA28" i="57" s="1"/>
  <c r="BB28" i="57" s="1"/>
  <c r="BC28" i="57" s="1"/>
  <c r="BD28" i="57" s="1"/>
  <c r="BE28" i="57" s="1"/>
  <c r="BF28" i="57" s="1"/>
  <c r="BG28" i="57" s="1"/>
  <c r="BH28" i="57" s="1"/>
  <c r="BI28" i="57" s="1"/>
  <c r="AS31" i="57"/>
  <c r="AT31" i="57" s="1"/>
  <c r="AU31" i="57" s="1"/>
  <c r="AV31" i="57" s="1"/>
  <c r="AW31" i="57" s="1"/>
  <c r="AX31" i="57" s="1"/>
  <c r="AY31" i="57" s="1"/>
  <c r="AZ31" i="57" s="1"/>
  <c r="BA31" i="57" s="1"/>
  <c r="BB31" i="57" s="1"/>
  <c r="BC31" i="57" s="1"/>
  <c r="BD31" i="57" s="1"/>
  <c r="BE31" i="57" s="1"/>
  <c r="BF31" i="57" s="1"/>
  <c r="BG31" i="57" s="1"/>
  <c r="BH31" i="57" s="1"/>
  <c r="BI31" i="57" s="1"/>
  <c r="BJ31" i="57" s="1"/>
  <c r="BK31" i="57" s="1"/>
  <c r="BL31" i="57" s="1"/>
  <c r="BM31" i="57" s="1"/>
  <c r="BN31" i="57" s="1"/>
  <c r="BO31" i="57" s="1"/>
  <c r="BP31" i="57" s="1"/>
  <c r="BQ31" i="57" s="1"/>
  <c r="BR31" i="57" s="1"/>
  <c r="BS31" i="57" s="1"/>
  <c r="BT31" i="57" s="1"/>
  <c r="BU31" i="57" s="1"/>
  <c r="BV31" i="57" s="1"/>
  <c r="BW31" i="57" s="1"/>
  <c r="BX31" i="57" s="1"/>
  <c r="BY31" i="57" s="1"/>
  <c r="AS26" i="57"/>
  <c r="AT26" i="57" s="1"/>
  <c r="AU26" i="57" s="1"/>
  <c r="AV26" i="57" s="1"/>
  <c r="AW26" i="57" s="1"/>
  <c r="AX26" i="57" s="1"/>
  <c r="AY26" i="57" s="1"/>
  <c r="AZ26" i="57" s="1"/>
  <c r="BA26" i="57" s="1"/>
  <c r="BB26" i="57" s="1"/>
  <c r="BC26" i="57" s="1"/>
  <c r="BD26" i="57" s="1"/>
  <c r="BE26" i="57" s="1"/>
  <c r="BF26" i="57" s="1"/>
  <c r="BG26" i="57" s="1"/>
  <c r="BH26" i="57" s="1"/>
  <c r="BI26" i="57" s="1"/>
  <c r="BJ26" i="57" s="1"/>
  <c r="BK26" i="57" s="1"/>
  <c r="BL26" i="57" s="1"/>
  <c r="BM26" i="57" s="1"/>
  <c r="BN26" i="57" s="1"/>
  <c r="BO26" i="57" s="1"/>
  <c r="BP26" i="57" s="1"/>
  <c r="BQ26" i="57" s="1"/>
  <c r="BR26" i="57" s="1"/>
  <c r="BS26" i="57" s="1"/>
  <c r="BT26" i="57" s="1"/>
  <c r="BU26" i="57" s="1"/>
  <c r="BV26" i="57" s="1"/>
  <c r="BW26" i="57" s="1"/>
  <c r="BX26" i="57" s="1"/>
  <c r="BY26" i="57" s="1"/>
  <c r="AS29" i="57"/>
  <c r="AT29" i="57" s="1"/>
  <c r="AU29" i="57" s="1"/>
  <c r="AV29" i="57" s="1"/>
  <c r="AW29" i="57" s="1"/>
  <c r="AX29" i="57" s="1"/>
  <c r="AY29" i="57" s="1"/>
  <c r="AZ29" i="57" s="1"/>
  <c r="BA29" i="57" s="1"/>
  <c r="BB29" i="57" s="1"/>
  <c r="BC29" i="57" s="1"/>
  <c r="BD29" i="57" s="1"/>
  <c r="BE29" i="57" s="1"/>
  <c r="BF29" i="57" s="1"/>
  <c r="BG29" i="57" s="1"/>
  <c r="BH29" i="57" s="1"/>
  <c r="BI29" i="57" s="1"/>
  <c r="BJ29" i="57" s="1"/>
  <c r="BK29" i="57" s="1"/>
  <c r="BL29" i="57" s="1"/>
  <c r="BM29" i="57" s="1"/>
  <c r="BN29" i="57" s="1"/>
  <c r="BO29" i="57" s="1"/>
  <c r="BP29" i="57" s="1"/>
  <c r="BQ29" i="57" s="1"/>
  <c r="BR29" i="57" s="1"/>
  <c r="BS29" i="57" s="1"/>
  <c r="BT29" i="57" s="1"/>
  <c r="BU29" i="57" s="1"/>
  <c r="BV29" i="57" s="1"/>
  <c r="BW29" i="57" s="1"/>
  <c r="BX29" i="57" s="1"/>
  <c r="BY29" i="57" s="1"/>
  <c r="AS32" i="57"/>
  <c r="AT32" i="57" s="1"/>
  <c r="AU32" i="57" s="1"/>
  <c r="AV32" i="57" s="1"/>
  <c r="AW32" i="57" s="1"/>
  <c r="AX32" i="57" s="1"/>
  <c r="AY32" i="57" s="1"/>
  <c r="AZ32" i="57" s="1"/>
  <c r="BA32" i="57" s="1"/>
  <c r="BB32" i="57" s="1"/>
  <c r="BC32" i="57" s="1"/>
  <c r="BD32" i="57" s="1"/>
  <c r="BE32" i="57" s="1"/>
  <c r="BF32" i="57" s="1"/>
  <c r="BG32" i="57" s="1"/>
  <c r="BH32" i="57" s="1"/>
  <c r="BI32" i="57" s="1"/>
  <c r="BJ32" i="57" s="1"/>
  <c r="BK32" i="57" s="1"/>
  <c r="BL32" i="57" s="1"/>
  <c r="BM32" i="57" s="1"/>
  <c r="BN32" i="57" s="1"/>
  <c r="BO32" i="57" s="1"/>
  <c r="BP32" i="57" s="1"/>
  <c r="BQ32" i="57" s="1"/>
  <c r="BR32" i="57" s="1"/>
  <c r="BS32" i="57" s="1"/>
  <c r="BT32" i="57" s="1"/>
  <c r="BU32" i="57" s="1"/>
  <c r="BV32" i="57" s="1"/>
  <c r="BW32" i="57" s="1"/>
  <c r="BX32" i="57" s="1"/>
  <c r="BY32" i="57" s="1"/>
  <c r="AS25" i="57"/>
  <c r="AT25" i="57" s="1"/>
  <c r="AU25" i="57" s="1"/>
  <c r="AV25" i="57" s="1"/>
  <c r="AW25" i="57" s="1"/>
  <c r="AX25" i="57" s="1"/>
  <c r="AY25" i="57" s="1"/>
  <c r="AZ25" i="57" s="1"/>
  <c r="BA25" i="57" s="1"/>
  <c r="BB25" i="57" s="1"/>
  <c r="BC25" i="57" s="1"/>
  <c r="BD25" i="57" s="1"/>
  <c r="BE25" i="57" s="1"/>
  <c r="BF25" i="57" s="1"/>
  <c r="BG25" i="57" s="1"/>
  <c r="BH25" i="57" s="1"/>
  <c r="BI25" i="57" s="1"/>
  <c r="AS30" i="57"/>
  <c r="AT30" i="57" s="1"/>
  <c r="AU30" i="57" s="1"/>
  <c r="AV30" i="57" s="1"/>
  <c r="AW30" i="57" s="1"/>
  <c r="AX30" i="57" s="1"/>
  <c r="AY30" i="57" s="1"/>
  <c r="AZ30" i="57" s="1"/>
  <c r="BA30" i="57" s="1"/>
  <c r="BB30" i="57" s="1"/>
  <c r="BC30" i="57" s="1"/>
  <c r="BD30" i="57" s="1"/>
  <c r="BE30" i="57" s="1"/>
  <c r="BF30" i="57" s="1"/>
  <c r="BG30" i="57" s="1"/>
  <c r="BH30" i="57" s="1"/>
  <c r="BI30" i="57" s="1"/>
  <c r="BJ30" i="57" s="1"/>
  <c r="BK30" i="57" s="1"/>
  <c r="BL30" i="57" s="1"/>
  <c r="BM30" i="57" s="1"/>
  <c r="BN30" i="57" s="1"/>
  <c r="BO30" i="57" s="1"/>
  <c r="BP30" i="57" s="1"/>
  <c r="BQ30" i="57" s="1"/>
  <c r="BR30" i="57" s="1"/>
  <c r="BS30" i="57" s="1"/>
  <c r="BT30" i="57" s="1"/>
  <c r="BU30" i="57" s="1"/>
  <c r="BV30" i="57" s="1"/>
  <c r="BW30" i="57" s="1"/>
  <c r="BX30" i="57" s="1"/>
  <c r="BY30" i="57" s="1"/>
  <c r="BZ88" i="57"/>
  <c r="CA88" i="57" s="1"/>
  <c r="CB88" i="57" s="1"/>
  <c r="CC88" i="57" s="1"/>
  <c r="CD88" i="57" s="1"/>
  <c r="CE88" i="57" s="1"/>
  <c r="CF88" i="57" s="1"/>
  <c r="CG88" i="57" s="1"/>
  <c r="AS23" i="57"/>
  <c r="AT23" i="57" s="1"/>
  <c r="AU23" i="57" s="1"/>
  <c r="AV23" i="57" s="1"/>
  <c r="AW23" i="57" s="1"/>
  <c r="AX23" i="57" s="1"/>
  <c r="AY23" i="57" s="1"/>
  <c r="AZ23" i="57" s="1"/>
  <c r="BA23" i="57" s="1"/>
  <c r="BB23" i="57" s="1"/>
  <c r="BC23" i="57" s="1"/>
  <c r="BD23" i="57" s="1"/>
  <c r="BE23" i="57" s="1"/>
  <c r="BF23" i="57" s="1"/>
  <c r="BG23" i="57" s="1"/>
  <c r="BH23" i="57" s="1"/>
  <c r="BI23" i="57" s="1"/>
  <c r="BZ225" i="57"/>
  <c r="CA225" i="57" s="1"/>
  <c r="CB225" i="57" s="1"/>
  <c r="CC225" i="57" s="1"/>
  <c r="CD225" i="57" s="1"/>
  <c r="CE225" i="57" s="1"/>
  <c r="CF225" i="57" s="1"/>
  <c r="CG225" i="57" s="1"/>
  <c r="AS21" i="57"/>
  <c r="AT21" i="57" s="1"/>
  <c r="AU21" i="57" s="1"/>
  <c r="AV21" i="57" s="1"/>
  <c r="AW21" i="57" s="1"/>
  <c r="AX21" i="57" s="1"/>
  <c r="AY21" i="57" s="1"/>
  <c r="AZ21" i="57" s="1"/>
  <c r="BA21" i="57" s="1"/>
  <c r="BB21" i="57" s="1"/>
  <c r="BC21" i="57" s="1"/>
  <c r="BD21" i="57" s="1"/>
  <c r="BE21" i="57" s="1"/>
  <c r="BF21" i="57" s="1"/>
  <c r="BG21" i="57" s="1"/>
  <c r="BH21" i="57" s="1"/>
  <c r="BI21" i="57" s="1"/>
  <c r="BJ21" i="57" s="1"/>
  <c r="BK21" i="57" s="1"/>
  <c r="BL21" i="57" s="1"/>
  <c r="BM21" i="57" s="1"/>
  <c r="BN21" i="57" s="1"/>
  <c r="BO21" i="57" s="1"/>
  <c r="BP21" i="57" s="1"/>
  <c r="BQ21" i="57" s="1"/>
  <c r="BR21" i="57" s="1"/>
  <c r="BS21" i="57" s="1"/>
  <c r="BT21" i="57" s="1"/>
  <c r="BU21" i="57" s="1"/>
  <c r="BV21" i="57" s="1"/>
  <c r="BW21" i="57" s="1"/>
  <c r="BX21" i="57" s="1"/>
  <c r="BY21" i="57" s="1"/>
  <c r="AS22" i="57"/>
  <c r="AT22" i="57" s="1"/>
  <c r="AU22" i="57" s="1"/>
  <c r="AV22" i="57" s="1"/>
  <c r="AW22" i="57" s="1"/>
  <c r="AX22" i="57" s="1"/>
  <c r="AY22" i="57" s="1"/>
  <c r="AZ22" i="57" s="1"/>
  <c r="BA22" i="57" s="1"/>
  <c r="BB22" i="57" s="1"/>
  <c r="BC22" i="57" s="1"/>
  <c r="BD22" i="57" s="1"/>
  <c r="BE22" i="57" s="1"/>
  <c r="BF22" i="57" s="1"/>
  <c r="BG22" i="57" s="1"/>
  <c r="BH22" i="57" s="1"/>
  <c r="BI22" i="57" s="1"/>
  <c r="BJ22" i="57" s="1"/>
  <c r="BK22" i="57" s="1"/>
  <c r="BL22" i="57" s="1"/>
  <c r="BM22" i="57" s="1"/>
  <c r="BN22" i="57" s="1"/>
  <c r="BO22" i="57" s="1"/>
  <c r="BP22" i="57" s="1"/>
  <c r="BQ22" i="57" s="1"/>
  <c r="BR22" i="57" s="1"/>
  <c r="BS22" i="57" s="1"/>
  <c r="BT22" i="57" s="1"/>
  <c r="BU22" i="57" s="1"/>
  <c r="BV22" i="57" s="1"/>
  <c r="BW22" i="57" s="1"/>
  <c r="BX22" i="57" s="1"/>
  <c r="BY22" i="57" s="1"/>
  <c r="AS20" i="57"/>
  <c r="AT20" i="57" s="1"/>
  <c r="AU20" i="57" s="1"/>
  <c r="AV20" i="57" s="1"/>
  <c r="AW20" i="57" s="1"/>
  <c r="AX20" i="57" s="1"/>
  <c r="AY20" i="57" s="1"/>
  <c r="AZ20" i="57" s="1"/>
  <c r="BA20" i="57" s="1"/>
  <c r="BB20" i="57" s="1"/>
  <c r="BC20" i="57" s="1"/>
  <c r="BD20" i="57" s="1"/>
  <c r="BE20" i="57" s="1"/>
  <c r="BF20" i="57" s="1"/>
  <c r="BG20" i="57" s="1"/>
  <c r="BH20" i="57" s="1"/>
  <c r="BI20" i="57" s="1"/>
  <c r="F143" i="57"/>
  <c r="G143" i="57" s="1"/>
  <c r="H143" i="57" s="1"/>
  <c r="I143" i="57" s="1"/>
  <c r="J143" i="57" s="1"/>
  <c r="K143" i="57" s="1"/>
  <c r="L143" i="57" s="1"/>
  <c r="M143" i="57" s="1"/>
  <c r="N143" i="57" s="1"/>
  <c r="O143" i="57" s="1"/>
  <c r="P143" i="57" s="1"/>
  <c r="Q143" i="57" s="1"/>
  <c r="R143" i="57" s="1"/>
  <c r="S143" i="57" s="1"/>
  <c r="T143" i="57" s="1"/>
  <c r="U143" i="57" s="1"/>
  <c r="V143" i="57" s="1"/>
  <c r="W143" i="57" s="1"/>
  <c r="X143" i="57" s="1"/>
  <c r="Y143" i="57" s="1"/>
  <c r="Z143" i="57" s="1"/>
  <c r="AA143" i="57" s="1"/>
  <c r="AB143" i="57" s="1"/>
  <c r="AC143" i="57" s="1"/>
  <c r="AD143" i="57" s="1"/>
  <c r="AE143" i="57" s="1"/>
  <c r="AF143" i="57" s="1"/>
  <c r="AG143" i="57" s="1"/>
  <c r="AH143" i="57" s="1"/>
  <c r="AI143" i="57" s="1"/>
  <c r="D29" i="57"/>
  <c r="E29" i="57" s="1"/>
  <c r="F29" i="57" s="1"/>
  <c r="G29" i="57" s="1"/>
  <c r="H29" i="57" s="1"/>
  <c r="I29" i="57" s="1"/>
  <c r="J29" i="57" s="1"/>
  <c r="K29" i="57" s="1"/>
  <c r="L29" i="57" s="1"/>
  <c r="M29" i="57" s="1"/>
  <c r="N29" i="57" s="1"/>
  <c r="O29" i="57" s="1"/>
  <c r="P29" i="57" s="1"/>
  <c r="Q29" i="57" s="1"/>
  <c r="R29" i="57" s="1"/>
  <c r="S29" i="57" s="1"/>
  <c r="T29" i="57" s="1"/>
  <c r="U29" i="57" s="1"/>
  <c r="V29" i="57" s="1"/>
  <c r="W29" i="57" s="1"/>
  <c r="X29" i="57" s="1"/>
  <c r="Y29" i="57" s="1"/>
  <c r="Z29" i="57" s="1"/>
  <c r="AA29" i="57" s="1"/>
  <c r="AB29" i="57" s="1"/>
  <c r="AC29" i="57" s="1"/>
  <c r="AD29" i="57" s="1"/>
  <c r="AE29" i="57" s="1"/>
  <c r="AF29" i="57" s="1"/>
  <c r="AG29" i="57" s="1"/>
  <c r="AH29" i="57" s="1"/>
  <c r="AI29" i="57" s="1"/>
  <c r="AS19" i="57"/>
  <c r="AT19" i="57" s="1"/>
  <c r="AU19" i="57" s="1"/>
  <c r="AV19" i="57" s="1"/>
  <c r="AW19" i="57" s="1"/>
  <c r="AX19" i="57" s="1"/>
  <c r="AY19" i="57" s="1"/>
  <c r="AZ19" i="57" s="1"/>
  <c r="BA19" i="57" s="1"/>
  <c r="BB19" i="57" s="1"/>
  <c r="BC19" i="57" s="1"/>
  <c r="BD19" i="57" s="1"/>
  <c r="BE19" i="57" s="1"/>
  <c r="BF19" i="57" s="1"/>
  <c r="BG19" i="57" s="1"/>
  <c r="BH19" i="57" s="1"/>
  <c r="BI19" i="57" s="1"/>
  <c r="AS18" i="57"/>
  <c r="AT18" i="57" s="1"/>
  <c r="AU18" i="57" s="1"/>
  <c r="AV18" i="57" s="1"/>
  <c r="AW18" i="57" s="1"/>
  <c r="AX18" i="57" s="1"/>
  <c r="AY18" i="57" s="1"/>
  <c r="AZ18" i="57" s="1"/>
  <c r="BA18" i="57" s="1"/>
  <c r="BB18" i="57" s="1"/>
  <c r="BC18" i="57" s="1"/>
  <c r="BD18" i="57" s="1"/>
  <c r="BE18" i="57" s="1"/>
  <c r="BF18" i="57" s="1"/>
  <c r="BG18" i="57" s="1"/>
  <c r="BH18" i="57" s="1"/>
  <c r="BI18" i="57" s="1"/>
  <c r="BJ18" i="57" s="1"/>
  <c r="BK18" i="57" s="1"/>
  <c r="BL18" i="57" s="1"/>
  <c r="BM18" i="57" s="1"/>
  <c r="BN18" i="57" s="1"/>
  <c r="BO18" i="57" s="1"/>
  <c r="BP18" i="57" s="1"/>
  <c r="BQ18" i="57" s="1"/>
  <c r="BR18" i="57" s="1"/>
  <c r="BS18" i="57" s="1"/>
  <c r="BT18" i="57" s="1"/>
  <c r="BU18" i="57" s="1"/>
  <c r="BV18" i="57" s="1"/>
  <c r="BW18" i="57" s="1"/>
  <c r="BX18" i="57" s="1"/>
  <c r="BY18" i="57" s="1"/>
  <c r="AS17" i="57"/>
  <c r="AT17" i="57" s="1"/>
  <c r="AU17" i="57" s="1"/>
  <c r="AV17" i="57" s="1"/>
  <c r="AW17" i="57" s="1"/>
  <c r="AX17" i="57" s="1"/>
  <c r="AY17" i="57" s="1"/>
  <c r="AZ17" i="57" s="1"/>
  <c r="BA17" i="57" s="1"/>
  <c r="BB17" i="57" s="1"/>
  <c r="BC17" i="57" s="1"/>
  <c r="BD17" i="57" s="1"/>
  <c r="BE17" i="57" s="1"/>
  <c r="BF17" i="57" s="1"/>
  <c r="BG17" i="57" s="1"/>
  <c r="BH17" i="57" s="1"/>
  <c r="BI17" i="57" s="1"/>
  <c r="BJ17" i="57" s="1"/>
  <c r="BK17" i="57" s="1"/>
  <c r="BL17" i="57" s="1"/>
  <c r="BM17" i="57" s="1"/>
  <c r="BN17" i="57" s="1"/>
  <c r="BO17" i="57" s="1"/>
  <c r="BP17" i="57" s="1"/>
  <c r="BQ17" i="57" s="1"/>
  <c r="AS16" i="57"/>
  <c r="AT16" i="57" s="1"/>
  <c r="AU16" i="57" s="1"/>
  <c r="AV16" i="57" s="1"/>
  <c r="AW16" i="57" s="1"/>
  <c r="AX16" i="57" s="1"/>
  <c r="AY16" i="57" s="1"/>
  <c r="AZ16" i="57" s="1"/>
  <c r="BA16" i="57" s="1"/>
  <c r="BB16" i="57" s="1"/>
  <c r="BC16" i="57" s="1"/>
  <c r="BD16" i="57" s="1"/>
  <c r="BE16" i="57" s="1"/>
  <c r="BF16" i="57" s="1"/>
  <c r="BG16" i="57" s="1"/>
  <c r="BH16" i="57" s="1"/>
  <c r="BI16" i="57" s="1"/>
  <c r="BJ16" i="57" s="1"/>
  <c r="BK16" i="57" s="1"/>
  <c r="BL16" i="57" s="1"/>
  <c r="BM16" i="57" s="1"/>
  <c r="BN16" i="57" s="1"/>
  <c r="BO16" i="57" s="1"/>
  <c r="BP16" i="57" s="1"/>
  <c r="BQ16" i="57" s="1"/>
  <c r="BR16" i="57" s="1"/>
  <c r="BS16" i="57" s="1"/>
  <c r="BT16" i="57" s="1"/>
  <c r="BU16" i="57" s="1"/>
  <c r="BV16" i="57" s="1"/>
  <c r="BW16" i="57" s="1"/>
  <c r="BX16" i="57" s="1"/>
  <c r="BY16" i="57" s="1"/>
  <c r="AS15" i="57"/>
  <c r="AT15" i="57" s="1"/>
  <c r="AU15" i="57" s="1"/>
  <c r="AV15" i="57" s="1"/>
  <c r="AW15" i="57" s="1"/>
  <c r="AX15" i="57" s="1"/>
  <c r="AY15" i="57" s="1"/>
  <c r="AZ15" i="57" s="1"/>
  <c r="BA15" i="57" s="1"/>
  <c r="BB15" i="57" s="1"/>
  <c r="BC15" i="57" s="1"/>
  <c r="BD15" i="57" s="1"/>
  <c r="BE15" i="57" s="1"/>
  <c r="BF15" i="57" s="1"/>
  <c r="BG15" i="57" s="1"/>
  <c r="BH15" i="57" s="1"/>
  <c r="BI15" i="57" s="1"/>
  <c r="BJ15" i="57" s="1"/>
  <c r="BK15" i="57" s="1"/>
  <c r="BL15" i="57" s="1"/>
  <c r="BM15" i="57" s="1"/>
  <c r="BN15" i="57" s="1"/>
  <c r="BO15" i="57" s="1"/>
  <c r="BP15" i="57" s="1"/>
  <c r="BQ15" i="57" s="1"/>
  <c r="BR15" i="57" s="1"/>
  <c r="BS15" i="57" s="1"/>
  <c r="BT15" i="57" s="1"/>
  <c r="BU15" i="57" s="1"/>
  <c r="BV15" i="57" s="1"/>
  <c r="BW15" i="57" s="1"/>
  <c r="BX15" i="57" s="1"/>
  <c r="BY15" i="57" s="1"/>
  <c r="BZ89" i="57"/>
  <c r="CA89" i="57" s="1"/>
  <c r="CB89" i="57" s="1"/>
  <c r="CC89" i="57" s="1"/>
  <c r="CD89" i="57" s="1"/>
  <c r="CE89" i="57" s="1"/>
  <c r="CF89" i="57" s="1"/>
  <c r="CG89" i="57" s="1"/>
  <c r="D49" i="57"/>
  <c r="E49" i="57" s="1"/>
  <c r="F49" i="57" s="1"/>
  <c r="G49" i="57" s="1"/>
  <c r="H49" i="57" s="1"/>
  <c r="I49" i="57" s="1"/>
  <c r="J49" i="57" s="1"/>
  <c r="K49" i="57" s="1"/>
  <c r="L49" i="57" s="1"/>
  <c r="M49" i="57" s="1"/>
  <c r="N49" i="57" s="1"/>
  <c r="O49" i="57" s="1"/>
  <c r="P49" i="57" s="1"/>
  <c r="Q49" i="57" s="1"/>
  <c r="R49" i="57" s="1"/>
  <c r="S49" i="57" s="1"/>
  <c r="T49" i="57" s="1"/>
  <c r="U49" i="57" s="1"/>
  <c r="V49" i="57" s="1"/>
  <c r="W49" i="57" s="1"/>
  <c r="X49" i="57" s="1"/>
  <c r="Y49" i="57" s="1"/>
  <c r="Z49" i="57" s="1"/>
  <c r="AA49" i="57" s="1"/>
  <c r="AB49" i="57" s="1"/>
  <c r="AC49" i="57" s="1"/>
  <c r="AD49" i="57" s="1"/>
  <c r="AE49" i="57" s="1"/>
  <c r="AF49" i="57" s="1"/>
  <c r="AG49" i="57" s="1"/>
  <c r="AH49" i="57" s="1"/>
  <c r="AI49" i="57" s="1"/>
  <c r="AJ79" i="57"/>
  <c r="AK79" i="57" s="1"/>
  <c r="AL79" i="57" s="1"/>
  <c r="AM79" i="57" s="1"/>
  <c r="AN79" i="57" s="1"/>
  <c r="AO79" i="57" s="1"/>
  <c r="AP79" i="57" s="1"/>
  <c r="AQ79" i="57" s="1"/>
  <c r="AR79" i="57" s="1"/>
  <c r="BJ111" i="57"/>
  <c r="BK111" i="57" s="1"/>
  <c r="BL111" i="57" s="1"/>
  <c r="BM111" i="57" s="1"/>
  <c r="BN111" i="57" s="1"/>
  <c r="BO111" i="57" s="1"/>
  <c r="BP111" i="57" s="1"/>
  <c r="BQ111" i="57" s="1"/>
  <c r="BR111" i="57" s="1"/>
  <c r="BS111" i="57" s="1"/>
  <c r="BT111" i="57" s="1"/>
  <c r="BU111" i="57" s="1"/>
  <c r="BV111" i="57" s="1"/>
  <c r="BW111" i="57" s="1"/>
  <c r="BX111" i="57" s="1"/>
  <c r="BY111" i="57" s="1"/>
  <c r="BJ190" i="57"/>
  <c r="BK190" i="57" s="1"/>
  <c r="BL190" i="57" s="1"/>
  <c r="BM190" i="57" s="1"/>
  <c r="BN190" i="57" s="1"/>
  <c r="BO190" i="57" s="1"/>
  <c r="BP190" i="57" s="1"/>
  <c r="BQ190" i="57" s="1"/>
  <c r="BR190" i="57" s="1"/>
  <c r="BS190" i="57" s="1"/>
  <c r="BT190" i="57" s="1"/>
  <c r="BU190" i="57" s="1"/>
  <c r="BV190" i="57" s="1"/>
  <c r="BW190" i="57" s="1"/>
  <c r="BX190" i="57" s="1"/>
  <c r="BY190" i="57" s="1"/>
  <c r="BZ210" i="57"/>
  <c r="CA210" i="57" s="1"/>
  <c r="CB210" i="57" s="1"/>
  <c r="CC210" i="57" s="1"/>
  <c r="CD210" i="57" s="1"/>
  <c r="CE210" i="57" s="1"/>
  <c r="CF210" i="57" s="1"/>
  <c r="CG210" i="57" s="1"/>
  <c r="D73" i="57"/>
  <c r="E73" i="57" s="1"/>
  <c r="F73" i="57" s="1"/>
  <c r="G73" i="57" s="1"/>
  <c r="H73" i="57" s="1"/>
  <c r="I73" i="57" s="1"/>
  <c r="J73" i="57" s="1"/>
  <c r="K73" i="57" s="1"/>
  <c r="L73" i="57" s="1"/>
  <c r="M73" i="57" s="1"/>
  <c r="N73" i="57" s="1"/>
  <c r="O73" i="57" s="1"/>
  <c r="P73" i="57" s="1"/>
  <c r="Q73" i="57" s="1"/>
  <c r="R73" i="57" s="1"/>
  <c r="S73" i="57" s="1"/>
  <c r="T73" i="57" s="1"/>
  <c r="U73" i="57" s="1"/>
  <c r="V73" i="57" s="1"/>
  <c r="W73" i="57" s="1"/>
  <c r="X73" i="57" s="1"/>
  <c r="Y73" i="57" s="1"/>
  <c r="Z73" i="57" s="1"/>
  <c r="AA73" i="57" s="1"/>
  <c r="AB73" i="57" s="1"/>
  <c r="AC73" i="57" s="1"/>
  <c r="AD73" i="57" s="1"/>
  <c r="AE73" i="57" s="1"/>
  <c r="AF73" i="57" s="1"/>
  <c r="AG73" i="57" s="1"/>
  <c r="AH73" i="57" s="1"/>
  <c r="AI73" i="57" s="1"/>
  <c r="T128" i="57"/>
  <c r="U128" i="57" s="1"/>
  <c r="V128" i="57" s="1"/>
  <c r="W128" i="57" s="1"/>
  <c r="X128" i="57" s="1"/>
  <c r="Y128" i="57" s="1"/>
  <c r="Z128" i="57" s="1"/>
  <c r="AA128" i="57" s="1"/>
  <c r="AB128" i="57" s="1"/>
  <c r="AC128" i="57" s="1"/>
  <c r="AD128" i="57" s="1"/>
  <c r="AE128" i="57" s="1"/>
  <c r="AF128" i="57" s="1"/>
  <c r="AG128" i="57" s="1"/>
  <c r="AH128" i="57" s="1"/>
  <c r="AI128" i="57" s="1"/>
  <c r="AJ237" i="57"/>
  <c r="AK237" i="57" s="1"/>
  <c r="AL237" i="57" s="1"/>
  <c r="AM237" i="57" s="1"/>
  <c r="AN237" i="57" s="1"/>
  <c r="AO237" i="57" s="1"/>
  <c r="AP237" i="57" s="1"/>
  <c r="AQ237" i="57" s="1"/>
  <c r="AJ92" i="57"/>
  <c r="AK92" i="57" s="1"/>
  <c r="AL92" i="57" s="1"/>
  <c r="AM92" i="57" s="1"/>
  <c r="AN92" i="57" s="1"/>
  <c r="AO92" i="57" s="1"/>
  <c r="AP92" i="57" s="1"/>
  <c r="AQ92" i="57" s="1"/>
  <c r="BZ143" i="57"/>
  <c r="CA143" i="57" s="1"/>
  <c r="CB143" i="57" s="1"/>
  <c r="CC143" i="57" s="1"/>
  <c r="CD143" i="57" s="1"/>
  <c r="CE143" i="57" s="1"/>
  <c r="CF143" i="57" s="1"/>
  <c r="CG143" i="57" s="1"/>
  <c r="BZ72" i="57"/>
  <c r="CA72" i="57" s="1"/>
  <c r="CB72" i="57" s="1"/>
  <c r="CC72" i="57" s="1"/>
  <c r="CD72" i="57" s="1"/>
  <c r="CE72" i="57" s="1"/>
  <c r="CF72" i="57" s="1"/>
  <c r="CG72" i="57" s="1"/>
  <c r="D66" i="57"/>
  <c r="E66" i="57" s="1"/>
  <c r="F66" i="57" s="1"/>
  <c r="G66" i="57" s="1"/>
  <c r="H66" i="57" s="1"/>
  <c r="I66" i="57" s="1"/>
  <c r="J66" i="57" s="1"/>
  <c r="K66" i="57" s="1"/>
  <c r="L66" i="57" s="1"/>
  <c r="M66" i="57" s="1"/>
  <c r="N66" i="57" s="1"/>
  <c r="O66" i="57" s="1"/>
  <c r="P66" i="57" s="1"/>
  <c r="Q66" i="57" s="1"/>
  <c r="R66" i="57" s="1"/>
  <c r="S66" i="57" s="1"/>
  <c r="T66" i="57" s="1"/>
  <c r="U66" i="57" s="1"/>
  <c r="V66" i="57" s="1"/>
  <c r="W66" i="57" s="1"/>
  <c r="X66" i="57" s="1"/>
  <c r="Y66" i="57" s="1"/>
  <c r="Z66" i="57" s="1"/>
  <c r="AA66" i="57" s="1"/>
  <c r="AB66" i="57" s="1"/>
  <c r="AC66" i="57" s="1"/>
  <c r="AD66" i="57" s="1"/>
  <c r="AE66" i="57" s="1"/>
  <c r="AF66" i="57" s="1"/>
  <c r="AG66" i="57" s="1"/>
  <c r="AH66" i="57" s="1"/>
  <c r="AI66" i="57" s="1"/>
  <c r="F174" i="57"/>
  <c r="G174" i="57" s="1"/>
  <c r="H174" i="57" s="1"/>
  <c r="I174" i="57" s="1"/>
  <c r="J174" i="57" s="1"/>
  <c r="K174" i="57" s="1"/>
  <c r="L174" i="57" s="1"/>
  <c r="M174" i="57" s="1"/>
  <c r="N174" i="57" s="1"/>
  <c r="O174" i="57" s="1"/>
  <c r="P174" i="57" s="1"/>
  <c r="Q174" i="57" s="1"/>
  <c r="R174" i="57" s="1"/>
  <c r="S174" i="57" s="1"/>
  <c r="T174" i="57" s="1"/>
  <c r="U174" i="57" s="1"/>
  <c r="V174" i="57" s="1"/>
  <c r="W174" i="57" s="1"/>
  <c r="X174" i="57" s="1"/>
  <c r="Y174" i="57" s="1"/>
  <c r="Z174" i="57" s="1"/>
  <c r="AA174" i="57" s="1"/>
  <c r="AB174" i="57" s="1"/>
  <c r="AC174" i="57" s="1"/>
  <c r="AD174" i="57" s="1"/>
  <c r="AE174" i="57" s="1"/>
  <c r="AF174" i="57" s="1"/>
  <c r="AG174" i="57" s="1"/>
  <c r="AH174" i="57" s="1"/>
  <c r="AI174" i="57" s="1"/>
  <c r="BJ48" i="57"/>
  <c r="BK48" i="57" s="1"/>
  <c r="BL48" i="57" s="1"/>
  <c r="BM48" i="57" s="1"/>
  <c r="BN48" i="57" s="1"/>
  <c r="BO48" i="57" s="1"/>
  <c r="BP48" i="57" s="1"/>
  <c r="BQ48" i="57" s="1"/>
  <c r="BR48" i="57" s="1"/>
  <c r="BS48" i="57" s="1"/>
  <c r="BT48" i="57" s="1"/>
  <c r="BU48" i="57" s="1"/>
  <c r="BV48" i="57" s="1"/>
  <c r="BW48" i="57" s="1"/>
  <c r="BX48" i="57" s="1"/>
  <c r="BY48" i="57" s="1"/>
  <c r="C159" i="62"/>
  <c r="T39" i="57"/>
  <c r="U39" i="57" s="1"/>
  <c r="V39" i="57" s="1"/>
  <c r="W39" i="57" s="1"/>
  <c r="X39" i="57" s="1"/>
  <c r="Y39" i="57" s="1"/>
  <c r="Z39" i="57" s="1"/>
  <c r="AA39" i="57" s="1"/>
  <c r="AB39" i="57" s="1"/>
  <c r="AC39" i="57" s="1"/>
  <c r="AD39" i="57" s="1"/>
  <c r="AE39" i="57" s="1"/>
  <c r="AF39" i="57" s="1"/>
  <c r="AG39" i="57" s="1"/>
  <c r="AH39" i="57" s="1"/>
  <c r="AI39" i="57" s="1"/>
  <c r="BJ126" i="57"/>
  <c r="BK126" i="57" s="1"/>
  <c r="BL126" i="57" s="1"/>
  <c r="BM126" i="57" s="1"/>
  <c r="BN126" i="57" s="1"/>
  <c r="BO126" i="57" s="1"/>
  <c r="BP126" i="57" s="1"/>
  <c r="BQ126" i="57" s="1"/>
  <c r="BR126" i="57" s="1"/>
  <c r="BS126" i="57" s="1"/>
  <c r="BT126" i="57" s="1"/>
  <c r="BU126" i="57" s="1"/>
  <c r="BV126" i="57" s="1"/>
  <c r="BW126" i="57" s="1"/>
  <c r="BX126" i="57" s="1"/>
  <c r="BY126" i="57" s="1"/>
  <c r="C121" i="62"/>
  <c r="BJ237" i="57"/>
  <c r="BK237" i="57" s="1"/>
  <c r="BL237" i="57" s="1"/>
  <c r="BM237" i="57" s="1"/>
  <c r="BN237" i="57" s="1"/>
  <c r="BO237" i="57" s="1"/>
  <c r="BP237" i="57" s="1"/>
  <c r="BQ237" i="57" s="1"/>
  <c r="BR237" i="57" s="1"/>
  <c r="BS237" i="57" s="1"/>
  <c r="BT237" i="57" s="1"/>
  <c r="BU237" i="57" s="1"/>
  <c r="BV237" i="57" s="1"/>
  <c r="BW237" i="57" s="1"/>
  <c r="BX237" i="57" s="1"/>
  <c r="BY237" i="57" s="1"/>
  <c r="T247" i="57"/>
  <c r="U247" i="57" s="1"/>
  <c r="V247" i="57" s="1"/>
  <c r="W247" i="57" s="1"/>
  <c r="X247" i="57" s="1"/>
  <c r="Y247" i="57" s="1"/>
  <c r="Z247" i="57" s="1"/>
  <c r="AA247" i="57" s="1"/>
  <c r="AB247" i="57" s="1"/>
  <c r="AC247" i="57" s="1"/>
  <c r="AD247" i="57" s="1"/>
  <c r="AE247" i="57" s="1"/>
  <c r="AF247" i="57" s="1"/>
  <c r="AG247" i="57" s="1"/>
  <c r="AH247" i="57" s="1"/>
  <c r="AI247" i="57" s="1"/>
  <c r="C79" i="62"/>
  <c r="T146" i="57"/>
  <c r="U146" i="57" s="1"/>
  <c r="V146" i="57" s="1"/>
  <c r="W146" i="57" s="1"/>
  <c r="X146" i="57" s="1"/>
  <c r="Y146" i="57" s="1"/>
  <c r="Z146" i="57" s="1"/>
  <c r="AA146" i="57" s="1"/>
  <c r="AB146" i="57" s="1"/>
  <c r="AC146" i="57" s="1"/>
  <c r="AD146" i="57" s="1"/>
  <c r="AE146" i="57" s="1"/>
  <c r="AF146" i="57" s="1"/>
  <c r="AG146" i="57" s="1"/>
  <c r="AH146" i="57" s="1"/>
  <c r="AI146" i="57" s="1"/>
  <c r="AJ54" i="57"/>
  <c r="AK54" i="57" s="1"/>
  <c r="AL54" i="57" s="1"/>
  <c r="AM54" i="57" s="1"/>
  <c r="AN54" i="57" s="1"/>
  <c r="AO54" i="57" s="1"/>
  <c r="AP54" i="57" s="1"/>
  <c r="AQ54" i="57" s="1"/>
  <c r="AA22" i="62"/>
  <c r="Y22" i="62"/>
  <c r="AG22" i="62"/>
  <c r="S22" i="62"/>
  <c r="Q22" i="62"/>
  <c r="K22" i="62"/>
  <c r="T105" i="57"/>
  <c r="U105" i="57" s="1"/>
  <c r="V105" i="57" s="1"/>
  <c r="W105" i="57" s="1"/>
  <c r="X105" i="57" s="1"/>
  <c r="Y105" i="57" s="1"/>
  <c r="Z105" i="57" s="1"/>
  <c r="AA105" i="57" s="1"/>
  <c r="AB105" i="57" s="1"/>
  <c r="AC105" i="57" s="1"/>
  <c r="AD105" i="57" s="1"/>
  <c r="AE105" i="57" s="1"/>
  <c r="AF105" i="57" s="1"/>
  <c r="AG105" i="57" s="1"/>
  <c r="AH105" i="57" s="1"/>
  <c r="AI105" i="57" s="1"/>
  <c r="F185" i="57"/>
  <c r="G185" i="57" s="1"/>
  <c r="H185" i="57" s="1"/>
  <c r="I185" i="57" s="1"/>
  <c r="J185" i="57" s="1"/>
  <c r="K185" i="57" s="1"/>
  <c r="L185" i="57" s="1"/>
  <c r="M185" i="57" s="1"/>
  <c r="N185" i="57" s="1"/>
  <c r="O185" i="57" s="1"/>
  <c r="P185" i="57" s="1"/>
  <c r="Q185" i="57" s="1"/>
  <c r="R185" i="57" s="1"/>
  <c r="S185" i="57" s="1"/>
  <c r="T185" i="57" s="1"/>
  <c r="U185" i="57" s="1"/>
  <c r="V185" i="57" s="1"/>
  <c r="W185" i="57" s="1"/>
  <c r="X185" i="57" s="1"/>
  <c r="Y185" i="57" s="1"/>
  <c r="Z185" i="57" s="1"/>
  <c r="AA185" i="57" s="1"/>
  <c r="AB185" i="57" s="1"/>
  <c r="AC185" i="57" s="1"/>
  <c r="AD185" i="57" s="1"/>
  <c r="AE185" i="57" s="1"/>
  <c r="AF185" i="57" s="1"/>
  <c r="AG185" i="57" s="1"/>
  <c r="AH185" i="57" s="1"/>
  <c r="AI185" i="57" s="1"/>
  <c r="F191" i="57"/>
  <c r="G191" i="57" s="1"/>
  <c r="H191" i="57" s="1"/>
  <c r="I191" i="57" s="1"/>
  <c r="J191" i="57" s="1"/>
  <c r="K191" i="57" s="1"/>
  <c r="L191" i="57" s="1"/>
  <c r="M191" i="57" s="1"/>
  <c r="N191" i="57" s="1"/>
  <c r="O191" i="57" s="1"/>
  <c r="P191" i="57" s="1"/>
  <c r="Q191" i="57" s="1"/>
  <c r="R191" i="57" s="1"/>
  <c r="S191" i="57" s="1"/>
  <c r="T191" i="57" s="1"/>
  <c r="U191" i="57" s="1"/>
  <c r="V191" i="57" s="1"/>
  <c r="W191" i="57" s="1"/>
  <c r="X191" i="57" s="1"/>
  <c r="Y191" i="57" s="1"/>
  <c r="Z191" i="57" s="1"/>
  <c r="AA191" i="57" s="1"/>
  <c r="AB191" i="57" s="1"/>
  <c r="AC191" i="57" s="1"/>
  <c r="AD191" i="57" s="1"/>
  <c r="AE191" i="57" s="1"/>
  <c r="AF191" i="57" s="1"/>
  <c r="AG191" i="57" s="1"/>
  <c r="AH191" i="57" s="1"/>
  <c r="AI191" i="57" s="1"/>
  <c r="BJ80" i="57"/>
  <c r="BK80" i="57" s="1"/>
  <c r="BL80" i="57" s="1"/>
  <c r="BM80" i="57" s="1"/>
  <c r="BN80" i="57" s="1"/>
  <c r="BO80" i="57" s="1"/>
  <c r="BP80" i="57" s="1"/>
  <c r="BQ80" i="57" s="1"/>
  <c r="BR80" i="57" s="1"/>
  <c r="BS80" i="57" s="1"/>
  <c r="BT80" i="57" s="1"/>
  <c r="BU80" i="57" s="1"/>
  <c r="BV80" i="57" s="1"/>
  <c r="BW80" i="57" s="1"/>
  <c r="BX80" i="57" s="1"/>
  <c r="BY80" i="57" s="1"/>
  <c r="AJ142" i="57"/>
  <c r="AK142" i="57" s="1"/>
  <c r="AL142" i="57" s="1"/>
  <c r="AM142" i="57" s="1"/>
  <c r="AN142" i="57" s="1"/>
  <c r="AO142" i="57" s="1"/>
  <c r="AP142" i="57" s="1"/>
  <c r="AQ142" i="57" s="1"/>
  <c r="F111" i="57"/>
  <c r="G111" i="57" s="1"/>
  <c r="H111" i="57" s="1"/>
  <c r="I111" i="57" s="1"/>
  <c r="J111" i="57" s="1"/>
  <c r="K111" i="57" s="1"/>
  <c r="L111" i="57" s="1"/>
  <c r="M111" i="57" s="1"/>
  <c r="N111" i="57" s="1"/>
  <c r="O111" i="57" s="1"/>
  <c r="P111" i="57" s="1"/>
  <c r="Q111" i="57" s="1"/>
  <c r="R111" i="57" s="1"/>
  <c r="S111" i="57" s="1"/>
  <c r="T111" i="57" s="1"/>
  <c r="U111" i="57" s="1"/>
  <c r="V111" i="57" s="1"/>
  <c r="W111" i="57" s="1"/>
  <c r="X111" i="57" s="1"/>
  <c r="Y111" i="57" s="1"/>
  <c r="Z111" i="57" s="1"/>
  <c r="AA111" i="57" s="1"/>
  <c r="AB111" i="57" s="1"/>
  <c r="AC111" i="57" s="1"/>
  <c r="AD111" i="57" s="1"/>
  <c r="AE111" i="57" s="1"/>
  <c r="AF111" i="57" s="1"/>
  <c r="AG111" i="57" s="1"/>
  <c r="AH111" i="57" s="1"/>
  <c r="AI111" i="57" s="1"/>
  <c r="T76" i="57"/>
  <c r="U76" i="57" s="1"/>
  <c r="V76" i="57" s="1"/>
  <c r="W76" i="57" s="1"/>
  <c r="X76" i="57" s="1"/>
  <c r="Y76" i="57" s="1"/>
  <c r="Z76" i="57" s="1"/>
  <c r="AA76" i="57" s="1"/>
  <c r="AB76" i="57" s="1"/>
  <c r="AC76" i="57" s="1"/>
  <c r="AD76" i="57" s="1"/>
  <c r="AE76" i="57" s="1"/>
  <c r="AF76" i="57" s="1"/>
  <c r="AG76" i="57" s="1"/>
  <c r="AH76" i="57" s="1"/>
  <c r="AI76" i="57" s="1"/>
  <c r="BZ202" i="57"/>
  <c r="CA202" i="57" s="1"/>
  <c r="CB202" i="57" s="1"/>
  <c r="CC202" i="57" s="1"/>
  <c r="CD202" i="57" s="1"/>
  <c r="CE202" i="57" s="1"/>
  <c r="CF202" i="57" s="1"/>
  <c r="CG202" i="57" s="1"/>
  <c r="AQ22" i="62"/>
  <c r="I22" i="62"/>
  <c r="BJ79" i="57"/>
  <c r="BK79" i="57" s="1"/>
  <c r="BL79" i="57" s="1"/>
  <c r="BM79" i="57" s="1"/>
  <c r="BN79" i="57" s="1"/>
  <c r="BO79" i="57" s="1"/>
  <c r="BP79" i="57" s="1"/>
  <c r="BQ79" i="57" s="1"/>
  <c r="BR79" i="57" s="1"/>
  <c r="BS79" i="57" s="1"/>
  <c r="BT79" i="57" s="1"/>
  <c r="BU79" i="57" s="1"/>
  <c r="BV79" i="57" s="1"/>
  <c r="BW79" i="57" s="1"/>
  <c r="BX79" i="57" s="1"/>
  <c r="BY79" i="57" s="1"/>
  <c r="D27" i="57"/>
  <c r="E27" i="57" s="1"/>
  <c r="F27" i="57" s="1"/>
  <c r="G27" i="57" s="1"/>
  <c r="H27" i="57" s="1"/>
  <c r="I27" i="57" s="1"/>
  <c r="J27" i="57" s="1"/>
  <c r="K27" i="57" s="1"/>
  <c r="L27" i="57" s="1"/>
  <c r="M27" i="57" s="1"/>
  <c r="N27" i="57" s="1"/>
  <c r="O27" i="57" s="1"/>
  <c r="P27" i="57" s="1"/>
  <c r="Q27" i="57" s="1"/>
  <c r="R27" i="57" s="1"/>
  <c r="S27" i="57" s="1"/>
  <c r="T27" i="57" s="1"/>
  <c r="U27" i="57" s="1"/>
  <c r="V27" i="57" s="1"/>
  <c r="W27" i="57" s="1"/>
  <c r="X27" i="57" s="1"/>
  <c r="Y27" i="57" s="1"/>
  <c r="Z27" i="57" s="1"/>
  <c r="AA27" i="57" s="1"/>
  <c r="AB27" i="57" s="1"/>
  <c r="AC27" i="57" s="1"/>
  <c r="AD27" i="57" s="1"/>
  <c r="AE27" i="57" s="1"/>
  <c r="AF27" i="57" s="1"/>
  <c r="AG27" i="57" s="1"/>
  <c r="AH27" i="57" s="1"/>
  <c r="AI27" i="57" s="1"/>
  <c r="BZ214" i="57"/>
  <c r="CA214" i="57" s="1"/>
  <c r="CB214" i="57" s="1"/>
  <c r="CC214" i="57" s="1"/>
  <c r="CD214" i="57" s="1"/>
  <c r="CE214" i="57" s="1"/>
  <c r="CF214" i="57" s="1"/>
  <c r="CG214" i="57" s="1"/>
  <c r="BZ128" i="57"/>
  <c r="CA128" i="57" s="1"/>
  <c r="CB128" i="57" s="1"/>
  <c r="CC128" i="57" s="1"/>
  <c r="CD128" i="57" s="1"/>
  <c r="CE128" i="57" s="1"/>
  <c r="CF128" i="57" s="1"/>
  <c r="CG128" i="57" s="1"/>
  <c r="CH128" i="57" s="1"/>
  <c r="BZ39" i="57"/>
  <c r="CA39" i="57" s="1"/>
  <c r="CB39" i="57" s="1"/>
  <c r="CC39" i="57" s="1"/>
  <c r="CD39" i="57" s="1"/>
  <c r="CE39" i="57" s="1"/>
  <c r="CF39" i="57" s="1"/>
  <c r="CG39" i="57" s="1"/>
  <c r="BZ160" i="57"/>
  <c r="CA160" i="57" s="1"/>
  <c r="CB160" i="57" s="1"/>
  <c r="CC160" i="57" s="1"/>
  <c r="CD160" i="57" s="1"/>
  <c r="CE160" i="57" s="1"/>
  <c r="CF160" i="57" s="1"/>
  <c r="CG160" i="57" s="1"/>
  <c r="BJ56" i="57"/>
  <c r="BK56" i="57" s="1"/>
  <c r="BL56" i="57" s="1"/>
  <c r="BM56" i="57" s="1"/>
  <c r="BN56" i="57" s="1"/>
  <c r="BO56" i="57" s="1"/>
  <c r="BP56" i="57" s="1"/>
  <c r="BQ56" i="57" s="1"/>
  <c r="BR56" i="57" s="1"/>
  <c r="BS56" i="57" s="1"/>
  <c r="BT56" i="57" s="1"/>
  <c r="BU56" i="57" s="1"/>
  <c r="BV56" i="57" s="1"/>
  <c r="BW56" i="57" s="1"/>
  <c r="BX56" i="57" s="1"/>
  <c r="BY56" i="57" s="1"/>
  <c r="BZ187" i="57"/>
  <c r="CA187" i="57" s="1"/>
  <c r="CB187" i="57" s="1"/>
  <c r="CC187" i="57" s="1"/>
  <c r="CD187" i="57" s="1"/>
  <c r="CE187" i="57" s="1"/>
  <c r="CF187" i="57" s="1"/>
  <c r="CG187" i="57" s="1"/>
  <c r="BZ156" i="57"/>
  <c r="CA156" i="57" s="1"/>
  <c r="CB156" i="57" s="1"/>
  <c r="CC156" i="57" s="1"/>
  <c r="CD156" i="57" s="1"/>
  <c r="CE156" i="57" s="1"/>
  <c r="CF156" i="57" s="1"/>
  <c r="CG156" i="57" s="1"/>
  <c r="AM22" i="62"/>
  <c r="BZ60" i="57"/>
  <c r="CA60" i="57" s="1"/>
  <c r="CB60" i="57" s="1"/>
  <c r="CC60" i="57" s="1"/>
  <c r="CD60" i="57" s="1"/>
  <c r="CE60" i="57" s="1"/>
  <c r="CF60" i="57" s="1"/>
  <c r="CG60" i="57" s="1"/>
  <c r="BJ147" i="57"/>
  <c r="BK147" i="57" s="1"/>
  <c r="BL147" i="57" s="1"/>
  <c r="BM147" i="57" s="1"/>
  <c r="BN147" i="57" s="1"/>
  <c r="BO147" i="57" s="1"/>
  <c r="BP147" i="57" s="1"/>
  <c r="BQ147" i="57" s="1"/>
  <c r="BR147" i="57" s="1"/>
  <c r="BS147" i="57" s="1"/>
  <c r="BT147" i="57" s="1"/>
  <c r="BU147" i="57" s="1"/>
  <c r="BV147" i="57" s="1"/>
  <c r="BW147" i="57" s="1"/>
  <c r="BX147" i="57" s="1"/>
  <c r="BY147" i="57" s="1"/>
  <c r="T147" i="57"/>
  <c r="U147" i="57" s="1"/>
  <c r="V147" i="57" s="1"/>
  <c r="W147" i="57" s="1"/>
  <c r="X147" i="57" s="1"/>
  <c r="Y147" i="57" s="1"/>
  <c r="Z147" i="57" s="1"/>
  <c r="AA147" i="57" s="1"/>
  <c r="AB147" i="57" s="1"/>
  <c r="AC147" i="57" s="1"/>
  <c r="AD147" i="57" s="1"/>
  <c r="AE147" i="57" s="1"/>
  <c r="AF147" i="57" s="1"/>
  <c r="AG147" i="57" s="1"/>
  <c r="AH147" i="57" s="1"/>
  <c r="AI147" i="57" s="1"/>
  <c r="BZ127" i="57"/>
  <c r="CA127" i="57" s="1"/>
  <c r="CB127" i="57" s="1"/>
  <c r="CC127" i="57" s="1"/>
  <c r="CD127" i="57" s="1"/>
  <c r="CE127" i="57" s="1"/>
  <c r="CF127" i="57" s="1"/>
  <c r="CG127" i="57" s="1"/>
  <c r="BZ76" i="57"/>
  <c r="CA76" i="57" s="1"/>
  <c r="CB76" i="57" s="1"/>
  <c r="CC76" i="57" s="1"/>
  <c r="CD76" i="57" s="1"/>
  <c r="CE76" i="57" s="1"/>
  <c r="CF76" i="57" s="1"/>
  <c r="CG76" i="57" s="1"/>
  <c r="CH163" i="57"/>
  <c r="F183" i="57"/>
  <c r="G183" i="57" s="1"/>
  <c r="H183" i="57" s="1"/>
  <c r="I183" i="57" s="1"/>
  <c r="J183" i="57" s="1"/>
  <c r="K183" i="57" s="1"/>
  <c r="L183" i="57" s="1"/>
  <c r="M183" i="57" s="1"/>
  <c r="N183" i="57" s="1"/>
  <c r="O183" i="57" s="1"/>
  <c r="P183" i="57" s="1"/>
  <c r="Q183" i="57" s="1"/>
  <c r="R183" i="57" s="1"/>
  <c r="S183" i="57" s="1"/>
  <c r="T183" i="57" s="1"/>
  <c r="U183" i="57" s="1"/>
  <c r="V183" i="57" s="1"/>
  <c r="W183" i="57" s="1"/>
  <c r="X183" i="57" s="1"/>
  <c r="Y183" i="57" s="1"/>
  <c r="Z183" i="57" s="1"/>
  <c r="AA183" i="57" s="1"/>
  <c r="AB183" i="57" s="1"/>
  <c r="AC183" i="57" s="1"/>
  <c r="AD183" i="57" s="1"/>
  <c r="AE183" i="57" s="1"/>
  <c r="AF183" i="57" s="1"/>
  <c r="AG183" i="57" s="1"/>
  <c r="AH183" i="57" s="1"/>
  <c r="AI183" i="57" s="1"/>
  <c r="AO22" i="62"/>
  <c r="AJ115" i="57"/>
  <c r="AK115" i="57" s="1"/>
  <c r="AL115" i="57" s="1"/>
  <c r="AM115" i="57" s="1"/>
  <c r="AN115" i="57" s="1"/>
  <c r="AO115" i="57" s="1"/>
  <c r="AP115" i="57" s="1"/>
  <c r="AQ115" i="57" s="1"/>
  <c r="C17" i="62"/>
  <c r="AS14" i="57"/>
  <c r="AT14" i="57" s="1"/>
  <c r="AU14" i="57" s="1"/>
  <c r="AV14" i="57" s="1"/>
  <c r="AW14" i="57" s="1"/>
  <c r="AX14" i="57" s="1"/>
  <c r="AY14" i="57" s="1"/>
  <c r="AZ14" i="57" s="1"/>
  <c r="BA14" i="57" s="1"/>
  <c r="BB14" i="57" s="1"/>
  <c r="BC14" i="57" s="1"/>
  <c r="BD14" i="57" s="1"/>
  <c r="BE14" i="57" s="1"/>
  <c r="BF14" i="57" s="1"/>
  <c r="BG14" i="57" s="1"/>
  <c r="BH14" i="57" s="1"/>
  <c r="BI14" i="57" s="1"/>
  <c r="BJ14" i="57" s="1"/>
  <c r="BK14" i="57" s="1"/>
  <c r="BL14" i="57" s="1"/>
  <c r="BM14" i="57" s="1"/>
  <c r="BN14" i="57" s="1"/>
  <c r="BO14" i="57" s="1"/>
  <c r="BP14" i="57" s="1"/>
  <c r="BQ14" i="57" s="1"/>
  <c r="BR14" i="57" s="1"/>
  <c r="BS14" i="57" s="1"/>
  <c r="BT14" i="57" s="1"/>
  <c r="BU14" i="57" s="1"/>
  <c r="BV14" i="57" s="1"/>
  <c r="BW14" i="57" s="1"/>
  <c r="BX14" i="57" s="1"/>
  <c r="BY14" i="57" s="1"/>
  <c r="BZ178" i="57"/>
  <c r="CA178" i="57" s="1"/>
  <c r="CB178" i="57" s="1"/>
  <c r="CC178" i="57" s="1"/>
  <c r="CD178" i="57" s="1"/>
  <c r="CE178" i="57" s="1"/>
  <c r="CF178" i="57" s="1"/>
  <c r="CG178" i="57" s="1"/>
  <c r="D23" i="57"/>
  <c r="E23" i="57" s="1"/>
  <c r="F23" i="57" s="1"/>
  <c r="G23" i="57" s="1"/>
  <c r="H23" i="57" s="1"/>
  <c r="I23" i="57" s="1"/>
  <c r="J23" i="57" s="1"/>
  <c r="K23" i="57" s="1"/>
  <c r="L23" i="57" s="1"/>
  <c r="M23" i="57" s="1"/>
  <c r="N23" i="57" s="1"/>
  <c r="O23" i="57" s="1"/>
  <c r="P23" i="57" s="1"/>
  <c r="Q23" i="57" s="1"/>
  <c r="R23" i="57" s="1"/>
  <c r="S23" i="57" s="1"/>
  <c r="T23" i="57" s="1"/>
  <c r="U23" i="57" s="1"/>
  <c r="V23" i="57" s="1"/>
  <c r="W23" i="57" s="1"/>
  <c r="X23" i="57" s="1"/>
  <c r="Y23" i="57" s="1"/>
  <c r="Z23" i="57" s="1"/>
  <c r="AA23" i="57" s="1"/>
  <c r="AB23" i="57" s="1"/>
  <c r="AC23" i="57" s="1"/>
  <c r="AD23" i="57" s="1"/>
  <c r="AE23" i="57" s="1"/>
  <c r="AF23" i="57" s="1"/>
  <c r="AG23" i="57" s="1"/>
  <c r="AH23" i="57" s="1"/>
  <c r="AI23" i="57" s="1"/>
  <c r="C131" i="62"/>
  <c r="BJ49" i="57"/>
  <c r="BK49" i="57" s="1"/>
  <c r="BL49" i="57" s="1"/>
  <c r="BM49" i="57" s="1"/>
  <c r="BN49" i="57" s="1"/>
  <c r="BO49" i="57" s="1"/>
  <c r="BP49" i="57" s="1"/>
  <c r="BQ49" i="57" s="1"/>
  <c r="BR49" i="57" s="1"/>
  <c r="BS49" i="57" s="1"/>
  <c r="BT49" i="57" s="1"/>
  <c r="BU49" i="57" s="1"/>
  <c r="BV49" i="57" s="1"/>
  <c r="BW49" i="57" s="1"/>
  <c r="BX49" i="57" s="1"/>
  <c r="BY49" i="57" s="1"/>
  <c r="BZ192" i="57"/>
  <c r="CA192" i="57" s="1"/>
  <c r="CB192" i="57" s="1"/>
  <c r="CC192" i="57" s="1"/>
  <c r="CD192" i="57" s="1"/>
  <c r="CE192" i="57" s="1"/>
  <c r="CF192" i="57" s="1"/>
  <c r="CG192" i="57" s="1"/>
  <c r="C181" i="62"/>
  <c r="D67" i="57"/>
  <c r="E67" i="57" s="1"/>
  <c r="F67" i="57" s="1"/>
  <c r="G67" i="57" s="1"/>
  <c r="H67" i="57" s="1"/>
  <c r="I67" i="57" s="1"/>
  <c r="J67" i="57" s="1"/>
  <c r="K67" i="57" s="1"/>
  <c r="L67" i="57" s="1"/>
  <c r="M67" i="57" s="1"/>
  <c r="N67" i="57" s="1"/>
  <c r="O67" i="57" s="1"/>
  <c r="P67" i="57" s="1"/>
  <c r="Q67" i="57" s="1"/>
  <c r="R67" i="57" s="1"/>
  <c r="S67" i="57" s="1"/>
  <c r="T67" i="57" s="1"/>
  <c r="U67" i="57" s="1"/>
  <c r="V67" i="57" s="1"/>
  <c r="W67" i="57" s="1"/>
  <c r="X67" i="57" s="1"/>
  <c r="Y67" i="57" s="1"/>
  <c r="Z67" i="57" s="1"/>
  <c r="AA67" i="57" s="1"/>
  <c r="AB67" i="57" s="1"/>
  <c r="AC67" i="57" s="1"/>
  <c r="AD67" i="57" s="1"/>
  <c r="AE67" i="57" s="1"/>
  <c r="AF67" i="57" s="1"/>
  <c r="AG67" i="57" s="1"/>
  <c r="AH67" i="57" s="1"/>
  <c r="AI67" i="57" s="1"/>
  <c r="BJ204" i="57"/>
  <c r="BK204" i="57" s="1"/>
  <c r="BL204" i="57" s="1"/>
  <c r="BM204" i="57" s="1"/>
  <c r="BN204" i="57" s="1"/>
  <c r="BO204" i="57" s="1"/>
  <c r="BP204" i="57" s="1"/>
  <c r="BQ204" i="57" s="1"/>
  <c r="BR204" i="57" s="1"/>
  <c r="BS204" i="57" s="1"/>
  <c r="BT204" i="57" s="1"/>
  <c r="BU204" i="57" s="1"/>
  <c r="BV204" i="57" s="1"/>
  <c r="BW204" i="57" s="1"/>
  <c r="BX204" i="57" s="1"/>
  <c r="BY204" i="57" s="1"/>
  <c r="BZ253" i="57"/>
  <c r="CA253" i="57" s="1"/>
  <c r="CB253" i="57" s="1"/>
  <c r="CC253" i="57" s="1"/>
  <c r="CD253" i="57" s="1"/>
  <c r="CE253" i="57" s="1"/>
  <c r="CF253" i="57" s="1"/>
  <c r="CG253" i="57" s="1"/>
  <c r="T210" i="57"/>
  <c r="U210" i="57" s="1"/>
  <c r="V210" i="57" s="1"/>
  <c r="W210" i="57" s="1"/>
  <c r="X210" i="57" s="1"/>
  <c r="Y210" i="57" s="1"/>
  <c r="Z210" i="57" s="1"/>
  <c r="AA210" i="57" s="1"/>
  <c r="AB210" i="57" s="1"/>
  <c r="AC210" i="57" s="1"/>
  <c r="AD210" i="57" s="1"/>
  <c r="AE210" i="57" s="1"/>
  <c r="AF210" i="57" s="1"/>
  <c r="AG210" i="57" s="1"/>
  <c r="AH210" i="57" s="1"/>
  <c r="AI210" i="57" s="1"/>
  <c r="D85" i="57"/>
  <c r="E85" i="57" s="1"/>
  <c r="F85" i="57" s="1"/>
  <c r="G85" i="57" s="1"/>
  <c r="H85" i="57" s="1"/>
  <c r="I85" i="57" s="1"/>
  <c r="J85" i="57" s="1"/>
  <c r="K85" i="57" s="1"/>
  <c r="L85" i="57" s="1"/>
  <c r="M85" i="57" s="1"/>
  <c r="N85" i="57" s="1"/>
  <c r="O85" i="57" s="1"/>
  <c r="P85" i="57" s="1"/>
  <c r="Q85" i="57" s="1"/>
  <c r="R85" i="57" s="1"/>
  <c r="S85" i="57" s="1"/>
  <c r="T85" i="57" s="1"/>
  <c r="U85" i="57" s="1"/>
  <c r="V85" i="57" s="1"/>
  <c r="W85" i="57" s="1"/>
  <c r="X85" i="57" s="1"/>
  <c r="Y85" i="57" s="1"/>
  <c r="Z85" i="57" s="1"/>
  <c r="AA85" i="57" s="1"/>
  <c r="AB85" i="57" s="1"/>
  <c r="AC85" i="57" s="1"/>
  <c r="AD85" i="57" s="1"/>
  <c r="AE85" i="57" s="1"/>
  <c r="AF85" i="57" s="1"/>
  <c r="AG85" i="57" s="1"/>
  <c r="AH85" i="57" s="1"/>
  <c r="AI85" i="57" s="1"/>
  <c r="BZ133" i="57"/>
  <c r="CA133" i="57" s="1"/>
  <c r="CB133" i="57" s="1"/>
  <c r="CC133" i="57" s="1"/>
  <c r="CD133" i="57" s="1"/>
  <c r="CE133" i="57" s="1"/>
  <c r="CF133" i="57" s="1"/>
  <c r="CG133" i="57" s="1"/>
  <c r="BZ148" i="57"/>
  <c r="CA148" i="57" s="1"/>
  <c r="CB148" i="57" s="1"/>
  <c r="CC148" i="57" s="1"/>
  <c r="CD148" i="57" s="1"/>
  <c r="CE148" i="57" s="1"/>
  <c r="CF148" i="57" s="1"/>
  <c r="CG148" i="57" s="1"/>
  <c r="AJ251" i="57"/>
  <c r="AK251" i="57" s="1"/>
  <c r="AL251" i="57" s="1"/>
  <c r="AM251" i="57" s="1"/>
  <c r="AN251" i="57" s="1"/>
  <c r="AO251" i="57" s="1"/>
  <c r="AP251" i="57" s="1"/>
  <c r="AQ251" i="57" s="1"/>
  <c r="T160" i="57"/>
  <c r="U160" i="57" s="1"/>
  <c r="V160" i="57" s="1"/>
  <c r="W160" i="57" s="1"/>
  <c r="X160" i="57" s="1"/>
  <c r="Y160" i="57" s="1"/>
  <c r="Z160" i="57" s="1"/>
  <c r="AA160" i="57" s="1"/>
  <c r="AB160" i="57" s="1"/>
  <c r="AC160" i="57" s="1"/>
  <c r="AD160" i="57" s="1"/>
  <c r="AE160" i="57" s="1"/>
  <c r="AF160" i="57" s="1"/>
  <c r="AG160" i="57" s="1"/>
  <c r="AH160" i="57" s="1"/>
  <c r="AI160" i="57" s="1"/>
  <c r="AJ95" i="57"/>
  <c r="AK95" i="57" s="1"/>
  <c r="AL95" i="57" s="1"/>
  <c r="AM95" i="57" s="1"/>
  <c r="AN95" i="57" s="1"/>
  <c r="AO95" i="57" s="1"/>
  <c r="AP95" i="57" s="1"/>
  <c r="AQ95" i="57" s="1"/>
  <c r="D14" i="57"/>
  <c r="E14" i="57" s="1"/>
  <c r="F14" i="57" s="1"/>
  <c r="G14" i="57" s="1"/>
  <c r="H14" i="57" s="1"/>
  <c r="I14" i="57" s="1"/>
  <c r="J14" i="57" s="1"/>
  <c r="K14" i="57" s="1"/>
  <c r="L14" i="57" s="1"/>
  <c r="M14" i="57" s="1"/>
  <c r="N14" i="57" s="1"/>
  <c r="O14" i="57" s="1"/>
  <c r="P14" i="57" s="1"/>
  <c r="Q14" i="57" s="1"/>
  <c r="R14" i="57" s="1"/>
  <c r="S14" i="57" s="1"/>
  <c r="T14" i="57" s="1"/>
  <c r="U14" i="57" s="1"/>
  <c r="V14" i="57" s="1"/>
  <c r="W14" i="57" s="1"/>
  <c r="X14" i="57" s="1"/>
  <c r="Y14" i="57" s="1"/>
  <c r="Z14" i="57" s="1"/>
  <c r="AA14" i="57" s="1"/>
  <c r="AB14" i="57" s="1"/>
  <c r="AC14" i="57" s="1"/>
  <c r="AD14" i="57" s="1"/>
  <c r="AE14" i="57" s="1"/>
  <c r="AF14" i="57" s="1"/>
  <c r="AG14" i="57" s="1"/>
  <c r="AH14" i="57" s="1"/>
  <c r="AI14" i="57" s="1"/>
  <c r="T206" i="57"/>
  <c r="U206" i="57" s="1"/>
  <c r="V206" i="57" s="1"/>
  <c r="W206" i="57" s="1"/>
  <c r="X206" i="57" s="1"/>
  <c r="Y206" i="57" s="1"/>
  <c r="Z206" i="57" s="1"/>
  <c r="AA206" i="57" s="1"/>
  <c r="AB206" i="57" s="1"/>
  <c r="AC206" i="57" s="1"/>
  <c r="AD206" i="57" s="1"/>
  <c r="AE206" i="57" s="1"/>
  <c r="AF206" i="57" s="1"/>
  <c r="AG206" i="57" s="1"/>
  <c r="AH206" i="57" s="1"/>
  <c r="AI206" i="57" s="1"/>
  <c r="BJ206" i="57"/>
  <c r="BK206" i="57" s="1"/>
  <c r="BL206" i="57" s="1"/>
  <c r="BM206" i="57" s="1"/>
  <c r="BN206" i="57" s="1"/>
  <c r="BO206" i="57" s="1"/>
  <c r="BP206" i="57" s="1"/>
  <c r="BQ206" i="57" s="1"/>
  <c r="BR206" i="57" s="1"/>
  <c r="BS206" i="57" s="1"/>
  <c r="BT206" i="57" s="1"/>
  <c r="BU206" i="57" s="1"/>
  <c r="BV206" i="57" s="1"/>
  <c r="BW206" i="57" s="1"/>
  <c r="BX206" i="57" s="1"/>
  <c r="BY206" i="57" s="1"/>
  <c r="BZ206" i="57" s="1"/>
  <c r="CA206" i="57" s="1"/>
  <c r="CB206" i="57" s="1"/>
  <c r="CC206" i="57" s="1"/>
  <c r="CD206" i="57" s="1"/>
  <c r="CE206" i="57" s="1"/>
  <c r="CF206" i="57" s="1"/>
  <c r="CG206" i="57" s="1"/>
  <c r="F192" i="57"/>
  <c r="G192" i="57" s="1"/>
  <c r="H192" i="57" s="1"/>
  <c r="I192" i="57" s="1"/>
  <c r="J192" i="57" s="1"/>
  <c r="K192" i="57" s="1"/>
  <c r="L192" i="57" s="1"/>
  <c r="M192" i="57" s="1"/>
  <c r="N192" i="57" s="1"/>
  <c r="O192" i="57" s="1"/>
  <c r="P192" i="57" s="1"/>
  <c r="Q192" i="57" s="1"/>
  <c r="R192" i="57" s="1"/>
  <c r="S192" i="57" s="1"/>
  <c r="T192" i="57" s="1"/>
  <c r="U192" i="57" s="1"/>
  <c r="V192" i="57" s="1"/>
  <c r="W192" i="57" s="1"/>
  <c r="X192" i="57" s="1"/>
  <c r="Y192" i="57" s="1"/>
  <c r="Z192" i="57" s="1"/>
  <c r="AA192" i="57" s="1"/>
  <c r="AB192" i="57" s="1"/>
  <c r="AC192" i="57" s="1"/>
  <c r="AD192" i="57" s="1"/>
  <c r="AE192" i="57" s="1"/>
  <c r="AF192" i="57" s="1"/>
  <c r="AG192" i="57" s="1"/>
  <c r="AH192" i="57" s="1"/>
  <c r="AI192" i="57" s="1"/>
  <c r="BJ155" i="57"/>
  <c r="BK155" i="57" s="1"/>
  <c r="BL155" i="57" s="1"/>
  <c r="BM155" i="57" s="1"/>
  <c r="BN155" i="57" s="1"/>
  <c r="BO155" i="57" s="1"/>
  <c r="BP155" i="57" s="1"/>
  <c r="BQ155" i="57" s="1"/>
  <c r="BR155" i="57" s="1"/>
  <c r="BS155" i="57" s="1"/>
  <c r="BT155" i="57" s="1"/>
  <c r="BU155" i="57" s="1"/>
  <c r="BV155" i="57" s="1"/>
  <c r="BW155" i="57" s="1"/>
  <c r="BX155" i="57" s="1"/>
  <c r="BY155" i="57" s="1"/>
  <c r="D75" i="57"/>
  <c r="E75" i="57" s="1"/>
  <c r="F75" i="57" s="1"/>
  <c r="G75" i="57" s="1"/>
  <c r="H75" i="57" s="1"/>
  <c r="I75" i="57" s="1"/>
  <c r="J75" i="57" s="1"/>
  <c r="K75" i="57" s="1"/>
  <c r="L75" i="57" s="1"/>
  <c r="M75" i="57" s="1"/>
  <c r="N75" i="57" s="1"/>
  <c r="O75" i="57" s="1"/>
  <c r="P75" i="57" s="1"/>
  <c r="Q75" i="57" s="1"/>
  <c r="R75" i="57" s="1"/>
  <c r="S75" i="57" s="1"/>
  <c r="T75" i="57" s="1"/>
  <c r="U75" i="57" s="1"/>
  <c r="V75" i="57" s="1"/>
  <c r="W75" i="57" s="1"/>
  <c r="X75" i="57" s="1"/>
  <c r="Y75" i="57" s="1"/>
  <c r="Z75" i="57" s="1"/>
  <c r="AA75" i="57" s="1"/>
  <c r="AB75" i="57" s="1"/>
  <c r="AC75" i="57" s="1"/>
  <c r="AD75" i="57" s="1"/>
  <c r="AE75" i="57" s="1"/>
  <c r="AF75" i="57" s="1"/>
  <c r="AG75" i="57" s="1"/>
  <c r="AH75" i="57" s="1"/>
  <c r="AI75" i="57" s="1"/>
  <c r="BZ110" i="57"/>
  <c r="CA110" i="57" s="1"/>
  <c r="CB110" i="57" s="1"/>
  <c r="CC110" i="57" s="1"/>
  <c r="CD110" i="57" s="1"/>
  <c r="CE110" i="57" s="1"/>
  <c r="CF110" i="57" s="1"/>
  <c r="CG110" i="57" s="1"/>
  <c r="T140" i="57"/>
  <c r="U140" i="57" s="1"/>
  <c r="V140" i="57" s="1"/>
  <c r="W140" i="57" s="1"/>
  <c r="X140" i="57" s="1"/>
  <c r="Y140" i="57" s="1"/>
  <c r="Z140" i="57" s="1"/>
  <c r="AA140" i="57" s="1"/>
  <c r="AB140" i="57" s="1"/>
  <c r="AC140" i="57" s="1"/>
  <c r="AD140" i="57" s="1"/>
  <c r="AE140" i="57" s="1"/>
  <c r="AF140" i="57" s="1"/>
  <c r="AG140" i="57" s="1"/>
  <c r="AH140" i="57" s="1"/>
  <c r="AI140" i="57" s="1"/>
  <c r="T8" i="57"/>
  <c r="U8" i="57" s="1"/>
  <c r="V8" i="57" s="1"/>
  <c r="W8" i="57" s="1"/>
  <c r="X8" i="57" s="1"/>
  <c r="Y8" i="57" s="1"/>
  <c r="Z8" i="57" s="1"/>
  <c r="AA8" i="57" s="1"/>
  <c r="AB8" i="57" s="1"/>
  <c r="AC8" i="57" s="1"/>
  <c r="AD8" i="57" s="1"/>
  <c r="AE8" i="57" s="1"/>
  <c r="AF8" i="57" s="1"/>
  <c r="AG8" i="57" s="1"/>
  <c r="AH8" i="57" s="1"/>
  <c r="AI8" i="57" s="1"/>
  <c r="AJ226" i="57"/>
  <c r="AK226" i="57" s="1"/>
  <c r="AL226" i="57" s="1"/>
  <c r="AM226" i="57" s="1"/>
  <c r="AN226" i="57" s="1"/>
  <c r="AO226" i="57" s="1"/>
  <c r="AP226" i="57" s="1"/>
  <c r="AQ226" i="57" s="1"/>
  <c r="BJ50" i="57"/>
  <c r="BK50" i="57" s="1"/>
  <c r="BL50" i="57" s="1"/>
  <c r="BM50" i="57" s="1"/>
  <c r="BN50" i="57" s="1"/>
  <c r="BO50" i="57" s="1"/>
  <c r="BP50" i="57" s="1"/>
  <c r="BQ50" i="57" s="1"/>
  <c r="BR50" i="57" s="1"/>
  <c r="BS50" i="57" s="1"/>
  <c r="BT50" i="57" s="1"/>
  <c r="BU50" i="57" s="1"/>
  <c r="BV50" i="57" s="1"/>
  <c r="BW50" i="57" s="1"/>
  <c r="BX50" i="57" s="1"/>
  <c r="BY50" i="57" s="1"/>
  <c r="C179" i="62"/>
  <c r="T245" i="57"/>
  <c r="U245" i="57" s="1"/>
  <c r="V245" i="57" s="1"/>
  <c r="W245" i="57" s="1"/>
  <c r="X245" i="57" s="1"/>
  <c r="Y245" i="57" s="1"/>
  <c r="Z245" i="57" s="1"/>
  <c r="AA245" i="57" s="1"/>
  <c r="AB245" i="57" s="1"/>
  <c r="AC245" i="57" s="1"/>
  <c r="AD245" i="57" s="1"/>
  <c r="AE245" i="57" s="1"/>
  <c r="AF245" i="57" s="1"/>
  <c r="AG245" i="57" s="1"/>
  <c r="AH245" i="57" s="1"/>
  <c r="AI245" i="57" s="1"/>
  <c r="BZ94" i="57"/>
  <c r="CA94" i="57" s="1"/>
  <c r="CB94" i="57" s="1"/>
  <c r="CC94" i="57" s="1"/>
  <c r="CD94" i="57" s="1"/>
  <c r="CE94" i="57" s="1"/>
  <c r="CF94" i="57" s="1"/>
  <c r="CG94" i="57" s="1"/>
  <c r="D80" i="57"/>
  <c r="E80" i="57" s="1"/>
  <c r="F80" i="57" s="1"/>
  <c r="G80" i="57" s="1"/>
  <c r="H80" i="57" s="1"/>
  <c r="I80" i="57" s="1"/>
  <c r="J80" i="57" s="1"/>
  <c r="K80" i="57" s="1"/>
  <c r="L80" i="57" s="1"/>
  <c r="M80" i="57" s="1"/>
  <c r="N80" i="57" s="1"/>
  <c r="O80" i="57" s="1"/>
  <c r="P80" i="57" s="1"/>
  <c r="Q80" i="57" s="1"/>
  <c r="R80" i="57" s="1"/>
  <c r="S80" i="57" s="1"/>
  <c r="T80" i="57" s="1"/>
  <c r="U80" i="57" s="1"/>
  <c r="V80" i="57" s="1"/>
  <c r="W80" i="57" s="1"/>
  <c r="X80" i="57" s="1"/>
  <c r="Y80" i="57" s="1"/>
  <c r="Z80" i="57" s="1"/>
  <c r="AA80" i="57" s="1"/>
  <c r="AB80" i="57" s="1"/>
  <c r="AC80" i="57" s="1"/>
  <c r="AD80" i="57" s="1"/>
  <c r="AE80" i="57" s="1"/>
  <c r="AF80" i="57" s="1"/>
  <c r="AG80" i="57" s="1"/>
  <c r="AH80" i="57" s="1"/>
  <c r="AI80" i="57" s="1"/>
  <c r="AJ152" i="57"/>
  <c r="AK152" i="57" s="1"/>
  <c r="AL152" i="57" s="1"/>
  <c r="AM152" i="57" s="1"/>
  <c r="AN152" i="57" s="1"/>
  <c r="AO152" i="57" s="1"/>
  <c r="AP152" i="57" s="1"/>
  <c r="AQ152" i="57" s="1"/>
  <c r="D84" i="57"/>
  <c r="E84" i="57" s="1"/>
  <c r="F84" i="57" s="1"/>
  <c r="G84" i="57" s="1"/>
  <c r="H84" i="57" s="1"/>
  <c r="I84" i="57" s="1"/>
  <c r="J84" i="57" s="1"/>
  <c r="K84" i="57" s="1"/>
  <c r="L84" i="57" s="1"/>
  <c r="M84" i="57" s="1"/>
  <c r="N84" i="57" s="1"/>
  <c r="O84" i="57" s="1"/>
  <c r="P84" i="57" s="1"/>
  <c r="Q84" i="57" s="1"/>
  <c r="R84" i="57" s="1"/>
  <c r="S84" i="57" s="1"/>
  <c r="T84" i="57" s="1"/>
  <c r="U84" i="57" s="1"/>
  <c r="V84" i="57" s="1"/>
  <c r="W84" i="57" s="1"/>
  <c r="X84" i="57" s="1"/>
  <c r="Y84" i="57" s="1"/>
  <c r="Z84" i="57" s="1"/>
  <c r="AA84" i="57" s="1"/>
  <c r="AB84" i="57" s="1"/>
  <c r="AC84" i="57" s="1"/>
  <c r="AD84" i="57" s="1"/>
  <c r="AE84" i="57" s="1"/>
  <c r="AF84" i="57" s="1"/>
  <c r="AG84" i="57" s="1"/>
  <c r="AH84" i="57" s="1"/>
  <c r="AI84" i="57" s="1"/>
  <c r="D58" i="57"/>
  <c r="E58" i="57" s="1"/>
  <c r="F58" i="57" s="1"/>
  <c r="G58" i="57" s="1"/>
  <c r="H58" i="57" s="1"/>
  <c r="I58" i="57" s="1"/>
  <c r="J58" i="57" s="1"/>
  <c r="K58" i="57" s="1"/>
  <c r="L58" i="57" s="1"/>
  <c r="M58" i="57" s="1"/>
  <c r="N58" i="57" s="1"/>
  <c r="O58" i="57" s="1"/>
  <c r="P58" i="57" s="1"/>
  <c r="Q58" i="57" s="1"/>
  <c r="R58" i="57" s="1"/>
  <c r="S58" i="57" s="1"/>
  <c r="T58" i="57" s="1"/>
  <c r="U58" i="57" s="1"/>
  <c r="V58" i="57" s="1"/>
  <c r="W58" i="57" s="1"/>
  <c r="X58" i="57" s="1"/>
  <c r="Y58" i="57" s="1"/>
  <c r="Z58" i="57" s="1"/>
  <c r="AA58" i="57" s="1"/>
  <c r="AB58" i="57" s="1"/>
  <c r="AC58" i="57" s="1"/>
  <c r="AD58" i="57" s="1"/>
  <c r="AE58" i="57" s="1"/>
  <c r="AF58" i="57" s="1"/>
  <c r="AG58" i="57" s="1"/>
  <c r="AH58" i="57" s="1"/>
  <c r="AI58" i="57" s="1"/>
  <c r="BZ220" i="57"/>
  <c r="CA220" i="57" s="1"/>
  <c r="CB220" i="57" s="1"/>
  <c r="CC220" i="57" s="1"/>
  <c r="CD220" i="57" s="1"/>
  <c r="CE220" i="57" s="1"/>
  <c r="CF220" i="57" s="1"/>
  <c r="CG220" i="57" s="1"/>
  <c r="BR101" i="57"/>
  <c r="BS101" i="57" s="1"/>
  <c r="BT101" i="57" s="1"/>
  <c r="BU101" i="57" s="1"/>
  <c r="BV101" i="57" s="1"/>
  <c r="BW101" i="57" s="1"/>
  <c r="BX101" i="57" s="1"/>
  <c r="BY101" i="57" s="1"/>
  <c r="BJ162" i="57"/>
  <c r="BK162" i="57" s="1"/>
  <c r="BL162" i="57" s="1"/>
  <c r="BM162" i="57" s="1"/>
  <c r="BN162" i="57" s="1"/>
  <c r="BO162" i="57" s="1"/>
  <c r="BP162" i="57" s="1"/>
  <c r="BQ162" i="57" s="1"/>
  <c r="BR162" i="57" s="1"/>
  <c r="BS162" i="57" s="1"/>
  <c r="BT162" i="57" s="1"/>
  <c r="BU162" i="57" s="1"/>
  <c r="BV162" i="57" s="1"/>
  <c r="BW162" i="57" s="1"/>
  <c r="BX162" i="57" s="1"/>
  <c r="BY162" i="57" s="1"/>
  <c r="BZ158" i="57"/>
  <c r="CA158" i="57" s="1"/>
  <c r="CB158" i="57" s="1"/>
  <c r="CC158" i="57" s="1"/>
  <c r="CD158" i="57" s="1"/>
  <c r="CE158" i="57" s="1"/>
  <c r="CF158" i="57" s="1"/>
  <c r="CG158" i="57" s="1"/>
  <c r="BJ169" i="57"/>
  <c r="BK169" i="57" s="1"/>
  <c r="BL169" i="57" s="1"/>
  <c r="BM169" i="57" s="1"/>
  <c r="BN169" i="57" s="1"/>
  <c r="BO169" i="57" s="1"/>
  <c r="BP169" i="57" s="1"/>
  <c r="BQ169" i="57" s="1"/>
  <c r="BR169" i="57" s="1"/>
  <c r="BS169" i="57" s="1"/>
  <c r="BT169" i="57" s="1"/>
  <c r="BU169" i="57" s="1"/>
  <c r="BV169" i="57" s="1"/>
  <c r="BW169" i="57" s="1"/>
  <c r="BX169" i="57" s="1"/>
  <c r="BY169" i="57" s="1"/>
  <c r="D30" i="57"/>
  <c r="E30" i="57" s="1"/>
  <c r="F30" i="57" s="1"/>
  <c r="G30" i="57" s="1"/>
  <c r="H30" i="57" s="1"/>
  <c r="I30" i="57" s="1"/>
  <c r="J30" i="57" s="1"/>
  <c r="K30" i="57" s="1"/>
  <c r="L30" i="57" s="1"/>
  <c r="M30" i="57" s="1"/>
  <c r="N30" i="57" s="1"/>
  <c r="O30" i="57" s="1"/>
  <c r="P30" i="57" s="1"/>
  <c r="Q30" i="57" s="1"/>
  <c r="R30" i="57" s="1"/>
  <c r="S30" i="57" s="1"/>
  <c r="T30" i="57" s="1"/>
  <c r="U30" i="57" s="1"/>
  <c r="V30" i="57" s="1"/>
  <c r="W30" i="57" s="1"/>
  <c r="X30" i="57" s="1"/>
  <c r="Y30" i="57" s="1"/>
  <c r="Z30" i="57" s="1"/>
  <c r="AA30" i="57" s="1"/>
  <c r="AB30" i="57" s="1"/>
  <c r="AC30" i="57" s="1"/>
  <c r="AD30" i="57" s="1"/>
  <c r="AE30" i="57" s="1"/>
  <c r="AF30" i="57" s="1"/>
  <c r="AG30" i="57" s="1"/>
  <c r="AH30" i="57" s="1"/>
  <c r="AI30" i="57" s="1"/>
  <c r="C153" i="62"/>
  <c r="C113" i="62"/>
  <c r="F221" i="57"/>
  <c r="G221" i="57" s="1"/>
  <c r="H221" i="57" s="1"/>
  <c r="I221" i="57" s="1"/>
  <c r="J221" i="57" s="1"/>
  <c r="K221" i="57" s="1"/>
  <c r="L221" i="57" s="1"/>
  <c r="M221" i="57" s="1"/>
  <c r="N221" i="57" s="1"/>
  <c r="O221" i="57" s="1"/>
  <c r="P221" i="57" s="1"/>
  <c r="Q221" i="57" s="1"/>
  <c r="R221" i="57" s="1"/>
  <c r="S221" i="57" s="1"/>
  <c r="T221" i="57" s="1"/>
  <c r="U221" i="57" s="1"/>
  <c r="V221" i="57" s="1"/>
  <c r="W221" i="57" s="1"/>
  <c r="X221" i="57" s="1"/>
  <c r="Y221" i="57" s="1"/>
  <c r="Z221" i="57" s="1"/>
  <c r="AA221" i="57" s="1"/>
  <c r="AB221" i="57" s="1"/>
  <c r="AC221" i="57" s="1"/>
  <c r="AD221" i="57" s="1"/>
  <c r="AE221" i="57" s="1"/>
  <c r="AF221" i="57" s="1"/>
  <c r="AG221" i="57" s="1"/>
  <c r="AH221" i="57" s="1"/>
  <c r="AI221" i="57" s="1"/>
  <c r="BZ226" i="57"/>
  <c r="CA226" i="57" s="1"/>
  <c r="CB226" i="57" s="1"/>
  <c r="CC226" i="57" s="1"/>
  <c r="CD226" i="57" s="1"/>
  <c r="CE226" i="57" s="1"/>
  <c r="CF226" i="57" s="1"/>
  <c r="CG226" i="57" s="1"/>
  <c r="T123" i="57"/>
  <c r="U123" i="57" s="1"/>
  <c r="V123" i="57" s="1"/>
  <c r="W123" i="57" s="1"/>
  <c r="X123" i="57" s="1"/>
  <c r="Y123" i="57" s="1"/>
  <c r="Z123" i="57" s="1"/>
  <c r="AA123" i="57" s="1"/>
  <c r="AB123" i="57" s="1"/>
  <c r="AC123" i="57" s="1"/>
  <c r="AD123" i="57" s="1"/>
  <c r="AE123" i="57" s="1"/>
  <c r="AF123" i="57" s="1"/>
  <c r="AG123" i="57" s="1"/>
  <c r="AH123" i="57" s="1"/>
  <c r="AI123" i="57" s="1"/>
  <c r="BJ92" i="57"/>
  <c r="BK92" i="57" s="1"/>
  <c r="BL92" i="57" s="1"/>
  <c r="BM92" i="57" s="1"/>
  <c r="BN92" i="57" s="1"/>
  <c r="BO92" i="57" s="1"/>
  <c r="BP92" i="57" s="1"/>
  <c r="BQ92" i="57" s="1"/>
  <c r="BR92" i="57" s="1"/>
  <c r="BS92" i="57" s="1"/>
  <c r="BT92" i="57" s="1"/>
  <c r="BU92" i="57" s="1"/>
  <c r="BV92" i="57" s="1"/>
  <c r="BW92" i="57" s="1"/>
  <c r="BX92" i="57" s="1"/>
  <c r="BY92" i="57" s="1"/>
  <c r="AJ243" i="57"/>
  <c r="AK243" i="57" s="1"/>
  <c r="AL243" i="57" s="1"/>
  <c r="AM243" i="57" s="1"/>
  <c r="AN243" i="57" s="1"/>
  <c r="AO243" i="57" s="1"/>
  <c r="AP243" i="57" s="1"/>
  <c r="AQ243" i="57" s="1"/>
  <c r="BZ52" i="57"/>
  <c r="CA52" i="57" s="1"/>
  <c r="CB52" i="57" s="1"/>
  <c r="CC52" i="57" s="1"/>
  <c r="CD52" i="57" s="1"/>
  <c r="CE52" i="57" s="1"/>
  <c r="CF52" i="57" s="1"/>
  <c r="CG52" i="57" s="1"/>
  <c r="T187" i="57"/>
  <c r="U187" i="57" s="1"/>
  <c r="V187" i="57" s="1"/>
  <c r="W187" i="57" s="1"/>
  <c r="X187" i="57" s="1"/>
  <c r="Y187" i="57" s="1"/>
  <c r="Z187" i="57" s="1"/>
  <c r="AA187" i="57" s="1"/>
  <c r="AB187" i="57" s="1"/>
  <c r="AC187" i="57" s="1"/>
  <c r="AD187" i="57" s="1"/>
  <c r="AE187" i="57" s="1"/>
  <c r="AF187" i="57" s="1"/>
  <c r="AG187" i="57" s="1"/>
  <c r="AH187" i="57" s="1"/>
  <c r="AI187" i="57" s="1"/>
  <c r="M22" i="62"/>
  <c r="C101" i="62"/>
  <c r="AJ37" i="57"/>
  <c r="AK37" i="57" s="1"/>
  <c r="AL37" i="57" s="1"/>
  <c r="AM37" i="57" s="1"/>
  <c r="AN37" i="57" s="1"/>
  <c r="AO37" i="57" s="1"/>
  <c r="AP37" i="57" s="1"/>
  <c r="AQ37" i="57" s="1"/>
  <c r="BZ218" i="57"/>
  <c r="CA218" i="57" s="1"/>
  <c r="CB218" i="57" s="1"/>
  <c r="CC218" i="57" s="1"/>
  <c r="CD218" i="57" s="1"/>
  <c r="CE218" i="57" s="1"/>
  <c r="CF218" i="57" s="1"/>
  <c r="CG218" i="57" s="1"/>
  <c r="BZ231" i="57"/>
  <c r="CA231" i="57" s="1"/>
  <c r="CB231" i="57" s="1"/>
  <c r="CC231" i="57" s="1"/>
  <c r="CD231" i="57" s="1"/>
  <c r="CE231" i="57" s="1"/>
  <c r="CF231" i="57" s="1"/>
  <c r="CG231" i="57" s="1"/>
  <c r="BJ65" i="57"/>
  <c r="BK65" i="57" s="1"/>
  <c r="BL65" i="57" s="1"/>
  <c r="BM65" i="57" s="1"/>
  <c r="BN65" i="57" s="1"/>
  <c r="BO65" i="57" s="1"/>
  <c r="BP65" i="57" s="1"/>
  <c r="BQ65" i="57" s="1"/>
  <c r="BR65" i="57" s="1"/>
  <c r="BS65" i="57" s="1"/>
  <c r="BT65" i="57" s="1"/>
  <c r="BU65" i="57" s="1"/>
  <c r="BV65" i="57" s="1"/>
  <c r="BW65" i="57" s="1"/>
  <c r="BX65" i="57" s="1"/>
  <c r="BY65" i="57" s="1"/>
  <c r="AJ120" i="57"/>
  <c r="AK120" i="57" s="1"/>
  <c r="AL120" i="57" s="1"/>
  <c r="AM120" i="57" s="1"/>
  <c r="AN120" i="57" s="1"/>
  <c r="AO120" i="57" s="1"/>
  <c r="AP120" i="57" s="1"/>
  <c r="AQ120" i="57" s="1"/>
  <c r="D38" i="57"/>
  <c r="E38" i="57" s="1"/>
  <c r="F38" i="57" s="1"/>
  <c r="G38" i="57" s="1"/>
  <c r="H38" i="57" s="1"/>
  <c r="I38" i="57" s="1"/>
  <c r="J38" i="57" s="1"/>
  <c r="K38" i="57" s="1"/>
  <c r="L38" i="57" s="1"/>
  <c r="M38" i="57" s="1"/>
  <c r="N38" i="57" s="1"/>
  <c r="O38" i="57" s="1"/>
  <c r="P38" i="57" s="1"/>
  <c r="Q38" i="57" s="1"/>
  <c r="R38" i="57" s="1"/>
  <c r="S38" i="57" s="1"/>
  <c r="T38" i="57" s="1"/>
  <c r="U38" i="57" s="1"/>
  <c r="V38" i="57" s="1"/>
  <c r="W38" i="57" s="1"/>
  <c r="X38" i="57" s="1"/>
  <c r="Y38" i="57" s="1"/>
  <c r="Z38" i="57" s="1"/>
  <c r="AA38" i="57" s="1"/>
  <c r="AB38" i="57" s="1"/>
  <c r="AC38" i="57" s="1"/>
  <c r="AD38" i="57" s="1"/>
  <c r="AE38" i="57" s="1"/>
  <c r="AF38" i="57" s="1"/>
  <c r="AG38" i="57" s="1"/>
  <c r="AH38" i="57" s="1"/>
  <c r="AI38" i="57" s="1"/>
  <c r="BZ208" i="57"/>
  <c r="CA208" i="57" s="1"/>
  <c r="CB208" i="57" s="1"/>
  <c r="CC208" i="57" s="1"/>
  <c r="CD208" i="57" s="1"/>
  <c r="CE208" i="57" s="1"/>
  <c r="CF208" i="57" s="1"/>
  <c r="CG208" i="57" s="1"/>
  <c r="BJ180" i="57"/>
  <c r="BK180" i="57" s="1"/>
  <c r="BL180" i="57" s="1"/>
  <c r="BM180" i="57" s="1"/>
  <c r="BN180" i="57" s="1"/>
  <c r="BO180" i="57" s="1"/>
  <c r="BP180" i="57" s="1"/>
  <c r="BQ180" i="57" s="1"/>
  <c r="BR180" i="57" s="1"/>
  <c r="BS180" i="57" s="1"/>
  <c r="BT180" i="57" s="1"/>
  <c r="BU180" i="57" s="1"/>
  <c r="BV180" i="57" s="1"/>
  <c r="BW180" i="57" s="1"/>
  <c r="BX180" i="57" s="1"/>
  <c r="BY180" i="57" s="1"/>
  <c r="BJ78" i="57"/>
  <c r="BK78" i="57" s="1"/>
  <c r="BL78" i="57" s="1"/>
  <c r="BM78" i="57" s="1"/>
  <c r="BN78" i="57" s="1"/>
  <c r="BO78" i="57" s="1"/>
  <c r="BP78" i="57" s="1"/>
  <c r="BQ78" i="57" s="1"/>
  <c r="BR78" i="57" s="1"/>
  <c r="BS78" i="57" s="1"/>
  <c r="BT78" i="57" s="1"/>
  <c r="BU78" i="57" s="1"/>
  <c r="BV78" i="57" s="1"/>
  <c r="BW78" i="57" s="1"/>
  <c r="BX78" i="57" s="1"/>
  <c r="BY78" i="57" s="1"/>
  <c r="T246" i="57"/>
  <c r="U246" i="57" s="1"/>
  <c r="V246" i="57" s="1"/>
  <c r="W246" i="57" s="1"/>
  <c r="X246" i="57" s="1"/>
  <c r="Y246" i="57" s="1"/>
  <c r="Z246" i="57" s="1"/>
  <c r="AA246" i="57" s="1"/>
  <c r="AB246" i="57" s="1"/>
  <c r="AC246" i="57" s="1"/>
  <c r="AD246" i="57" s="1"/>
  <c r="AE246" i="57" s="1"/>
  <c r="AF246" i="57" s="1"/>
  <c r="AG246" i="57" s="1"/>
  <c r="AH246" i="57" s="1"/>
  <c r="AI246" i="57" s="1"/>
  <c r="D19" i="57"/>
  <c r="E19" i="57" s="1"/>
  <c r="F19" i="57" s="1"/>
  <c r="G19" i="57" s="1"/>
  <c r="H19" i="57" s="1"/>
  <c r="I19" i="57" s="1"/>
  <c r="J19" i="57" s="1"/>
  <c r="K19" i="57" s="1"/>
  <c r="L19" i="57" s="1"/>
  <c r="M19" i="57" s="1"/>
  <c r="N19" i="57" s="1"/>
  <c r="O19" i="57" s="1"/>
  <c r="P19" i="57" s="1"/>
  <c r="Q19" i="57" s="1"/>
  <c r="R19" i="57" s="1"/>
  <c r="S19" i="57" s="1"/>
  <c r="T19" i="57" s="1"/>
  <c r="U19" i="57" s="1"/>
  <c r="V19" i="57" s="1"/>
  <c r="W19" i="57" s="1"/>
  <c r="X19" i="57" s="1"/>
  <c r="Y19" i="57" s="1"/>
  <c r="Z19" i="57" s="1"/>
  <c r="AA19" i="57" s="1"/>
  <c r="AB19" i="57" s="1"/>
  <c r="AC19" i="57" s="1"/>
  <c r="AD19" i="57" s="1"/>
  <c r="AE19" i="57" s="1"/>
  <c r="AF19" i="57" s="1"/>
  <c r="AG19" i="57" s="1"/>
  <c r="AH19" i="57" s="1"/>
  <c r="AI19" i="57" s="1"/>
  <c r="BZ164" i="57"/>
  <c r="CA164" i="57" s="1"/>
  <c r="CB164" i="57" s="1"/>
  <c r="CC164" i="57" s="1"/>
  <c r="CD164" i="57" s="1"/>
  <c r="CE164" i="57" s="1"/>
  <c r="CF164" i="57" s="1"/>
  <c r="CG164" i="57" s="1"/>
  <c r="F179" i="57"/>
  <c r="G179" i="57" s="1"/>
  <c r="H179" i="57" s="1"/>
  <c r="I179" i="57" s="1"/>
  <c r="J179" i="57" s="1"/>
  <c r="K179" i="57" s="1"/>
  <c r="L179" i="57" s="1"/>
  <c r="M179" i="57" s="1"/>
  <c r="N179" i="57" s="1"/>
  <c r="O179" i="57" s="1"/>
  <c r="P179" i="57" s="1"/>
  <c r="Q179" i="57" s="1"/>
  <c r="R179" i="57" s="1"/>
  <c r="S179" i="57" s="1"/>
  <c r="T179" i="57" s="1"/>
  <c r="U179" i="57" s="1"/>
  <c r="V179" i="57" s="1"/>
  <c r="W179" i="57" s="1"/>
  <c r="X179" i="57" s="1"/>
  <c r="Y179" i="57" s="1"/>
  <c r="Z179" i="57" s="1"/>
  <c r="AA179" i="57" s="1"/>
  <c r="AB179" i="57" s="1"/>
  <c r="AC179" i="57" s="1"/>
  <c r="AD179" i="57" s="1"/>
  <c r="AE179" i="57" s="1"/>
  <c r="AF179" i="57" s="1"/>
  <c r="AG179" i="57" s="1"/>
  <c r="AH179" i="57" s="1"/>
  <c r="AI179" i="57" s="1"/>
  <c r="T186" i="57"/>
  <c r="U186" i="57" s="1"/>
  <c r="V186" i="57" s="1"/>
  <c r="W186" i="57" s="1"/>
  <c r="X186" i="57" s="1"/>
  <c r="Y186" i="57" s="1"/>
  <c r="Z186" i="57" s="1"/>
  <c r="AA186" i="57" s="1"/>
  <c r="AB186" i="57" s="1"/>
  <c r="AC186" i="57" s="1"/>
  <c r="AD186" i="57" s="1"/>
  <c r="AE186" i="57" s="1"/>
  <c r="AF186" i="57" s="1"/>
  <c r="AG186" i="57" s="1"/>
  <c r="AH186" i="57" s="1"/>
  <c r="AI186" i="57" s="1"/>
  <c r="T181" i="57"/>
  <c r="U181" i="57" s="1"/>
  <c r="V181" i="57" s="1"/>
  <c r="W181" i="57" s="1"/>
  <c r="X181" i="57" s="1"/>
  <c r="Y181" i="57" s="1"/>
  <c r="Z181" i="57" s="1"/>
  <c r="AA181" i="57" s="1"/>
  <c r="AB181" i="57" s="1"/>
  <c r="AC181" i="57" s="1"/>
  <c r="AD181" i="57" s="1"/>
  <c r="AE181" i="57" s="1"/>
  <c r="AF181" i="57" s="1"/>
  <c r="AG181" i="57" s="1"/>
  <c r="AH181" i="57" s="1"/>
  <c r="AI181" i="57" s="1"/>
  <c r="D40" i="57"/>
  <c r="E40" i="57" s="1"/>
  <c r="F40" i="57" s="1"/>
  <c r="G40" i="57" s="1"/>
  <c r="H40" i="57" s="1"/>
  <c r="I40" i="57" s="1"/>
  <c r="J40" i="57" s="1"/>
  <c r="K40" i="57" s="1"/>
  <c r="L40" i="57" s="1"/>
  <c r="M40" i="57" s="1"/>
  <c r="N40" i="57" s="1"/>
  <c r="O40" i="57" s="1"/>
  <c r="P40" i="57" s="1"/>
  <c r="Q40" i="57" s="1"/>
  <c r="R40" i="57" s="1"/>
  <c r="S40" i="57" s="1"/>
  <c r="T40" i="57" s="1"/>
  <c r="U40" i="57" s="1"/>
  <c r="V40" i="57" s="1"/>
  <c r="W40" i="57" s="1"/>
  <c r="X40" i="57" s="1"/>
  <c r="Y40" i="57" s="1"/>
  <c r="Z40" i="57" s="1"/>
  <c r="AA40" i="57" s="1"/>
  <c r="AB40" i="57" s="1"/>
  <c r="AC40" i="57" s="1"/>
  <c r="AD40" i="57" s="1"/>
  <c r="AE40" i="57" s="1"/>
  <c r="AF40" i="57" s="1"/>
  <c r="AG40" i="57" s="1"/>
  <c r="AH40" i="57" s="1"/>
  <c r="AI40" i="57" s="1"/>
  <c r="AJ40" i="57" s="1"/>
  <c r="AK40" i="57" s="1"/>
  <c r="AL40" i="57" s="1"/>
  <c r="AM40" i="57" s="1"/>
  <c r="AN40" i="57" s="1"/>
  <c r="AO40" i="57" s="1"/>
  <c r="AP40" i="57" s="1"/>
  <c r="AQ40" i="57" s="1"/>
  <c r="AJ158" i="57"/>
  <c r="AK158" i="57" s="1"/>
  <c r="AL158" i="57" s="1"/>
  <c r="AM158" i="57" s="1"/>
  <c r="AN158" i="57" s="1"/>
  <c r="AO158" i="57" s="1"/>
  <c r="AP158" i="57" s="1"/>
  <c r="AQ158" i="57" s="1"/>
  <c r="T163" i="57"/>
  <c r="U163" i="57" s="1"/>
  <c r="V163" i="57" s="1"/>
  <c r="W163" i="57" s="1"/>
  <c r="X163" i="57" s="1"/>
  <c r="Y163" i="57" s="1"/>
  <c r="Z163" i="57" s="1"/>
  <c r="AA163" i="57" s="1"/>
  <c r="AB163" i="57" s="1"/>
  <c r="AC163" i="57" s="1"/>
  <c r="AD163" i="57" s="1"/>
  <c r="AE163" i="57" s="1"/>
  <c r="AF163" i="57" s="1"/>
  <c r="AG163" i="57" s="1"/>
  <c r="AH163" i="57" s="1"/>
  <c r="AI163" i="57" s="1"/>
  <c r="BZ125" i="57"/>
  <c r="CA125" i="57" s="1"/>
  <c r="CB125" i="57" s="1"/>
  <c r="CC125" i="57" s="1"/>
  <c r="CD125" i="57" s="1"/>
  <c r="CE125" i="57" s="1"/>
  <c r="CF125" i="57" s="1"/>
  <c r="CG125" i="57" s="1"/>
  <c r="BZ37" i="57"/>
  <c r="CA37" i="57" s="1"/>
  <c r="CB37" i="57" s="1"/>
  <c r="CC37" i="57" s="1"/>
  <c r="CD37" i="57" s="1"/>
  <c r="CE37" i="57" s="1"/>
  <c r="CF37" i="57" s="1"/>
  <c r="CG37" i="57" s="1"/>
  <c r="T229" i="57"/>
  <c r="U229" i="57" s="1"/>
  <c r="V229" i="57" s="1"/>
  <c r="W229" i="57" s="1"/>
  <c r="X229" i="57" s="1"/>
  <c r="Y229" i="57" s="1"/>
  <c r="Z229" i="57" s="1"/>
  <c r="AA229" i="57" s="1"/>
  <c r="AB229" i="57" s="1"/>
  <c r="AC229" i="57" s="1"/>
  <c r="AD229" i="57" s="1"/>
  <c r="AE229" i="57" s="1"/>
  <c r="AF229" i="57" s="1"/>
  <c r="AG229" i="57" s="1"/>
  <c r="AH229" i="57" s="1"/>
  <c r="AI229" i="57" s="1"/>
  <c r="AJ218" i="57"/>
  <c r="AK218" i="57" s="1"/>
  <c r="AL218" i="57" s="1"/>
  <c r="AM218" i="57" s="1"/>
  <c r="AN218" i="57" s="1"/>
  <c r="AO218" i="57" s="1"/>
  <c r="AP218" i="57" s="1"/>
  <c r="AQ218" i="57" s="1"/>
  <c r="AJ178" i="57"/>
  <c r="AK178" i="57" s="1"/>
  <c r="AL178" i="57" s="1"/>
  <c r="AM178" i="57" s="1"/>
  <c r="AN178" i="57" s="1"/>
  <c r="AO178" i="57" s="1"/>
  <c r="AP178" i="57" s="1"/>
  <c r="AQ178" i="57" s="1"/>
  <c r="BR153" i="57"/>
  <c r="BS153" i="57" s="1"/>
  <c r="BT153" i="57" s="1"/>
  <c r="BU153" i="57" s="1"/>
  <c r="BV153" i="57" s="1"/>
  <c r="BW153" i="57" s="1"/>
  <c r="BX153" i="57" s="1"/>
  <c r="BY153" i="57" s="1"/>
  <c r="AJ65" i="57"/>
  <c r="AK65" i="57" s="1"/>
  <c r="AL65" i="57" s="1"/>
  <c r="AM65" i="57" s="1"/>
  <c r="AN65" i="57" s="1"/>
  <c r="AO65" i="57" s="1"/>
  <c r="AP65" i="57" s="1"/>
  <c r="AQ65" i="57" s="1"/>
  <c r="D47" i="57"/>
  <c r="E47" i="57" s="1"/>
  <c r="F47" i="57" s="1"/>
  <c r="G47" i="57" s="1"/>
  <c r="H47" i="57" s="1"/>
  <c r="I47" i="57" s="1"/>
  <c r="J47" i="57" s="1"/>
  <c r="K47" i="57" s="1"/>
  <c r="L47" i="57" s="1"/>
  <c r="M47" i="57" s="1"/>
  <c r="N47" i="57" s="1"/>
  <c r="O47" i="57" s="1"/>
  <c r="P47" i="57" s="1"/>
  <c r="Q47" i="57" s="1"/>
  <c r="R47" i="57" s="1"/>
  <c r="S47" i="57" s="1"/>
  <c r="T47" i="57" s="1"/>
  <c r="U47" i="57" s="1"/>
  <c r="V47" i="57" s="1"/>
  <c r="W47" i="57" s="1"/>
  <c r="X47" i="57" s="1"/>
  <c r="Y47" i="57" s="1"/>
  <c r="Z47" i="57" s="1"/>
  <c r="AA47" i="57" s="1"/>
  <c r="AB47" i="57" s="1"/>
  <c r="AC47" i="57" s="1"/>
  <c r="AD47" i="57" s="1"/>
  <c r="AE47" i="57" s="1"/>
  <c r="AF47" i="57" s="1"/>
  <c r="AG47" i="57" s="1"/>
  <c r="AH47" i="57" s="1"/>
  <c r="AI47" i="57" s="1"/>
  <c r="F90" i="57"/>
  <c r="G90" i="57" s="1"/>
  <c r="H90" i="57" s="1"/>
  <c r="I90" i="57" s="1"/>
  <c r="J90" i="57" s="1"/>
  <c r="K90" i="57" s="1"/>
  <c r="L90" i="57" s="1"/>
  <c r="M90" i="57" s="1"/>
  <c r="N90" i="57" s="1"/>
  <c r="O90" i="57" s="1"/>
  <c r="P90" i="57" s="1"/>
  <c r="Q90" i="57" s="1"/>
  <c r="R90" i="57" s="1"/>
  <c r="S90" i="57" s="1"/>
  <c r="T90" i="57" s="1"/>
  <c r="U90" i="57" s="1"/>
  <c r="V90" i="57" s="1"/>
  <c r="W90" i="57" s="1"/>
  <c r="X90" i="57" s="1"/>
  <c r="Y90" i="57" s="1"/>
  <c r="Z90" i="57" s="1"/>
  <c r="AA90" i="57" s="1"/>
  <c r="AB90" i="57" s="1"/>
  <c r="AC90" i="57" s="1"/>
  <c r="AD90" i="57" s="1"/>
  <c r="AE90" i="57" s="1"/>
  <c r="AF90" i="57" s="1"/>
  <c r="AG90" i="57" s="1"/>
  <c r="AH90" i="57" s="1"/>
  <c r="AI90" i="57" s="1"/>
  <c r="D69" i="57"/>
  <c r="E69" i="57" s="1"/>
  <c r="F69" i="57" s="1"/>
  <c r="G69" i="57" s="1"/>
  <c r="H69" i="57" s="1"/>
  <c r="I69" i="57" s="1"/>
  <c r="J69" i="57" s="1"/>
  <c r="K69" i="57" s="1"/>
  <c r="L69" i="57" s="1"/>
  <c r="M69" i="57" s="1"/>
  <c r="N69" i="57" s="1"/>
  <c r="O69" i="57" s="1"/>
  <c r="P69" i="57" s="1"/>
  <c r="Q69" i="57" s="1"/>
  <c r="R69" i="57" s="1"/>
  <c r="S69" i="57" s="1"/>
  <c r="T69" i="57" s="1"/>
  <c r="U69" i="57" s="1"/>
  <c r="V69" i="57" s="1"/>
  <c r="W69" i="57" s="1"/>
  <c r="X69" i="57" s="1"/>
  <c r="Y69" i="57" s="1"/>
  <c r="Z69" i="57" s="1"/>
  <c r="AA69" i="57" s="1"/>
  <c r="AB69" i="57" s="1"/>
  <c r="AC69" i="57" s="1"/>
  <c r="AD69" i="57" s="1"/>
  <c r="AE69" i="57" s="1"/>
  <c r="AF69" i="57" s="1"/>
  <c r="AG69" i="57" s="1"/>
  <c r="AH69" i="57" s="1"/>
  <c r="AI69" i="57" s="1"/>
  <c r="F217" i="57"/>
  <c r="G217" i="57" s="1"/>
  <c r="H217" i="57" s="1"/>
  <c r="I217" i="57" s="1"/>
  <c r="J217" i="57" s="1"/>
  <c r="K217" i="57" s="1"/>
  <c r="L217" i="57" s="1"/>
  <c r="M217" i="57" s="1"/>
  <c r="N217" i="57" s="1"/>
  <c r="O217" i="57" s="1"/>
  <c r="P217" i="57" s="1"/>
  <c r="Q217" i="57" s="1"/>
  <c r="R217" i="57" s="1"/>
  <c r="S217" i="57" s="1"/>
  <c r="T217" i="57" s="1"/>
  <c r="U217" i="57" s="1"/>
  <c r="V217" i="57" s="1"/>
  <c r="W217" i="57" s="1"/>
  <c r="X217" i="57" s="1"/>
  <c r="Y217" i="57" s="1"/>
  <c r="Z217" i="57" s="1"/>
  <c r="AA217" i="57" s="1"/>
  <c r="AB217" i="57" s="1"/>
  <c r="AC217" i="57" s="1"/>
  <c r="AD217" i="57" s="1"/>
  <c r="AE217" i="57" s="1"/>
  <c r="AF217" i="57" s="1"/>
  <c r="AG217" i="57" s="1"/>
  <c r="AH217" i="57" s="1"/>
  <c r="AI217" i="57" s="1"/>
  <c r="BZ245" i="57"/>
  <c r="CA245" i="57" s="1"/>
  <c r="CB245" i="57" s="1"/>
  <c r="CC245" i="57" s="1"/>
  <c r="CD245" i="57" s="1"/>
  <c r="CE245" i="57" s="1"/>
  <c r="CF245" i="57" s="1"/>
  <c r="CG245" i="57" s="1"/>
  <c r="T165" i="57"/>
  <c r="U165" i="57" s="1"/>
  <c r="V165" i="57" s="1"/>
  <c r="W165" i="57" s="1"/>
  <c r="X165" i="57" s="1"/>
  <c r="Y165" i="57" s="1"/>
  <c r="Z165" i="57" s="1"/>
  <c r="AA165" i="57" s="1"/>
  <c r="AB165" i="57" s="1"/>
  <c r="AC165" i="57" s="1"/>
  <c r="AD165" i="57" s="1"/>
  <c r="AE165" i="57" s="1"/>
  <c r="AF165" i="57" s="1"/>
  <c r="AG165" i="57" s="1"/>
  <c r="AH165" i="57" s="1"/>
  <c r="AI165" i="57" s="1"/>
  <c r="C11" i="62"/>
  <c r="BZ186" i="57"/>
  <c r="CA186" i="57" s="1"/>
  <c r="CB186" i="57" s="1"/>
  <c r="CC186" i="57" s="1"/>
  <c r="CD186" i="57" s="1"/>
  <c r="CE186" i="57" s="1"/>
  <c r="CF186" i="57" s="1"/>
  <c r="CG186" i="57" s="1"/>
  <c r="CH186" i="57" s="1"/>
  <c r="BZ157" i="57"/>
  <c r="CA157" i="57" s="1"/>
  <c r="CB157" i="57" s="1"/>
  <c r="CC157" i="57" s="1"/>
  <c r="CD157" i="57" s="1"/>
  <c r="CE157" i="57" s="1"/>
  <c r="CF157" i="57" s="1"/>
  <c r="CG157" i="57" s="1"/>
  <c r="T199" i="57"/>
  <c r="U199" i="57" s="1"/>
  <c r="V199" i="57" s="1"/>
  <c r="W199" i="57" s="1"/>
  <c r="X199" i="57" s="1"/>
  <c r="Y199" i="57" s="1"/>
  <c r="Z199" i="57" s="1"/>
  <c r="AA199" i="57" s="1"/>
  <c r="AB199" i="57" s="1"/>
  <c r="AC199" i="57" s="1"/>
  <c r="AD199" i="57" s="1"/>
  <c r="AE199" i="57" s="1"/>
  <c r="AF199" i="57" s="1"/>
  <c r="AG199" i="57" s="1"/>
  <c r="AH199" i="57" s="1"/>
  <c r="AI199" i="57" s="1"/>
  <c r="T171" i="57"/>
  <c r="U171" i="57" s="1"/>
  <c r="V171" i="57" s="1"/>
  <c r="W171" i="57" s="1"/>
  <c r="X171" i="57" s="1"/>
  <c r="Y171" i="57" s="1"/>
  <c r="Z171" i="57" s="1"/>
  <c r="AA171" i="57" s="1"/>
  <c r="AB171" i="57" s="1"/>
  <c r="AC171" i="57" s="1"/>
  <c r="AD171" i="57" s="1"/>
  <c r="AE171" i="57" s="1"/>
  <c r="AF171" i="57" s="1"/>
  <c r="AG171" i="57" s="1"/>
  <c r="AH171" i="57" s="1"/>
  <c r="AI171" i="57" s="1"/>
  <c r="BZ217" i="57"/>
  <c r="CA217" i="57" s="1"/>
  <c r="CB217" i="57" s="1"/>
  <c r="CC217" i="57" s="1"/>
  <c r="CD217" i="57" s="1"/>
  <c r="CE217" i="57" s="1"/>
  <c r="CF217" i="57" s="1"/>
  <c r="CG217" i="57" s="1"/>
  <c r="BJ85" i="57"/>
  <c r="BK85" i="57" s="1"/>
  <c r="BL85" i="57" s="1"/>
  <c r="BM85" i="57" s="1"/>
  <c r="BN85" i="57" s="1"/>
  <c r="BO85" i="57" s="1"/>
  <c r="BP85" i="57" s="1"/>
  <c r="BQ85" i="57" s="1"/>
  <c r="BR85" i="57" s="1"/>
  <c r="BS85" i="57" s="1"/>
  <c r="BT85" i="57" s="1"/>
  <c r="BU85" i="57" s="1"/>
  <c r="BV85" i="57" s="1"/>
  <c r="BW85" i="57" s="1"/>
  <c r="BX85" i="57" s="1"/>
  <c r="BY85" i="57" s="1"/>
  <c r="D77" i="57"/>
  <c r="E77" i="57" s="1"/>
  <c r="F77" i="57" s="1"/>
  <c r="G77" i="57" s="1"/>
  <c r="H77" i="57" s="1"/>
  <c r="I77" i="57" s="1"/>
  <c r="J77" i="57" s="1"/>
  <c r="K77" i="57" s="1"/>
  <c r="L77" i="57" s="1"/>
  <c r="M77" i="57" s="1"/>
  <c r="N77" i="57" s="1"/>
  <c r="O77" i="57" s="1"/>
  <c r="P77" i="57" s="1"/>
  <c r="Q77" i="57" s="1"/>
  <c r="R77" i="57" s="1"/>
  <c r="S77" i="57" s="1"/>
  <c r="T77" i="57" s="1"/>
  <c r="U77" i="57" s="1"/>
  <c r="V77" i="57" s="1"/>
  <c r="W77" i="57" s="1"/>
  <c r="X77" i="57" s="1"/>
  <c r="Y77" i="57" s="1"/>
  <c r="Z77" i="57" s="1"/>
  <c r="AA77" i="57" s="1"/>
  <c r="AB77" i="57" s="1"/>
  <c r="AC77" i="57" s="1"/>
  <c r="AD77" i="57" s="1"/>
  <c r="AE77" i="57" s="1"/>
  <c r="AF77" i="57" s="1"/>
  <c r="AG77" i="57" s="1"/>
  <c r="AH77" i="57" s="1"/>
  <c r="AI77" i="57" s="1"/>
  <c r="AJ204" i="57"/>
  <c r="AK204" i="57" s="1"/>
  <c r="AL204" i="57" s="1"/>
  <c r="AM204" i="57" s="1"/>
  <c r="AN204" i="57" s="1"/>
  <c r="AO204" i="57" s="1"/>
  <c r="AP204" i="57" s="1"/>
  <c r="AQ204" i="57" s="1"/>
  <c r="BZ215" i="57"/>
  <c r="CA215" i="57" s="1"/>
  <c r="CB215" i="57" s="1"/>
  <c r="CC215" i="57" s="1"/>
  <c r="CD215" i="57" s="1"/>
  <c r="CE215" i="57" s="1"/>
  <c r="CF215" i="57" s="1"/>
  <c r="CG215" i="57" s="1"/>
  <c r="C109" i="62"/>
  <c r="BZ246" i="57"/>
  <c r="CA246" i="57" s="1"/>
  <c r="CB246" i="57" s="1"/>
  <c r="CC246" i="57" s="1"/>
  <c r="CD246" i="57" s="1"/>
  <c r="CE246" i="57" s="1"/>
  <c r="CF246" i="57" s="1"/>
  <c r="CG246" i="57" s="1"/>
  <c r="AJ220" i="57"/>
  <c r="AK220" i="57" s="1"/>
  <c r="AL220" i="57" s="1"/>
  <c r="AM220" i="57" s="1"/>
  <c r="AN220" i="57" s="1"/>
  <c r="AO220" i="57" s="1"/>
  <c r="AP220" i="57" s="1"/>
  <c r="AQ220" i="57" s="1"/>
  <c r="T175" i="57"/>
  <c r="U175" i="57" s="1"/>
  <c r="V175" i="57" s="1"/>
  <c r="W175" i="57" s="1"/>
  <c r="X175" i="57" s="1"/>
  <c r="Y175" i="57" s="1"/>
  <c r="Z175" i="57" s="1"/>
  <c r="AA175" i="57" s="1"/>
  <c r="AB175" i="57" s="1"/>
  <c r="AC175" i="57" s="1"/>
  <c r="AD175" i="57" s="1"/>
  <c r="AE175" i="57" s="1"/>
  <c r="AF175" i="57" s="1"/>
  <c r="AG175" i="57" s="1"/>
  <c r="AH175" i="57" s="1"/>
  <c r="AI175" i="57" s="1"/>
  <c r="F212" i="57"/>
  <c r="G212" i="57" s="1"/>
  <c r="H212" i="57" s="1"/>
  <c r="I212" i="57" s="1"/>
  <c r="J212" i="57" s="1"/>
  <c r="K212" i="57" s="1"/>
  <c r="L212" i="57" s="1"/>
  <c r="M212" i="57" s="1"/>
  <c r="N212" i="57" s="1"/>
  <c r="O212" i="57" s="1"/>
  <c r="P212" i="57" s="1"/>
  <c r="Q212" i="57" s="1"/>
  <c r="R212" i="57" s="1"/>
  <c r="S212" i="57" s="1"/>
  <c r="T212" i="57" s="1"/>
  <c r="U212" i="57" s="1"/>
  <c r="V212" i="57" s="1"/>
  <c r="W212" i="57" s="1"/>
  <c r="X212" i="57" s="1"/>
  <c r="Y212" i="57" s="1"/>
  <c r="Z212" i="57" s="1"/>
  <c r="AA212" i="57" s="1"/>
  <c r="AB212" i="57" s="1"/>
  <c r="AC212" i="57" s="1"/>
  <c r="AD212" i="57" s="1"/>
  <c r="AE212" i="57" s="1"/>
  <c r="AF212" i="57" s="1"/>
  <c r="AG212" i="57" s="1"/>
  <c r="AH212" i="57" s="1"/>
  <c r="AI212" i="57" s="1"/>
  <c r="F242" i="57"/>
  <c r="G242" i="57" s="1"/>
  <c r="H242" i="57" s="1"/>
  <c r="I242" i="57" s="1"/>
  <c r="J242" i="57" s="1"/>
  <c r="K242" i="57" s="1"/>
  <c r="L242" i="57" s="1"/>
  <c r="M242" i="57" s="1"/>
  <c r="N242" i="57" s="1"/>
  <c r="O242" i="57" s="1"/>
  <c r="P242" i="57" s="1"/>
  <c r="Q242" i="57" s="1"/>
  <c r="R242" i="57" s="1"/>
  <c r="S242" i="57" s="1"/>
  <c r="T242" i="57" s="1"/>
  <c r="U242" i="57" s="1"/>
  <c r="V242" i="57" s="1"/>
  <c r="W242" i="57" s="1"/>
  <c r="X242" i="57" s="1"/>
  <c r="Y242" i="57" s="1"/>
  <c r="Z242" i="57" s="1"/>
  <c r="AA242" i="57" s="1"/>
  <c r="AB242" i="57" s="1"/>
  <c r="AC242" i="57" s="1"/>
  <c r="AD242" i="57" s="1"/>
  <c r="AE242" i="57" s="1"/>
  <c r="AF242" i="57" s="1"/>
  <c r="AG242" i="57" s="1"/>
  <c r="AH242" i="57" s="1"/>
  <c r="AI242" i="57" s="1"/>
  <c r="T219" i="57"/>
  <c r="U219" i="57" s="1"/>
  <c r="V219" i="57" s="1"/>
  <c r="W219" i="57" s="1"/>
  <c r="X219" i="57" s="1"/>
  <c r="Y219" i="57" s="1"/>
  <c r="Z219" i="57" s="1"/>
  <c r="AA219" i="57" s="1"/>
  <c r="AB219" i="57" s="1"/>
  <c r="AC219" i="57" s="1"/>
  <c r="AD219" i="57" s="1"/>
  <c r="AE219" i="57" s="1"/>
  <c r="AF219" i="57" s="1"/>
  <c r="AG219" i="57" s="1"/>
  <c r="AH219" i="57" s="1"/>
  <c r="AI219" i="57" s="1"/>
  <c r="F131" i="57"/>
  <c r="G131" i="57" s="1"/>
  <c r="H131" i="57" s="1"/>
  <c r="I131" i="57" s="1"/>
  <c r="J131" i="57" s="1"/>
  <c r="K131" i="57" s="1"/>
  <c r="L131" i="57" s="1"/>
  <c r="M131" i="57" s="1"/>
  <c r="N131" i="57" s="1"/>
  <c r="O131" i="57" s="1"/>
  <c r="P131" i="57" s="1"/>
  <c r="Q131" i="57" s="1"/>
  <c r="R131" i="57" s="1"/>
  <c r="S131" i="57" s="1"/>
  <c r="T131" i="57" s="1"/>
  <c r="U131" i="57" s="1"/>
  <c r="V131" i="57" s="1"/>
  <c r="W131" i="57" s="1"/>
  <c r="X131" i="57" s="1"/>
  <c r="Y131" i="57" s="1"/>
  <c r="Z131" i="57" s="1"/>
  <c r="AA131" i="57" s="1"/>
  <c r="AB131" i="57" s="1"/>
  <c r="AC131" i="57" s="1"/>
  <c r="AD131" i="57" s="1"/>
  <c r="AE131" i="57" s="1"/>
  <c r="AF131" i="57" s="1"/>
  <c r="AG131" i="57" s="1"/>
  <c r="AH131" i="57" s="1"/>
  <c r="AI131" i="57" s="1"/>
  <c r="BZ249" i="57"/>
  <c r="CA249" i="57" s="1"/>
  <c r="CB249" i="57" s="1"/>
  <c r="CC249" i="57" s="1"/>
  <c r="CD249" i="57" s="1"/>
  <c r="CE249" i="57" s="1"/>
  <c r="CF249" i="57" s="1"/>
  <c r="CG249" i="57" s="1"/>
  <c r="T249" i="57"/>
  <c r="U249" i="57" s="1"/>
  <c r="V249" i="57" s="1"/>
  <c r="W249" i="57" s="1"/>
  <c r="X249" i="57" s="1"/>
  <c r="Y249" i="57" s="1"/>
  <c r="Z249" i="57" s="1"/>
  <c r="AA249" i="57" s="1"/>
  <c r="AB249" i="57" s="1"/>
  <c r="AC249" i="57" s="1"/>
  <c r="AD249" i="57" s="1"/>
  <c r="AE249" i="57" s="1"/>
  <c r="AF249" i="57" s="1"/>
  <c r="AG249" i="57" s="1"/>
  <c r="AH249" i="57" s="1"/>
  <c r="AI249" i="57" s="1"/>
  <c r="F157" i="57"/>
  <c r="G157" i="57" s="1"/>
  <c r="H157" i="57" s="1"/>
  <c r="I157" i="57" s="1"/>
  <c r="J157" i="57" s="1"/>
  <c r="K157" i="57" s="1"/>
  <c r="L157" i="57" s="1"/>
  <c r="M157" i="57" s="1"/>
  <c r="N157" i="57" s="1"/>
  <c r="O157" i="57" s="1"/>
  <c r="P157" i="57" s="1"/>
  <c r="Q157" i="57" s="1"/>
  <c r="R157" i="57" s="1"/>
  <c r="S157" i="57" s="1"/>
  <c r="T157" i="57" s="1"/>
  <c r="U157" i="57" s="1"/>
  <c r="V157" i="57" s="1"/>
  <c r="W157" i="57" s="1"/>
  <c r="X157" i="57" s="1"/>
  <c r="Y157" i="57" s="1"/>
  <c r="Z157" i="57" s="1"/>
  <c r="AA157" i="57" s="1"/>
  <c r="AB157" i="57" s="1"/>
  <c r="AC157" i="57" s="1"/>
  <c r="AD157" i="57" s="1"/>
  <c r="AE157" i="57" s="1"/>
  <c r="AF157" i="57" s="1"/>
  <c r="AG157" i="57" s="1"/>
  <c r="AH157" i="57" s="1"/>
  <c r="AI157" i="57" s="1"/>
  <c r="BZ120" i="57"/>
  <c r="CA120" i="57" s="1"/>
  <c r="CB120" i="57" s="1"/>
  <c r="CC120" i="57" s="1"/>
  <c r="CD120" i="57" s="1"/>
  <c r="CE120" i="57" s="1"/>
  <c r="CF120" i="57" s="1"/>
  <c r="CG120" i="57" s="1"/>
  <c r="T109" i="57"/>
  <c r="U109" i="57" s="1"/>
  <c r="V109" i="57" s="1"/>
  <c r="W109" i="57" s="1"/>
  <c r="X109" i="57" s="1"/>
  <c r="Y109" i="57" s="1"/>
  <c r="Z109" i="57" s="1"/>
  <c r="AA109" i="57" s="1"/>
  <c r="AB109" i="57" s="1"/>
  <c r="AC109" i="57" s="1"/>
  <c r="AD109" i="57" s="1"/>
  <c r="AE109" i="57" s="1"/>
  <c r="AF109" i="57" s="1"/>
  <c r="AG109" i="57" s="1"/>
  <c r="AH109" i="57" s="1"/>
  <c r="AI109" i="57" s="1"/>
  <c r="AJ109" i="57" s="1"/>
  <c r="AK109" i="57" s="1"/>
  <c r="AL109" i="57" s="1"/>
  <c r="AM109" i="57" s="1"/>
  <c r="AN109" i="57" s="1"/>
  <c r="AO109" i="57" s="1"/>
  <c r="AP109" i="57" s="1"/>
  <c r="AQ109" i="57" s="1"/>
  <c r="C75" i="62"/>
  <c r="BJ105" i="57"/>
  <c r="BK105" i="57" s="1"/>
  <c r="BL105" i="57" s="1"/>
  <c r="BM105" i="57" s="1"/>
  <c r="BN105" i="57" s="1"/>
  <c r="BO105" i="57" s="1"/>
  <c r="BP105" i="57" s="1"/>
  <c r="BQ105" i="57" s="1"/>
  <c r="BR105" i="57" s="1"/>
  <c r="BS105" i="57" s="1"/>
  <c r="BT105" i="57" s="1"/>
  <c r="BU105" i="57" s="1"/>
  <c r="BV105" i="57" s="1"/>
  <c r="BW105" i="57" s="1"/>
  <c r="BX105" i="57" s="1"/>
  <c r="BY105" i="57" s="1"/>
  <c r="BZ212" i="57"/>
  <c r="CA212" i="57" s="1"/>
  <c r="CB212" i="57" s="1"/>
  <c r="CC212" i="57" s="1"/>
  <c r="CD212" i="57" s="1"/>
  <c r="CE212" i="57" s="1"/>
  <c r="CF212" i="57" s="1"/>
  <c r="CG212" i="57" s="1"/>
  <c r="T180" i="57"/>
  <c r="U180" i="57" s="1"/>
  <c r="V180" i="57" s="1"/>
  <c r="W180" i="57" s="1"/>
  <c r="X180" i="57" s="1"/>
  <c r="Y180" i="57" s="1"/>
  <c r="Z180" i="57" s="1"/>
  <c r="AA180" i="57" s="1"/>
  <c r="AB180" i="57" s="1"/>
  <c r="AC180" i="57" s="1"/>
  <c r="AD180" i="57" s="1"/>
  <c r="AE180" i="57" s="1"/>
  <c r="AF180" i="57" s="1"/>
  <c r="AG180" i="57" s="1"/>
  <c r="AH180" i="57" s="1"/>
  <c r="AI180" i="57" s="1"/>
  <c r="T224" i="57"/>
  <c r="U224" i="57" s="1"/>
  <c r="V224" i="57" s="1"/>
  <c r="W224" i="57" s="1"/>
  <c r="X224" i="57" s="1"/>
  <c r="Y224" i="57" s="1"/>
  <c r="Z224" i="57" s="1"/>
  <c r="AA224" i="57" s="1"/>
  <c r="AB224" i="57" s="1"/>
  <c r="AC224" i="57" s="1"/>
  <c r="AD224" i="57" s="1"/>
  <c r="AE224" i="57" s="1"/>
  <c r="AF224" i="57" s="1"/>
  <c r="AG224" i="57" s="1"/>
  <c r="AH224" i="57" s="1"/>
  <c r="AI224" i="57" s="1"/>
  <c r="BZ244" i="57"/>
  <c r="CA244" i="57" s="1"/>
  <c r="CB244" i="57" s="1"/>
  <c r="CC244" i="57" s="1"/>
  <c r="CD244" i="57" s="1"/>
  <c r="CE244" i="57" s="1"/>
  <c r="CF244" i="57" s="1"/>
  <c r="CG244" i="57" s="1"/>
  <c r="BR40" i="57"/>
  <c r="BS40" i="57" s="1"/>
  <c r="BT40" i="57" s="1"/>
  <c r="BU40" i="57" s="1"/>
  <c r="BV40" i="57" s="1"/>
  <c r="BW40" i="57" s="1"/>
  <c r="BX40" i="57" s="1"/>
  <c r="BY40" i="57" s="1"/>
  <c r="BJ189" i="57"/>
  <c r="BK189" i="57" s="1"/>
  <c r="BL189" i="57" s="1"/>
  <c r="BM189" i="57" s="1"/>
  <c r="BN189" i="57" s="1"/>
  <c r="BO189" i="57" s="1"/>
  <c r="BP189" i="57" s="1"/>
  <c r="BQ189" i="57" s="1"/>
  <c r="BR189" i="57" s="1"/>
  <c r="BS189" i="57" s="1"/>
  <c r="BT189" i="57" s="1"/>
  <c r="BU189" i="57" s="1"/>
  <c r="BV189" i="57" s="1"/>
  <c r="BW189" i="57" s="1"/>
  <c r="BX189" i="57" s="1"/>
  <c r="BY189" i="57" s="1"/>
  <c r="C13" i="62"/>
  <c r="F197" i="57"/>
  <c r="G197" i="57" s="1"/>
  <c r="H197" i="57" s="1"/>
  <c r="I197" i="57" s="1"/>
  <c r="J197" i="57" s="1"/>
  <c r="K197" i="57" s="1"/>
  <c r="L197" i="57" s="1"/>
  <c r="M197" i="57" s="1"/>
  <c r="N197" i="57" s="1"/>
  <c r="O197" i="57" s="1"/>
  <c r="P197" i="57" s="1"/>
  <c r="Q197" i="57" s="1"/>
  <c r="R197" i="57" s="1"/>
  <c r="S197" i="57" s="1"/>
  <c r="T197" i="57" s="1"/>
  <c r="U197" i="57" s="1"/>
  <c r="V197" i="57" s="1"/>
  <c r="W197" i="57" s="1"/>
  <c r="X197" i="57" s="1"/>
  <c r="Y197" i="57" s="1"/>
  <c r="Z197" i="57" s="1"/>
  <c r="AA197" i="57" s="1"/>
  <c r="AB197" i="57" s="1"/>
  <c r="AC197" i="57" s="1"/>
  <c r="AD197" i="57" s="1"/>
  <c r="AE197" i="57" s="1"/>
  <c r="AF197" i="57" s="1"/>
  <c r="AG197" i="57" s="1"/>
  <c r="AH197" i="57" s="1"/>
  <c r="AI197" i="57" s="1"/>
  <c r="C173" i="62"/>
  <c r="BZ252" i="57"/>
  <c r="CA252" i="57" s="1"/>
  <c r="CB252" i="57" s="1"/>
  <c r="CC252" i="57" s="1"/>
  <c r="CD252" i="57" s="1"/>
  <c r="CE252" i="57" s="1"/>
  <c r="CF252" i="57" s="1"/>
  <c r="CG252" i="57" s="1"/>
  <c r="T195" i="57"/>
  <c r="U195" i="57" s="1"/>
  <c r="V195" i="57" s="1"/>
  <c r="W195" i="57" s="1"/>
  <c r="X195" i="57" s="1"/>
  <c r="Y195" i="57" s="1"/>
  <c r="Z195" i="57" s="1"/>
  <c r="AA195" i="57" s="1"/>
  <c r="AB195" i="57" s="1"/>
  <c r="AC195" i="57" s="1"/>
  <c r="AD195" i="57" s="1"/>
  <c r="AE195" i="57" s="1"/>
  <c r="AF195" i="57" s="1"/>
  <c r="AG195" i="57" s="1"/>
  <c r="AH195" i="57" s="1"/>
  <c r="AI195" i="57" s="1"/>
  <c r="T177" i="57"/>
  <c r="U177" i="57" s="1"/>
  <c r="V177" i="57" s="1"/>
  <c r="W177" i="57" s="1"/>
  <c r="X177" i="57" s="1"/>
  <c r="Y177" i="57" s="1"/>
  <c r="Z177" i="57" s="1"/>
  <c r="AA177" i="57" s="1"/>
  <c r="AB177" i="57" s="1"/>
  <c r="AC177" i="57" s="1"/>
  <c r="AD177" i="57" s="1"/>
  <c r="AE177" i="57" s="1"/>
  <c r="AF177" i="57" s="1"/>
  <c r="AG177" i="57" s="1"/>
  <c r="AH177" i="57" s="1"/>
  <c r="AI177" i="57" s="1"/>
  <c r="BZ117" i="57"/>
  <c r="CA117" i="57" s="1"/>
  <c r="CB117" i="57" s="1"/>
  <c r="CC117" i="57" s="1"/>
  <c r="CD117" i="57" s="1"/>
  <c r="CE117" i="57" s="1"/>
  <c r="CF117" i="57" s="1"/>
  <c r="CG117" i="57" s="1"/>
  <c r="AJ169" i="57"/>
  <c r="AK169" i="57" s="1"/>
  <c r="AL169" i="57" s="1"/>
  <c r="AM169" i="57" s="1"/>
  <c r="AN169" i="57" s="1"/>
  <c r="AO169" i="57" s="1"/>
  <c r="AP169" i="57" s="1"/>
  <c r="AQ169" i="57" s="1"/>
  <c r="AJ99" i="57"/>
  <c r="BJ102" i="57"/>
  <c r="BK102" i="57" s="1"/>
  <c r="BL102" i="57" s="1"/>
  <c r="BM102" i="57" s="1"/>
  <c r="BN102" i="57" s="1"/>
  <c r="BO102" i="57" s="1"/>
  <c r="BP102" i="57" s="1"/>
  <c r="BQ102" i="57" s="1"/>
  <c r="BR102" i="57" s="1"/>
  <c r="BS102" i="57" s="1"/>
  <c r="BT102" i="57" s="1"/>
  <c r="BU102" i="57" s="1"/>
  <c r="BV102" i="57" s="1"/>
  <c r="BW102" i="57" s="1"/>
  <c r="BX102" i="57" s="1"/>
  <c r="BY102" i="57" s="1"/>
  <c r="C93" i="62"/>
  <c r="D64" i="57"/>
  <c r="E64" i="57" s="1"/>
  <c r="F64" i="57" s="1"/>
  <c r="G64" i="57" s="1"/>
  <c r="H64" i="57" s="1"/>
  <c r="I64" i="57" s="1"/>
  <c r="J64" i="57" s="1"/>
  <c r="K64" i="57" s="1"/>
  <c r="L64" i="57" s="1"/>
  <c r="M64" i="57" s="1"/>
  <c r="N64" i="57" s="1"/>
  <c r="O64" i="57" s="1"/>
  <c r="P64" i="57" s="1"/>
  <c r="Q64" i="57" s="1"/>
  <c r="R64" i="57" s="1"/>
  <c r="S64" i="57" s="1"/>
  <c r="T64" i="57" s="1"/>
  <c r="U64" i="57" s="1"/>
  <c r="V64" i="57" s="1"/>
  <c r="W64" i="57" s="1"/>
  <c r="X64" i="57" s="1"/>
  <c r="Y64" i="57" s="1"/>
  <c r="Z64" i="57" s="1"/>
  <c r="AA64" i="57" s="1"/>
  <c r="AB64" i="57" s="1"/>
  <c r="AC64" i="57" s="1"/>
  <c r="AD64" i="57" s="1"/>
  <c r="AE64" i="57" s="1"/>
  <c r="AF64" i="57" s="1"/>
  <c r="AG64" i="57" s="1"/>
  <c r="AH64" i="57" s="1"/>
  <c r="AI64" i="57" s="1"/>
  <c r="T184" i="57"/>
  <c r="U184" i="57" s="1"/>
  <c r="V184" i="57" s="1"/>
  <c r="W184" i="57" s="1"/>
  <c r="X184" i="57" s="1"/>
  <c r="Y184" i="57" s="1"/>
  <c r="Z184" i="57" s="1"/>
  <c r="AA184" i="57" s="1"/>
  <c r="AB184" i="57" s="1"/>
  <c r="AC184" i="57" s="1"/>
  <c r="AD184" i="57" s="1"/>
  <c r="AE184" i="57" s="1"/>
  <c r="AF184" i="57" s="1"/>
  <c r="AG184" i="57" s="1"/>
  <c r="AH184" i="57" s="1"/>
  <c r="AI184" i="57" s="1"/>
  <c r="T121" i="57"/>
  <c r="U121" i="57" s="1"/>
  <c r="V121" i="57" s="1"/>
  <c r="W121" i="57" s="1"/>
  <c r="X121" i="57" s="1"/>
  <c r="Y121" i="57" s="1"/>
  <c r="Z121" i="57" s="1"/>
  <c r="AA121" i="57" s="1"/>
  <c r="AB121" i="57" s="1"/>
  <c r="AC121" i="57" s="1"/>
  <c r="AD121" i="57" s="1"/>
  <c r="AE121" i="57" s="1"/>
  <c r="AF121" i="57" s="1"/>
  <c r="AG121" i="57" s="1"/>
  <c r="AH121" i="57" s="1"/>
  <c r="AI121" i="57" s="1"/>
  <c r="BJ195" i="57"/>
  <c r="BK195" i="57" s="1"/>
  <c r="BL195" i="57" s="1"/>
  <c r="BM195" i="57" s="1"/>
  <c r="BN195" i="57" s="1"/>
  <c r="BO195" i="57" s="1"/>
  <c r="BP195" i="57" s="1"/>
  <c r="BQ195" i="57" s="1"/>
  <c r="BR195" i="57" s="1"/>
  <c r="BS195" i="57" s="1"/>
  <c r="BT195" i="57" s="1"/>
  <c r="BU195" i="57" s="1"/>
  <c r="BV195" i="57" s="1"/>
  <c r="BW195" i="57" s="1"/>
  <c r="BX195" i="57" s="1"/>
  <c r="BY195" i="57" s="1"/>
  <c r="T233" i="57"/>
  <c r="U233" i="57" s="1"/>
  <c r="V233" i="57" s="1"/>
  <c r="W233" i="57" s="1"/>
  <c r="X233" i="57" s="1"/>
  <c r="Y233" i="57" s="1"/>
  <c r="Z233" i="57" s="1"/>
  <c r="AA233" i="57" s="1"/>
  <c r="AB233" i="57" s="1"/>
  <c r="AC233" i="57" s="1"/>
  <c r="AD233" i="57" s="1"/>
  <c r="AE233" i="57" s="1"/>
  <c r="AF233" i="57" s="1"/>
  <c r="AG233" i="57" s="1"/>
  <c r="AH233" i="57" s="1"/>
  <c r="AI233" i="57" s="1"/>
  <c r="T209" i="57"/>
  <c r="U209" i="57" s="1"/>
  <c r="V209" i="57" s="1"/>
  <c r="W209" i="57" s="1"/>
  <c r="X209" i="57" s="1"/>
  <c r="Y209" i="57" s="1"/>
  <c r="Z209" i="57" s="1"/>
  <c r="AA209" i="57" s="1"/>
  <c r="AB209" i="57" s="1"/>
  <c r="AC209" i="57" s="1"/>
  <c r="AD209" i="57" s="1"/>
  <c r="AE209" i="57" s="1"/>
  <c r="AF209" i="57" s="1"/>
  <c r="AG209" i="57" s="1"/>
  <c r="AH209" i="57" s="1"/>
  <c r="AI209" i="57" s="1"/>
  <c r="BJ68" i="57"/>
  <c r="BK68" i="57" s="1"/>
  <c r="BL68" i="57" s="1"/>
  <c r="BM68" i="57" s="1"/>
  <c r="BN68" i="57" s="1"/>
  <c r="BO68" i="57" s="1"/>
  <c r="BP68" i="57" s="1"/>
  <c r="BQ68" i="57" s="1"/>
  <c r="BR68" i="57" s="1"/>
  <c r="BS68" i="57" s="1"/>
  <c r="BT68" i="57" s="1"/>
  <c r="BU68" i="57" s="1"/>
  <c r="BV68" i="57" s="1"/>
  <c r="BW68" i="57" s="1"/>
  <c r="BX68" i="57" s="1"/>
  <c r="BY68" i="57" s="1"/>
  <c r="BJ175" i="57"/>
  <c r="BK175" i="57" s="1"/>
  <c r="BL175" i="57" s="1"/>
  <c r="BM175" i="57" s="1"/>
  <c r="BN175" i="57" s="1"/>
  <c r="BO175" i="57" s="1"/>
  <c r="BP175" i="57" s="1"/>
  <c r="BQ175" i="57" s="1"/>
  <c r="BR175" i="57" s="1"/>
  <c r="BS175" i="57" s="1"/>
  <c r="BT175" i="57" s="1"/>
  <c r="BU175" i="57" s="1"/>
  <c r="BV175" i="57" s="1"/>
  <c r="BW175" i="57" s="1"/>
  <c r="BX175" i="57" s="1"/>
  <c r="BY175" i="57" s="1"/>
  <c r="T239" i="57"/>
  <c r="U239" i="57" s="1"/>
  <c r="V239" i="57" s="1"/>
  <c r="W239" i="57" s="1"/>
  <c r="X239" i="57" s="1"/>
  <c r="Y239" i="57" s="1"/>
  <c r="Z239" i="57" s="1"/>
  <c r="AA239" i="57" s="1"/>
  <c r="AB239" i="57" s="1"/>
  <c r="AC239" i="57" s="1"/>
  <c r="AD239" i="57" s="1"/>
  <c r="AE239" i="57" s="1"/>
  <c r="AF239" i="57" s="1"/>
  <c r="AG239" i="57" s="1"/>
  <c r="AH239" i="57" s="1"/>
  <c r="AI239" i="57" s="1"/>
  <c r="D62" i="57"/>
  <c r="E62" i="57" s="1"/>
  <c r="F62" i="57" s="1"/>
  <c r="G62" i="57" s="1"/>
  <c r="H62" i="57" s="1"/>
  <c r="I62" i="57" s="1"/>
  <c r="J62" i="57" s="1"/>
  <c r="K62" i="57" s="1"/>
  <c r="L62" i="57" s="1"/>
  <c r="M62" i="57" s="1"/>
  <c r="N62" i="57" s="1"/>
  <c r="O62" i="57" s="1"/>
  <c r="P62" i="57" s="1"/>
  <c r="Q62" i="57" s="1"/>
  <c r="R62" i="57" s="1"/>
  <c r="S62" i="57" s="1"/>
  <c r="T62" i="57" s="1"/>
  <c r="U62" i="57" s="1"/>
  <c r="V62" i="57" s="1"/>
  <c r="W62" i="57" s="1"/>
  <c r="X62" i="57" s="1"/>
  <c r="Y62" i="57" s="1"/>
  <c r="Z62" i="57" s="1"/>
  <c r="AA62" i="57" s="1"/>
  <c r="AB62" i="57" s="1"/>
  <c r="AC62" i="57" s="1"/>
  <c r="AD62" i="57" s="1"/>
  <c r="AE62" i="57" s="1"/>
  <c r="AF62" i="57" s="1"/>
  <c r="AG62" i="57" s="1"/>
  <c r="AH62" i="57" s="1"/>
  <c r="AI62" i="57" s="1"/>
  <c r="D32" i="57"/>
  <c r="E32" i="57" s="1"/>
  <c r="F32" i="57" s="1"/>
  <c r="G32" i="57" s="1"/>
  <c r="H32" i="57" s="1"/>
  <c r="I32" i="57" s="1"/>
  <c r="J32" i="57" s="1"/>
  <c r="K32" i="57" s="1"/>
  <c r="L32" i="57" s="1"/>
  <c r="M32" i="57" s="1"/>
  <c r="N32" i="57" s="1"/>
  <c r="O32" i="57" s="1"/>
  <c r="P32" i="57" s="1"/>
  <c r="Q32" i="57" s="1"/>
  <c r="R32" i="57" s="1"/>
  <c r="S32" i="57" s="1"/>
  <c r="T32" i="57" s="1"/>
  <c r="U32" i="57" s="1"/>
  <c r="V32" i="57" s="1"/>
  <c r="W32" i="57" s="1"/>
  <c r="X32" i="57" s="1"/>
  <c r="Y32" i="57" s="1"/>
  <c r="Z32" i="57" s="1"/>
  <c r="AA32" i="57" s="1"/>
  <c r="AB32" i="57" s="1"/>
  <c r="AC32" i="57" s="1"/>
  <c r="AD32" i="57" s="1"/>
  <c r="AE32" i="57" s="1"/>
  <c r="AF32" i="57" s="1"/>
  <c r="AG32" i="57" s="1"/>
  <c r="AH32" i="57" s="1"/>
  <c r="AI32" i="57" s="1"/>
  <c r="T138" i="57"/>
  <c r="U138" i="57" s="1"/>
  <c r="V138" i="57" s="1"/>
  <c r="W138" i="57" s="1"/>
  <c r="X138" i="57" s="1"/>
  <c r="Y138" i="57" s="1"/>
  <c r="Z138" i="57" s="1"/>
  <c r="AA138" i="57" s="1"/>
  <c r="AB138" i="57" s="1"/>
  <c r="AC138" i="57" s="1"/>
  <c r="AD138" i="57" s="1"/>
  <c r="AE138" i="57" s="1"/>
  <c r="AF138" i="57" s="1"/>
  <c r="AG138" i="57" s="1"/>
  <c r="AH138" i="57" s="1"/>
  <c r="AI138" i="57" s="1"/>
  <c r="T110" i="57"/>
  <c r="U110" i="57" s="1"/>
  <c r="V110" i="57" s="1"/>
  <c r="W110" i="57" s="1"/>
  <c r="X110" i="57" s="1"/>
  <c r="Y110" i="57" s="1"/>
  <c r="Z110" i="57" s="1"/>
  <c r="AA110" i="57" s="1"/>
  <c r="AB110" i="57" s="1"/>
  <c r="AC110" i="57" s="1"/>
  <c r="AD110" i="57" s="1"/>
  <c r="AE110" i="57" s="1"/>
  <c r="AF110" i="57" s="1"/>
  <c r="AG110" i="57" s="1"/>
  <c r="AH110" i="57" s="1"/>
  <c r="AI110" i="57" s="1"/>
  <c r="D68" i="57"/>
  <c r="E68" i="57" s="1"/>
  <c r="F68" i="57" s="1"/>
  <c r="G68" i="57" s="1"/>
  <c r="H68" i="57" s="1"/>
  <c r="I68" i="57" s="1"/>
  <c r="J68" i="57" s="1"/>
  <c r="K68" i="57" s="1"/>
  <c r="L68" i="57" s="1"/>
  <c r="M68" i="57" s="1"/>
  <c r="N68" i="57" s="1"/>
  <c r="O68" i="57" s="1"/>
  <c r="P68" i="57" s="1"/>
  <c r="Q68" i="57" s="1"/>
  <c r="R68" i="57" s="1"/>
  <c r="S68" i="57" s="1"/>
  <c r="T68" i="57" s="1"/>
  <c r="U68" i="57" s="1"/>
  <c r="V68" i="57" s="1"/>
  <c r="W68" i="57" s="1"/>
  <c r="X68" i="57" s="1"/>
  <c r="Y68" i="57" s="1"/>
  <c r="Z68" i="57" s="1"/>
  <c r="AA68" i="57" s="1"/>
  <c r="AB68" i="57" s="1"/>
  <c r="AC68" i="57" s="1"/>
  <c r="AD68" i="57" s="1"/>
  <c r="AE68" i="57" s="1"/>
  <c r="AF68" i="57" s="1"/>
  <c r="AG68" i="57" s="1"/>
  <c r="AH68" i="57" s="1"/>
  <c r="AI68" i="57" s="1"/>
  <c r="BZ122" i="57"/>
  <c r="CA122" i="57" s="1"/>
  <c r="CB122" i="57" s="1"/>
  <c r="CC122" i="57" s="1"/>
  <c r="CD122" i="57" s="1"/>
  <c r="CE122" i="57" s="1"/>
  <c r="CF122" i="57" s="1"/>
  <c r="CG122" i="57" s="1"/>
  <c r="CH122" i="57" s="1"/>
  <c r="F149" i="57"/>
  <c r="G149" i="57" s="1"/>
  <c r="H149" i="57" s="1"/>
  <c r="I149" i="57" s="1"/>
  <c r="J149" i="57" s="1"/>
  <c r="K149" i="57" s="1"/>
  <c r="L149" i="57" s="1"/>
  <c r="M149" i="57" s="1"/>
  <c r="N149" i="57" s="1"/>
  <c r="O149" i="57" s="1"/>
  <c r="P149" i="57" s="1"/>
  <c r="Q149" i="57" s="1"/>
  <c r="R149" i="57" s="1"/>
  <c r="S149" i="57" s="1"/>
  <c r="T149" i="57" s="1"/>
  <c r="U149" i="57" s="1"/>
  <c r="V149" i="57" s="1"/>
  <c r="W149" i="57" s="1"/>
  <c r="X149" i="57" s="1"/>
  <c r="Y149" i="57" s="1"/>
  <c r="Z149" i="57" s="1"/>
  <c r="AA149" i="57" s="1"/>
  <c r="AB149" i="57" s="1"/>
  <c r="AC149" i="57" s="1"/>
  <c r="AD149" i="57" s="1"/>
  <c r="AE149" i="57" s="1"/>
  <c r="AF149" i="57" s="1"/>
  <c r="AG149" i="57" s="1"/>
  <c r="AH149" i="57" s="1"/>
  <c r="AI149" i="57" s="1"/>
  <c r="AJ149" i="57" s="1"/>
  <c r="AK149" i="57" s="1"/>
  <c r="AL149" i="57" s="1"/>
  <c r="AM149" i="57" s="1"/>
  <c r="AN149" i="57" s="1"/>
  <c r="AO149" i="57" s="1"/>
  <c r="AP149" i="57" s="1"/>
  <c r="AQ149" i="57" s="1"/>
  <c r="BZ77" i="57"/>
  <c r="CA77" i="57" s="1"/>
  <c r="CB77" i="57" s="1"/>
  <c r="CC77" i="57" s="1"/>
  <c r="CD77" i="57" s="1"/>
  <c r="CE77" i="57" s="1"/>
  <c r="CF77" i="57" s="1"/>
  <c r="CG77" i="57" s="1"/>
  <c r="BZ121" i="57"/>
  <c r="CA121" i="57" s="1"/>
  <c r="CB121" i="57" s="1"/>
  <c r="CC121" i="57" s="1"/>
  <c r="CD121" i="57" s="1"/>
  <c r="CE121" i="57" s="1"/>
  <c r="CF121" i="57" s="1"/>
  <c r="CG121" i="57" s="1"/>
  <c r="BJ170" i="57"/>
  <c r="BK170" i="57" s="1"/>
  <c r="BL170" i="57" s="1"/>
  <c r="BM170" i="57" s="1"/>
  <c r="BN170" i="57" s="1"/>
  <c r="BO170" i="57" s="1"/>
  <c r="BP170" i="57" s="1"/>
  <c r="BQ170" i="57" s="1"/>
  <c r="BR170" i="57" s="1"/>
  <c r="BS170" i="57" s="1"/>
  <c r="BT170" i="57" s="1"/>
  <c r="BU170" i="57" s="1"/>
  <c r="BV170" i="57" s="1"/>
  <c r="BW170" i="57" s="1"/>
  <c r="BX170" i="57" s="1"/>
  <c r="BY170" i="57" s="1"/>
  <c r="BZ223" i="57"/>
  <c r="CA223" i="57" s="1"/>
  <c r="CB223" i="57" s="1"/>
  <c r="CC223" i="57" s="1"/>
  <c r="CD223" i="57" s="1"/>
  <c r="CE223" i="57" s="1"/>
  <c r="CF223" i="57" s="1"/>
  <c r="CG223" i="57" s="1"/>
  <c r="D22" i="57"/>
  <c r="E22" i="57" s="1"/>
  <c r="F22" i="57" s="1"/>
  <c r="G22" i="57" s="1"/>
  <c r="H22" i="57" s="1"/>
  <c r="I22" i="57" s="1"/>
  <c r="J22" i="57" s="1"/>
  <c r="K22" i="57" s="1"/>
  <c r="L22" i="57" s="1"/>
  <c r="M22" i="57" s="1"/>
  <c r="N22" i="57" s="1"/>
  <c r="O22" i="57" s="1"/>
  <c r="P22" i="57" s="1"/>
  <c r="Q22" i="57" s="1"/>
  <c r="R22" i="57" s="1"/>
  <c r="S22" i="57" s="1"/>
  <c r="T22" i="57" s="1"/>
  <c r="U22" i="57" s="1"/>
  <c r="V22" i="57" s="1"/>
  <c r="W22" i="57" s="1"/>
  <c r="X22" i="57" s="1"/>
  <c r="Y22" i="57" s="1"/>
  <c r="Z22" i="57" s="1"/>
  <c r="AA22" i="57" s="1"/>
  <c r="AB22" i="57" s="1"/>
  <c r="AC22" i="57" s="1"/>
  <c r="AD22" i="57" s="1"/>
  <c r="AE22" i="57" s="1"/>
  <c r="AF22" i="57" s="1"/>
  <c r="AG22" i="57" s="1"/>
  <c r="AH22" i="57" s="1"/>
  <c r="AI22" i="57" s="1"/>
  <c r="BJ191" i="57"/>
  <c r="BK191" i="57" s="1"/>
  <c r="BL191" i="57" s="1"/>
  <c r="BM191" i="57" s="1"/>
  <c r="BN191" i="57" s="1"/>
  <c r="BO191" i="57" s="1"/>
  <c r="BP191" i="57" s="1"/>
  <c r="BQ191" i="57" s="1"/>
  <c r="BR191" i="57" s="1"/>
  <c r="BS191" i="57" s="1"/>
  <c r="BT191" i="57" s="1"/>
  <c r="BU191" i="57" s="1"/>
  <c r="BV191" i="57" s="1"/>
  <c r="BW191" i="57" s="1"/>
  <c r="BX191" i="57" s="1"/>
  <c r="BY191" i="57" s="1"/>
  <c r="BJ62" i="57"/>
  <c r="BK62" i="57" s="1"/>
  <c r="BL62" i="57" s="1"/>
  <c r="BM62" i="57" s="1"/>
  <c r="BN62" i="57" s="1"/>
  <c r="BO62" i="57" s="1"/>
  <c r="BP62" i="57" s="1"/>
  <c r="BQ62" i="57" s="1"/>
  <c r="BR62" i="57" s="1"/>
  <c r="BS62" i="57" s="1"/>
  <c r="BT62" i="57" s="1"/>
  <c r="BU62" i="57" s="1"/>
  <c r="BV62" i="57" s="1"/>
  <c r="BW62" i="57" s="1"/>
  <c r="BX62" i="57" s="1"/>
  <c r="BY62" i="57" s="1"/>
  <c r="AJ93" i="57"/>
  <c r="AK93" i="57" s="1"/>
  <c r="AL93" i="57" s="1"/>
  <c r="AM93" i="57" s="1"/>
  <c r="AN93" i="57" s="1"/>
  <c r="AO93" i="57" s="1"/>
  <c r="AP93" i="57" s="1"/>
  <c r="AQ93" i="57" s="1"/>
  <c r="BR221" i="57"/>
  <c r="BS221" i="57" s="1"/>
  <c r="BT221" i="57" s="1"/>
  <c r="BU221" i="57" s="1"/>
  <c r="BV221" i="57" s="1"/>
  <c r="BW221" i="57" s="1"/>
  <c r="BX221" i="57" s="1"/>
  <c r="BY221" i="57" s="1"/>
  <c r="BJ233" i="57"/>
  <c r="BK233" i="57" s="1"/>
  <c r="BL233" i="57" s="1"/>
  <c r="BM233" i="57" s="1"/>
  <c r="BN233" i="57" s="1"/>
  <c r="BO233" i="57" s="1"/>
  <c r="BP233" i="57" s="1"/>
  <c r="BQ233" i="57" s="1"/>
  <c r="BR233" i="57" s="1"/>
  <c r="BS233" i="57" s="1"/>
  <c r="BT233" i="57" s="1"/>
  <c r="BU233" i="57" s="1"/>
  <c r="BV233" i="57" s="1"/>
  <c r="BW233" i="57" s="1"/>
  <c r="BX233" i="57" s="1"/>
  <c r="BY233" i="57" s="1"/>
  <c r="T145" i="57"/>
  <c r="U145" i="57" s="1"/>
  <c r="V145" i="57" s="1"/>
  <c r="W145" i="57" s="1"/>
  <c r="X145" i="57" s="1"/>
  <c r="Y145" i="57" s="1"/>
  <c r="Z145" i="57" s="1"/>
  <c r="AA145" i="57" s="1"/>
  <c r="AB145" i="57" s="1"/>
  <c r="AC145" i="57" s="1"/>
  <c r="AD145" i="57" s="1"/>
  <c r="AE145" i="57" s="1"/>
  <c r="AF145" i="57" s="1"/>
  <c r="AG145" i="57" s="1"/>
  <c r="AH145" i="57" s="1"/>
  <c r="AI145" i="57" s="1"/>
  <c r="BR151" i="57"/>
  <c r="BS151" i="57" s="1"/>
  <c r="BT151" i="57" s="1"/>
  <c r="BU151" i="57" s="1"/>
  <c r="BV151" i="57" s="1"/>
  <c r="BW151" i="57" s="1"/>
  <c r="BX151" i="57" s="1"/>
  <c r="BY151" i="57" s="1"/>
  <c r="BZ165" i="57"/>
  <c r="CA165" i="57" s="1"/>
  <c r="CB165" i="57" s="1"/>
  <c r="CC165" i="57" s="1"/>
  <c r="CD165" i="57" s="1"/>
  <c r="CE165" i="57" s="1"/>
  <c r="CF165" i="57" s="1"/>
  <c r="CG165" i="57" s="1"/>
  <c r="F241" i="57"/>
  <c r="G241" i="57" s="1"/>
  <c r="H241" i="57" s="1"/>
  <c r="I241" i="57" s="1"/>
  <c r="J241" i="57" s="1"/>
  <c r="K241" i="57" s="1"/>
  <c r="L241" i="57" s="1"/>
  <c r="M241" i="57" s="1"/>
  <c r="N241" i="57" s="1"/>
  <c r="O241" i="57" s="1"/>
  <c r="P241" i="57" s="1"/>
  <c r="Q241" i="57" s="1"/>
  <c r="R241" i="57" s="1"/>
  <c r="S241" i="57" s="1"/>
  <c r="T241" i="57" s="1"/>
  <c r="U241" i="57" s="1"/>
  <c r="V241" i="57" s="1"/>
  <c r="W241" i="57" s="1"/>
  <c r="X241" i="57" s="1"/>
  <c r="Y241" i="57" s="1"/>
  <c r="Z241" i="57" s="1"/>
  <c r="AA241" i="57" s="1"/>
  <c r="AB241" i="57" s="1"/>
  <c r="AC241" i="57" s="1"/>
  <c r="AD241" i="57" s="1"/>
  <c r="AE241" i="57" s="1"/>
  <c r="AF241" i="57" s="1"/>
  <c r="AG241" i="57" s="1"/>
  <c r="AH241" i="57" s="1"/>
  <c r="AI241" i="57" s="1"/>
  <c r="D45" i="57"/>
  <c r="E45" i="57" s="1"/>
  <c r="F45" i="57" s="1"/>
  <c r="G45" i="57" s="1"/>
  <c r="H45" i="57" s="1"/>
  <c r="I45" i="57" s="1"/>
  <c r="J45" i="57" s="1"/>
  <c r="K45" i="57" s="1"/>
  <c r="L45" i="57" s="1"/>
  <c r="M45" i="57" s="1"/>
  <c r="N45" i="57" s="1"/>
  <c r="O45" i="57" s="1"/>
  <c r="P45" i="57" s="1"/>
  <c r="Q45" i="57" s="1"/>
  <c r="R45" i="57" s="1"/>
  <c r="S45" i="57" s="1"/>
  <c r="T45" i="57" s="1"/>
  <c r="U45" i="57" s="1"/>
  <c r="V45" i="57" s="1"/>
  <c r="W45" i="57" s="1"/>
  <c r="X45" i="57" s="1"/>
  <c r="Y45" i="57" s="1"/>
  <c r="Z45" i="57" s="1"/>
  <c r="AA45" i="57" s="1"/>
  <c r="AB45" i="57" s="1"/>
  <c r="AC45" i="57" s="1"/>
  <c r="AD45" i="57" s="1"/>
  <c r="AE45" i="57" s="1"/>
  <c r="AF45" i="57" s="1"/>
  <c r="AG45" i="57" s="1"/>
  <c r="AH45" i="57" s="1"/>
  <c r="AI45" i="57" s="1"/>
  <c r="BZ181" i="57"/>
  <c r="T129" i="57"/>
  <c r="U129" i="57" s="1"/>
  <c r="V129" i="57" s="1"/>
  <c r="W129" i="57" s="1"/>
  <c r="X129" i="57" s="1"/>
  <c r="Y129" i="57" s="1"/>
  <c r="Z129" i="57" s="1"/>
  <c r="AA129" i="57" s="1"/>
  <c r="AB129" i="57" s="1"/>
  <c r="AC129" i="57" s="1"/>
  <c r="AD129" i="57" s="1"/>
  <c r="AE129" i="57" s="1"/>
  <c r="AF129" i="57" s="1"/>
  <c r="AG129" i="57" s="1"/>
  <c r="AH129" i="57" s="1"/>
  <c r="AI129" i="57" s="1"/>
  <c r="BZ99" i="57"/>
  <c r="CA99" i="57" s="1"/>
  <c r="CB99" i="57" s="1"/>
  <c r="CC99" i="57" s="1"/>
  <c r="CD99" i="57" s="1"/>
  <c r="CE99" i="57" s="1"/>
  <c r="CF99" i="57" s="1"/>
  <c r="CG99" i="57" s="1"/>
  <c r="F214" i="57"/>
  <c r="G214" i="57" s="1"/>
  <c r="H214" i="57" s="1"/>
  <c r="I214" i="57" s="1"/>
  <c r="J214" i="57" s="1"/>
  <c r="K214" i="57" s="1"/>
  <c r="L214" i="57" s="1"/>
  <c r="M214" i="57" s="1"/>
  <c r="N214" i="57" s="1"/>
  <c r="O214" i="57" s="1"/>
  <c r="P214" i="57" s="1"/>
  <c r="Q214" i="57" s="1"/>
  <c r="R214" i="57" s="1"/>
  <c r="S214" i="57" s="1"/>
  <c r="T214" i="57" s="1"/>
  <c r="U214" i="57" s="1"/>
  <c r="V214" i="57" s="1"/>
  <c r="W214" i="57" s="1"/>
  <c r="X214" i="57" s="1"/>
  <c r="Y214" i="57" s="1"/>
  <c r="Z214" i="57" s="1"/>
  <c r="AA214" i="57" s="1"/>
  <c r="AB214" i="57" s="1"/>
  <c r="AC214" i="57" s="1"/>
  <c r="AD214" i="57" s="1"/>
  <c r="AE214" i="57" s="1"/>
  <c r="AF214" i="57" s="1"/>
  <c r="AG214" i="57" s="1"/>
  <c r="AH214" i="57" s="1"/>
  <c r="AI214" i="57" s="1"/>
  <c r="BR194" i="57"/>
  <c r="BS194" i="57" s="1"/>
  <c r="BT194" i="57" s="1"/>
  <c r="BU194" i="57" s="1"/>
  <c r="BV194" i="57" s="1"/>
  <c r="BW194" i="57" s="1"/>
  <c r="BX194" i="57" s="1"/>
  <c r="BY194" i="57" s="1"/>
  <c r="BJ138" i="57"/>
  <c r="BK138" i="57" s="1"/>
  <c r="BL138" i="57" s="1"/>
  <c r="BM138" i="57" s="1"/>
  <c r="BN138" i="57" s="1"/>
  <c r="BO138" i="57" s="1"/>
  <c r="BP138" i="57" s="1"/>
  <c r="BQ138" i="57" s="1"/>
  <c r="BR138" i="57" s="1"/>
  <c r="BS138" i="57" s="1"/>
  <c r="BT138" i="57" s="1"/>
  <c r="BU138" i="57" s="1"/>
  <c r="BV138" i="57" s="1"/>
  <c r="BW138" i="57" s="1"/>
  <c r="BX138" i="57" s="1"/>
  <c r="BY138" i="57" s="1"/>
  <c r="T170" i="57"/>
  <c r="U170" i="57" s="1"/>
  <c r="V170" i="57" s="1"/>
  <c r="W170" i="57" s="1"/>
  <c r="X170" i="57" s="1"/>
  <c r="Y170" i="57" s="1"/>
  <c r="Z170" i="57" s="1"/>
  <c r="AA170" i="57" s="1"/>
  <c r="AB170" i="57" s="1"/>
  <c r="AC170" i="57" s="1"/>
  <c r="AD170" i="57" s="1"/>
  <c r="AE170" i="57" s="1"/>
  <c r="AF170" i="57" s="1"/>
  <c r="AG170" i="57" s="1"/>
  <c r="AH170" i="57" s="1"/>
  <c r="AI170" i="57" s="1"/>
  <c r="C25" i="62"/>
  <c r="BZ173" i="57"/>
  <c r="CA173" i="57" s="1"/>
  <c r="CB173" i="57" s="1"/>
  <c r="CC173" i="57" s="1"/>
  <c r="CD173" i="57" s="1"/>
  <c r="CE173" i="57" s="1"/>
  <c r="CF173" i="57" s="1"/>
  <c r="CG173" i="57" s="1"/>
  <c r="D9" i="57"/>
  <c r="E9" i="57" s="1"/>
  <c r="F9" i="57" s="1"/>
  <c r="G9" i="57" s="1"/>
  <c r="H9" i="57" s="1"/>
  <c r="I9" i="57" s="1"/>
  <c r="J9" i="57" s="1"/>
  <c r="K9" i="57" s="1"/>
  <c r="L9" i="57" s="1"/>
  <c r="M9" i="57" s="1"/>
  <c r="N9" i="57" s="1"/>
  <c r="O9" i="57" s="1"/>
  <c r="P9" i="57" s="1"/>
  <c r="Q9" i="57" s="1"/>
  <c r="R9" i="57" s="1"/>
  <c r="S9" i="57" s="1"/>
  <c r="T9" i="57" s="1"/>
  <c r="U9" i="57" s="1"/>
  <c r="V9" i="57" s="1"/>
  <c r="W9" i="57" s="1"/>
  <c r="X9" i="57" s="1"/>
  <c r="Y9" i="57" s="1"/>
  <c r="Z9" i="57" s="1"/>
  <c r="AA9" i="57" s="1"/>
  <c r="AB9" i="57" s="1"/>
  <c r="AC9" i="57" s="1"/>
  <c r="AD9" i="57" s="1"/>
  <c r="AE9" i="57" s="1"/>
  <c r="AF9" i="57" s="1"/>
  <c r="AG9" i="57" s="1"/>
  <c r="AH9" i="57" s="1"/>
  <c r="AI9" i="57" s="1"/>
  <c r="BZ107" i="57"/>
  <c r="CA107" i="57" s="1"/>
  <c r="CB107" i="57" s="1"/>
  <c r="CC107" i="57" s="1"/>
  <c r="CD107" i="57" s="1"/>
  <c r="CE107" i="57" s="1"/>
  <c r="CF107" i="57" s="1"/>
  <c r="CG107" i="57" s="1"/>
  <c r="AJ12" i="57"/>
  <c r="AK12" i="57" s="1"/>
  <c r="AL12" i="57" s="1"/>
  <c r="AM12" i="57" s="1"/>
  <c r="AN12" i="57" s="1"/>
  <c r="AO12" i="57" s="1"/>
  <c r="AP12" i="57" s="1"/>
  <c r="AQ12" i="57" s="1"/>
  <c r="BZ234" i="57"/>
  <c r="CA234" i="57" s="1"/>
  <c r="CB234" i="57" s="1"/>
  <c r="CC234" i="57" s="1"/>
  <c r="CD234" i="57" s="1"/>
  <c r="CE234" i="57" s="1"/>
  <c r="CF234" i="57" s="1"/>
  <c r="CG234" i="57" s="1"/>
  <c r="T234" i="57"/>
  <c r="U234" i="57" s="1"/>
  <c r="V234" i="57" s="1"/>
  <c r="W234" i="57" s="1"/>
  <c r="X234" i="57" s="1"/>
  <c r="Y234" i="57" s="1"/>
  <c r="Z234" i="57" s="1"/>
  <c r="AA234" i="57" s="1"/>
  <c r="AB234" i="57" s="1"/>
  <c r="AC234" i="57" s="1"/>
  <c r="AD234" i="57" s="1"/>
  <c r="AE234" i="57" s="1"/>
  <c r="AF234" i="57" s="1"/>
  <c r="AG234" i="57" s="1"/>
  <c r="AH234" i="57" s="1"/>
  <c r="AI234" i="57" s="1"/>
  <c r="AJ119" i="57"/>
  <c r="AK119" i="57" s="1"/>
  <c r="AL119" i="57" s="1"/>
  <c r="AM119" i="57" s="1"/>
  <c r="AN119" i="57" s="1"/>
  <c r="AO119" i="57" s="1"/>
  <c r="AP119" i="57" s="1"/>
  <c r="AQ119" i="57" s="1"/>
  <c r="BZ61" i="57"/>
  <c r="CA61" i="57" s="1"/>
  <c r="CB61" i="57" s="1"/>
  <c r="CC61" i="57" s="1"/>
  <c r="CD61" i="57" s="1"/>
  <c r="CE61" i="57" s="1"/>
  <c r="CF61" i="57" s="1"/>
  <c r="CG61" i="57" s="1"/>
  <c r="BJ41" i="57"/>
  <c r="BK41" i="57" s="1"/>
  <c r="BL41" i="57" s="1"/>
  <c r="BM41" i="57" s="1"/>
  <c r="BN41" i="57" s="1"/>
  <c r="BO41" i="57" s="1"/>
  <c r="BP41" i="57" s="1"/>
  <c r="BQ41" i="57" s="1"/>
  <c r="BR41" i="57" s="1"/>
  <c r="BS41" i="57" s="1"/>
  <c r="BT41" i="57" s="1"/>
  <c r="BU41" i="57" s="1"/>
  <c r="BV41" i="57" s="1"/>
  <c r="BW41" i="57" s="1"/>
  <c r="BX41" i="57" s="1"/>
  <c r="BY41" i="57" s="1"/>
  <c r="BJ137" i="57"/>
  <c r="BK137" i="57" s="1"/>
  <c r="BL137" i="57" s="1"/>
  <c r="BM137" i="57" s="1"/>
  <c r="BN137" i="57" s="1"/>
  <c r="BO137" i="57" s="1"/>
  <c r="BP137" i="57" s="1"/>
  <c r="BQ137" i="57" s="1"/>
  <c r="BR137" i="57" s="1"/>
  <c r="BS137" i="57" s="1"/>
  <c r="BT137" i="57" s="1"/>
  <c r="BU137" i="57" s="1"/>
  <c r="BV137" i="57" s="1"/>
  <c r="BW137" i="57" s="1"/>
  <c r="BX137" i="57" s="1"/>
  <c r="BY137" i="57" s="1"/>
  <c r="BZ129" i="57"/>
  <c r="CA129" i="57" s="1"/>
  <c r="CB129" i="57" s="1"/>
  <c r="CC129" i="57" s="1"/>
  <c r="CD129" i="57" s="1"/>
  <c r="CE129" i="57" s="1"/>
  <c r="CF129" i="57" s="1"/>
  <c r="CG129" i="57" s="1"/>
  <c r="AJ15" i="57"/>
  <c r="AK15" i="57" s="1"/>
  <c r="AL15" i="57" s="1"/>
  <c r="AM15" i="57" s="1"/>
  <c r="AN15" i="57" s="1"/>
  <c r="AO15" i="57" s="1"/>
  <c r="AP15" i="57" s="1"/>
  <c r="AQ15" i="57" s="1"/>
  <c r="BZ242" i="57"/>
  <c r="CA242" i="57" s="1"/>
  <c r="CB242" i="57" s="1"/>
  <c r="CC242" i="57" s="1"/>
  <c r="CD242" i="57" s="1"/>
  <c r="CE242" i="57" s="1"/>
  <c r="CF242" i="57" s="1"/>
  <c r="CG242" i="57" s="1"/>
  <c r="T5" i="57"/>
  <c r="U5" i="57" s="1"/>
  <c r="V5" i="57" s="1"/>
  <c r="W5" i="57" s="1"/>
  <c r="X5" i="57" s="1"/>
  <c r="Y5" i="57" s="1"/>
  <c r="Z5" i="57" s="1"/>
  <c r="AA5" i="57" s="1"/>
  <c r="AB5" i="57" s="1"/>
  <c r="AC5" i="57" s="1"/>
  <c r="AD5" i="57" s="1"/>
  <c r="AE5" i="57" s="1"/>
  <c r="AF5" i="57" s="1"/>
  <c r="AG5" i="57" s="1"/>
  <c r="AH5" i="57" s="1"/>
  <c r="AI5" i="57" s="1"/>
  <c r="BZ184" i="57"/>
  <c r="CA184" i="57" s="1"/>
  <c r="CB184" i="57" s="1"/>
  <c r="CC184" i="57" s="1"/>
  <c r="CD184" i="57" s="1"/>
  <c r="CE184" i="57" s="1"/>
  <c r="CF184" i="57" s="1"/>
  <c r="CG184" i="57" s="1"/>
  <c r="T194" i="57"/>
  <c r="U194" i="57" s="1"/>
  <c r="V194" i="57" s="1"/>
  <c r="W194" i="57" s="1"/>
  <c r="X194" i="57" s="1"/>
  <c r="Y194" i="57" s="1"/>
  <c r="Z194" i="57" s="1"/>
  <c r="AA194" i="57" s="1"/>
  <c r="AB194" i="57" s="1"/>
  <c r="AC194" i="57" s="1"/>
  <c r="AD194" i="57" s="1"/>
  <c r="AE194" i="57" s="1"/>
  <c r="AF194" i="57" s="1"/>
  <c r="AG194" i="57" s="1"/>
  <c r="AH194" i="57" s="1"/>
  <c r="AI194" i="57" s="1"/>
  <c r="BJ45" i="57"/>
  <c r="BK45" i="57" s="1"/>
  <c r="BL45" i="57" s="1"/>
  <c r="BM45" i="57" s="1"/>
  <c r="BN45" i="57" s="1"/>
  <c r="BO45" i="57" s="1"/>
  <c r="BP45" i="57" s="1"/>
  <c r="BQ45" i="57" s="1"/>
  <c r="BR45" i="57" s="1"/>
  <c r="BS45" i="57" s="1"/>
  <c r="BT45" i="57" s="1"/>
  <c r="BU45" i="57" s="1"/>
  <c r="BV45" i="57" s="1"/>
  <c r="BW45" i="57" s="1"/>
  <c r="BX45" i="57" s="1"/>
  <c r="BY45" i="57" s="1"/>
  <c r="BJ177" i="57"/>
  <c r="BK177" i="57" s="1"/>
  <c r="BL177" i="57" s="1"/>
  <c r="BM177" i="57" s="1"/>
  <c r="BN177" i="57" s="1"/>
  <c r="BO177" i="57" s="1"/>
  <c r="BP177" i="57" s="1"/>
  <c r="BQ177" i="57" s="1"/>
  <c r="BR177" i="57" s="1"/>
  <c r="BS177" i="57" s="1"/>
  <c r="BT177" i="57" s="1"/>
  <c r="BU177" i="57" s="1"/>
  <c r="BV177" i="57" s="1"/>
  <c r="BW177" i="57" s="1"/>
  <c r="BX177" i="57" s="1"/>
  <c r="BY177" i="57" s="1"/>
  <c r="C31" i="62"/>
  <c r="AJ156" i="57"/>
  <c r="AK156" i="57" s="1"/>
  <c r="AL156" i="57" s="1"/>
  <c r="AM156" i="57" s="1"/>
  <c r="AN156" i="57" s="1"/>
  <c r="AO156" i="57" s="1"/>
  <c r="AP156" i="57" s="1"/>
  <c r="AQ156" i="57" s="1"/>
  <c r="AJ215" i="57"/>
  <c r="AK215" i="57" s="1"/>
  <c r="AL215" i="57" s="1"/>
  <c r="AM215" i="57" s="1"/>
  <c r="AN215" i="57" s="1"/>
  <c r="AO215" i="57" s="1"/>
  <c r="AP215" i="57" s="1"/>
  <c r="AQ215" i="57" s="1"/>
  <c r="W22" i="62"/>
  <c r="O22" i="62"/>
  <c r="U22" i="62"/>
  <c r="T228" i="57"/>
  <c r="U228" i="57" s="1"/>
  <c r="V228" i="57" s="1"/>
  <c r="W228" i="57" s="1"/>
  <c r="X228" i="57" s="1"/>
  <c r="Y228" i="57" s="1"/>
  <c r="Z228" i="57" s="1"/>
  <c r="AA228" i="57" s="1"/>
  <c r="AB228" i="57" s="1"/>
  <c r="AC228" i="57" s="1"/>
  <c r="AD228" i="57" s="1"/>
  <c r="AE228" i="57" s="1"/>
  <c r="AF228" i="57" s="1"/>
  <c r="AG228" i="57" s="1"/>
  <c r="AH228" i="57" s="1"/>
  <c r="AI228" i="57" s="1"/>
  <c r="BJ145" i="57"/>
  <c r="BK145" i="57" s="1"/>
  <c r="BL145" i="57" s="1"/>
  <c r="BM145" i="57" s="1"/>
  <c r="BN145" i="57" s="1"/>
  <c r="BO145" i="57" s="1"/>
  <c r="BP145" i="57" s="1"/>
  <c r="BQ145" i="57" s="1"/>
  <c r="BR145" i="57" s="1"/>
  <c r="BS145" i="57" s="1"/>
  <c r="BT145" i="57" s="1"/>
  <c r="BU145" i="57" s="1"/>
  <c r="BV145" i="57" s="1"/>
  <c r="BW145" i="57" s="1"/>
  <c r="BX145" i="57" s="1"/>
  <c r="BY145" i="57" s="1"/>
  <c r="D33" i="57"/>
  <c r="E33" i="57" s="1"/>
  <c r="F33" i="57" s="1"/>
  <c r="G33" i="57" s="1"/>
  <c r="H33" i="57" s="1"/>
  <c r="I33" i="57" s="1"/>
  <c r="J33" i="57" s="1"/>
  <c r="K33" i="57" s="1"/>
  <c r="L33" i="57" s="1"/>
  <c r="M33" i="57" s="1"/>
  <c r="N33" i="57" s="1"/>
  <c r="O33" i="57" s="1"/>
  <c r="P33" i="57" s="1"/>
  <c r="Q33" i="57" s="1"/>
  <c r="R33" i="57" s="1"/>
  <c r="S33" i="57" s="1"/>
  <c r="T33" i="57" s="1"/>
  <c r="U33" i="57" s="1"/>
  <c r="V33" i="57" s="1"/>
  <c r="W33" i="57" s="1"/>
  <c r="X33" i="57" s="1"/>
  <c r="Y33" i="57" s="1"/>
  <c r="Z33" i="57" s="1"/>
  <c r="AA33" i="57" s="1"/>
  <c r="AB33" i="57" s="1"/>
  <c r="AC33" i="57" s="1"/>
  <c r="AD33" i="57" s="1"/>
  <c r="AE33" i="57" s="1"/>
  <c r="AF33" i="57" s="1"/>
  <c r="AG33" i="57" s="1"/>
  <c r="AH33" i="57" s="1"/>
  <c r="AI33" i="57" s="1"/>
  <c r="BJ193" i="57"/>
  <c r="BK193" i="57" s="1"/>
  <c r="BL193" i="57" s="1"/>
  <c r="BM193" i="57" s="1"/>
  <c r="BN193" i="57" s="1"/>
  <c r="BO193" i="57" s="1"/>
  <c r="BP193" i="57" s="1"/>
  <c r="BQ193" i="57" s="1"/>
  <c r="BR193" i="57" s="1"/>
  <c r="BS193" i="57" s="1"/>
  <c r="BT193" i="57" s="1"/>
  <c r="BU193" i="57" s="1"/>
  <c r="BV193" i="57" s="1"/>
  <c r="BW193" i="57" s="1"/>
  <c r="BX193" i="57" s="1"/>
  <c r="BY193" i="57" s="1"/>
  <c r="D10" i="57"/>
  <c r="E10" i="57" s="1"/>
  <c r="F10" i="57" s="1"/>
  <c r="G10" i="57" s="1"/>
  <c r="H10" i="57" s="1"/>
  <c r="I10" i="57" s="1"/>
  <c r="J10" i="57" s="1"/>
  <c r="K10" i="57" s="1"/>
  <c r="L10" i="57" s="1"/>
  <c r="M10" i="57" s="1"/>
  <c r="N10" i="57" s="1"/>
  <c r="O10" i="57" s="1"/>
  <c r="P10" i="57" s="1"/>
  <c r="Q10" i="57" s="1"/>
  <c r="R10" i="57" s="1"/>
  <c r="S10" i="57" s="1"/>
  <c r="T10" i="57" s="1"/>
  <c r="U10" i="57" s="1"/>
  <c r="V10" i="57" s="1"/>
  <c r="W10" i="57" s="1"/>
  <c r="X10" i="57" s="1"/>
  <c r="Y10" i="57" s="1"/>
  <c r="Z10" i="57" s="1"/>
  <c r="AA10" i="57" s="1"/>
  <c r="AB10" i="57" s="1"/>
  <c r="AC10" i="57" s="1"/>
  <c r="AD10" i="57" s="1"/>
  <c r="AE10" i="57" s="1"/>
  <c r="AF10" i="57" s="1"/>
  <c r="AG10" i="57" s="1"/>
  <c r="AH10" i="57" s="1"/>
  <c r="AI10" i="57" s="1"/>
  <c r="T102" i="57"/>
  <c r="U102" i="57" s="1"/>
  <c r="V102" i="57" s="1"/>
  <c r="W102" i="57" s="1"/>
  <c r="X102" i="57" s="1"/>
  <c r="Y102" i="57" s="1"/>
  <c r="Z102" i="57" s="1"/>
  <c r="AA102" i="57" s="1"/>
  <c r="AB102" i="57" s="1"/>
  <c r="AC102" i="57" s="1"/>
  <c r="AD102" i="57" s="1"/>
  <c r="AE102" i="57" s="1"/>
  <c r="AF102" i="57" s="1"/>
  <c r="AG102" i="57" s="1"/>
  <c r="AH102" i="57" s="1"/>
  <c r="AI102" i="57" s="1"/>
  <c r="BJ87" i="57"/>
  <c r="BK87" i="57" s="1"/>
  <c r="BL87" i="57" s="1"/>
  <c r="BM87" i="57" s="1"/>
  <c r="BN87" i="57" s="1"/>
  <c r="BO87" i="57" s="1"/>
  <c r="BP87" i="57" s="1"/>
  <c r="BQ87" i="57" s="1"/>
  <c r="BR87" i="57" s="1"/>
  <c r="BS87" i="57" s="1"/>
  <c r="BT87" i="57" s="1"/>
  <c r="BU87" i="57" s="1"/>
  <c r="BV87" i="57" s="1"/>
  <c r="BW87" i="57" s="1"/>
  <c r="BX87" i="57" s="1"/>
  <c r="BY87" i="57" s="1"/>
  <c r="BJ232" i="57"/>
  <c r="BK232" i="57" s="1"/>
  <c r="BL232" i="57" s="1"/>
  <c r="BM232" i="57" s="1"/>
  <c r="BN232" i="57" s="1"/>
  <c r="BO232" i="57" s="1"/>
  <c r="BP232" i="57" s="1"/>
  <c r="BQ232" i="57" s="1"/>
  <c r="BR232" i="57" s="1"/>
  <c r="BS232" i="57" s="1"/>
  <c r="BT232" i="57" s="1"/>
  <c r="BU232" i="57" s="1"/>
  <c r="BV232" i="57" s="1"/>
  <c r="BW232" i="57" s="1"/>
  <c r="BX232" i="57" s="1"/>
  <c r="BY232" i="57" s="1"/>
  <c r="D44" i="57"/>
  <c r="E44" i="57" s="1"/>
  <c r="F44" i="57" s="1"/>
  <c r="G44" i="57" s="1"/>
  <c r="H44" i="57" s="1"/>
  <c r="I44" i="57" s="1"/>
  <c r="J44" i="57" s="1"/>
  <c r="K44" i="57" s="1"/>
  <c r="L44" i="57" s="1"/>
  <c r="M44" i="57" s="1"/>
  <c r="N44" i="57" s="1"/>
  <c r="O44" i="57" s="1"/>
  <c r="P44" i="57" s="1"/>
  <c r="Q44" i="57" s="1"/>
  <c r="R44" i="57" s="1"/>
  <c r="S44" i="57" s="1"/>
  <c r="T44" i="57" s="1"/>
  <c r="U44" i="57" s="1"/>
  <c r="V44" i="57" s="1"/>
  <c r="W44" i="57" s="1"/>
  <c r="X44" i="57" s="1"/>
  <c r="Y44" i="57" s="1"/>
  <c r="Z44" i="57" s="1"/>
  <c r="AA44" i="57" s="1"/>
  <c r="AB44" i="57" s="1"/>
  <c r="AC44" i="57" s="1"/>
  <c r="AD44" i="57" s="1"/>
  <c r="AE44" i="57" s="1"/>
  <c r="AF44" i="57" s="1"/>
  <c r="AG44" i="57" s="1"/>
  <c r="AH44" i="57" s="1"/>
  <c r="AI44" i="57" s="1"/>
  <c r="BZ116" i="57"/>
  <c r="CA116" i="57" s="1"/>
  <c r="CB116" i="57" s="1"/>
  <c r="CC116" i="57" s="1"/>
  <c r="CD116" i="57" s="1"/>
  <c r="CE116" i="57" s="1"/>
  <c r="CF116" i="57" s="1"/>
  <c r="CG116" i="57" s="1"/>
  <c r="T211" i="57"/>
  <c r="U211" i="57" s="1"/>
  <c r="V211" i="57" s="1"/>
  <c r="W211" i="57" s="1"/>
  <c r="X211" i="57" s="1"/>
  <c r="Y211" i="57" s="1"/>
  <c r="Z211" i="57" s="1"/>
  <c r="AA211" i="57" s="1"/>
  <c r="AB211" i="57" s="1"/>
  <c r="AC211" i="57" s="1"/>
  <c r="AD211" i="57" s="1"/>
  <c r="AE211" i="57" s="1"/>
  <c r="AF211" i="57" s="1"/>
  <c r="AG211" i="57" s="1"/>
  <c r="AH211" i="57" s="1"/>
  <c r="AI211" i="57" s="1"/>
  <c r="BZ44" i="57"/>
  <c r="CA44" i="57" s="1"/>
  <c r="CB44" i="57" s="1"/>
  <c r="CC44" i="57" s="1"/>
  <c r="CD44" i="57" s="1"/>
  <c r="CE44" i="57" s="1"/>
  <c r="CF44" i="57" s="1"/>
  <c r="CG44" i="57" s="1"/>
  <c r="BZ179" i="57"/>
  <c r="CA179" i="57" s="1"/>
  <c r="CB179" i="57" s="1"/>
  <c r="CC179" i="57" s="1"/>
  <c r="CD179" i="57" s="1"/>
  <c r="CE179" i="57" s="1"/>
  <c r="CF179" i="57" s="1"/>
  <c r="CG179" i="57" s="1"/>
  <c r="AJ134" i="57"/>
  <c r="AK134" i="57" s="1"/>
  <c r="AL134" i="57" s="1"/>
  <c r="AM134" i="57" s="1"/>
  <c r="AN134" i="57" s="1"/>
  <c r="AO134" i="57" s="1"/>
  <c r="AP134" i="57" s="1"/>
  <c r="AQ134" i="57" s="1"/>
  <c r="BJ96" i="57"/>
  <c r="BK96" i="57" s="1"/>
  <c r="BL96" i="57" s="1"/>
  <c r="BM96" i="57" s="1"/>
  <c r="BN96" i="57" s="1"/>
  <c r="BO96" i="57" s="1"/>
  <c r="BP96" i="57" s="1"/>
  <c r="BQ96" i="57" s="1"/>
  <c r="BR96" i="57" s="1"/>
  <c r="BS96" i="57" s="1"/>
  <c r="BT96" i="57" s="1"/>
  <c r="BU96" i="57" s="1"/>
  <c r="BV96" i="57" s="1"/>
  <c r="BW96" i="57" s="1"/>
  <c r="BX96" i="57" s="1"/>
  <c r="BY96" i="57" s="1"/>
  <c r="BJ51" i="57"/>
  <c r="BK51" i="57" s="1"/>
  <c r="BL51" i="57" s="1"/>
  <c r="BM51" i="57" s="1"/>
  <c r="BN51" i="57" s="1"/>
  <c r="BO51" i="57" s="1"/>
  <c r="BP51" i="57" s="1"/>
  <c r="BQ51" i="57" s="1"/>
  <c r="BR51" i="57" s="1"/>
  <c r="BS51" i="57" s="1"/>
  <c r="BT51" i="57" s="1"/>
  <c r="BU51" i="57" s="1"/>
  <c r="BV51" i="57" s="1"/>
  <c r="BW51" i="57" s="1"/>
  <c r="BX51" i="57" s="1"/>
  <c r="BY51" i="57" s="1"/>
  <c r="T201" i="57"/>
  <c r="U201" i="57" s="1"/>
  <c r="V201" i="57" s="1"/>
  <c r="W201" i="57" s="1"/>
  <c r="X201" i="57" s="1"/>
  <c r="Y201" i="57" s="1"/>
  <c r="Z201" i="57" s="1"/>
  <c r="AA201" i="57" s="1"/>
  <c r="AB201" i="57" s="1"/>
  <c r="AC201" i="57" s="1"/>
  <c r="AD201" i="57" s="1"/>
  <c r="AE201" i="57" s="1"/>
  <c r="AF201" i="57" s="1"/>
  <c r="AG201" i="57" s="1"/>
  <c r="AH201" i="57" s="1"/>
  <c r="AI201" i="57" s="1"/>
  <c r="T189" i="57"/>
  <c r="U189" i="57" s="1"/>
  <c r="V189" i="57" s="1"/>
  <c r="W189" i="57" s="1"/>
  <c r="X189" i="57" s="1"/>
  <c r="Y189" i="57" s="1"/>
  <c r="Z189" i="57" s="1"/>
  <c r="AA189" i="57" s="1"/>
  <c r="AB189" i="57" s="1"/>
  <c r="AC189" i="57" s="1"/>
  <c r="AD189" i="57" s="1"/>
  <c r="AE189" i="57" s="1"/>
  <c r="AF189" i="57" s="1"/>
  <c r="AG189" i="57" s="1"/>
  <c r="AH189" i="57" s="1"/>
  <c r="AI189" i="57" s="1"/>
  <c r="D43" i="57"/>
  <c r="E43" i="57" s="1"/>
  <c r="F43" i="57" s="1"/>
  <c r="G43" i="57" s="1"/>
  <c r="H43" i="57" s="1"/>
  <c r="I43" i="57" s="1"/>
  <c r="J43" i="57" s="1"/>
  <c r="K43" i="57" s="1"/>
  <c r="L43" i="57" s="1"/>
  <c r="M43" i="57" s="1"/>
  <c r="N43" i="57" s="1"/>
  <c r="O43" i="57" s="1"/>
  <c r="P43" i="57" s="1"/>
  <c r="Q43" i="57" s="1"/>
  <c r="R43" i="57" s="1"/>
  <c r="S43" i="57" s="1"/>
  <c r="T43" i="57" s="1"/>
  <c r="U43" i="57" s="1"/>
  <c r="V43" i="57" s="1"/>
  <c r="W43" i="57" s="1"/>
  <c r="X43" i="57" s="1"/>
  <c r="Y43" i="57" s="1"/>
  <c r="Z43" i="57" s="1"/>
  <c r="AA43" i="57" s="1"/>
  <c r="AB43" i="57" s="1"/>
  <c r="AC43" i="57" s="1"/>
  <c r="AD43" i="57" s="1"/>
  <c r="AE43" i="57" s="1"/>
  <c r="AF43" i="57" s="1"/>
  <c r="AG43" i="57" s="1"/>
  <c r="AH43" i="57" s="1"/>
  <c r="AI43" i="57" s="1"/>
  <c r="BZ154" i="57"/>
  <c r="CA154" i="57" s="1"/>
  <c r="CB154" i="57" s="1"/>
  <c r="CC154" i="57" s="1"/>
  <c r="CD154" i="57" s="1"/>
  <c r="CE154" i="57" s="1"/>
  <c r="CF154" i="57" s="1"/>
  <c r="CG154" i="57" s="1"/>
  <c r="BZ248" i="57"/>
  <c r="CA248" i="57" s="1"/>
  <c r="CB248" i="57" s="1"/>
  <c r="CC248" i="57" s="1"/>
  <c r="CD248" i="57" s="1"/>
  <c r="CE248" i="57" s="1"/>
  <c r="CF248" i="57" s="1"/>
  <c r="CG248" i="57" s="1"/>
  <c r="BZ119" i="57"/>
  <c r="CA119" i="57" s="1"/>
  <c r="CB119" i="57" s="1"/>
  <c r="CC119" i="57" s="1"/>
  <c r="CD119" i="57" s="1"/>
  <c r="CE119" i="57" s="1"/>
  <c r="CF119" i="57" s="1"/>
  <c r="CG119" i="57" s="1"/>
  <c r="CH119" i="57" s="1"/>
  <c r="BJ98" i="57"/>
  <c r="BK98" i="57" s="1"/>
  <c r="BL98" i="57" s="1"/>
  <c r="BM98" i="57" s="1"/>
  <c r="BN98" i="57" s="1"/>
  <c r="BO98" i="57" s="1"/>
  <c r="BP98" i="57" s="1"/>
  <c r="BQ98" i="57" s="1"/>
  <c r="BR98" i="57" s="1"/>
  <c r="BS98" i="57" s="1"/>
  <c r="BT98" i="57" s="1"/>
  <c r="BU98" i="57" s="1"/>
  <c r="BV98" i="57" s="1"/>
  <c r="BW98" i="57" s="1"/>
  <c r="BX98" i="57" s="1"/>
  <c r="BY98" i="57" s="1"/>
  <c r="BZ166" i="57"/>
  <c r="CA166" i="57" s="1"/>
  <c r="CB166" i="57" s="1"/>
  <c r="CC166" i="57" s="1"/>
  <c r="CD166" i="57" s="1"/>
  <c r="CE166" i="57" s="1"/>
  <c r="CF166" i="57" s="1"/>
  <c r="CG166" i="57" s="1"/>
  <c r="BZ224" i="57"/>
  <c r="CA224" i="57" s="1"/>
  <c r="CB224" i="57" s="1"/>
  <c r="CC224" i="57" s="1"/>
  <c r="CD224" i="57" s="1"/>
  <c r="CE224" i="57" s="1"/>
  <c r="CF224" i="57" s="1"/>
  <c r="CG224" i="57" s="1"/>
  <c r="BZ124" i="57"/>
  <c r="CA124" i="57" s="1"/>
  <c r="CB124" i="57" s="1"/>
  <c r="CC124" i="57" s="1"/>
  <c r="CD124" i="57" s="1"/>
  <c r="CE124" i="57" s="1"/>
  <c r="CF124" i="57" s="1"/>
  <c r="CG124" i="57" s="1"/>
  <c r="D83" i="57"/>
  <c r="E83" i="57" s="1"/>
  <c r="F83" i="57" s="1"/>
  <c r="G83" i="57" s="1"/>
  <c r="H83" i="57" s="1"/>
  <c r="I83" i="57" s="1"/>
  <c r="J83" i="57" s="1"/>
  <c r="K83" i="57" s="1"/>
  <c r="L83" i="57" s="1"/>
  <c r="M83" i="57" s="1"/>
  <c r="N83" i="57" s="1"/>
  <c r="O83" i="57" s="1"/>
  <c r="P83" i="57" s="1"/>
  <c r="Q83" i="57" s="1"/>
  <c r="R83" i="57" s="1"/>
  <c r="S83" i="57" s="1"/>
  <c r="T83" i="57" s="1"/>
  <c r="U83" i="57" s="1"/>
  <c r="V83" i="57" s="1"/>
  <c r="W83" i="57" s="1"/>
  <c r="X83" i="57" s="1"/>
  <c r="Y83" i="57" s="1"/>
  <c r="Z83" i="57" s="1"/>
  <c r="AA83" i="57" s="1"/>
  <c r="AB83" i="57" s="1"/>
  <c r="AC83" i="57" s="1"/>
  <c r="AD83" i="57" s="1"/>
  <c r="AE83" i="57" s="1"/>
  <c r="AF83" i="57" s="1"/>
  <c r="AG83" i="57" s="1"/>
  <c r="AH83" i="57" s="1"/>
  <c r="AI83" i="57" s="1"/>
  <c r="BR228" i="57"/>
  <c r="BS228" i="57" s="1"/>
  <c r="BT228" i="57" s="1"/>
  <c r="BU228" i="57" s="1"/>
  <c r="BV228" i="57" s="1"/>
  <c r="BW228" i="57" s="1"/>
  <c r="BX228" i="57" s="1"/>
  <c r="BY228" i="57" s="1"/>
  <c r="T159" i="57"/>
  <c r="U159" i="57" s="1"/>
  <c r="V159" i="57" s="1"/>
  <c r="W159" i="57" s="1"/>
  <c r="X159" i="57" s="1"/>
  <c r="Y159" i="57" s="1"/>
  <c r="Z159" i="57" s="1"/>
  <c r="AA159" i="57" s="1"/>
  <c r="AB159" i="57" s="1"/>
  <c r="AC159" i="57" s="1"/>
  <c r="AD159" i="57" s="1"/>
  <c r="AE159" i="57" s="1"/>
  <c r="AF159" i="57" s="1"/>
  <c r="AG159" i="57" s="1"/>
  <c r="AH159" i="57" s="1"/>
  <c r="AI159" i="57" s="1"/>
  <c r="BZ112" i="57"/>
  <c r="CA112" i="57" s="1"/>
  <c r="CB112" i="57" s="1"/>
  <c r="CC112" i="57" s="1"/>
  <c r="CD112" i="57" s="1"/>
  <c r="CE112" i="57" s="1"/>
  <c r="CF112" i="57" s="1"/>
  <c r="CG112" i="57" s="1"/>
  <c r="AJ116" i="57"/>
  <c r="D70" i="57"/>
  <c r="E70" i="57" s="1"/>
  <c r="F70" i="57" s="1"/>
  <c r="G70" i="57" s="1"/>
  <c r="H70" i="57" s="1"/>
  <c r="I70" i="57" s="1"/>
  <c r="J70" i="57" s="1"/>
  <c r="K70" i="57" s="1"/>
  <c r="L70" i="57" s="1"/>
  <c r="M70" i="57" s="1"/>
  <c r="N70" i="57" s="1"/>
  <c r="O70" i="57" s="1"/>
  <c r="P70" i="57" s="1"/>
  <c r="Q70" i="57" s="1"/>
  <c r="R70" i="57" s="1"/>
  <c r="S70" i="57" s="1"/>
  <c r="T70" i="57" s="1"/>
  <c r="U70" i="57" s="1"/>
  <c r="V70" i="57" s="1"/>
  <c r="W70" i="57" s="1"/>
  <c r="X70" i="57" s="1"/>
  <c r="Y70" i="57" s="1"/>
  <c r="Z70" i="57" s="1"/>
  <c r="AA70" i="57" s="1"/>
  <c r="AB70" i="57" s="1"/>
  <c r="AC70" i="57" s="1"/>
  <c r="AD70" i="57" s="1"/>
  <c r="AE70" i="57" s="1"/>
  <c r="AF70" i="57" s="1"/>
  <c r="AG70" i="57" s="1"/>
  <c r="AH70" i="57" s="1"/>
  <c r="AI70" i="57" s="1"/>
  <c r="AJ161" i="57"/>
  <c r="AK161" i="57" s="1"/>
  <c r="AL161" i="57" s="1"/>
  <c r="AM161" i="57" s="1"/>
  <c r="AN161" i="57" s="1"/>
  <c r="AO161" i="57" s="1"/>
  <c r="AP161" i="57" s="1"/>
  <c r="AQ161" i="57" s="1"/>
  <c r="BZ97" i="57"/>
  <c r="CA97" i="57" s="1"/>
  <c r="CB97" i="57" s="1"/>
  <c r="CC97" i="57" s="1"/>
  <c r="CD97" i="57" s="1"/>
  <c r="CE97" i="57" s="1"/>
  <c r="CF97" i="57" s="1"/>
  <c r="CG97" i="57" s="1"/>
  <c r="BZ238" i="57"/>
  <c r="CA238" i="57" s="1"/>
  <c r="CB238" i="57" s="1"/>
  <c r="CC238" i="57" s="1"/>
  <c r="CD238" i="57" s="1"/>
  <c r="CE238" i="57" s="1"/>
  <c r="CF238" i="57" s="1"/>
  <c r="CG238" i="57" s="1"/>
  <c r="AJ46" i="57"/>
  <c r="AK46" i="57" s="1"/>
  <c r="AL46" i="57" s="1"/>
  <c r="AM46" i="57" s="1"/>
  <c r="AN46" i="57" s="1"/>
  <c r="AO46" i="57" s="1"/>
  <c r="AP46" i="57" s="1"/>
  <c r="AQ46" i="57" s="1"/>
  <c r="AJ108" i="57"/>
  <c r="AK108" i="57" s="1"/>
  <c r="AL108" i="57" s="1"/>
  <c r="AM108" i="57" s="1"/>
  <c r="AN108" i="57" s="1"/>
  <c r="AO108" i="57" s="1"/>
  <c r="AP108" i="57" s="1"/>
  <c r="AQ108" i="57" s="1"/>
  <c r="BR161" i="57"/>
  <c r="BS161" i="57" s="1"/>
  <c r="BT161" i="57" s="1"/>
  <c r="BU161" i="57" s="1"/>
  <c r="BV161" i="57" s="1"/>
  <c r="BW161" i="57" s="1"/>
  <c r="BX161" i="57" s="1"/>
  <c r="BY161" i="57" s="1"/>
  <c r="BZ84" i="57"/>
  <c r="CA84" i="57" s="1"/>
  <c r="CB84" i="57" s="1"/>
  <c r="CC84" i="57" s="1"/>
  <c r="CD84" i="57" s="1"/>
  <c r="CE84" i="57" s="1"/>
  <c r="CF84" i="57" s="1"/>
  <c r="CG84" i="57" s="1"/>
  <c r="AJ168" i="57"/>
  <c r="AK168" i="57" s="1"/>
  <c r="AL168" i="57" s="1"/>
  <c r="AM168" i="57" s="1"/>
  <c r="AN168" i="57" s="1"/>
  <c r="AO168" i="57" s="1"/>
  <c r="AP168" i="57" s="1"/>
  <c r="AQ168" i="57" s="1"/>
  <c r="AJ56" i="57"/>
  <c r="AK56" i="57" s="1"/>
  <c r="AL56" i="57" s="1"/>
  <c r="AM56" i="57" s="1"/>
  <c r="AN56" i="57" s="1"/>
  <c r="AO56" i="57" s="1"/>
  <c r="AP56" i="57" s="1"/>
  <c r="AQ56" i="57" s="1"/>
  <c r="AJ154" i="57"/>
  <c r="AK154" i="57" s="1"/>
  <c r="AL154" i="57" s="1"/>
  <c r="AM154" i="57" s="1"/>
  <c r="AN154" i="57" s="1"/>
  <c r="AO154" i="57" s="1"/>
  <c r="AP154" i="57" s="1"/>
  <c r="AQ154" i="57" s="1"/>
  <c r="T89" i="57"/>
  <c r="U89" i="57" s="1"/>
  <c r="V89" i="57" s="1"/>
  <c r="W89" i="57" s="1"/>
  <c r="X89" i="57" s="1"/>
  <c r="Y89" i="57" s="1"/>
  <c r="Z89" i="57" s="1"/>
  <c r="AA89" i="57" s="1"/>
  <c r="AB89" i="57" s="1"/>
  <c r="AC89" i="57" s="1"/>
  <c r="AD89" i="57" s="1"/>
  <c r="AE89" i="57" s="1"/>
  <c r="AF89" i="57" s="1"/>
  <c r="AG89" i="57" s="1"/>
  <c r="AH89" i="57" s="1"/>
  <c r="AI89" i="57" s="1"/>
  <c r="T97" i="57"/>
  <c r="U97" i="57" s="1"/>
  <c r="V97" i="57" s="1"/>
  <c r="W97" i="57" s="1"/>
  <c r="X97" i="57" s="1"/>
  <c r="Y97" i="57" s="1"/>
  <c r="Z97" i="57" s="1"/>
  <c r="AA97" i="57" s="1"/>
  <c r="AB97" i="57" s="1"/>
  <c r="AC97" i="57" s="1"/>
  <c r="AD97" i="57" s="1"/>
  <c r="AE97" i="57" s="1"/>
  <c r="AF97" i="57" s="1"/>
  <c r="AG97" i="57" s="1"/>
  <c r="AH97" i="57" s="1"/>
  <c r="AI97" i="57" s="1"/>
  <c r="D88" i="57"/>
  <c r="E88" i="57" s="1"/>
  <c r="F88" i="57" s="1"/>
  <c r="G88" i="57" s="1"/>
  <c r="H88" i="57" s="1"/>
  <c r="I88" i="57" s="1"/>
  <c r="J88" i="57" s="1"/>
  <c r="K88" i="57" s="1"/>
  <c r="L88" i="57" s="1"/>
  <c r="M88" i="57" s="1"/>
  <c r="N88" i="57" s="1"/>
  <c r="O88" i="57" s="1"/>
  <c r="P88" i="57" s="1"/>
  <c r="Q88" i="57" s="1"/>
  <c r="R88" i="57" s="1"/>
  <c r="S88" i="57" s="1"/>
  <c r="T88" i="57" s="1"/>
  <c r="U88" i="57" s="1"/>
  <c r="V88" i="57" s="1"/>
  <c r="W88" i="57" s="1"/>
  <c r="X88" i="57" s="1"/>
  <c r="Y88" i="57" s="1"/>
  <c r="Z88" i="57" s="1"/>
  <c r="AA88" i="57" s="1"/>
  <c r="AB88" i="57" s="1"/>
  <c r="AC88" i="57" s="1"/>
  <c r="AD88" i="57" s="1"/>
  <c r="AE88" i="57" s="1"/>
  <c r="AF88" i="57" s="1"/>
  <c r="AG88" i="57" s="1"/>
  <c r="AH88" i="57" s="1"/>
  <c r="AI88" i="57" s="1"/>
  <c r="BJ152" i="57"/>
  <c r="BK152" i="57" s="1"/>
  <c r="BL152" i="57" s="1"/>
  <c r="BM152" i="57" s="1"/>
  <c r="BN152" i="57" s="1"/>
  <c r="BO152" i="57" s="1"/>
  <c r="BP152" i="57" s="1"/>
  <c r="BQ152" i="57" s="1"/>
  <c r="BR152" i="57" s="1"/>
  <c r="BS152" i="57" s="1"/>
  <c r="BT152" i="57" s="1"/>
  <c r="BU152" i="57" s="1"/>
  <c r="BV152" i="57" s="1"/>
  <c r="BW152" i="57" s="1"/>
  <c r="BX152" i="57" s="1"/>
  <c r="BY152" i="57" s="1"/>
  <c r="BZ203" i="57"/>
  <c r="CA203" i="57" s="1"/>
  <c r="CB203" i="57" s="1"/>
  <c r="CC203" i="57" s="1"/>
  <c r="CD203" i="57" s="1"/>
  <c r="CE203" i="57" s="1"/>
  <c r="CF203" i="57" s="1"/>
  <c r="CG203" i="57" s="1"/>
  <c r="BR70" i="57"/>
  <c r="BS70" i="57" s="1"/>
  <c r="BT70" i="57" s="1"/>
  <c r="BU70" i="57" s="1"/>
  <c r="BV70" i="57" s="1"/>
  <c r="BW70" i="57" s="1"/>
  <c r="BX70" i="57" s="1"/>
  <c r="BY70" i="57" s="1"/>
  <c r="BJ43" i="57"/>
  <c r="BK43" i="57" s="1"/>
  <c r="BL43" i="57" s="1"/>
  <c r="BM43" i="57" s="1"/>
  <c r="BN43" i="57" s="1"/>
  <c r="BO43" i="57" s="1"/>
  <c r="BP43" i="57" s="1"/>
  <c r="BQ43" i="57" s="1"/>
  <c r="BR43" i="57" s="1"/>
  <c r="BS43" i="57" s="1"/>
  <c r="BT43" i="57" s="1"/>
  <c r="BU43" i="57" s="1"/>
  <c r="BV43" i="57" s="1"/>
  <c r="BW43" i="57" s="1"/>
  <c r="BX43" i="57" s="1"/>
  <c r="BY43" i="57" s="1"/>
  <c r="BJ182" i="57"/>
  <c r="BK182" i="57" s="1"/>
  <c r="BL182" i="57" s="1"/>
  <c r="BM182" i="57" s="1"/>
  <c r="BN182" i="57" s="1"/>
  <c r="BO182" i="57" s="1"/>
  <c r="BP182" i="57" s="1"/>
  <c r="BQ182" i="57" s="1"/>
  <c r="BR182" i="57" s="1"/>
  <c r="BS182" i="57" s="1"/>
  <c r="BT182" i="57" s="1"/>
  <c r="BU182" i="57" s="1"/>
  <c r="BV182" i="57" s="1"/>
  <c r="BW182" i="57" s="1"/>
  <c r="BX182" i="57" s="1"/>
  <c r="BY182" i="57" s="1"/>
  <c r="BZ149" i="57"/>
  <c r="CA149" i="57" s="1"/>
  <c r="CB149" i="57" s="1"/>
  <c r="CC149" i="57" s="1"/>
  <c r="CD149" i="57" s="1"/>
  <c r="CE149" i="57" s="1"/>
  <c r="CF149" i="57" s="1"/>
  <c r="CG149" i="57" s="1"/>
  <c r="BJ196" i="57"/>
  <c r="BK196" i="57" s="1"/>
  <c r="BL196" i="57" s="1"/>
  <c r="BM196" i="57" s="1"/>
  <c r="BN196" i="57" s="1"/>
  <c r="BO196" i="57" s="1"/>
  <c r="BP196" i="57" s="1"/>
  <c r="BQ196" i="57" s="1"/>
  <c r="BR196" i="57" s="1"/>
  <c r="BS196" i="57" s="1"/>
  <c r="BT196" i="57" s="1"/>
  <c r="BU196" i="57" s="1"/>
  <c r="BV196" i="57" s="1"/>
  <c r="BW196" i="57" s="1"/>
  <c r="BX196" i="57" s="1"/>
  <c r="BY196" i="57" s="1"/>
  <c r="D34" i="57"/>
  <c r="E34" i="57" s="1"/>
  <c r="F34" i="57" s="1"/>
  <c r="G34" i="57" s="1"/>
  <c r="H34" i="57" s="1"/>
  <c r="I34" i="57" s="1"/>
  <c r="J34" i="57" s="1"/>
  <c r="K34" i="57" s="1"/>
  <c r="L34" i="57" s="1"/>
  <c r="M34" i="57" s="1"/>
  <c r="N34" i="57" s="1"/>
  <c r="O34" i="57" s="1"/>
  <c r="P34" i="57" s="1"/>
  <c r="Q34" i="57" s="1"/>
  <c r="R34" i="57" s="1"/>
  <c r="S34" i="57" s="1"/>
  <c r="T34" i="57" s="1"/>
  <c r="U34" i="57" s="1"/>
  <c r="V34" i="57" s="1"/>
  <c r="W34" i="57" s="1"/>
  <c r="X34" i="57" s="1"/>
  <c r="Y34" i="57" s="1"/>
  <c r="Z34" i="57" s="1"/>
  <c r="AA34" i="57" s="1"/>
  <c r="AB34" i="57" s="1"/>
  <c r="AC34" i="57" s="1"/>
  <c r="AD34" i="57" s="1"/>
  <c r="AE34" i="57" s="1"/>
  <c r="AF34" i="57" s="1"/>
  <c r="AG34" i="57" s="1"/>
  <c r="AH34" i="57" s="1"/>
  <c r="AI34" i="57" s="1"/>
  <c r="BZ55" i="57"/>
  <c r="CA55" i="57" s="1"/>
  <c r="CB55" i="57" s="1"/>
  <c r="CC55" i="57" s="1"/>
  <c r="CD55" i="57" s="1"/>
  <c r="CE55" i="57" s="1"/>
  <c r="CF55" i="57" s="1"/>
  <c r="CG55" i="57" s="1"/>
  <c r="T240" i="57"/>
  <c r="U240" i="57" s="1"/>
  <c r="V240" i="57" s="1"/>
  <c r="W240" i="57" s="1"/>
  <c r="X240" i="57" s="1"/>
  <c r="Y240" i="57" s="1"/>
  <c r="Z240" i="57" s="1"/>
  <c r="AA240" i="57" s="1"/>
  <c r="AB240" i="57" s="1"/>
  <c r="AC240" i="57" s="1"/>
  <c r="AD240" i="57" s="1"/>
  <c r="AE240" i="57" s="1"/>
  <c r="AF240" i="57" s="1"/>
  <c r="AG240" i="57" s="1"/>
  <c r="AH240" i="57" s="1"/>
  <c r="AI240" i="57" s="1"/>
  <c r="T113" i="57"/>
  <c r="U113" i="57" s="1"/>
  <c r="V113" i="57" s="1"/>
  <c r="W113" i="57" s="1"/>
  <c r="X113" i="57" s="1"/>
  <c r="Y113" i="57" s="1"/>
  <c r="Z113" i="57" s="1"/>
  <c r="AA113" i="57" s="1"/>
  <c r="AB113" i="57" s="1"/>
  <c r="AC113" i="57" s="1"/>
  <c r="AD113" i="57" s="1"/>
  <c r="AE113" i="57" s="1"/>
  <c r="AF113" i="57" s="1"/>
  <c r="AG113" i="57" s="1"/>
  <c r="AH113" i="57" s="1"/>
  <c r="AI113" i="57" s="1"/>
  <c r="F166" i="57"/>
  <c r="G166" i="57" s="1"/>
  <c r="H166" i="57" s="1"/>
  <c r="I166" i="57" s="1"/>
  <c r="J166" i="57" s="1"/>
  <c r="K166" i="57" s="1"/>
  <c r="L166" i="57" s="1"/>
  <c r="M166" i="57" s="1"/>
  <c r="N166" i="57" s="1"/>
  <c r="O166" i="57" s="1"/>
  <c r="P166" i="57" s="1"/>
  <c r="Q166" i="57" s="1"/>
  <c r="R166" i="57" s="1"/>
  <c r="S166" i="57" s="1"/>
  <c r="T166" i="57" s="1"/>
  <c r="U166" i="57" s="1"/>
  <c r="V166" i="57" s="1"/>
  <c r="W166" i="57" s="1"/>
  <c r="X166" i="57" s="1"/>
  <c r="Y166" i="57" s="1"/>
  <c r="Z166" i="57" s="1"/>
  <c r="AA166" i="57" s="1"/>
  <c r="AB166" i="57" s="1"/>
  <c r="AC166" i="57" s="1"/>
  <c r="AD166" i="57" s="1"/>
  <c r="AE166" i="57" s="1"/>
  <c r="AF166" i="57" s="1"/>
  <c r="AG166" i="57" s="1"/>
  <c r="AH166" i="57" s="1"/>
  <c r="AI166" i="57" s="1"/>
  <c r="T60" i="57"/>
  <c r="U60" i="57" s="1"/>
  <c r="V60" i="57" s="1"/>
  <c r="W60" i="57" s="1"/>
  <c r="X60" i="57" s="1"/>
  <c r="Y60" i="57" s="1"/>
  <c r="Z60" i="57" s="1"/>
  <c r="AA60" i="57" s="1"/>
  <c r="AB60" i="57" s="1"/>
  <c r="AC60" i="57" s="1"/>
  <c r="AD60" i="57" s="1"/>
  <c r="AE60" i="57" s="1"/>
  <c r="AF60" i="57" s="1"/>
  <c r="AG60" i="57" s="1"/>
  <c r="AH60" i="57" s="1"/>
  <c r="AI60" i="57" s="1"/>
  <c r="D87" i="57"/>
  <c r="E87" i="57" s="1"/>
  <c r="F87" i="57" s="1"/>
  <c r="G87" i="57" s="1"/>
  <c r="H87" i="57" s="1"/>
  <c r="I87" i="57" s="1"/>
  <c r="J87" i="57" s="1"/>
  <c r="K87" i="57" s="1"/>
  <c r="L87" i="57" s="1"/>
  <c r="M87" i="57" s="1"/>
  <c r="N87" i="57" s="1"/>
  <c r="O87" i="57" s="1"/>
  <c r="P87" i="57" s="1"/>
  <c r="Q87" i="57" s="1"/>
  <c r="R87" i="57" s="1"/>
  <c r="S87" i="57" s="1"/>
  <c r="T87" i="57" s="1"/>
  <c r="U87" i="57" s="1"/>
  <c r="V87" i="57" s="1"/>
  <c r="W87" i="57" s="1"/>
  <c r="X87" i="57" s="1"/>
  <c r="Y87" i="57" s="1"/>
  <c r="Z87" i="57" s="1"/>
  <c r="AA87" i="57" s="1"/>
  <c r="AB87" i="57" s="1"/>
  <c r="AC87" i="57" s="1"/>
  <c r="AD87" i="57" s="1"/>
  <c r="AE87" i="57" s="1"/>
  <c r="AF87" i="57" s="1"/>
  <c r="AG87" i="57" s="1"/>
  <c r="AH87" i="57" s="1"/>
  <c r="AI87" i="57" s="1"/>
  <c r="T244" i="57"/>
  <c r="U244" i="57" s="1"/>
  <c r="V244" i="57" s="1"/>
  <c r="W244" i="57" s="1"/>
  <c r="X244" i="57" s="1"/>
  <c r="Y244" i="57" s="1"/>
  <c r="Z244" i="57" s="1"/>
  <c r="AA244" i="57" s="1"/>
  <c r="AB244" i="57" s="1"/>
  <c r="AC244" i="57" s="1"/>
  <c r="AD244" i="57" s="1"/>
  <c r="AE244" i="57" s="1"/>
  <c r="AF244" i="57" s="1"/>
  <c r="AG244" i="57" s="1"/>
  <c r="AH244" i="57" s="1"/>
  <c r="AI244" i="57" s="1"/>
  <c r="BZ236" i="57"/>
  <c r="BZ222" i="57"/>
  <c r="BR241" i="57"/>
  <c r="BS241" i="57" s="1"/>
  <c r="BT241" i="57" s="1"/>
  <c r="BU241" i="57" s="1"/>
  <c r="BV241" i="57" s="1"/>
  <c r="BW241" i="57" s="1"/>
  <c r="BX241" i="57" s="1"/>
  <c r="BY241" i="57" s="1"/>
  <c r="T101" i="57"/>
  <c r="U101" i="57" s="1"/>
  <c r="V101" i="57" s="1"/>
  <c r="W101" i="57" s="1"/>
  <c r="X101" i="57" s="1"/>
  <c r="Y101" i="57" s="1"/>
  <c r="Z101" i="57" s="1"/>
  <c r="AA101" i="57" s="1"/>
  <c r="AB101" i="57" s="1"/>
  <c r="AC101" i="57" s="1"/>
  <c r="AD101" i="57" s="1"/>
  <c r="AE101" i="57" s="1"/>
  <c r="AF101" i="57" s="1"/>
  <c r="AG101" i="57" s="1"/>
  <c r="AH101" i="57" s="1"/>
  <c r="AI101" i="57" s="1"/>
  <c r="AB118" i="57"/>
  <c r="AC118" i="57" s="1"/>
  <c r="AD118" i="57" s="1"/>
  <c r="AE118" i="57" s="1"/>
  <c r="AF118" i="57" s="1"/>
  <c r="AG118" i="57" s="1"/>
  <c r="AH118" i="57" s="1"/>
  <c r="AI118" i="57" s="1"/>
  <c r="BJ139" i="57"/>
  <c r="BK139" i="57" s="1"/>
  <c r="BL139" i="57" s="1"/>
  <c r="BM139" i="57" s="1"/>
  <c r="BN139" i="57" s="1"/>
  <c r="BO139" i="57" s="1"/>
  <c r="BP139" i="57" s="1"/>
  <c r="BQ139" i="57" s="1"/>
  <c r="BR139" i="57" s="1"/>
  <c r="BS139" i="57" s="1"/>
  <c r="BT139" i="57" s="1"/>
  <c r="BU139" i="57" s="1"/>
  <c r="BV139" i="57" s="1"/>
  <c r="BW139" i="57" s="1"/>
  <c r="BX139" i="57" s="1"/>
  <c r="BY139" i="57" s="1"/>
  <c r="C49" i="62"/>
  <c r="AJ82" i="57"/>
  <c r="AK82" i="57" s="1"/>
  <c r="AL82" i="57" s="1"/>
  <c r="AM82" i="57" s="1"/>
  <c r="AN82" i="57" s="1"/>
  <c r="AO82" i="57" s="1"/>
  <c r="AP82" i="57" s="1"/>
  <c r="AQ82" i="57" s="1"/>
  <c r="BR213" i="57"/>
  <c r="BS213" i="57" s="1"/>
  <c r="BT213" i="57" s="1"/>
  <c r="BU213" i="57" s="1"/>
  <c r="BV213" i="57" s="1"/>
  <c r="BW213" i="57" s="1"/>
  <c r="BX213" i="57" s="1"/>
  <c r="BY213" i="57" s="1"/>
  <c r="BZ86" i="57"/>
  <c r="CA86" i="57" s="1"/>
  <c r="CB86" i="57" s="1"/>
  <c r="CC86" i="57" s="1"/>
  <c r="CD86" i="57" s="1"/>
  <c r="CE86" i="57" s="1"/>
  <c r="CF86" i="57" s="1"/>
  <c r="CG86" i="57" s="1"/>
  <c r="BZ36" i="57"/>
  <c r="CA36" i="57" s="1"/>
  <c r="CB36" i="57" s="1"/>
  <c r="CC36" i="57" s="1"/>
  <c r="CD36" i="57" s="1"/>
  <c r="CE36" i="57" s="1"/>
  <c r="CF36" i="57" s="1"/>
  <c r="CG36" i="57" s="1"/>
  <c r="BJ59" i="57"/>
  <c r="BK59" i="57" s="1"/>
  <c r="BL59" i="57" s="1"/>
  <c r="BM59" i="57" s="1"/>
  <c r="BN59" i="57" s="1"/>
  <c r="BO59" i="57" s="1"/>
  <c r="BP59" i="57" s="1"/>
  <c r="BQ59" i="57" s="1"/>
  <c r="BR59" i="57" s="1"/>
  <c r="BS59" i="57" s="1"/>
  <c r="BT59" i="57" s="1"/>
  <c r="BU59" i="57" s="1"/>
  <c r="BV59" i="57" s="1"/>
  <c r="BW59" i="57" s="1"/>
  <c r="BX59" i="57" s="1"/>
  <c r="BY59" i="57" s="1"/>
  <c r="BJ227" i="57"/>
  <c r="BK227" i="57" s="1"/>
  <c r="BL227" i="57" s="1"/>
  <c r="BM227" i="57" s="1"/>
  <c r="BN227" i="57" s="1"/>
  <c r="BO227" i="57" s="1"/>
  <c r="BP227" i="57" s="1"/>
  <c r="BQ227" i="57" s="1"/>
  <c r="BR227" i="57" s="1"/>
  <c r="BS227" i="57" s="1"/>
  <c r="BT227" i="57" s="1"/>
  <c r="BU227" i="57" s="1"/>
  <c r="BV227" i="57" s="1"/>
  <c r="BW227" i="57" s="1"/>
  <c r="BX227" i="57" s="1"/>
  <c r="BY227" i="57" s="1"/>
  <c r="AJ117" i="57"/>
  <c r="AK117" i="57" s="1"/>
  <c r="AL117" i="57" s="1"/>
  <c r="AM117" i="57" s="1"/>
  <c r="AN117" i="57" s="1"/>
  <c r="AO117" i="57" s="1"/>
  <c r="AP117" i="57" s="1"/>
  <c r="AQ117" i="57" s="1"/>
  <c r="T124" i="57"/>
  <c r="U124" i="57" s="1"/>
  <c r="V124" i="57" s="1"/>
  <c r="W124" i="57" s="1"/>
  <c r="X124" i="57" s="1"/>
  <c r="Y124" i="57" s="1"/>
  <c r="Z124" i="57" s="1"/>
  <c r="AA124" i="57" s="1"/>
  <c r="AB124" i="57" s="1"/>
  <c r="AC124" i="57" s="1"/>
  <c r="AD124" i="57" s="1"/>
  <c r="AE124" i="57" s="1"/>
  <c r="AF124" i="57" s="1"/>
  <c r="AG124" i="57" s="1"/>
  <c r="AH124" i="57" s="1"/>
  <c r="AI124" i="57" s="1"/>
  <c r="T137" i="57"/>
  <c r="U137" i="57" s="1"/>
  <c r="V137" i="57" s="1"/>
  <c r="W137" i="57" s="1"/>
  <c r="X137" i="57" s="1"/>
  <c r="Y137" i="57" s="1"/>
  <c r="Z137" i="57" s="1"/>
  <c r="AA137" i="57" s="1"/>
  <c r="AB137" i="57" s="1"/>
  <c r="AC137" i="57" s="1"/>
  <c r="AD137" i="57" s="1"/>
  <c r="AE137" i="57" s="1"/>
  <c r="AF137" i="57" s="1"/>
  <c r="AG137" i="57" s="1"/>
  <c r="AH137" i="57" s="1"/>
  <c r="AI137" i="57" s="1"/>
  <c r="BJ109" i="57"/>
  <c r="BK109" i="57" s="1"/>
  <c r="BL109" i="57" s="1"/>
  <c r="BM109" i="57" s="1"/>
  <c r="BN109" i="57" s="1"/>
  <c r="BO109" i="57" s="1"/>
  <c r="BP109" i="57" s="1"/>
  <c r="BQ109" i="57" s="1"/>
  <c r="BR109" i="57" s="1"/>
  <c r="BS109" i="57" s="1"/>
  <c r="BT109" i="57" s="1"/>
  <c r="BU109" i="57" s="1"/>
  <c r="BV109" i="57" s="1"/>
  <c r="BW109" i="57" s="1"/>
  <c r="BX109" i="57" s="1"/>
  <c r="BY109" i="57" s="1"/>
  <c r="T104" i="57"/>
  <c r="U104" i="57" s="1"/>
  <c r="V104" i="57" s="1"/>
  <c r="W104" i="57" s="1"/>
  <c r="X104" i="57" s="1"/>
  <c r="Y104" i="57" s="1"/>
  <c r="Z104" i="57" s="1"/>
  <c r="AA104" i="57" s="1"/>
  <c r="AB104" i="57" s="1"/>
  <c r="AC104" i="57" s="1"/>
  <c r="AD104" i="57" s="1"/>
  <c r="AE104" i="57" s="1"/>
  <c r="AF104" i="57" s="1"/>
  <c r="AG104" i="57" s="1"/>
  <c r="AH104" i="57" s="1"/>
  <c r="AI104" i="57" s="1"/>
  <c r="C165" i="62"/>
  <c r="D25" i="57"/>
  <c r="E25" i="57" s="1"/>
  <c r="F25" i="57" s="1"/>
  <c r="G25" i="57" s="1"/>
  <c r="H25" i="57" s="1"/>
  <c r="I25" i="57" s="1"/>
  <c r="J25" i="57" s="1"/>
  <c r="K25" i="57" s="1"/>
  <c r="L25" i="57" s="1"/>
  <c r="M25" i="57" s="1"/>
  <c r="N25" i="57" s="1"/>
  <c r="O25" i="57" s="1"/>
  <c r="P25" i="57" s="1"/>
  <c r="Q25" i="57" s="1"/>
  <c r="R25" i="57" s="1"/>
  <c r="S25" i="57" s="1"/>
  <c r="T25" i="57" s="1"/>
  <c r="U25" i="57" s="1"/>
  <c r="V25" i="57" s="1"/>
  <c r="W25" i="57" s="1"/>
  <c r="X25" i="57" s="1"/>
  <c r="Y25" i="57" s="1"/>
  <c r="Z25" i="57" s="1"/>
  <c r="AA25" i="57" s="1"/>
  <c r="AB25" i="57" s="1"/>
  <c r="AC25" i="57" s="1"/>
  <c r="AD25" i="57" s="1"/>
  <c r="AE25" i="57" s="1"/>
  <c r="AF25" i="57" s="1"/>
  <c r="AG25" i="57" s="1"/>
  <c r="AH25" i="57" s="1"/>
  <c r="AI25" i="57" s="1"/>
  <c r="T223" i="57"/>
  <c r="U223" i="57" s="1"/>
  <c r="V223" i="57" s="1"/>
  <c r="W223" i="57" s="1"/>
  <c r="X223" i="57" s="1"/>
  <c r="Y223" i="57" s="1"/>
  <c r="Z223" i="57" s="1"/>
  <c r="AA223" i="57" s="1"/>
  <c r="AB223" i="57" s="1"/>
  <c r="AC223" i="57" s="1"/>
  <c r="AD223" i="57" s="1"/>
  <c r="AE223" i="57" s="1"/>
  <c r="AF223" i="57" s="1"/>
  <c r="AG223" i="57" s="1"/>
  <c r="AH223" i="57" s="1"/>
  <c r="AI223" i="57" s="1"/>
  <c r="T248" i="57"/>
  <c r="U248" i="57" s="1"/>
  <c r="V248" i="57" s="1"/>
  <c r="W248" i="57" s="1"/>
  <c r="X248" i="57" s="1"/>
  <c r="Y248" i="57" s="1"/>
  <c r="Z248" i="57" s="1"/>
  <c r="AA248" i="57" s="1"/>
  <c r="AB248" i="57" s="1"/>
  <c r="AC248" i="57" s="1"/>
  <c r="AD248" i="57" s="1"/>
  <c r="AE248" i="57" s="1"/>
  <c r="AF248" i="57" s="1"/>
  <c r="AG248" i="57" s="1"/>
  <c r="AH248" i="57" s="1"/>
  <c r="AI248" i="57" s="1"/>
  <c r="BZ131" i="57"/>
  <c r="CA131" i="57" s="1"/>
  <c r="CB131" i="57" s="1"/>
  <c r="CC131" i="57" s="1"/>
  <c r="CD131" i="57" s="1"/>
  <c r="CE131" i="57" s="1"/>
  <c r="CF131" i="57" s="1"/>
  <c r="CG131" i="57" s="1"/>
  <c r="T86" i="57"/>
  <c r="U86" i="57" s="1"/>
  <c r="V86" i="57" s="1"/>
  <c r="W86" i="57" s="1"/>
  <c r="X86" i="57" s="1"/>
  <c r="Y86" i="57" s="1"/>
  <c r="Z86" i="57" s="1"/>
  <c r="AA86" i="57" s="1"/>
  <c r="AB86" i="57" s="1"/>
  <c r="AC86" i="57" s="1"/>
  <c r="AD86" i="57" s="1"/>
  <c r="AE86" i="57" s="1"/>
  <c r="AF86" i="57" s="1"/>
  <c r="AG86" i="57" s="1"/>
  <c r="AH86" i="57" s="1"/>
  <c r="AI86" i="57" s="1"/>
  <c r="BR91" i="57"/>
  <c r="BS91" i="57" s="1"/>
  <c r="BT91" i="57" s="1"/>
  <c r="BU91" i="57" s="1"/>
  <c r="D61" i="57"/>
  <c r="E61" i="57" s="1"/>
  <c r="F61" i="57" s="1"/>
  <c r="G61" i="57" s="1"/>
  <c r="H61" i="57" s="1"/>
  <c r="I61" i="57" s="1"/>
  <c r="J61" i="57" s="1"/>
  <c r="K61" i="57" s="1"/>
  <c r="L61" i="57" s="1"/>
  <c r="M61" i="57" s="1"/>
  <c r="N61" i="57" s="1"/>
  <c r="O61" i="57" s="1"/>
  <c r="P61" i="57" s="1"/>
  <c r="Q61" i="57" s="1"/>
  <c r="R61" i="57" s="1"/>
  <c r="S61" i="57" s="1"/>
  <c r="F139" i="57"/>
  <c r="G139" i="57" s="1"/>
  <c r="H139" i="57" s="1"/>
  <c r="I139" i="57" s="1"/>
  <c r="J139" i="57" s="1"/>
  <c r="K139" i="57" s="1"/>
  <c r="L139" i="57" s="1"/>
  <c r="M139" i="57" s="1"/>
  <c r="N139" i="57" s="1"/>
  <c r="O139" i="57" s="1"/>
  <c r="P139" i="57" s="1"/>
  <c r="Q139" i="57" s="1"/>
  <c r="R139" i="57" s="1"/>
  <c r="S139" i="57" s="1"/>
  <c r="T139" i="57" s="1"/>
  <c r="U139" i="57" s="1"/>
  <c r="V139" i="57" s="1"/>
  <c r="W139" i="57" s="1"/>
  <c r="X139" i="57" s="1"/>
  <c r="Y139" i="57" s="1"/>
  <c r="Z139" i="57" s="1"/>
  <c r="AA139" i="57" s="1"/>
  <c r="AB139" i="57" s="1"/>
  <c r="AC139" i="57" s="1"/>
  <c r="AD139" i="57" s="1"/>
  <c r="AE139" i="57" s="1"/>
  <c r="AF139" i="57" s="1"/>
  <c r="AG139" i="57" s="1"/>
  <c r="AH139" i="57" s="1"/>
  <c r="AI139" i="57" s="1"/>
  <c r="BZ229" i="57"/>
  <c r="AJ24" i="57"/>
  <c r="AK24" i="57" s="1"/>
  <c r="AL24" i="57" s="1"/>
  <c r="AM24" i="57" s="1"/>
  <c r="AN24" i="57" s="1"/>
  <c r="AO24" i="57" s="1"/>
  <c r="AP24" i="57" s="1"/>
  <c r="AQ24" i="57" s="1"/>
  <c r="BZ198" i="57"/>
  <c r="CA198" i="57" s="1"/>
  <c r="CB198" i="57" s="1"/>
  <c r="CC198" i="57" s="1"/>
  <c r="CD198" i="57" s="1"/>
  <c r="CE198" i="57" s="1"/>
  <c r="CF198" i="57" s="1"/>
  <c r="CG198" i="57" s="1"/>
  <c r="AJ130" i="57"/>
  <c r="AK130" i="57" s="1"/>
  <c r="AL130" i="57" s="1"/>
  <c r="AM130" i="57" s="1"/>
  <c r="AN130" i="57" s="1"/>
  <c r="AO130" i="57" s="1"/>
  <c r="AP130" i="57" s="1"/>
  <c r="AQ130" i="57" s="1"/>
  <c r="BZ104" i="57"/>
  <c r="CA104" i="57" s="1"/>
  <c r="CB104" i="57" s="1"/>
  <c r="CC104" i="57" s="1"/>
  <c r="CD104" i="57" s="1"/>
  <c r="CE104" i="57" s="1"/>
  <c r="CF104" i="57" s="1"/>
  <c r="CG104" i="57" s="1"/>
  <c r="F107" i="57"/>
  <c r="G107" i="57" s="1"/>
  <c r="H107" i="57" s="1"/>
  <c r="I107" i="57" s="1"/>
  <c r="J107" i="57" s="1"/>
  <c r="K107" i="57" s="1"/>
  <c r="L107" i="57" s="1"/>
  <c r="M107" i="57" s="1"/>
  <c r="N107" i="57" s="1"/>
  <c r="O107" i="57" s="1"/>
  <c r="P107" i="57" s="1"/>
  <c r="Q107" i="57" s="1"/>
  <c r="R107" i="57" s="1"/>
  <c r="S107" i="57" s="1"/>
  <c r="T107" i="57" s="1"/>
  <c r="U107" i="57" s="1"/>
  <c r="V107" i="57" s="1"/>
  <c r="W107" i="57" s="1"/>
  <c r="X107" i="57" s="1"/>
  <c r="Y107" i="57" s="1"/>
  <c r="Z107" i="57" s="1"/>
  <c r="AA107" i="57" s="1"/>
  <c r="AB107" i="57" s="1"/>
  <c r="AC107" i="57" s="1"/>
  <c r="AD107" i="57" s="1"/>
  <c r="AE107" i="57" s="1"/>
  <c r="AF107" i="57" s="1"/>
  <c r="AG107" i="57" s="1"/>
  <c r="AH107" i="57" s="1"/>
  <c r="AI107" i="57" s="1"/>
  <c r="T232" i="57"/>
  <c r="U232" i="57" s="1"/>
  <c r="V232" i="57" s="1"/>
  <c r="W232" i="57" s="1"/>
  <c r="X232" i="57" s="1"/>
  <c r="Y232" i="57" s="1"/>
  <c r="Z232" i="57" s="1"/>
  <c r="AA232" i="57" s="1"/>
  <c r="AB232" i="57" s="1"/>
  <c r="AC232" i="57" s="1"/>
  <c r="AD232" i="57" s="1"/>
  <c r="AE232" i="57" s="1"/>
  <c r="AF232" i="57" s="1"/>
  <c r="AG232" i="57" s="1"/>
  <c r="AH232" i="57" s="1"/>
  <c r="AI232" i="57" s="1"/>
  <c r="BR69" i="57"/>
  <c r="BS69" i="57" s="1"/>
  <c r="BT69" i="57" s="1"/>
  <c r="BU69" i="57" s="1"/>
  <c r="BV69" i="57" s="1"/>
  <c r="BW69" i="57" s="1"/>
  <c r="BX69" i="57" s="1"/>
  <c r="BY69" i="57" s="1"/>
  <c r="AE88" i="62"/>
  <c r="AA88" i="62"/>
  <c r="G88" i="62"/>
  <c r="AI88" i="62"/>
  <c r="AG88" i="62"/>
  <c r="AC88" i="62"/>
  <c r="AK88" i="62"/>
  <c r="AG86" i="62"/>
  <c r="AC86" i="62"/>
  <c r="G86" i="62"/>
  <c r="AA86" i="62"/>
  <c r="AE86" i="62"/>
  <c r="AI86" i="62"/>
  <c r="AK86" i="62"/>
  <c r="AI146" i="62"/>
  <c r="G146" i="62"/>
  <c r="AE146" i="62"/>
  <c r="AC146" i="62"/>
  <c r="AA146" i="62"/>
  <c r="AG146" i="62"/>
  <c r="AK146" i="62"/>
  <c r="AI124" i="62"/>
  <c r="AC124" i="62"/>
  <c r="AE124" i="62"/>
  <c r="AA124" i="62"/>
  <c r="G124" i="62"/>
  <c r="AK124" i="62"/>
  <c r="AG124" i="62"/>
  <c r="G154" i="62"/>
  <c r="AC154" i="62"/>
  <c r="AK154" i="62"/>
  <c r="AA154" i="62"/>
  <c r="AG154" i="62"/>
  <c r="AI154" i="62"/>
  <c r="AE154" i="62"/>
  <c r="AS11" i="57"/>
  <c r="AT11" i="57" s="1"/>
  <c r="AU11" i="57" s="1"/>
  <c r="AV11" i="57" s="1"/>
  <c r="AW11" i="57" s="1"/>
  <c r="AX11" i="57" s="1"/>
  <c r="AY11" i="57" s="1"/>
  <c r="AZ11" i="57" s="1"/>
  <c r="BA11" i="57" s="1"/>
  <c r="BB11" i="57" s="1"/>
  <c r="BC11" i="57" s="1"/>
  <c r="BD11" i="57" s="1"/>
  <c r="BE11" i="57" s="1"/>
  <c r="BF11" i="57" s="1"/>
  <c r="BG11" i="57" s="1"/>
  <c r="BH11" i="57" s="1"/>
  <c r="BI11" i="57" s="1"/>
  <c r="AC68" i="62"/>
  <c r="AG68" i="62"/>
  <c r="AA68" i="62"/>
  <c r="AE68" i="62"/>
  <c r="AK68" i="62"/>
  <c r="AI68" i="62"/>
  <c r="G68" i="62"/>
  <c r="G26" i="62"/>
  <c r="AA26" i="62"/>
  <c r="AG26" i="62"/>
  <c r="AE26" i="62"/>
  <c r="AC26" i="62"/>
  <c r="AI26" i="62"/>
  <c r="AK26" i="62"/>
  <c r="AG84" i="62"/>
  <c r="AI84" i="62"/>
  <c r="AK84" i="62"/>
  <c r="G84" i="62"/>
  <c r="AE84" i="62"/>
  <c r="AC84" i="62"/>
  <c r="AA84" i="62"/>
  <c r="AA142" i="62"/>
  <c r="AE142" i="62"/>
  <c r="AG142" i="62"/>
  <c r="AK142" i="62"/>
  <c r="AI142" i="62"/>
  <c r="AC142" i="62"/>
  <c r="G142" i="62"/>
  <c r="AK92" i="62"/>
  <c r="G92" i="62"/>
  <c r="AG92" i="62"/>
  <c r="AI92" i="62"/>
  <c r="AA92" i="62"/>
  <c r="AE92" i="62"/>
  <c r="AC92" i="62"/>
  <c r="AI76" i="62"/>
  <c r="AG76" i="62"/>
  <c r="AA76" i="62"/>
  <c r="AE76" i="62"/>
  <c r="G76" i="62"/>
  <c r="AK76" i="62"/>
  <c r="AC76" i="62"/>
  <c r="AC72" i="62"/>
  <c r="AG72" i="62"/>
  <c r="AA72" i="62"/>
  <c r="AE72" i="62"/>
  <c r="AI72" i="62"/>
  <c r="AK72" i="62"/>
  <c r="G72" i="62"/>
  <c r="AE70" i="62"/>
  <c r="AA70" i="62"/>
  <c r="AC70" i="62"/>
  <c r="G70" i="62"/>
  <c r="AG70" i="62"/>
  <c r="AI70" i="62"/>
  <c r="AK70" i="62"/>
  <c r="AI40" i="62"/>
  <c r="AE40" i="62"/>
  <c r="G40" i="62"/>
  <c r="AC40" i="62"/>
  <c r="AK40" i="62"/>
  <c r="AA40" i="62"/>
  <c r="AG40" i="62"/>
  <c r="AE112" i="62"/>
  <c r="AA112" i="62"/>
  <c r="G112" i="62"/>
  <c r="AG112" i="62"/>
  <c r="AK112" i="62"/>
  <c r="AC112" i="62"/>
  <c r="AI112" i="62"/>
  <c r="AA34" i="62"/>
  <c r="AC34" i="62"/>
  <c r="AE34" i="62"/>
  <c r="G34" i="62"/>
  <c r="AK34" i="62"/>
  <c r="AI34" i="62"/>
  <c r="AG34" i="62"/>
  <c r="G18" i="62"/>
  <c r="AM18" i="62"/>
  <c r="M18" i="62"/>
  <c r="I18" i="62"/>
  <c r="AG18" i="62"/>
  <c r="AQ18" i="62"/>
  <c r="O18" i="62"/>
  <c r="K18" i="62"/>
  <c r="Y18" i="62"/>
  <c r="AC18" i="62"/>
  <c r="AO18" i="62"/>
  <c r="S18" i="62"/>
  <c r="Q18" i="62"/>
  <c r="AK18" i="62"/>
  <c r="U18" i="62"/>
  <c r="AE18" i="62"/>
  <c r="AA18" i="62"/>
  <c r="W18" i="62"/>
  <c r="AI18" i="62"/>
  <c r="AK64" i="62"/>
  <c r="AE64" i="62"/>
  <c r="AI64" i="62"/>
  <c r="AC64" i="62"/>
  <c r="AA64" i="62"/>
  <c r="AG64" i="62"/>
  <c r="G64" i="62"/>
  <c r="AE162" i="62"/>
  <c r="AA162" i="62"/>
  <c r="AC162" i="62"/>
  <c r="AI162" i="62"/>
  <c r="AK162" i="62"/>
  <c r="G162" i="62"/>
  <c r="AG162" i="62"/>
  <c r="AK174" i="62"/>
  <c r="AI174" i="62"/>
  <c r="AG174" i="62"/>
  <c r="G174" i="62"/>
  <c r="AA174" i="62"/>
  <c r="AC174" i="62"/>
  <c r="AE174" i="62"/>
  <c r="AA36" i="62"/>
  <c r="AC36" i="62"/>
  <c r="AE36" i="62"/>
  <c r="AI36" i="62"/>
  <c r="G36" i="62"/>
  <c r="AG36" i="62"/>
  <c r="AK36" i="62"/>
  <c r="AG80" i="62"/>
  <c r="G80" i="62"/>
  <c r="AE80" i="62"/>
  <c r="AK80" i="62"/>
  <c r="AC80" i="62"/>
  <c r="AA80" i="62"/>
  <c r="AI80" i="62"/>
  <c r="AI110" i="62"/>
  <c r="G110" i="62"/>
  <c r="AK110" i="62"/>
  <c r="AG110" i="62"/>
  <c r="AC110" i="62"/>
  <c r="AA110" i="62"/>
  <c r="AE110" i="62"/>
  <c r="AS12" i="57"/>
  <c r="AT12" i="57" s="1"/>
  <c r="AU12" i="57" s="1"/>
  <c r="AV12" i="57" s="1"/>
  <c r="AW12" i="57" s="1"/>
  <c r="AX12" i="57" s="1"/>
  <c r="AY12" i="57" s="1"/>
  <c r="AZ12" i="57" s="1"/>
  <c r="BA12" i="57" s="1"/>
  <c r="BB12" i="57" s="1"/>
  <c r="BC12" i="57" s="1"/>
  <c r="BD12" i="57" s="1"/>
  <c r="BE12" i="57" s="1"/>
  <c r="BF12" i="57" s="1"/>
  <c r="BG12" i="57" s="1"/>
  <c r="BH12" i="57" s="1"/>
  <c r="BI12" i="57" s="1"/>
  <c r="AC138" i="62"/>
  <c r="AE138" i="62"/>
  <c r="AA138" i="62"/>
  <c r="AK138" i="62"/>
  <c r="AG138" i="62"/>
  <c r="AI138" i="62"/>
  <c r="G138" i="62"/>
  <c r="AK156" i="62"/>
  <c r="AA156" i="62"/>
  <c r="AE156" i="62"/>
  <c r="G156" i="62"/>
  <c r="AC156" i="62"/>
  <c r="AI156" i="62"/>
  <c r="AG156" i="62"/>
  <c r="AG120" i="62"/>
  <c r="AE120" i="62"/>
  <c r="AI120" i="62"/>
  <c r="G120" i="62"/>
  <c r="AA120" i="62"/>
  <c r="AC120" i="62"/>
  <c r="AK120" i="62"/>
  <c r="AG148" i="62"/>
  <c r="AA148" i="62"/>
  <c r="AK148" i="62"/>
  <c r="AI148" i="62"/>
  <c r="G148" i="62"/>
  <c r="AE148" i="62"/>
  <c r="AC148" i="62"/>
  <c r="AC128" i="62"/>
  <c r="AK128" i="62"/>
  <c r="AA128" i="62"/>
  <c r="AI128" i="62"/>
  <c r="G128" i="62"/>
  <c r="AE128" i="62"/>
  <c r="AG128" i="62"/>
  <c r="AC150" i="62"/>
  <c r="AK150" i="62"/>
  <c r="AG150" i="62"/>
  <c r="AA150" i="62"/>
  <c r="AI150" i="62"/>
  <c r="G150" i="62"/>
  <c r="AE150" i="62"/>
  <c r="AA30" i="62"/>
  <c r="AC30" i="62"/>
  <c r="AG30" i="62"/>
  <c r="G30" i="62"/>
  <c r="AE30" i="62"/>
  <c r="AK30" i="62"/>
  <c r="AI30" i="62"/>
  <c r="AE166" i="62"/>
  <c r="AA166" i="62"/>
  <c r="AK166" i="62"/>
  <c r="G166" i="62"/>
  <c r="AC166" i="62"/>
  <c r="AI166" i="62"/>
  <c r="AG166" i="62"/>
  <c r="AI44" i="62"/>
  <c r="AK44" i="62"/>
  <c r="AG44" i="62"/>
  <c r="AA44" i="62"/>
  <c r="AE44" i="62"/>
  <c r="AC44" i="62"/>
  <c r="G44" i="62"/>
  <c r="AG118" i="62"/>
  <c r="G118" i="62"/>
  <c r="AI118" i="62"/>
  <c r="AK118" i="62"/>
  <c r="AE118" i="62"/>
  <c r="AA118" i="62"/>
  <c r="AC118" i="62"/>
  <c r="AG170" i="62"/>
  <c r="AK170" i="62"/>
  <c r="AA170" i="62"/>
  <c r="AI170" i="62"/>
  <c r="G170" i="62"/>
  <c r="AE170" i="62"/>
  <c r="AC170" i="62"/>
  <c r="AE152" i="62"/>
  <c r="AG152" i="62"/>
  <c r="AA152" i="62"/>
  <c r="G152" i="62"/>
  <c r="AI152" i="62"/>
  <c r="AK152" i="62"/>
  <c r="AC152" i="62"/>
  <c r="AS10" i="57"/>
  <c r="AT10" i="57" s="1"/>
  <c r="AU10" i="57" s="1"/>
  <c r="AV10" i="57" s="1"/>
  <c r="AW10" i="57" s="1"/>
  <c r="AX10" i="57" s="1"/>
  <c r="AY10" i="57" s="1"/>
  <c r="AZ10" i="57" s="1"/>
  <c r="BA10" i="57" s="1"/>
  <c r="BB10" i="57" s="1"/>
  <c r="BC10" i="57" s="1"/>
  <c r="BD10" i="57" s="1"/>
  <c r="BE10" i="57" s="1"/>
  <c r="BF10" i="57" s="1"/>
  <c r="BG10" i="57" s="1"/>
  <c r="BH10" i="57" s="1"/>
  <c r="BI10" i="57" s="1"/>
  <c r="AK32" i="62"/>
  <c r="G32" i="62"/>
  <c r="AG32" i="62"/>
  <c r="AA32" i="62"/>
  <c r="AC32" i="62"/>
  <c r="AE32" i="62"/>
  <c r="AI32" i="62"/>
  <c r="AI178" i="62"/>
  <c r="AE178" i="62"/>
  <c r="AK178" i="62"/>
  <c r="AA178" i="62"/>
  <c r="AG178" i="62"/>
  <c r="AC178" i="62"/>
  <c r="G178" i="62"/>
  <c r="AS8" i="57"/>
  <c r="AT8" i="57" s="1"/>
  <c r="AU8" i="57" s="1"/>
  <c r="AV8" i="57" s="1"/>
  <c r="AW8" i="57" s="1"/>
  <c r="AX8" i="57" s="1"/>
  <c r="AY8" i="57" s="1"/>
  <c r="AZ8" i="57" s="1"/>
  <c r="BA8" i="57" s="1"/>
  <c r="BB8" i="57" s="1"/>
  <c r="BC8" i="57" s="1"/>
  <c r="BD8" i="57" s="1"/>
  <c r="BE8" i="57" s="1"/>
  <c r="BF8" i="57" s="1"/>
  <c r="BG8" i="57" s="1"/>
  <c r="BH8" i="57" s="1"/>
  <c r="BI8" i="57" s="1"/>
  <c r="AS5" i="57"/>
  <c r="AT5" i="57" s="1"/>
  <c r="AU5" i="57" s="1"/>
  <c r="AV5" i="57" s="1"/>
  <c r="AW5" i="57" s="1"/>
  <c r="AX5" i="57" s="1"/>
  <c r="AY5" i="57" s="1"/>
  <c r="AZ5" i="57" s="1"/>
  <c r="BA5" i="57" s="1"/>
  <c r="BB5" i="57" s="1"/>
  <c r="BC5" i="57" s="1"/>
  <c r="BD5" i="57" s="1"/>
  <c r="BE5" i="57" s="1"/>
  <c r="BF5" i="57" s="1"/>
  <c r="BG5" i="57" s="1"/>
  <c r="BH5" i="57" s="1"/>
  <c r="BI5" i="57" s="1"/>
  <c r="AC54" i="62"/>
  <c r="AG54" i="62"/>
  <c r="AA54" i="62"/>
  <c r="AE54" i="62"/>
  <c r="AI54" i="62"/>
  <c r="AK54" i="62"/>
  <c r="G54" i="62"/>
  <c r="AI16" i="62"/>
  <c r="K16" i="62"/>
  <c r="S16" i="62"/>
  <c r="AO16" i="62"/>
  <c r="AQ16" i="62"/>
  <c r="G16" i="62"/>
  <c r="AA16" i="62"/>
  <c r="U16" i="62"/>
  <c r="AG16" i="62"/>
  <c r="Y16" i="62"/>
  <c r="AC16" i="62"/>
  <c r="M16" i="62"/>
  <c r="Q16" i="62"/>
  <c r="O16" i="62"/>
  <c r="I16" i="62"/>
  <c r="AM16" i="62"/>
  <c r="AK16" i="62"/>
  <c r="W16" i="62"/>
  <c r="AE16" i="62"/>
  <c r="AC62" i="62"/>
  <c r="AG62" i="62"/>
  <c r="AI62" i="62"/>
  <c r="AE62" i="62"/>
  <c r="AA62" i="62"/>
  <c r="AK62" i="62"/>
  <c r="G62" i="62"/>
  <c r="AI98" i="62"/>
  <c r="AE98" i="62"/>
  <c r="AC98" i="62"/>
  <c r="AA98" i="62"/>
  <c r="AK98" i="62"/>
  <c r="AG98" i="62"/>
  <c r="G98" i="62"/>
  <c r="AI66" i="62"/>
  <c r="AA66" i="62"/>
  <c r="AK66" i="62"/>
  <c r="AE66" i="62"/>
  <c r="AC66" i="62"/>
  <c r="AG66" i="62"/>
  <c r="G66" i="62"/>
  <c r="AI132" i="62"/>
  <c r="AC132" i="62"/>
  <c r="AA132" i="62"/>
  <c r="AE132" i="62"/>
  <c r="AG132" i="62"/>
  <c r="G132" i="62"/>
  <c r="AK132" i="62"/>
  <c r="AG114" i="62"/>
  <c r="G114" i="62"/>
  <c r="AK114" i="62"/>
  <c r="AI114" i="62"/>
  <c r="AA114" i="62"/>
  <c r="AC114" i="62"/>
  <c r="AE114" i="62"/>
  <c r="AC122" i="62"/>
  <c r="AG122" i="62"/>
  <c r="AA122" i="62"/>
  <c r="AI122" i="62"/>
  <c r="G122" i="62"/>
  <c r="AE122" i="62"/>
  <c r="AK122" i="62"/>
  <c r="AA168" i="62"/>
  <c r="AG168" i="62"/>
  <c r="AE168" i="62"/>
  <c r="AI168" i="62"/>
  <c r="G168" i="62"/>
  <c r="AC168" i="62"/>
  <c r="AK168" i="62"/>
  <c r="AA140" i="62"/>
  <c r="AE140" i="62"/>
  <c r="AC140" i="62"/>
  <c r="AK140" i="62"/>
  <c r="G140" i="62"/>
  <c r="AG140" i="62"/>
  <c r="AI140" i="62"/>
  <c r="AI100" i="62"/>
  <c r="AG100" i="62"/>
  <c r="AE100" i="62"/>
  <c r="G100" i="62"/>
  <c r="AA100" i="62"/>
  <c r="AK100" i="62"/>
  <c r="AC100" i="62"/>
  <c r="AK144" i="62"/>
  <c r="G144" i="62"/>
  <c r="AA144" i="62"/>
  <c r="AE144" i="62"/>
  <c r="AC144" i="62"/>
  <c r="AG144" i="62"/>
  <c r="AI144" i="62"/>
  <c r="AG90" i="62"/>
  <c r="AA90" i="62"/>
  <c r="AI90" i="62"/>
  <c r="G90" i="62"/>
  <c r="AE90" i="62"/>
  <c r="AC90" i="62"/>
  <c r="AK90" i="62"/>
  <c r="AI106" i="62"/>
  <c r="AC106" i="62"/>
  <c r="AG106" i="62"/>
  <c r="AE106" i="62"/>
  <c r="AA106" i="62"/>
  <c r="AK106" i="62"/>
  <c r="G106" i="62"/>
  <c r="AS6" i="57"/>
  <c r="AT6" i="57" s="1"/>
  <c r="AU6" i="57" s="1"/>
  <c r="AV6" i="57" s="1"/>
  <c r="AW6" i="57" s="1"/>
  <c r="AX6" i="57" s="1"/>
  <c r="AY6" i="57" s="1"/>
  <c r="AZ6" i="57" s="1"/>
  <c r="BA6" i="57" s="1"/>
  <c r="BB6" i="57" s="1"/>
  <c r="BC6" i="57" s="1"/>
  <c r="BD6" i="57" s="1"/>
  <c r="BE6" i="57" s="1"/>
  <c r="BF6" i="57" s="1"/>
  <c r="BG6" i="57" s="1"/>
  <c r="BH6" i="57" s="1"/>
  <c r="BI6" i="57" s="1"/>
  <c r="AC50" i="62"/>
  <c r="AI50" i="62"/>
  <c r="AG50" i="62"/>
  <c r="AE50" i="62"/>
  <c r="AK50" i="62"/>
  <c r="G50" i="62"/>
  <c r="AA50" i="62"/>
  <c r="AM14" i="62"/>
  <c r="AA14" i="62"/>
  <c r="M14" i="62"/>
  <c r="Q14" i="62"/>
  <c r="O14" i="62"/>
  <c r="U14" i="62"/>
  <c r="S14" i="62"/>
  <c r="K14" i="62"/>
  <c r="AC14" i="62"/>
  <c r="I14" i="62"/>
  <c r="AE14" i="62"/>
  <c r="Y14" i="62"/>
  <c r="AK14" i="62"/>
  <c r="G14" i="62"/>
  <c r="W14" i="62"/>
  <c r="AI14" i="62"/>
  <c r="AG14" i="62"/>
  <c r="AO14" i="62"/>
  <c r="AQ14" i="62"/>
  <c r="AK176" i="62"/>
  <c r="G176" i="62"/>
  <c r="AG176" i="62"/>
  <c r="AA176" i="62"/>
  <c r="AI176" i="62"/>
  <c r="AE176" i="62"/>
  <c r="AC176" i="62"/>
  <c r="AC52" i="62"/>
  <c r="AI52" i="62"/>
  <c r="AK52" i="62"/>
  <c r="AE52" i="62"/>
  <c r="AG52" i="62"/>
  <c r="G52" i="62"/>
  <c r="AA52" i="62"/>
  <c r="G160" i="62"/>
  <c r="AC160" i="62"/>
  <c r="AI160" i="62"/>
  <c r="AE160" i="62"/>
  <c r="AA160" i="62"/>
  <c r="AK160" i="62"/>
  <c r="AG160" i="62"/>
  <c r="AE104" i="62"/>
  <c r="AK104" i="62"/>
  <c r="AC104" i="62"/>
  <c r="G104" i="62"/>
  <c r="AA104" i="62"/>
  <c r="AI104" i="62"/>
  <c r="AG104" i="62"/>
  <c r="AK164" i="62"/>
  <c r="AI164" i="62"/>
  <c r="AC164" i="62"/>
  <c r="AG164" i="62"/>
  <c r="AA164" i="62"/>
  <c r="AE164" i="62"/>
  <c r="G164" i="62"/>
  <c r="AI82" i="62"/>
  <c r="G82" i="62"/>
  <c r="AG82" i="62"/>
  <c r="AA82" i="62"/>
  <c r="AE82" i="62"/>
  <c r="AC82" i="62"/>
  <c r="AK82" i="62"/>
  <c r="AA108" i="62"/>
  <c r="AC108" i="62"/>
  <c r="G108" i="62"/>
  <c r="AE108" i="62"/>
  <c r="AG108" i="62"/>
  <c r="AI108" i="62"/>
  <c r="AK108" i="62"/>
  <c r="AA48" i="62"/>
  <c r="AK48" i="62"/>
  <c r="AE48" i="62"/>
  <c r="AG48" i="62"/>
  <c r="G48" i="62"/>
  <c r="AC48" i="62"/>
  <c r="AI48" i="62"/>
  <c r="AK94" i="62"/>
  <c r="AI94" i="62"/>
  <c r="AG94" i="62"/>
  <c r="AE94" i="62"/>
  <c r="AA94" i="62"/>
  <c r="G94" i="62"/>
  <c r="AC94" i="62"/>
  <c r="AS13" i="57"/>
  <c r="AT13" i="57" s="1"/>
  <c r="AU13" i="57" s="1"/>
  <c r="AV13" i="57" s="1"/>
  <c r="AW13" i="57" s="1"/>
  <c r="AX13" i="57" s="1"/>
  <c r="AY13" i="57" s="1"/>
  <c r="AZ13" i="57" s="1"/>
  <c r="BA13" i="57" s="1"/>
  <c r="BB13" i="57" s="1"/>
  <c r="BC13" i="57" s="1"/>
  <c r="BD13" i="57" s="1"/>
  <c r="BE13" i="57" s="1"/>
  <c r="BF13" i="57" s="1"/>
  <c r="BG13" i="57" s="1"/>
  <c r="BH13" i="57" s="1"/>
  <c r="BI13" i="57" s="1"/>
  <c r="AG116" i="62"/>
  <c r="G116" i="62"/>
  <c r="AK116" i="62"/>
  <c r="AE116" i="62"/>
  <c r="AA116" i="62"/>
  <c r="AI116" i="62"/>
  <c r="AC116" i="62"/>
  <c r="AG60" i="62"/>
  <c r="AK60" i="62"/>
  <c r="G60" i="62"/>
  <c r="AA60" i="62"/>
  <c r="AC60" i="62"/>
  <c r="AI60" i="62"/>
  <c r="AE60" i="62"/>
  <c r="O12" i="62"/>
  <c r="Q12" i="62"/>
  <c r="AO12" i="62"/>
  <c r="AG12" i="62"/>
  <c r="Y12" i="62"/>
  <c r="AQ12" i="62"/>
  <c r="AK12" i="62"/>
  <c r="AM12" i="62"/>
  <c r="AI12" i="62"/>
  <c r="M12" i="62"/>
  <c r="U12" i="62"/>
  <c r="I12" i="62"/>
  <c r="W12" i="62"/>
  <c r="AE12" i="62"/>
  <c r="S12" i="62"/>
  <c r="K12" i="62"/>
  <c r="AA12" i="62"/>
  <c r="AC12" i="62"/>
  <c r="G12" i="62"/>
  <c r="AE126" i="62"/>
  <c r="AI126" i="62"/>
  <c r="AK126" i="62"/>
  <c r="AA126" i="62"/>
  <c r="AG126" i="62"/>
  <c r="G126" i="62"/>
  <c r="AC126" i="62"/>
  <c r="G96" i="62"/>
  <c r="AA96" i="62"/>
  <c r="AK96" i="62"/>
  <c r="AG96" i="62"/>
  <c r="AI96" i="62"/>
  <c r="AE96" i="62"/>
  <c r="AC96" i="62"/>
  <c r="AS9" i="57"/>
  <c r="AT9" i="57" s="1"/>
  <c r="AU9" i="57" s="1"/>
  <c r="AV9" i="57" s="1"/>
  <c r="AW9" i="57" s="1"/>
  <c r="AX9" i="57" s="1"/>
  <c r="AY9" i="57" s="1"/>
  <c r="AZ9" i="57" s="1"/>
  <c r="BA9" i="57" s="1"/>
  <c r="BB9" i="57" s="1"/>
  <c r="BC9" i="57" s="1"/>
  <c r="BD9" i="57" s="1"/>
  <c r="BE9" i="57" s="1"/>
  <c r="BF9" i="57" s="1"/>
  <c r="BG9" i="57" s="1"/>
  <c r="BH9" i="57" s="1"/>
  <c r="BI9" i="57" s="1"/>
  <c r="AC134" i="62"/>
  <c r="AG134" i="62"/>
  <c r="AA134" i="62"/>
  <c r="AE134" i="62"/>
  <c r="AK134" i="62"/>
  <c r="AI134" i="62"/>
  <c r="G134" i="62"/>
  <c r="AE38" i="62"/>
  <c r="AC38" i="62"/>
  <c r="AA38" i="62"/>
  <c r="AK38" i="62"/>
  <c r="AG38" i="62"/>
  <c r="AI38" i="62"/>
  <c r="G38" i="62"/>
  <c r="AA102" i="62"/>
  <c r="AC102" i="62"/>
  <c r="AE102" i="62"/>
  <c r="AK102" i="62"/>
  <c r="AG102" i="62"/>
  <c r="AI102" i="62"/>
  <c r="G102" i="62"/>
  <c r="AC56" i="62"/>
  <c r="AI56" i="62"/>
  <c r="AG56" i="62"/>
  <c r="AE56" i="62"/>
  <c r="AA56" i="62"/>
  <c r="AK56" i="62"/>
  <c r="G56" i="62"/>
  <c r="AI28" i="62"/>
  <c r="G28" i="62"/>
  <c r="AK28" i="62"/>
  <c r="AG28" i="62"/>
  <c r="AE28" i="62"/>
  <c r="AC28" i="62"/>
  <c r="AA28" i="62"/>
  <c r="AE46" i="62"/>
  <c r="AA46" i="62"/>
  <c r="AC46" i="62"/>
  <c r="AG46" i="62"/>
  <c r="G46" i="62"/>
  <c r="AI46" i="62"/>
  <c r="AK46" i="62"/>
  <c r="G78" i="62"/>
  <c r="AE78" i="62"/>
  <c r="AI78" i="62"/>
  <c r="AG78" i="62"/>
  <c r="AK78" i="62"/>
  <c r="AC78" i="62"/>
  <c r="AA78" i="62"/>
  <c r="AA172" i="62"/>
  <c r="AG172" i="62"/>
  <c r="AC172" i="62"/>
  <c r="AK172" i="62"/>
  <c r="G172" i="62"/>
  <c r="AE172" i="62"/>
  <c r="AI172" i="62"/>
  <c r="AS7" i="57"/>
  <c r="AT7" i="57" s="1"/>
  <c r="AU7" i="57" s="1"/>
  <c r="AV7" i="57" s="1"/>
  <c r="AW7" i="57" s="1"/>
  <c r="AX7" i="57" s="1"/>
  <c r="AY7" i="57" s="1"/>
  <c r="AZ7" i="57" s="1"/>
  <c r="BA7" i="57" s="1"/>
  <c r="BB7" i="57" s="1"/>
  <c r="BC7" i="57" s="1"/>
  <c r="BD7" i="57" s="1"/>
  <c r="BE7" i="57" s="1"/>
  <c r="BF7" i="57" s="1"/>
  <c r="BG7" i="57" s="1"/>
  <c r="BH7" i="57" s="1"/>
  <c r="BI7" i="57" s="1"/>
  <c r="AG74" i="62"/>
  <c r="AE74" i="62"/>
  <c r="G74" i="62"/>
  <c r="AA74" i="62"/>
  <c r="AK74" i="62"/>
  <c r="AC74" i="62"/>
  <c r="AI74" i="62"/>
  <c r="AC136" i="62"/>
  <c r="AA136" i="62"/>
  <c r="AK136" i="62"/>
  <c r="G136" i="62"/>
  <c r="AE136" i="62"/>
  <c r="AI136" i="62"/>
  <c r="AG136" i="62"/>
  <c r="AK42" i="62"/>
  <c r="AI42" i="62"/>
  <c r="AG42" i="62"/>
  <c r="G42" i="62"/>
  <c r="AE42" i="62"/>
  <c r="AA42" i="62"/>
  <c r="AC42" i="62"/>
  <c r="AI58" i="62"/>
  <c r="G58" i="62"/>
  <c r="AK58" i="62"/>
  <c r="AC58" i="62"/>
  <c r="AE58" i="62"/>
  <c r="AA58" i="62"/>
  <c r="AG58" i="62"/>
  <c r="AG158" i="62"/>
  <c r="G158" i="62"/>
  <c r="AI158" i="62"/>
  <c r="AA158" i="62"/>
  <c r="AK158" i="62"/>
  <c r="AC158" i="62"/>
  <c r="AE158" i="62"/>
  <c r="AI130" i="62"/>
  <c r="G130" i="62"/>
  <c r="AG130" i="62"/>
  <c r="AA130" i="62"/>
  <c r="AC130" i="62"/>
  <c r="AE130" i="62"/>
  <c r="AK130" i="62"/>
  <c r="C119" i="62"/>
  <c r="D59" i="57"/>
  <c r="E59" i="57" s="1"/>
  <c r="F59" i="57" s="1"/>
  <c r="G59" i="57" s="1"/>
  <c r="H59" i="57" s="1"/>
  <c r="I59" i="57" s="1"/>
  <c r="J59" i="57" s="1"/>
  <c r="K59" i="57" s="1"/>
  <c r="L59" i="57" s="1"/>
  <c r="M59" i="57" s="1"/>
  <c r="N59" i="57" s="1"/>
  <c r="O59" i="57" s="1"/>
  <c r="P59" i="57" s="1"/>
  <c r="Q59" i="57" s="1"/>
  <c r="R59" i="57" s="1"/>
  <c r="S59" i="57" s="1"/>
  <c r="T59" i="57" s="1"/>
  <c r="U59" i="57" s="1"/>
  <c r="V59" i="57" s="1"/>
  <c r="W59" i="57" s="1"/>
  <c r="X59" i="57" s="1"/>
  <c r="Y59" i="57" s="1"/>
  <c r="Z59" i="57" s="1"/>
  <c r="AA59" i="57" s="1"/>
  <c r="AB59" i="57" s="1"/>
  <c r="AC59" i="57" s="1"/>
  <c r="AD59" i="57" s="1"/>
  <c r="AE59" i="57" s="1"/>
  <c r="AF59" i="57" s="1"/>
  <c r="AG59" i="57" s="1"/>
  <c r="AH59" i="57" s="1"/>
  <c r="AI59" i="57" s="1"/>
  <c r="T151" i="57"/>
  <c r="U151" i="57" s="1"/>
  <c r="V151" i="57" s="1"/>
  <c r="W151" i="57" s="1"/>
  <c r="X151" i="57" s="1"/>
  <c r="Y151" i="57" s="1"/>
  <c r="Z151" i="57" s="1"/>
  <c r="AA151" i="57" s="1"/>
  <c r="AB151" i="57" s="1"/>
  <c r="AC151" i="57" s="1"/>
  <c r="AD151" i="57" s="1"/>
  <c r="AE151" i="57" s="1"/>
  <c r="AF151" i="57" s="1"/>
  <c r="AG151" i="57" s="1"/>
  <c r="AH151" i="57" s="1"/>
  <c r="AI151" i="57" s="1"/>
  <c r="AT140" i="57"/>
  <c r="AU140" i="57" s="1"/>
  <c r="AV140" i="57" s="1"/>
  <c r="AW140" i="57" s="1"/>
  <c r="AX140" i="57" s="1"/>
  <c r="AY140" i="57" s="1"/>
  <c r="AZ140" i="57" s="1"/>
  <c r="BA140" i="57" s="1"/>
  <c r="BB140" i="57" s="1"/>
  <c r="BC140" i="57" s="1"/>
  <c r="BD140" i="57" s="1"/>
  <c r="BE140" i="57" s="1"/>
  <c r="BF140" i="57" s="1"/>
  <c r="BG140" i="57" s="1"/>
  <c r="BH140" i="57" s="1"/>
  <c r="BI140" i="57" s="1"/>
  <c r="BJ140" i="57" s="1"/>
  <c r="BK140" i="57" s="1"/>
  <c r="BL140" i="57" s="1"/>
  <c r="BM140" i="57" s="1"/>
  <c r="BN140" i="57" s="1"/>
  <c r="BO140" i="57" s="1"/>
  <c r="BP140" i="57" s="1"/>
  <c r="BQ140" i="57" s="1"/>
  <c r="BR140" i="57" s="1"/>
  <c r="BS140" i="57" s="1"/>
  <c r="BT140" i="57" s="1"/>
  <c r="BU140" i="57" s="1"/>
  <c r="AT71" i="57"/>
  <c r="AU71" i="57" s="1"/>
  <c r="AV71" i="57" s="1"/>
  <c r="AW71" i="57" s="1"/>
  <c r="AX71" i="57" s="1"/>
  <c r="AY71" i="57" s="1"/>
  <c r="AZ71" i="57" s="1"/>
  <c r="BA71" i="57" s="1"/>
  <c r="BB71" i="57" s="1"/>
  <c r="BC71" i="57" s="1"/>
  <c r="BD71" i="57" s="1"/>
  <c r="BE71" i="57" s="1"/>
  <c r="BF71" i="57" s="1"/>
  <c r="BG71" i="57" s="1"/>
  <c r="BH71" i="57" s="1"/>
  <c r="BI71" i="57" s="1"/>
  <c r="BJ71" i="57" s="1"/>
  <c r="BK71" i="57" s="1"/>
  <c r="BL71" i="57" s="1"/>
  <c r="BM71" i="57" s="1"/>
  <c r="BN71" i="57" s="1"/>
  <c r="BO71" i="57" s="1"/>
  <c r="BP71" i="57" s="1"/>
  <c r="BQ71" i="57" s="1"/>
  <c r="BR71" i="57" s="1"/>
  <c r="BS71" i="57" s="1"/>
  <c r="BT71" i="57" s="1"/>
  <c r="BU71" i="57" s="1"/>
  <c r="BV71" i="57" s="1"/>
  <c r="BW71" i="57" s="1"/>
  <c r="BX71" i="57" s="1"/>
  <c r="BY71" i="57" s="1"/>
  <c r="AT209" i="57"/>
  <c r="AU209" i="57" s="1"/>
  <c r="AV209" i="57" s="1"/>
  <c r="AW209" i="57" s="1"/>
  <c r="AX209" i="57" s="1"/>
  <c r="AY209" i="57" s="1"/>
  <c r="AZ209" i="57" s="1"/>
  <c r="BA209" i="57" s="1"/>
  <c r="BB209" i="57" s="1"/>
  <c r="BC209" i="57" s="1"/>
  <c r="BD209" i="57" s="1"/>
  <c r="BE209" i="57" s="1"/>
  <c r="BF209" i="57" s="1"/>
  <c r="BG209" i="57" s="1"/>
  <c r="BH209" i="57" s="1"/>
  <c r="BI209" i="57" s="1"/>
  <c r="BJ209" i="57" s="1"/>
  <c r="BK209" i="57" s="1"/>
  <c r="BL209" i="57" s="1"/>
  <c r="BM209" i="57" s="1"/>
  <c r="BN209" i="57" s="1"/>
  <c r="BO209" i="57" s="1"/>
  <c r="BP209" i="57" s="1"/>
  <c r="BQ209" i="57" s="1"/>
  <c r="AT90" i="57"/>
  <c r="AU90" i="57" s="1"/>
  <c r="AV90" i="57" s="1"/>
  <c r="AW90" i="57" s="1"/>
  <c r="AX90" i="57" s="1"/>
  <c r="AY90" i="57" s="1"/>
  <c r="AZ90" i="57" s="1"/>
  <c r="BA90" i="57" s="1"/>
  <c r="BB90" i="57" s="1"/>
  <c r="BC90" i="57" s="1"/>
  <c r="BD90" i="57" s="1"/>
  <c r="BE90" i="57" s="1"/>
  <c r="BF90" i="57" s="1"/>
  <c r="BG90" i="57" s="1"/>
  <c r="BH90" i="57" s="1"/>
  <c r="BI90" i="57" s="1"/>
  <c r="BJ90" i="57" s="1"/>
  <c r="BK90" i="57" s="1"/>
  <c r="BL90" i="57" s="1"/>
  <c r="BM90" i="57" s="1"/>
  <c r="BN90" i="57" s="1"/>
  <c r="BO90" i="57" s="1"/>
  <c r="BP90" i="57" s="1"/>
  <c r="BQ90" i="57" s="1"/>
  <c r="BR90" i="57" s="1"/>
  <c r="BS90" i="57" s="1"/>
  <c r="BT90" i="57" s="1"/>
  <c r="BU90" i="57" s="1"/>
  <c r="BV90" i="57" s="1"/>
  <c r="BW90" i="57" s="1"/>
  <c r="BX90" i="57" s="1"/>
  <c r="BY90" i="57" s="1"/>
  <c r="BZ90" i="57" s="1"/>
  <c r="BZ211" i="57"/>
  <c r="CA211" i="57" s="1"/>
  <c r="CB211" i="57" s="1"/>
  <c r="CC211" i="57" s="1"/>
  <c r="CD211" i="57" s="1"/>
  <c r="CE211" i="57" s="1"/>
  <c r="CF211" i="57" s="1"/>
  <c r="CG211" i="57" s="1"/>
  <c r="T103" i="57"/>
  <c r="U103" i="57" s="1"/>
  <c r="V103" i="57" s="1"/>
  <c r="W103" i="57" s="1"/>
  <c r="X103" i="57" s="1"/>
  <c r="Y103" i="57" s="1"/>
  <c r="Z103" i="57" s="1"/>
  <c r="AA103" i="57" s="1"/>
  <c r="AB103" i="57" s="1"/>
  <c r="AC103" i="57" s="1"/>
  <c r="AD103" i="57" s="1"/>
  <c r="AE103" i="57" s="1"/>
  <c r="AF103" i="57" s="1"/>
  <c r="AG103" i="57" s="1"/>
  <c r="AH103" i="57" s="1"/>
  <c r="AI103" i="57" s="1"/>
  <c r="D78" i="57"/>
  <c r="E78" i="57" s="1"/>
  <c r="F78" i="57" s="1"/>
  <c r="G78" i="57" s="1"/>
  <c r="H78" i="57" s="1"/>
  <c r="I78" i="57" s="1"/>
  <c r="J78" i="57" s="1"/>
  <c r="K78" i="57" s="1"/>
  <c r="L78" i="57" s="1"/>
  <c r="M78" i="57" s="1"/>
  <c r="N78" i="57" s="1"/>
  <c r="O78" i="57" s="1"/>
  <c r="P78" i="57" s="1"/>
  <c r="Q78" i="57" s="1"/>
  <c r="R78" i="57" s="1"/>
  <c r="S78" i="57" s="1"/>
  <c r="T78" i="57" s="1"/>
  <c r="U78" i="57" s="1"/>
  <c r="V78" i="57" s="1"/>
  <c r="W78" i="57" s="1"/>
  <c r="X78" i="57" s="1"/>
  <c r="Y78" i="57" s="1"/>
  <c r="Z78" i="57" s="1"/>
  <c r="AA78" i="57" s="1"/>
  <c r="AB78" i="57" s="1"/>
  <c r="AC78" i="57" s="1"/>
  <c r="AD78" i="57" s="1"/>
  <c r="AE78" i="57" s="1"/>
  <c r="AF78" i="57" s="1"/>
  <c r="AG78" i="57" s="1"/>
  <c r="AH78" i="57" s="1"/>
  <c r="AI78" i="57" s="1"/>
  <c r="C157" i="62"/>
  <c r="AT106" i="57"/>
  <c r="AU106" i="57" s="1"/>
  <c r="AV106" i="57" s="1"/>
  <c r="AW106" i="57" s="1"/>
  <c r="AX106" i="57" s="1"/>
  <c r="AY106" i="57" s="1"/>
  <c r="AZ106" i="57" s="1"/>
  <c r="BA106" i="57" s="1"/>
  <c r="BB106" i="57" s="1"/>
  <c r="BC106" i="57" s="1"/>
  <c r="BD106" i="57" s="1"/>
  <c r="BE106" i="57" s="1"/>
  <c r="BF106" i="57" s="1"/>
  <c r="BG106" i="57" s="1"/>
  <c r="BH106" i="57" s="1"/>
  <c r="BI106" i="57" s="1"/>
  <c r="AT74" i="57"/>
  <c r="AU74" i="57" s="1"/>
  <c r="AV74" i="57" s="1"/>
  <c r="AW74" i="57" s="1"/>
  <c r="AX74" i="57" s="1"/>
  <c r="AY74" i="57" s="1"/>
  <c r="AZ74" i="57" s="1"/>
  <c r="BA74" i="57" s="1"/>
  <c r="BB74" i="57" s="1"/>
  <c r="BC74" i="57" s="1"/>
  <c r="BD74" i="57" s="1"/>
  <c r="BE74" i="57" s="1"/>
  <c r="BF74" i="57" s="1"/>
  <c r="BG74" i="57" s="1"/>
  <c r="BH74" i="57" s="1"/>
  <c r="BI74" i="57" s="1"/>
  <c r="BJ74" i="57" s="1"/>
  <c r="BK74" i="57" s="1"/>
  <c r="BL74" i="57" s="1"/>
  <c r="BM74" i="57" s="1"/>
  <c r="BN74" i="57" s="1"/>
  <c r="BO74" i="57" s="1"/>
  <c r="BP74" i="57" s="1"/>
  <c r="BQ74" i="57" s="1"/>
  <c r="BJ81" i="57"/>
  <c r="BK81" i="57" s="1"/>
  <c r="BL81" i="57" s="1"/>
  <c r="BM81" i="57" s="1"/>
  <c r="BN81" i="57" s="1"/>
  <c r="BO81" i="57" s="1"/>
  <c r="BP81" i="57" s="1"/>
  <c r="BQ81" i="57" s="1"/>
  <c r="BR81" i="57" s="1"/>
  <c r="BS81" i="57" s="1"/>
  <c r="BT81" i="57" s="1"/>
  <c r="BU81" i="57" s="1"/>
  <c r="BV81" i="57" s="1"/>
  <c r="BW81" i="57" s="1"/>
  <c r="BX81" i="57" s="1"/>
  <c r="BY81" i="57" s="1"/>
  <c r="D91" i="57"/>
  <c r="E91" i="57" s="1"/>
  <c r="F91" i="57" s="1"/>
  <c r="G91" i="57" s="1"/>
  <c r="H91" i="57" s="1"/>
  <c r="I91" i="57" s="1"/>
  <c r="J91" i="57" s="1"/>
  <c r="K91" i="57" s="1"/>
  <c r="L91" i="57" s="1"/>
  <c r="M91" i="57" s="1"/>
  <c r="N91" i="57" s="1"/>
  <c r="O91" i="57" s="1"/>
  <c r="P91" i="57" s="1"/>
  <c r="Q91" i="57" s="1"/>
  <c r="R91" i="57" s="1"/>
  <c r="S91" i="57" s="1"/>
  <c r="T91" i="57" s="1"/>
  <c r="U91" i="57" s="1"/>
  <c r="V91" i="57" s="1"/>
  <c r="W91" i="57" s="1"/>
  <c r="X91" i="57" s="1"/>
  <c r="Y91" i="57" s="1"/>
  <c r="Z91" i="57" s="1"/>
  <c r="AA91" i="57" s="1"/>
  <c r="AT46" i="57"/>
  <c r="AU46" i="57" s="1"/>
  <c r="AV46" i="57" s="1"/>
  <c r="AW46" i="57" s="1"/>
  <c r="AX46" i="57" s="1"/>
  <c r="AY46" i="57" s="1"/>
  <c r="AZ46" i="57" s="1"/>
  <c r="BA46" i="57" s="1"/>
  <c r="BB46" i="57" s="1"/>
  <c r="BC46" i="57" s="1"/>
  <c r="BD46" i="57" s="1"/>
  <c r="BE46" i="57" s="1"/>
  <c r="BF46" i="57" s="1"/>
  <c r="BG46" i="57" s="1"/>
  <c r="BH46" i="57" s="1"/>
  <c r="BI46" i="57" s="1"/>
  <c r="BJ46" i="57" s="1"/>
  <c r="BK46" i="57" s="1"/>
  <c r="BL46" i="57" s="1"/>
  <c r="BM46" i="57" s="1"/>
  <c r="BN46" i="57" s="1"/>
  <c r="BO46" i="57" s="1"/>
  <c r="BP46" i="57" s="1"/>
  <c r="BQ46" i="57" s="1"/>
  <c r="T96" i="57"/>
  <c r="U96" i="57" s="1"/>
  <c r="V96" i="57" s="1"/>
  <c r="W96" i="57" s="1"/>
  <c r="X96" i="57" s="1"/>
  <c r="Y96" i="57" s="1"/>
  <c r="Z96" i="57" s="1"/>
  <c r="AA96" i="57" s="1"/>
  <c r="AB96" i="57" s="1"/>
  <c r="AC96" i="57" s="1"/>
  <c r="AD96" i="57" s="1"/>
  <c r="AE96" i="57" s="1"/>
  <c r="AF96" i="57" s="1"/>
  <c r="AG96" i="57" s="1"/>
  <c r="AH96" i="57" s="1"/>
  <c r="AI96" i="57" s="1"/>
  <c r="D205" i="57"/>
  <c r="E205" i="57" s="1"/>
  <c r="F205" i="57" s="1"/>
  <c r="G205" i="57" s="1"/>
  <c r="H205" i="57" s="1"/>
  <c r="I205" i="57" s="1"/>
  <c r="J205" i="57" s="1"/>
  <c r="K205" i="57" s="1"/>
  <c r="L205" i="57" s="1"/>
  <c r="M205" i="57" s="1"/>
  <c r="N205" i="57" s="1"/>
  <c r="O205" i="57" s="1"/>
  <c r="P205" i="57" s="1"/>
  <c r="Q205" i="57" s="1"/>
  <c r="R205" i="57" s="1"/>
  <c r="S205" i="57" s="1"/>
  <c r="T205" i="57" s="1"/>
  <c r="U205" i="57" s="1"/>
  <c r="V205" i="57" s="1"/>
  <c r="W205" i="57" s="1"/>
  <c r="X205" i="57" s="1"/>
  <c r="Y205" i="57" s="1"/>
  <c r="Z205" i="57" s="1"/>
  <c r="AA205" i="57" s="1"/>
  <c r="BJ188" i="57"/>
  <c r="BK188" i="57" s="1"/>
  <c r="BL188" i="57" s="1"/>
  <c r="BM188" i="57" s="1"/>
  <c r="BN188" i="57" s="1"/>
  <c r="BO188" i="57" s="1"/>
  <c r="BP188" i="57" s="1"/>
  <c r="BQ188" i="57" s="1"/>
  <c r="BR188" i="57" s="1"/>
  <c r="BS188" i="57" s="1"/>
  <c r="BT188" i="57" s="1"/>
  <c r="BU188" i="57" s="1"/>
  <c r="BV188" i="57" s="1"/>
  <c r="BW188" i="57" s="1"/>
  <c r="BX188" i="57" s="1"/>
  <c r="BY188" i="57" s="1"/>
  <c r="D42" i="57"/>
  <c r="E42" i="57" s="1"/>
  <c r="F42" i="57" s="1"/>
  <c r="G42" i="57" s="1"/>
  <c r="H42" i="57" s="1"/>
  <c r="I42" i="57" s="1"/>
  <c r="J42" i="57" s="1"/>
  <c r="K42" i="57" s="1"/>
  <c r="L42" i="57" s="1"/>
  <c r="M42" i="57" s="1"/>
  <c r="N42" i="57" s="1"/>
  <c r="O42" i="57" s="1"/>
  <c r="P42" i="57" s="1"/>
  <c r="Q42" i="57" s="1"/>
  <c r="R42" i="57" s="1"/>
  <c r="S42" i="57" s="1"/>
  <c r="T42" i="57" s="1"/>
  <c r="U42" i="57" s="1"/>
  <c r="V42" i="57" s="1"/>
  <c r="W42" i="57" s="1"/>
  <c r="X42" i="57" s="1"/>
  <c r="Y42" i="57" s="1"/>
  <c r="Z42" i="57" s="1"/>
  <c r="AA42" i="57" s="1"/>
  <c r="AB42" i="57" s="1"/>
  <c r="AC42" i="57" s="1"/>
  <c r="AD42" i="57" s="1"/>
  <c r="AE42" i="57" s="1"/>
  <c r="AF42" i="57" s="1"/>
  <c r="AG42" i="57" s="1"/>
  <c r="AH42" i="57" s="1"/>
  <c r="AI42" i="57" s="1"/>
  <c r="C85" i="62"/>
  <c r="D190" i="57"/>
  <c r="E190" i="57" s="1"/>
  <c r="F190" i="57" s="1"/>
  <c r="G190" i="57" s="1"/>
  <c r="H190" i="57" s="1"/>
  <c r="I190" i="57" s="1"/>
  <c r="J190" i="57" s="1"/>
  <c r="K190" i="57" s="1"/>
  <c r="L190" i="57" s="1"/>
  <c r="M190" i="57" s="1"/>
  <c r="N190" i="57" s="1"/>
  <c r="O190" i="57" s="1"/>
  <c r="P190" i="57" s="1"/>
  <c r="Q190" i="57" s="1"/>
  <c r="R190" i="57" s="1"/>
  <c r="S190" i="57" s="1"/>
  <c r="T190" i="57" s="1"/>
  <c r="U190" i="57" s="1"/>
  <c r="V190" i="57" s="1"/>
  <c r="W190" i="57" s="1"/>
  <c r="X190" i="57" s="1"/>
  <c r="Y190" i="57" s="1"/>
  <c r="Z190" i="57" s="1"/>
  <c r="AA190" i="57" s="1"/>
  <c r="AB190" i="57" s="1"/>
  <c r="AC190" i="57" s="1"/>
  <c r="AD190" i="57" s="1"/>
  <c r="AE190" i="57" s="1"/>
  <c r="AF190" i="57" s="1"/>
  <c r="AG190" i="57" s="1"/>
  <c r="AH190" i="57" s="1"/>
  <c r="AI190" i="57" s="1"/>
  <c r="AT197" i="57"/>
  <c r="AU197" i="57" s="1"/>
  <c r="AV197" i="57" s="1"/>
  <c r="AW197" i="57" s="1"/>
  <c r="AX197" i="57" s="1"/>
  <c r="AY197" i="57" s="1"/>
  <c r="AZ197" i="57" s="1"/>
  <c r="BA197" i="57" s="1"/>
  <c r="BB197" i="57" s="1"/>
  <c r="BC197" i="57" s="1"/>
  <c r="BD197" i="57" s="1"/>
  <c r="BE197" i="57" s="1"/>
  <c r="BF197" i="57" s="1"/>
  <c r="BG197" i="57" s="1"/>
  <c r="BH197" i="57" s="1"/>
  <c r="BI197" i="57" s="1"/>
  <c r="BJ197" i="57" s="1"/>
  <c r="BK197" i="57" s="1"/>
  <c r="BL197" i="57" s="1"/>
  <c r="BM197" i="57" s="1"/>
  <c r="BN197" i="57" s="1"/>
  <c r="BO197" i="57" s="1"/>
  <c r="BP197" i="57" s="1"/>
  <c r="BQ197" i="57" s="1"/>
  <c r="BR197" i="57" s="1"/>
  <c r="BS197" i="57" s="1"/>
  <c r="BT197" i="57" s="1"/>
  <c r="BU197" i="57" s="1"/>
  <c r="BV197" i="57" s="1"/>
  <c r="BW197" i="57" s="1"/>
  <c r="BX197" i="57" s="1"/>
  <c r="BY197" i="57" s="1"/>
  <c r="D51" i="57"/>
  <c r="E51" i="57" s="1"/>
  <c r="F51" i="57" s="1"/>
  <c r="G51" i="57" s="1"/>
  <c r="H51" i="57" s="1"/>
  <c r="I51" i="57" s="1"/>
  <c r="J51" i="57" s="1"/>
  <c r="K51" i="57" s="1"/>
  <c r="L51" i="57" s="1"/>
  <c r="M51" i="57" s="1"/>
  <c r="N51" i="57" s="1"/>
  <c r="O51" i="57" s="1"/>
  <c r="P51" i="57" s="1"/>
  <c r="Q51" i="57" s="1"/>
  <c r="R51" i="57" s="1"/>
  <c r="S51" i="57" s="1"/>
  <c r="C103" i="62"/>
  <c r="BJ130" i="57"/>
  <c r="BK130" i="57" s="1"/>
  <c r="BL130" i="57" s="1"/>
  <c r="BM130" i="57" s="1"/>
  <c r="BN130" i="57" s="1"/>
  <c r="BO130" i="57" s="1"/>
  <c r="BP130" i="57" s="1"/>
  <c r="BQ130" i="57" s="1"/>
  <c r="BR130" i="57" s="1"/>
  <c r="BS130" i="57" s="1"/>
  <c r="BT130" i="57" s="1"/>
  <c r="BU130" i="57" s="1"/>
  <c r="BV130" i="57" s="1"/>
  <c r="BW130" i="57" s="1"/>
  <c r="BX130" i="57" s="1"/>
  <c r="BY130" i="57" s="1"/>
  <c r="AT75" i="57"/>
  <c r="AU75" i="57" s="1"/>
  <c r="AV75" i="57" s="1"/>
  <c r="AW75" i="57" s="1"/>
  <c r="AX75" i="57" s="1"/>
  <c r="AY75" i="57" s="1"/>
  <c r="AZ75" i="57" s="1"/>
  <c r="BA75" i="57" s="1"/>
  <c r="BB75" i="57" s="1"/>
  <c r="BC75" i="57" s="1"/>
  <c r="BD75" i="57" s="1"/>
  <c r="BE75" i="57" s="1"/>
  <c r="BF75" i="57" s="1"/>
  <c r="BG75" i="57" s="1"/>
  <c r="BH75" i="57" s="1"/>
  <c r="BI75" i="57" s="1"/>
  <c r="BJ75" i="57" s="1"/>
  <c r="BK75" i="57" s="1"/>
  <c r="BL75" i="57" s="1"/>
  <c r="BM75" i="57" s="1"/>
  <c r="BN75" i="57" s="1"/>
  <c r="BO75" i="57" s="1"/>
  <c r="BP75" i="57" s="1"/>
  <c r="BQ75" i="57" s="1"/>
  <c r="C37" i="62"/>
  <c r="D18" i="57"/>
  <c r="E18" i="57" s="1"/>
  <c r="F18" i="57" s="1"/>
  <c r="G18" i="57" s="1"/>
  <c r="H18" i="57" s="1"/>
  <c r="I18" i="57" s="1"/>
  <c r="J18" i="57" s="1"/>
  <c r="K18" i="57" s="1"/>
  <c r="L18" i="57" s="1"/>
  <c r="M18" i="57" s="1"/>
  <c r="N18" i="57" s="1"/>
  <c r="O18" i="57" s="1"/>
  <c r="P18" i="57" s="1"/>
  <c r="Q18" i="57" s="1"/>
  <c r="R18" i="57" s="1"/>
  <c r="S18" i="57" s="1"/>
  <c r="T18" i="57" s="1"/>
  <c r="U18" i="57" s="1"/>
  <c r="V18" i="57" s="1"/>
  <c r="W18" i="57" s="1"/>
  <c r="X18" i="57" s="1"/>
  <c r="Y18" i="57" s="1"/>
  <c r="Z18" i="57" s="1"/>
  <c r="AA18" i="57" s="1"/>
  <c r="AB18" i="57" s="1"/>
  <c r="AC18" i="57" s="1"/>
  <c r="AD18" i="57" s="1"/>
  <c r="AE18" i="57" s="1"/>
  <c r="AF18" i="57" s="1"/>
  <c r="AG18" i="57" s="1"/>
  <c r="AH18" i="57" s="1"/>
  <c r="AI18" i="57" s="1"/>
  <c r="BJ174" i="57"/>
  <c r="BK174" i="57" s="1"/>
  <c r="BL174" i="57" s="1"/>
  <c r="BM174" i="57" s="1"/>
  <c r="BN174" i="57" s="1"/>
  <c r="BO174" i="57" s="1"/>
  <c r="BP174" i="57" s="1"/>
  <c r="BQ174" i="57" s="1"/>
  <c r="BR174" i="57" s="1"/>
  <c r="BS174" i="57" s="1"/>
  <c r="BT174" i="57" s="1"/>
  <c r="BU174" i="57" s="1"/>
  <c r="BV174" i="57" s="1"/>
  <c r="BW174" i="57" s="1"/>
  <c r="BX174" i="57" s="1"/>
  <c r="BY174" i="57" s="1"/>
  <c r="AT200" i="57"/>
  <c r="AU200" i="57" s="1"/>
  <c r="AV200" i="57" s="1"/>
  <c r="AW200" i="57" s="1"/>
  <c r="AX200" i="57" s="1"/>
  <c r="AY200" i="57" s="1"/>
  <c r="AZ200" i="57" s="1"/>
  <c r="BA200" i="57" s="1"/>
  <c r="BB200" i="57" s="1"/>
  <c r="BC200" i="57" s="1"/>
  <c r="BD200" i="57" s="1"/>
  <c r="BE200" i="57" s="1"/>
  <c r="BF200" i="57" s="1"/>
  <c r="BG200" i="57" s="1"/>
  <c r="BH200" i="57" s="1"/>
  <c r="BI200" i="57" s="1"/>
  <c r="BJ200" i="57" s="1"/>
  <c r="BK200" i="57" s="1"/>
  <c r="BL200" i="57" s="1"/>
  <c r="BM200" i="57" s="1"/>
  <c r="BN200" i="57" s="1"/>
  <c r="BO200" i="57" s="1"/>
  <c r="BP200" i="57" s="1"/>
  <c r="BQ200" i="57" s="1"/>
  <c r="AT83" i="57"/>
  <c r="AU83" i="57" s="1"/>
  <c r="AV83" i="57" s="1"/>
  <c r="AW83" i="57" s="1"/>
  <c r="AX83" i="57" s="1"/>
  <c r="AY83" i="57" s="1"/>
  <c r="AZ83" i="57" s="1"/>
  <c r="BA83" i="57" s="1"/>
  <c r="BB83" i="57" s="1"/>
  <c r="BC83" i="57" s="1"/>
  <c r="BD83" i="57" s="1"/>
  <c r="BE83" i="57" s="1"/>
  <c r="BF83" i="57" s="1"/>
  <c r="BG83" i="57" s="1"/>
  <c r="BH83" i="57" s="1"/>
  <c r="BI83" i="57" s="1"/>
  <c r="BJ83" i="57" s="1"/>
  <c r="BK83" i="57" s="1"/>
  <c r="BL83" i="57" s="1"/>
  <c r="BM83" i="57" s="1"/>
  <c r="BN83" i="57" s="1"/>
  <c r="BO83" i="57" s="1"/>
  <c r="BP83" i="57" s="1"/>
  <c r="BQ83" i="57" s="1"/>
  <c r="D164" i="57"/>
  <c r="E164" i="57" s="1"/>
  <c r="F164" i="57" s="1"/>
  <c r="G164" i="57" s="1"/>
  <c r="H164" i="57" s="1"/>
  <c r="I164" i="57" s="1"/>
  <c r="J164" i="57" s="1"/>
  <c r="K164" i="57" s="1"/>
  <c r="L164" i="57" s="1"/>
  <c r="M164" i="57" s="1"/>
  <c r="N164" i="57" s="1"/>
  <c r="O164" i="57" s="1"/>
  <c r="P164" i="57" s="1"/>
  <c r="Q164" i="57" s="1"/>
  <c r="R164" i="57" s="1"/>
  <c r="S164" i="57" s="1"/>
  <c r="C27" i="62"/>
  <c r="D13" i="57"/>
  <c r="E13" i="57" s="1"/>
  <c r="F13" i="57" s="1"/>
  <c r="G13" i="57" s="1"/>
  <c r="H13" i="57" s="1"/>
  <c r="I13" i="57" s="1"/>
  <c r="J13" i="57" s="1"/>
  <c r="K13" i="57" s="1"/>
  <c r="L13" i="57" s="1"/>
  <c r="M13" i="57" s="1"/>
  <c r="N13" i="57" s="1"/>
  <c r="O13" i="57" s="1"/>
  <c r="P13" i="57" s="1"/>
  <c r="Q13" i="57" s="1"/>
  <c r="R13" i="57" s="1"/>
  <c r="S13" i="57" s="1"/>
  <c r="T13" i="57" s="1"/>
  <c r="U13" i="57" s="1"/>
  <c r="V13" i="57" s="1"/>
  <c r="W13" i="57" s="1"/>
  <c r="X13" i="57" s="1"/>
  <c r="Y13" i="57" s="1"/>
  <c r="Z13" i="57" s="1"/>
  <c r="AA13" i="57" s="1"/>
  <c r="AB13" i="57" s="1"/>
  <c r="AC13" i="57" s="1"/>
  <c r="AD13" i="57" s="1"/>
  <c r="AE13" i="57" s="1"/>
  <c r="AF13" i="57" s="1"/>
  <c r="AG13" i="57" s="1"/>
  <c r="AH13" i="57" s="1"/>
  <c r="AI13" i="57" s="1"/>
  <c r="T227" i="57"/>
  <c r="U227" i="57" s="1"/>
  <c r="V227" i="57" s="1"/>
  <c r="W227" i="57" s="1"/>
  <c r="X227" i="57" s="1"/>
  <c r="Y227" i="57" s="1"/>
  <c r="Z227" i="57" s="1"/>
  <c r="AA227" i="57" s="1"/>
  <c r="AB227" i="57" s="1"/>
  <c r="AC227" i="57" s="1"/>
  <c r="AD227" i="57" s="1"/>
  <c r="AE227" i="57" s="1"/>
  <c r="AF227" i="57" s="1"/>
  <c r="AG227" i="57" s="1"/>
  <c r="AH227" i="57" s="1"/>
  <c r="AI227" i="57" s="1"/>
  <c r="AT239" i="57"/>
  <c r="AU239" i="57" s="1"/>
  <c r="AV239" i="57" s="1"/>
  <c r="AW239" i="57" s="1"/>
  <c r="AX239" i="57" s="1"/>
  <c r="AY239" i="57" s="1"/>
  <c r="AZ239" i="57" s="1"/>
  <c r="BA239" i="57" s="1"/>
  <c r="BB239" i="57" s="1"/>
  <c r="BC239" i="57" s="1"/>
  <c r="BD239" i="57" s="1"/>
  <c r="BE239" i="57" s="1"/>
  <c r="BF239" i="57" s="1"/>
  <c r="BG239" i="57" s="1"/>
  <c r="BH239" i="57" s="1"/>
  <c r="BI239" i="57" s="1"/>
  <c r="BJ239" i="57" s="1"/>
  <c r="BK239" i="57" s="1"/>
  <c r="BL239" i="57" s="1"/>
  <c r="BM239" i="57" s="1"/>
  <c r="BN239" i="57" s="1"/>
  <c r="BO239" i="57" s="1"/>
  <c r="BP239" i="57" s="1"/>
  <c r="BQ239" i="57" s="1"/>
  <c r="T50" i="57"/>
  <c r="U50" i="57" s="1"/>
  <c r="V50" i="57" s="1"/>
  <c r="W50" i="57" s="1"/>
  <c r="X50" i="57" s="1"/>
  <c r="Y50" i="57" s="1"/>
  <c r="Z50" i="57" s="1"/>
  <c r="AA50" i="57" s="1"/>
  <c r="AB50" i="57" s="1"/>
  <c r="AC50" i="57" s="1"/>
  <c r="AD50" i="57" s="1"/>
  <c r="AE50" i="57" s="1"/>
  <c r="AF50" i="57" s="1"/>
  <c r="AG50" i="57" s="1"/>
  <c r="AH50" i="57" s="1"/>
  <c r="AI50" i="57" s="1"/>
  <c r="AE22" i="62"/>
  <c r="AC22" i="62"/>
  <c r="G22" i="62"/>
  <c r="AK22" i="62"/>
  <c r="AI22" i="62"/>
  <c r="D236" i="57"/>
  <c r="E236" i="57" s="1"/>
  <c r="F236" i="57" s="1"/>
  <c r="G236" i="57" s="1"/>
  <c r="H236" i="57" s="1"/>
  <c r="I236" i="57" s="1"/>
  <c r="J236" i="57" s="1"/>
  <c r="K236" i="57" s="1"/>
  <c r="L236" i="57" s="1"/>
  <c r="M236" i="57" s="1"/>
  <c r="N236" i="57" s="1"/>
  <c r="O236" i="57" s="1"/>
  <c r="P236" i="57" s="1"/>
  <c r="Q236" i="57" s="1"/>
  <c r="R236" i="57" s="1"/>
  <c r="S236" i="57" s="1"/>
  <c r="T236" i="57" s="1"/>
  <c r="U236" i="57" s="1"/>
  <c r="V236" i="57" s="1"/>
  <c r="W236" i="57" s="1"/>
  <c r="X236" i="57" s="1"/>
  <c r="Y236" i="57" s="1"/>
  <c r="Z236" i="57" s="1"/>
  <c r="AA236" i="57" s="1"/>
  <c r="BJ141" i="57"/>
  <c r="BK141" i="57" s="1"/>
  <c r="BL141" i="57" s="1"/>
  <c r="BM141" i="57" s="1"/>
  <c r="BN141" i="57" s="1"/>
  <c r="BO141" i="57" s="1"/>
  <c r="BP141" i="57" s="1"/>
  <c r="BQ141" i="57" s="1"/>
  <c r="BR141" i="57" s="1"/>
  <c r="BS141" i="57" s="1"/>
  <c r="BT141" i="57" s="1"/>
  <c r="BU141" i="57" s="1"/>
  <c r="BV141" i="57" s="1"/>
  <c r="BW141" i="57" s="1"/>
  <c r="BX141" i="57" s="1"/>
  <c r="BY141" i="57" s="1"/>
  <c r="T252" i="57"/>
  <c r="U252" i="57" s="1"/>
  <c r="V252" i="57" s="1"/>
  <c r="W252" i="57" s="1"/>
  <c r="X252" i="57" s="1"/>
  <c r="Y252" i="57" s="1"/>
  <c r="Z252" i="57" s="1"/>
  <c r="AA252" i="57" s="1"/>
  <c r="AB252" i="57" s="1"/>
  <c r="AC252" i="57" s="1"/>
  <c r="AD252" i="57" s="1"/>
  <c r="AE252" i="57" s="1"/>
  <c r="AF252" i="57" s="1"/>
  <c r="AG252" i="57" s="1"/>
  <c r="AH252" i="57" s="1"/>
  <c r="AI252" i="57" s="1"/>
  <c r="AT47" i="57"/>
  <c r="AU47" i="57" s="1"/>
  <c r="AV47" i="57" s="1"/>
  <c r="AW47" i="57" s="1"/>
  <c r="AX47" i="57" s="1"/>
  <c r="AY47" i="57" s="1"/>
  <c r="AZ47" i="57" s="1"/>
  <c r="BA47" i="57" s="1"/>
  <c r="BB47" i="57" s="1"/>
  <c r="BC47" i="57" s="1"/>
  <c r="BD47" i="57" s="1"/>
  <c r="BE47" i="57" s="1"/>
  <c r="BF47" i="57" s="1"/>
  <c r="BG47" i="57" s="1"/>
  <c r="BH47" i="57" s="1"/>
  <c r="BI47" i="57" s="1"/>
  <c r="BJ47" i="57" s="1"/>
  <c r="BK47" i="57" s="1"/>
  <c r="BL47" i="57" s="1"/>
  <c r="BM47" i="57" s="1"/>
  <c r="BN47" i="57" s="1"/>
  <c r="BO47" i="57" s="1"/>
  <c r="BP47" i="57" s="1"/>
  <c r="BQ47" i="57" s="1"/>
  <c r="D250" i="57"/>
  <c r="E250" i="57" s="1"/>
  <c r="F250" i="57" s="1"/>
  <c r="G250" i="57" s="1"/>
  <c r="H250" i="57" s="1"/>
  <c r="I250" i="57" s="1"/>
  <c r="J250" i="57" s="1"/>
  <c r="K250" i="57" s="1"/>
  <c r="L250" i="57" s="1"/>
  <c r="M250" i="57" s="1"/>
  <c r="N250" i="57" s="1"/>
  <c r="O250" i="57" s="1"/>
  <c r="P250" i="57" s="1"/>
  <c r="Q250" i="57" s="1"/>
  <c r="R250" i="57" s="1"/>
  <c r="S250" i="57" s="1"/>
  <c r="T172" i="57"/>
  <c r="U172" i="57" s="1"/>
  <c r="V172" i="57" s="1"/>
  <c r="W172" i="57" s="1"/>
  <c r="X172" i="57" s="1"/>
  <c r="Y172" i="57" s="1"/>
  <c r="Z172" i="57" s="1"/>
  <c r="AA172" i="57" s="1"/>
  <c r="AB172" i="57" s="1"/>
  <c r="AC172" i="57" s="1"/>
  <c r="AD172" i="57" s="1"/>
  <c r="AE172" i="57" s="1"/>
  <c r="AF172" i="57" s="1"/>
  <c r="AG172" i="57" s="1"/>
  <c r="AH172" i="57" s="1"/>
  <c r="AI172" i="57" s="1"/>
  <c r="BJ216" i="57"/>
  <c r="BK216" i="57" s="1"/>
  <c r="BL216" i="57" s="1"/>
  <c r="BM216" i="57" s="1"/>
  <c r="BN216" i="57" s="1"/>
  <c r="BO216" i="57" s="1"/>
  <c r="BP216" i="57" s="1"/>
  <c r="BQ216" i="57" s="1"/>
  <c r="BR216" i="57" s="1"/>
  <c r="BS216" i="57" s="1"/>
  <c r="BT216" i="57" s="1"/>
  <c r="BU216" i="57" s="1"/>
  <c r="BV216" i="57" s="1"/>
  <c r="BW216" i="57" s="1"/>
  <c r="BX216" i="57" s="1"/>
  <c r="BY216" i="57" s="1"/>
  <c r="AT146" i="57"/>
  <c r="AU146" i="57" s="1"/>
  <c r="AV146" i="57" s="1"/>
  <c r="AW146" i="57" s="1"/>
  <c r="AX146" i="57" s="1"/>
  <c r="AY146" i="57" s="1"/>
  <c r="AZ146" i="57" s="1"/>
  <c r="BA146" i="57" s="1"/>
  <c r="BB146" i="57" s="1"/>
  <c r="BC146" i="57" s="1"/>
  <c r="BD146" i="57" s="1"/>
  <c r="BE146" i="57" s="1"/>
  <c r="BF146" i="57" s="1"/>
  <c r="BG146" i="57" s="1"/>
  <c r="BH146" i="57" s="1"/>
  <c r="BI146" i="57" s="1"/>
  <c r="BJ146" i="57" s="1"/>
  <c r="BK146" i="57" s="1"/>
  <c r="BL146" i="57" s="1"/>
  <c r="BM146" i="57" s="1"/>
  <c r="BN146" i="57" s="1"/>
  <c r="BO146" i="57" s="1"/>
  <c r="BP146" i="57" s="1"/>
  <c r="BQ146" i="57" s="1"/>
  <c r="AT185" i="57"/>
  <c r="AU185" i="57" s="1"/>
  <c r="AV185" i="57" s="1"/>
  <c r="AW185" i="57" s="1"/>
  <c r="AX185" i="57" s="1"/>
  <c r="AY185" i="57" s="1"/>
  <c r="AZ185" i="57" s="1"/>
  <c r="BA185" i="57" s="1"/>
  <c r="BB185" i="57" s="1"/>
  <c r="BC185" i="57" s="1"/>
  <c r="BD185" i="57" s="1"/>
  <c r="BE185" i="57" s="1"/>
  <c r="BF185" i="57" s="1"/>
  <c r="BG185" i="57" s="1"/>
  <c r="BH185" i="57" s="1"/>
  <c r="BI185" i="57" s="1"/>
  <c r="D41" i="57"/>
  <c r="E41" i="57" s="1"/>
  <c r="F41" i="57" s="1"/>
  <c r="G41" i="57" s="1"/>
  <c r="H41" i="57" s="1"/>
  <c r="I41" i="57" s="1"/>
  <c r="J41" i="57" s="1"/>
  <c r="K41" i="57" s="1"/>
  <c r="L41" i="57" s="1"/>
  <c r="M41" i="57" s="1"/>
  <c r="N41" i="57" s="1"/>
  <c r="O41" i="57" s="1"/>
  <c r="P41" i="57" s="1"/>
  <c r="Q41" i="57" s="1"/>
  <c r="R41" i="57" s="1"/>
  <c r="S41" i="57" s="1"/>
  <c r="T41" i="57" s="1"/>
  <c r="U41" i="57" s="1"/>
  <c r="V41" i="57" s="1"/>
  <c r="W41" i="57" s="1"/>
  <c r="X41" i="57" s="1"/>
  <c r="Y41" i="57" s="1"/>
  <c r="Z41" i="57" s="1"/>
  <c r="AA41" i="57" s="1"/>
  <c r="AB41" i="57" s="1"/>
  <c r="AC41" i="57" s="1"/>
  <c r="AD41" i="57" s="1"/>
  <c r="AE41" i="57" s="1"/>
  <c r="AF41" i="57" s="1"/>
  <c r="AG41" i="57" s="1"/>
  <c r="AH41" i="57" s="1"/>
  <c r="AI41" i="57" s="1"/>
  <c r="C83" i="62"/>
  <c r="C105" i="62"/>
  <c r="D52" i="57"/>
  <c r="E52" i="57" s="1"/>
  <c r="F52" i="57" s="1"/>
  <c r="G52" i="57" s="1"/>
  <c r="H52" i="57" s="1"/>
  <c r="I52" i="57" s="1"/>
  <c r="J52" i="57" s="1"/>
  <c r="K52" i="57" s="1"/>
  <c r="L52" i="57" s="1"/>
  <c r="M52" i="57" s="1"/>
  <c r="N52" i="57" s="1"/>
  <c r="O52" i="57" s="1"/>
  <c r="P52" i="57" s="1"/>
  <c r="Q52" i="57" s="1"/>
  <c r="R52" i="57" s="1"/>
  <c r="S52" i="57" s="1"/>
  <c r="T235" i="57"/>
  <c r="U235" i="57" s="1"/>
  <c r="V235" i="57" s="1"/>
  <c r="W235" i="57" s="1"/>
  <c r="X235" i="57" s="1"/>
  <c r="Y235" i="57" s="1"/>
  <c r="Z235" i="57" s="1"/>
  <c r="AA235" i="57" s="1"/>
  <c r="AB235" i="57" s="1"/>
  <c r="AC235" i="57" s="1"/>
  <c r="AD235" i="57" s="1"/>
  <c r="AE235" i="57" s="1"/>
  <c r="AF235" i="57" s="1"/>
  <c r="AG235" i="57" s="1"/>
  <c r="AH235" i="57" s="1"/>
  <c r="AI235" i="57" s="1"/>
  <c r="D133" i="57"/>
  <c r="E133" i="57" s="1"/>
  <c r="F133" i="57" s="1"/>
  <c r="G133" i="57" s="1"/>
  <c r="H133" i="57" s="1"/>
  <c r="I133" i="57" s="1"/>
  <c r="J133" i="57" s="1"/>
  <c r="K133" i="57" s="1"/>
  <c r="L133" i="57" s="1"/>
  <c r="M133" i="57" s="1"/>
  <c r="N133" i="57" s="1"/>
  <c r="O133" i="57" s="1"/>
  <c r="P133" i="57" s="1"/>
  <c r="Q133" i="57" s="1"/>
  <c r="R133" i="57" s="1"/>
  <c r="S133" i="57" s="1"/>
  <c r="T133" i="57" s="1"/>
  <c r="U133" i="57" s="1"/>
  <c r="V133" i="57" s="1"/>
  <c r="W133" i="57" s="1"/>
  <c r="X133" i="57" s="1"/>
  <c r="Y133" i="57" s="1"/>
  <c r="Z133" i="57" s="1"/>
  <c r="AA133" i="57" s="1"/>
  <c r="AB133" i="57" s="1"/>
  <c r="AC133" i="57" s="1"/>
  <c r="AD133" i="57" s="1"/>
  <c r="AE133" i="57" s="1"/>
  <c r="AF133" i="57" s="1"/>
  <c r="AG133" i="57" s="1"/>
  <c r="AH133" i="57" s="1"/>
  <c r="AI133" i="57" s="1"/>
  <c r="BJ63" i="57"/>
  <c r="BK63" i="57" s="1"/>
  <c r="BL63" i="57" s="1"/>
  <c r="BM63" i="57" s="1"/>
  <c r="BN63" i="57" s="1"/>
  <c r="BO63" i="57" s="1"/>
  <c r="BP63" i="57" s="1"/>
  <c r="BQ63" i="57" s="1"/>
  <c r="BR63" i="57" s="1"/>
  <c r="BS63" i="57" s="1"/>
  <c r="BT63" i="57" s="1"/>
  <c r="BU63" i="57" s="1"/>
  <c r="BV63" i="57" s="1"/>
  <c r="BW63" i="57" s="1"/>
  <c r="BX63" i="57" s="1"/>
  <c r="BY63" i="57" s="1"/>
  <c r="D7" i="57"/>
  <c r="E7" i="57" s="1"/>
  <c r="F7" i="57" s="1"/>
  <c r="G7" i="57" s="1"/>
  <c r="H7" i="57" s="1"/>
  <c r="I7" i="57" s="1"/>
  <c r="J7" i="57" s="1"/>
  <c r="K7" i="57" s="1"/>
  <c r="L7" i="57" s="1"/>
  <c r="M7" i="57" s="1"/>
  <c r="N7" i="57" s="1"/>
  <c r="O7" i="57" s="1"/>
  <c r="P7" i="57" s="1"/>
  <c r="Q7" i="57" s="1"/>
  <c r="R7" i="57" s="1"/>
  <c r="S7" i="57" s="1"/>
  <c r="C15" i="62"/>
  <c r="D162" i="57"/>
  <c r="E162" i="57" s="1"/>
  <c r="F162" i="57" s="1"/>
  <c r="G162" i="57" s="1"/>
  <c r="H162" i="57" s="1"/>
  <c r="I162" i="57" s="1"/>
  <c r="J162" i="57" s="1"/>
  <c r="K162" i="57" s="1"/>
  <c r="L162" i="57" s="1"/>
  <c r="M162" i="57" s="1"/>
  <c r="N162" i="57" s="1"/>
  <c r="O162" i="57" s="1"/>
  <c r="P162" i="57" s="1"/>
  <c r="Q162" i="57" s="1"/>
  <c r="R162" i="57" s="1"/>
  <c r="S162" i="57" s="1"/>
  <c r="T98" i="57"/>
  <c r="U98" i="57" s="1"/>
  <c r="V98" i="57" s="1"/>
  <c r="W98" i="57" s="1"/>
  <c r="X98" i="57" s="1"/>
  <c r="Y98" i="57" s="1"/>
  <c r="Z98" i="57" s="1"/>
  <c r="AA98" i="57" s="1"/>
  <c r="AB98" i="57" s="1"/>
  <c r="AC98" i="57" s="1"/>
  <c r="AD98" i="57" s="1"/>
  <c r="AE98" i="57" s="1"/>
  <c r="AF98" i="57" s="1"/>
  <c r="AG98" i="57" s="1"/>
  <c r="AH98" i="57" s="1"/>
  <c r="AI98" i="57" s="1"/>
  <c r="C73" i="62"/>
  <c r="D36" i="57"/>
  <c r="E36" i="57" s="1"/>
  <c r="F36" i="57" s="1"/>
  <c r="G36" i="57" s="1"/>
  <c r="H36" i="57" s="1"/>
  <c r="I36" i="57" s="1"/>
  <c r="J36" i="57" s="1"/>
  <c r="K36" i="57" s="1"/>
  <c r="L36" i="57" s="1"/>
  <c r="M36" i="57" s="1"/>
  <c r="N36" i="57" s="1"/>
  <c r="O36" i="57" s="1"/>
  <c r="P36" i="57" s="1"/>
  <c r="Q36" i="57" s="1"/>
  <c r="R36" i="57" s="1"/>
  <c r="S36" i="57" s="1"/>
  <c r="T182" i="57"/>
  <c r="U182" i="57" s="1"/>
  <c r="V182" i="57" s="1"/>
  <c r="W182" i="57" s="1"/>
  <c r="X182" i="57" s="1"/>
  <c r="Y182" i="57" s="1"/>
  <c r="Z182" i="57" s="1"/>
  <c r="AA182" i="57" s="1"/>
  <c r="AB182" i="57" s="1"/>
  <c r="AC182" i="57" s="1"/>
  <c r="AD182" i="57" s="1"/>
  <c r="AE182" i="57" s="1"/>
  <c r="AF182" i="57" s="1"/>
  <c r="AG182" i="57" s="1"/>
  <c r="AH182" i="57" s="1"/>
  <c r="AI182" i="57" s="1"/>
  <c r="AT38" i="57"/>
  <c r="AU38" i="57" s="1"/>
  <c r="AV38" i="57" s="1"/>
  <c r="AW38" i="57" s="1"/>
  <c r="AX38" i="57" s="1"/>
  <c r="AY38" i="57" s="1"/>
  <c r="AZ38" i="57" s="1"/>
  <c r="BA38" i="57" s="1"/>
  <c r="BB38" i="57" s="1"/>
  <c r="BC38" i="57" s="1"/>
  <c r="BD38" i="57" s="1"/>
  <c r="BE38" i="57" s="1"/>
  <c r="BF38" i="57" s="1"/>
  <c r="BG38" i="57" s="1"/>
  <c r="BH38" i="57" s="1"/>
  <c r="BI38" i="57" s="1"/>
  <c r="T238" i="57"/>
  <c r="U238" i="57" s="1"/>
  <c r="V238" i="57" s="1"/>
  <c r="W238" i="57" s="1"/>
  <c r="X238" i="57" s="1"/>
  <c r="Y238" i="57" s="1"/>
  <c r="Z238" i="57" s="1"/>
  <c r="AA238" i="57" s="1"/>
  <c r="AB238" i="57" s="1"/>
  <c r="AC238" i="57" s="1"/>
  <c r="AD238" i="57" s="1"/>
  <c r="AE238" i="57" s="1"/>
  <c r="AF238" i="57" s="1"/>
  <c r="AG238" i="57" s="1"/>
  <c r="AH238" i="57" s="1"/>
  <c r="AI238" i="57" s="1"/>
  <c r="BJ134" i="57"/>
  <c r="BK134" i="57" s="1"/>
  <c r="BL134" i="57" s="1"/>
  <c r="BM134" i="57" s="1"/>
  <c r="BN134" i="57" s="1"/>
  <c r="BO134" i="57" s="1"/>
  <c r="BP134" i="57" s="1"/>
  <c r="BQ134" i="57" s="1"/>
  <c r="BR134" i="57" s="1"/>
  <c r="BS134" i="57" s="1"/>
  <c r="BT134" i="57" s="1"/>
  <c r="BU134" i="57" s="1"/>
  <c r="BV134" i="57" s="1"/>
  <c r="BW134" i="57" s="1"/>
  <c r="BX134" i="57" s="1"/>
  <c r="BY134" i="57" s="1"/>
  <c r="BJ219" i="57"/>
  <c r="BK219" i="57" s="1"/>
  <c r="BL219" i="57" s="1"/>
  <c r="BM219" i="57" s="1"/>
  <c r="BN219" i="57" s="1"/>
  <c r="BO219" i="57" s="1"/>
  <c r="BP219" i="57" s="1"/>
  <c r="BQ219" i="57" s="1"/>
  <c r="BR219" i="57" s="1"/>
  <c r="BS219" i="57" s="1"/>
  <c r="BT219" i="57" s="1"/>
  <c r="BU219" i="57" s="1"/>
  <c r="BV219" i="57" s="1"/>
  <c r="BW219" i="57" s="1"/>
  <c r="BX219" i="57" s="1"/>
  <c r="BY219" i="57" s="1"/>
  <c r="BJ53" i="57"/>
  <c r="BK53" i="57" s="1"/>
  <c r="BL53" i="57" s="1"/>
  <c r="BM53" i="57" s="1"/>
  <c r="BN53" i="57" s="1"/>
  <c r="BO53" i="57" s="1"/>
  <c r="BP53" i="57" s="1"/>
  <c r="BQ53" i="57" s="1"/>
  <c r="BR53" i="57" s="1"/>
  <c r="BS53" i="57" s="1"/>
  <c r="BT53" i="57" s="1"/>
  <c r="BU53" i="57" s="1"/>
  <c r="BV53" i="57" s="1"/>
  <c r="BW53" i="57" s="1"/>
  <c r="BX53" i="57" s="1"/>
  <c r="BY53" i="57" s="1"/>
  <c r="C97" i="62"/>
  <c r="D48" i="57"/>
  <c r="E48" i="57" s="1"/>
  <c r="F48" i="57" s="1"/>
  <c r="G48" i="57" s="1"/>
  <c r="H48" i="57" s="1"/>
  <c r="I48" i="57" s="1"/>
  <c r="J48" i="57" s="1"/>
  <c r="K48" i="57" s="1"/>
  <c r="L48" i="57" s="1"/>
  <c r="M48" i="57" s="1"/>
  <c r="N48" i="57" s="1"/>
  <c r="O48" i="57" s="1"/>
  <c r="P48" i="57" s="1"/>
  <c r="Q48" i="57" s="1"/>
  <c r="R48" i="57" s="1"/>
  <c r="S48" i="57" s="1"/>
  <c r="AT67" i="57"/>
  <c r="AU67" i="57" s="1"/>
  <c r="AV67" i="57" s="1"/>
  <c r="AW67" i="57" s="1"/>
  <c r="AX67" i="57" s="1"/>
  <c r="AY67" i="57" s="1"/>
  <c r="AZ67" i="57" s="1"/>
  <c r="BA67" i="57" s="1"/>
  <c r="BB67" i="57" s="1"/>
  <c r="BC67" i="57" s="1"/>
  <c r="BD67" i="57" s="1"/>
  <c r="BE67" i="57" s="1"/>
  <c r="BF67" i="57" s="1"/>
  <c r="BG67" i="57" s="1"/>
  <c r="BH67" i="57" s="1"/>
  <c r="BI67" i="57" s="1"/>
  <c r="T213" i="57"/>
  <c r="U213" i="57" s="1"/>
  <c r="V213" i="57" s="1"/>
  <c r="W213" i="57" s="1"/>
  <c r="X213" i="57" s="1"/>
  <c r="Y213" i="57" s="1"/>
  <c r="Z213" i="57" s="1"/>
  <c r="AA213" i="57" s="1"/>
  <c r="AB213" i="57" s="1"/>
  <c r="AC213" i="57" s="1"/>
  <c r="AD213" i="57" s="1"/>
  <c r="AE213" i="57" s="1"/>
  <c r="AF213" i="57" s="1"/>
  <c r="AG213" i="57" s="1"/>
  <c r="AH213" i="57" s="1"/>
  <c r="AI213" i="57" s="1"/>
  <c r="D112" i="57"/>
  <c r="E112" i="57" s="1"/>
  <c r="F112" i="57" s="1"/>
  <c r="G112" i="57" s="1"/>
  <c r="H112" i="57" s="1"/>
  <c r="I112" i="57" s="1"/>
  <c r="J112" i="57" s="1"/>
  <c r="K112" i="57" s="1"/>
  <c r="L112" i="57" s="1"/>
  <c r="M112" i="57" s="1"/>
  <c r="N112" i="57" s="1"/>
  <c r="O112" i="57" s="1"/>
  <c r="P112" i="57" s="1"/>
  <c r="Q112" i="57" s="1"/>
  <c r="R112" i="57" s="1"/>
  <c r="S112" i="57" s="1"/>
  <c r="T112" i="57" s="1"/>
  <c r="U112" i="57" s="1"/>
  <c r="V112" i="57" s="1"/>
  <c r="W112" i="57" s="1"/>
  <c r="X112" i="57" s="1"/>
  <c r="Y112" i="57" s="1"/>
  <c r="Z112" i="57" s="1"/>
  <c r="AA112" i="57" s="1"/>
  <c r="BJ136" i="57"/>
  <c r="BK136" i="57" s="1"/>
  <c r="BL136" i="57" s="1"/>
  <c r="BM136" i="57" s="1"/>
  <c r="BN136" i="57" s="1"/>
  <c r="BO136" i="57" s="1"/>
  <c r="BP136" i="57" s="1"/>
  <c r="BQ136" i="57" s="1"/>
  <c r="BR136" i="57" s="1"/>
  <c r="BS136" i="57" s="1"/>
  <c r="BT136" i="57" s="1"/>
  <c r="BU136" i="57" s="1"/>
  <c r="BV136" i="57" s="1"/>
  <c r="BW136" i="57" s="1"/>
  <c r="BX136" i="57" s="1"/>
  <c r="BY136" i="57" s="1"/>
  <c r="BJ240" i="57"/>
  <c r="BK240" i="57" s="1"/>
  <c r="BL240" i="57" s="1"/>
  <c r="BM240" i="57" s="1"/>
  <c r="BN240" i="57" s="1"/>
  <c r="BO240" i="57" s="1"/>
  <c r="BP240" i="57" s="1"/>
  <c r="BQ240" i="57" s="1"/>
  <c r="BR240" i="57" s="1"/>
  <c r="BS240" i="57" s="1"/>
  <c r="BT240" i="57" s="1"/>
  <c r="BU240" i="57" s="1"/>
  <c r="BV240" i="57" s="1"/>
  <c r="BW240" i="57" s="1"/>
  <c r="BX240" i="57" s="1"/>
  <c r="BY240" i="57" s="1"/>
  <c r="AT201" i="57"/>
  <c r="AU201" i="57" s="1"/>
  <c r="AV201" i="57" s="1"/>
  <c r="AW201" i="57" s="1"/>
  <c r="AX201" i="57" s="1"/>
  <c r="AY201" i="57" s="1"/>
  <c r="AZ201" i="57" s="1"/>
  <c r="BA201" i="57" s="1"/>
  <c r="BB201" i="57" s="1"/>
  <c r="BC201" i="57" s="1"/>
  <c r="BD201" i="57" s="1"/>
  <c r="BE201" i="57" s="1"/>
  <c r="BF201" i="57" s="1"/>
  <c r="BG201" i="57" s="1"/>
  <c r="BH201" i="57" s="1"/>
  <c r="BI201" i="57" s="1"/>
  <c r="T222" i="57"/>
  <c r="U222" i="57" s="1"/>
  <c r="V222" i="57" s="1"/>
  <c r="W222" i="57" s="1"/>
  <c r="X222" i="57" s="1"/>
  <c r="Y222" i="57" s="1"/>
  <c r="Z222" i="57" s="1"/>
  <c r="AA222" i="57" s="1"/>
  <c r="AB222" i="57" s="1"/>
  <c r="AC222" i="57" s="1"/>
  <c r="AD222" i="57" s="1"/>
  <c r="AE222" i="57" s="1"/>
  <c r="AF222" i="57" s="1"/>
  <c r="AG222" i="57" s="1"/>
  <c r="AH222" i="57" s="1"/>
  <c r="AI222" i="57" s="1"/>
  <c r="D150" i="57"/>
  <c r="E150" i="57" s="1"/>
  <c r="F150" i="57" s="1"/>
  <c r="G150" i="57" s="1"/>
  <c r="H150" i="57" s="1"/>
  <c r="I150" i="57" s="1"/>
  <c r="J150" i="57" s="1"/>
  <c r="K150" i="57" s="1"/>
  <c r="L150" i="57" s="1"/>
  <c r="M150" i="57" s="1"/>
  <c r="N150" i="57" s="1"/>
  <c r="O150" i="57" s="1"/>
  <c r="P150" i="57" s="1"/>
  <c r="Q150" i="57" s="1"/>
  <c r="R150" i="57" s="1"/>
  <c r="S150" i="57" s="1"/>
  <c r="T150" i="57" s="1"/>
  <c r="U150" i="57" s="1"/>
  <c r="V150" i="57" s="1"/>
  <c r="W150" i="57" s="1"/>
  <c r="X150" i="57" s="1"/>
  <c r="Y150" i="57" s="1"/>
  <c r="Z150" i="57" s="1"/>
  <c r="AA150" i="57" s="1"/>
  <c r="BJ132" i="57"/>
  <c r="BK132" i="57" s="1"/>
  <c r="BL132" i="57" s="1"/>
  <c r="BM132" i="57" s="1"/>
  <c r="BN132" i="57" s="1"/>
  <c r="BO132" i="57" s="1"/>
  <c r="BP132" i="57" s="1"/>
  <c r="BQ132" i="57" s="1"/>
  <c r="BR132" i="57" s="1"/>
  <c r="BS132" i="57" s="1"/>
  <c r="BT132" i="57" s="1"/>
  <c r="BU132" i="57" s="1"/>
  <c r="BV132" i="57" s="1"/>
  <c r="BW132" i="57" s="1"/>
  <c r="BX132" i="57" s="1"/>
  <c r="BY132" i="57" s="1"/>
  <c r="T126" i="57"/>
  <c r="U126" i="57" s="1"/>
  <c r="V126" i="57" s="1"/>
  <c r="W126" i="57" s="1"/>
  <c r="X126" i="57" s="1"/>
  <c r="Y126" i="57" s="1"/>
  <c r="Z126" i="57" s="1"/>
  <c r="AA126" i="57" s="1"/>
  <c r="AB126" i="57" s="1"/>
  <c r="AC126" i="57" s="1"/>
  <c r="AD126" i="57" s="1"/>
  <c r="AE126" i="57" s="1"/>
  <c r="AF126" i="57" s="1"/>
  <c r="AG126" i="57" s="1"/>
  <c r="AH126" i="57" s="1"/>
  <c r="AI126" i="57" s="1"/>
  <c r="D153" i="57"/>
  <c r="E153" i="57" s="1"/>
  <c r="F153" i="57" s="1"/>
  <c r="G153" i="57" s="1"/>
  <c r="H153" i="57" s="1"/>
  <c r="I153" i="57" s="1"/>
  <c r="J153" i="57" s="1"/>
  <c r="K153" i="57" s="1"/>
  <c r="L153" i="57" s="1"/>
  <c r="M153" i="57" s="1"/>
  <c r="N153" i="57" s="1"/>
  <c r="O153" i="57" s="1"/>
  <c r="P153" i="57" s="1"/>
  <c r="Q153" i="57" s="1"/>
  <c r="R153" i="57" s="1"/>
  <c r="S153" i="57" s="1"/>
  <c r="T153" i="57" s="1"/>
  <c r="U153" i="57" s="1"/>
  <c r="V153" i="57" s="1"/>
  <c r="W153" i="57" s="1"/>
  <c r="X153" i="57" s="1"/>
  <c r="Y153" i="57" s="1"/>
  <c r="Z153" i="57" s="1"/>
  <c r="AA153" i="57" s="1"/>
  <c r="AB153" i="57" s="1"/>
  <c r="AC153" i="57" s="1"/>
  <c r="AD153" i="57" s="1"/>
  <c r="AE153" i="57" s="1"/>
  <c r="AF153" i="57" s="1"/>
  <c r="AG153" i="57" s="1"/>
  <c r="AH153" i="57" s="1"/>
  <c r="AI153" i="57" s="1"/>
  <c r="C143" i="62"/>
  <c r="D71" i="57"/>
  <c r="E71" i="57" s="1"/>
  <c r="F71" i="57" s="1"/>
  <c r="G71" i="57" s="1"/>
  <c r="H71" i="57" s="1"/>
  <c r="I71" i="57" s="1"/>
  <c r="J71" i="57" s="1"/>
  <c r="K71" i="57" s="1"/>
  <c r="L71" i="57" s="1"/>
  <c r="M71" i="57" s="1"/>
  <c r="N71" i="57" s="1"/>
  <c r="O71" i="57" s="1"/>
  <c r="P71" i="57" s="1"/>
  <c r="Q71" i="57" s="1"/>
  <c r="R71" i="57" s="1"/>
  <c r="S71" i="57" s="1"/>
  <c r="AT123" i="57"/>
  <c r="AU123" i="57" s="1"/>
  <c r="AV123" i="57" s="1"/>
  <c r="AW123" i="57" s="1"/>
  <c r="AX123" i="57" s="1"/>
  <c r="AY123" i="57" s="1"/>
  <c r="AZ123" i="57" s="1"/>
  <c r="BA123" i="57" s="1"/>
  <c r="BB123" i="57" s="1"/>
  <c r="BC123" i="57" s="1"/>
  <c r="BD123" i="57" s="1"/>
  <c r="BE123" i="57" s="1"/>
  <c r="BF123" i="57" s="1"/>
  <c r="BG123" i="57" s="1"/>
  <c r="BH123" i="57" s="1"/>
  <c r="BI123" i="57" s="1"/>
  <c r="BJ123" i="57" s="1"/>
  <c r="BK123" i="57" s="1"/>
  <c r="BL123" i="57" s="1"/>
  <c r="BM123" i="57" s="1"/>
  <c r="BN123" i="57" s="1"/>
  <c r="BO123" i="57" s="1"/>
  <c r="BP123" i="57" s="1"/>
  <c r="BQ123" i="57" s="1"/>
  <c r="BR123" i="57" s="1"/>
  <c r="BS123" i="57" s="1"/>
  <c r="BT123" i="57" s="1"/>
  <c r="BU123" i="57" s="1"/>
  <c r="BV123" i="57" s="1"/>
  <c r="BW123" i="57" s="1"/>
  <c r="BX123" i="57" s="1"/>
  <c r="BY123" i="57" s="1"/>
  <c r="C23" i="62"/>
  <c r="D11" i="57"/>
  <c r="E11" i="57" s="1"/>
  <c r="F11" i="57" s="1"/>
  <c r="G11" i="57" s="1"/>
  <c r="H11" i="57" s="1"/>
  <c r="I11" i="57" s="1"/>
  <c r="J11" i="57" s="1"/>
  <c r="K11" i="57" s="1"/>
  <c r="L11" i="57" s="1"/>
  <c r="M11" i="57" s="1"/>
  <c r="N11" i="57" s="1"/>
  <c r="O11" i="57" s="1"/>
  <c r="P11" i="57" s="1"/>
  <c r="Q11" i="57" s="1"/>
  <c r="R11" i="57" s="1"/>
  <c r="S11" i="57" s="1"/>
  <c r="D230" i="57"/>
  <c r="E230" i="57" s="1"/>
  <c r="F230" i="57" s="1"/>
  <c r="G230" i="57" s="1"/>
  <c r="H230" i="57" s="1"/>
  <c r="I230" i="57" s="1"/>
  <c r="J230" i="57" s="1"/>
  <c r="K230" i="57" s="1"/>
  <c r="L230" i="57" s="1"/>
  <c r="M230" i="57" s="1"/>
  <c r="N230" i="57" s="1"/>
  <c r="O230" i="57" s="1"/>
  <c r="P230" i="57" s="1"/>
  <c r="Q230" i="57" s="1"/>
  <c r="R230" i="57" s="1"/>
  <c r="S230" i="57" s="1"/>
  <c r="AT113" i="57"/>
  <c r="AU113" i="57" s="1"/>
  <c r="AV113" i="57" s="1"/>
  <c r="AW113" i="57" s="1"/>
  <c r="AX113" i="57" s="1"/>
  <c r="AY113" i="57" s="1"/>
  <c r="AZ113" i="57" s="1"/>
  <c r="BA113" i="57" s="1"/>
  <c r="BB113" i="57" s="1"/>
  <c r="BC113" i="57" s="1"/>
  <c r="BD113" i="57" s="1"/>
  <c r="BE113" i="57" s="1"/>
  <c r="BF113" i="57" s="1"/>
  <c r="BG113" i="57" s="1"/>
  <c r="BH113" i="57" s="1"/>
  <c r="BI113" i="57" s="1"/>
  <c r="T203" i="57"/>
  <c r="U203" i="57" s="1"/>
  <c r="V203" i="57" s="1"/>
  <c r="W203" i="57" s="1"/>
  <c r="X203" i="57" s="1"/>
  <c r="Y203" i="57" s="1"/>
  <c r="Z203" i="57" s="1"/>
  <c r="AA203" i="57" s="1"/>
  <c r="AB203" i="57" s="1"/>
  <c r="AC203" i="57" s="1"/>
  <c r="AD203" i="57" s="1"/>
  <c r="AE203" i="57" s="1"/>
  <c r="AF203" i="57" s="1"/>
  <c r="AG203" i="57" s="1"/>
  <c r="AH203" i="57" s="1"/>
  <c r="AI203" i="57" s="1"/>
  <c r="BJ172" i="57"/>
  <c r="BK172" i="57" s="1"/>
  <c r="BL172" i="57" s="1"/>
  <c r="BM172" i="57" s="1"/>
  <c r="BN172" i="57" s="1"/>
  <c r="BO172" i="57" s="1"/>
  <c r="BP172" i="57" s="1"/>
  <c r="BQ172" i="57" s="1"/>
  <c r="BR172" i="57" s="1"/>
  <c r="BS172" i="57" s="1"/>
  <c r="BT172" i="57" s="1"/>
  <c r="BU172" i="57" s="1"/>
  <c r="BV172" i="57" s="1"/>
  <c r="BW172" i="57" s="1"/>
  <c r="BX172" i="57" s="1"/>
  <c r="BY172" i="57" s="1"/>
  <c r="D216" i="57"/>
  <c r="E216" i="57" s="1"/>
  <c r="F216" i="57" s="1"/>
  <c r="G216" i="57" s="1"/>
  <c r="H216" i="57" s="1"/>
  <c r="I216" i="57" s="1"/>
  <c r="J216" i="57" s="1"/>
  <c r="K216" i="57" s="1"/>
  <c r="L216" i="57" s="1"/>
  <c r="M216" i="57" s="1"/>
  <c r="N216" i="57" s="1"/>
  <c r="O216" i="57" s="1"/>
  <c r="P216" i="57" s="1"/>
  <c r="Q216" i="57" s="1"/>
  <c r="R216" i="57" s="1"/>
  <c r="S216" i="57" s="1"/>
  <c r="T216" i="57" s="1"/>
  <c r="U216" i="57" s="1"/>
  <c r="V216" i="57" s="1"/>
  <c r="W216" i="57" s="1"/>
  <c r="X216" i="57" s="1"/>
  <c r="Y216" i="57" s="1"/>
  <c r="Z216" i="57" s="1"/>
  <c r="AA216" i="57" s="1"/>
  <c r="AB216" i="57" s="1"/>
  <c r="AC216" i="57" s="1"/>
  <c r="AD216" i="57" s="1"/>
  <c r="AE216" i="57" s="1"/>
  <c r="AF216" i="57" s="1"/>
  <c r="AG216" i="57" s="1"/>
  <c r="AH216" i="57" s="1"/>
  <c r="AI216" i="57" s="1"/>
  <c r="T106" i="57"/>
  <c r="U106" i="57" s="1"/>
  <c r="V106" i="57" s="1"/>
  <c r="W106" i="57" s="1"/>
  <c r="X106" i="57" s="1"/>
  <c r="Y106" i="57" s="1"/>
  <c r="Z106" i="57" s="1"/>
  <c r="AA106" i="57" s="1"/>
  <c r="AB106" i="57" s="1"/>
  <c r="AC106" i="57" s="1"/>
  <c r="AD106" i="57" s="1"/>
  <c r="AE106" i="57" s="1"/>
  <c r="AF106" i="57" s="1"/>
  <c r="AG106" i="57" s="1"/>
  <c r="AH106" i="57" s="1"/>
  <c r="AI106" i="57" s="1"/>
  <c r="BJ150" i="57"/>
  <c r="BK150" i="57" s="1"/>
  <c r="BL150" i="57" s="1"/>
  <c r="BM150" i="57" s="1"/>
  <c r="BN150" i="57" s="1"/>
  <c r="BO150" i="57" s="1"/>
  <c r="BP150" i="57" s="1"/>
  <c r="BQ150" i="57" s="1"/>
  <c r="BR150" i="57" s="1"/>
  <c r="BS150" i="57" s="1"/>
  <c r="BT150" i="57" s="1"/>
  <c r="BU150" i="57" s="1"/>
  <c r="BV150" i="57" s="1"/>
  <c r="BW150" i="57" s="1"/>
  <c r="BX150" i="57" s="1"/>
  <c r="BY150" i="57" s="1"/>
  <c r="D132" i="57"/>
  <c r="E132" i="57" s="1"/>
  <c r="F132" i="57" s="1"/>
  <c r="G132" i="57" s="1"/>
  <c r="H132" i="57" s="1"/>
  <c r="I132" i="57" s="1"/>
  <c r="J132" i="57" s="1"/>
  <c r="K132" i="57" s="1"/>
  <c r="L132" i="57" s="1"/>
  <c r="M132" i="57" s="1"/>
  <c r="N132" i="57" s="1"/>
  <c r="O132" i="57" s="1"/>
  <c r="P132" i="57" s="1"/>
  <c r="Q132" i="57" s="1"/>
  <c r="R132" i="57" s="1"/>
  <c r="S132" i="57" s="1"/>
  <c r="T132" i="57" s="1"/>
  <c r="U132" i="57" s="1"/>
  <c r="V132" i="57" s="1"/>
  <c r="W132" i="57" s="1"/>
  <c r="X132" i="57" s="1"/>
  <c r="Y132" i="57" s="1"/>
  <c r="Z132" i="57" s="1"/>
  <c r="AA132" i="57" s="1"/>
  <c r="AB132" i="57" s="1"/>
  <c r="AC132" i="57" s="1"/>
  <c r="AD132" i="57" s="1"/>
  <c r="AE132" i="57" s="1"/>
  <c r="AF132" i="57" s="1"/>
  <c r="AG132" i="57" s="1"/>
  <c r="AH132" i="57" s="1"/>
  <c r="AI132" i="57" s="1"/>
  <c r="D207" i="57"/>
  <c r="E207" i="57" s="1"/>
  <c r="F207" i="57" s="1"/>
  <c r="G207" i="57" s="1"/>
  <c r="H207" i="57" s="1"/>
  <c r="I207" i="57" s="1"/>
  <c r="J207" i="57" s="1"/>
  <c r="K207" i="57" s="1"/>
  <c r="L207" i="57" s="1"/>
  <c r="M207" i="57" s="1"/>
  <c r="N207" i="57" s="1"/>
  <c r="O207" i="57" s="1"/>
  <c r="P207" i="57" s="1"/>
  <c r="Q207" i="57" s="1"/>
  <c r="R207" i="57" s="1"/>
  <c r="S207" i="57" s="1"/>
  <c r="D125" i="57"/>
  <c r="E125" i="57" s="1"/>
  <c r="F125" i="57" s="1"/>
  <c r="G125" i="57" s="1"/>
  <c r="H125" i="57" s="1"/>
  <c r="I125" i="57" s="1"/>
  <c r="J125" i="57" s="1"/>
  <c r="K125" i="57" s="1"/>
  <c r="L125" i="57" s="1"/>
  <c r="M125" i="57" s="1"/>
  <c r="N125" i="57" s="1"/>
  <c r="O125" i="57" s="1"/>
  <c r="P125" i="57" s="1"/>
  <c r="Q125" i="57" s="1"/>
  <c r="R125" i="57" s="1"/>
  <c r="S125" i="57" s="1"/>
  <c r="T125" i="57" s="1"/>
  <c r="U125" i="57" s="1"/>
  <c r="V125" i="57" s="1"/>
  <c r="W125" i="57" s="1"/>
  <c r="X125" i="57" s="1"/>
  <c r="Y125" i="57" s="1"/>
  <c r="Z125" i="57" s="1"/>
  <c r="AA125" i="57" s="1"/>
  <c r="AB125" i="57" s="1"/>
  <c r="AC125" i="57" s="1"/>
  <c r="AD125" i="57" s="1"/>
  <c r="AE125" i="57" s="1"/>
  <c r="AF125" i="57" s="1"/>
  <c r="AG125" i="57" s="1"/>
  <c r="AH125" i="57" s="1"/>
  <c r="AI125" i="57" s="1"/>
  <c r="D176" i="57"/>
  <c r="E176" i="57" s="1"/>
  <c r="F176" i="57" s="1"/>
  <c r="G176" i="57" s="1"/>
  <c r="H176" i="57" s="1"/>
  <c r="I176" i="57" s="1"/>
  <c r="J176" i="57" s="1"/>
  <c r="K176" i="57" s="1"/>
  <c r="L176" i="57" s="1"/>
  <c r="M176" i="57" s="1"/>
  <c r="N176" i="57" s="1"/>
  <c r="O176" i="57" s="1"/>
  <c r="P176" i="57" s="1"/>
  <c r="Q176" i="57" s="1"/>
  <c r="R176" i="57" s="1"/>
  <c r="S176" i="57" s="1"/>
  <c r="T176" i="57" s="1"/>
  <c r="U176" i="57" s="1"/>
  <c r="V176" i="57" s="1"/>
  <c r="W176" i="57" s="1"/>
  <c r="X176" i="57" s="1"/>
  <c r="Y176" i="57" s="1"/>
  <c r="Z176" i="57" s="1"/>
  <c r="AA176" i="57" s="1"/>
  <c r="AB176" i="57" s="1"/>
  <c r="AC176" i="57" s="1"/>
  <c r="AD176" i="57" s="1"/>
  <c r="AE176" i="57" s="1"/>
  <c r="AF176" i="57" s="1"/>
  <c r="AG176" i="57" s="1"/>
  <c r="AH176" i="57" s="1"/>
  <c r="AI176" i="57" s="1"/>
  <c r="C127" i="62"/>
  <c r="D63" i="57"/>
  <c r="E63" i="57" s="1"/>
  <c r="F63" i="57" s="1"/>
  <c r="G63" i="57" s="1"/>
  <c r="H63" i="57" s="1"/>
  <c r="I63" i="57" s="1"/>
  <c r="J63" i="57" s="1"/>
  <c r="K63" i="57" s="1"/>
  <c r="L63" i="57" s="1"/>
  <c r="M63" i="57" s="1"/>
  <c r="N63" i="57" s="1"/>
  <c r="O63" i="57" s="1"/>
  <c r="P63" i="57" s="1"/>
  <c r="Q63" i="57" s="1"/>
  <c r="R63" i="57" s="1"/>
  <c r="S63" i="57" s="1"/>
  <c r="D127" i="57"/>
  <c r="E127" i="57" s="1"/>
  <c r="F127" i="57" s="1"/>
  <c r="G127" i="57" s="1"/>
  <c r="H127" i="57" s="1"/>
  <c r="I127" i="57" s="1"/>
  <c r="J127" i="57" s="1"/>
  <c r="K127" i="57" s="1"/>
  <c r="L127" i="57" s="1"/>
  <c r="M127" i="57" s="1"/>
  <c r="N127" i="57" s="1"/>
  <c r="O127" i="57" s="1"/>
  <c r="P127" i="57" s="1"/>
  <c r="Q127" i="57" s="1"/>
  <c r="R127" i="57" s="1"/>
  <c r="S127" i="57" s="1"/>
  <c r="BJ168" i="57"/>
  <c r="BK168" i="57" s="1"/>
  <c r="BL168" i="57" s="1"/>
  <c r="BM168" i="57" s="1"/>
  <c r="BN168" i="57" s="1"/>
  <c r="BO168" i="57" s="1"/>
  <c r="BP168" i="57" s="1"/>
  <c r="BQ168" i="57" s="1"/>
  <c r="BR168" i="57" s="1"/>
  <c r="BS168" i="57" s="1"/>
  <c r="BT168" i="57" s="1"/>
  <c r="BU168" i="57" s="1"/>
  <c r="BV168" i="57" s="1"/>
  <c r="BW168" i="57" s="1"/>
  <c r="BX168" i="57" s="1"/>
  <c r="BY168" i="57" s="1"/>
  <c r="C149" i="62"/>
  <c r="D74" i="57"/>
  <c r="E74" i="57" s="1"/>
  <c r="F74" i="57" s="1"/>
  <c r="G74" i="57" s="1"/>
  <c r="H74" i="57" s="1"/>
  <c r="I74" i="57" s="1"/>
  <c r="J74" i="57" s="1"/>
  <c r="K74" i="57" s="1"/>
  <c r="L74" i="57" s="1"/>
  <c r="M74" i="57" s="1"/>
  <c r="N74" i="57" s="1"/>
  <c r="O74" i="57" s="1"/>
  <c r="P74" i="57" s="1"/>
  <c r="Q74" i="57" s="1"/>
  <c r="R74" i="57" s="1"/>
  <c r="S74" i="57" s="1"/>
  <c r="AT35" i="57"/>
  <c r="AU35" i="57" s="1"/>
  <c r="AV35" i="57" s="1"/>
  <c r="AW35" i="57" s="1"/>
  <c r="AX35" i="57" s="1"/>
  <c r="AY35" i="57" s="1"/>
  <c r="AZ35" i="57" s="1"/>
  <c r="BA35" i="57" s="1"/>
  <c r="BB35" i="57" s="1"/>
  <c r="BC35" i="57" s="1"/>
  <c r="BD35" i="57" s="1"/>
  <c r="BE35" i="57" s="1"/>
  <c r="BF35" i="57" s="1"/>
  <c r="BG35" i="57" s="1"/>
  <c r="BH35" i="57" s="1"/>
  <c r="BI35" i="57" s="1"/>
  <c r="BJ35" i="57" s="1"/>
  <c r="BK35" i="57" s="1"/>
  <c r="BL35" i="57" s="1"/>
  <c r="BM35" i="57" s="1"/>
  <c r="BN35" i="57" s="1"/>
  <c r="BO35" i="57" s="1"/>
  <c r="BP35" i="57" s="1"/>
  <c r="BQ35" i="57" s="1"/>
  <c r="BR35" i="57" s="1"/>
  <c r="BS35" i="57" s="1"/>
  <c r="BT35" i="57" s="1"/>
  <c r="BU35" i="57" s="1"/>
  <c r="BV35" i="57" s="1"/>
  <c r="BW35" i="57" s="1"/>
  <c r="BX35" i="57" s="1"/>
  <c r="BY35" i="57" s="1"/>
  <c r="D253" i="57"/>
  <c r="E253" i="57" s="1"/>
  <c r="F253" i="57" s="1"/>
  <c r="G253" i="57" s="1"/>
  <c r="H253" i="57" s="1"/>
  <c r="I253" i="57" s="1"/>
  <c r="J253" i="57" s="1"/>
  <c r="K253" i="57" s="1"/>
  <c r="L253" i="57" s="1"/>
  <c r="M253" i="57" s="1"/>
  <c r="N253" i="57" s="1"/>
  <c r="O253" i="57" s="1"/>
  <c r="P253" i="57" s="1"/>
  <c r="Q253" i="57" s="1"/>
  <c r="R253" i="57" s="1"/>
  <c r="S253" i="57" s="1"/>
  <c r="T253" i="57" s="1"/>
  <c r="U253" i="57" s="1"/>
  <c r="V253" i="57" s="1"/>
  <c r="W253" i="57" s="1"/>
  <c r="X253" i="57" s="1"/>
  <c r="Y253" i="57" s="1"/>
  <c r="Z253" i="57" s="1"/>
  <c r="AA253" i="57" s="1"/>
  <c r="AB253" i="57" s="1"/>
  <c r="AC253" i="57" s="1"/>
  <c r="AD253" i="57" s="1"/>
  <c r="AE253" i="57" s="1"/>
  <c r="AF253" i="57" s="1"/>
  <c r="AG253" i="57" s="1"/>
  <c r="AH253" i="57" s="1"/>
  <c r="AI253" i="57" s="1"/>
  <c r="BJ57" i="57"/>
  <c r="BK57" i="57" s="1"/>
  <c r="BL57" i="57" s="1"/>
  <c r="BM57" i="57" s="1"/>
  <c r="BN57" i="57" s="1"/>
  <c r="BO57" i="57" s="1"/>
  <c r="BP57" i="57" s="1"/>
  <c r="BQ57" i="57" s="1"/>
  <c r="BR57" i="57" s="1"/>
  <c r="BS57" i="57" s="1"/>
  <c r="BT57" i="57" s="1"/>
  <c r="BU57" i="57" s="1"/>
  <c r="BV57" i="57" s="1"/>
  <c r="BW57" i="57" s="1"/>
  <c r="BX57" i="57" s="1"/>
  <c r="BY57" i="57" s="1"/>
  <c r="AJ173" i="57"/>
  <c r="AK173" i="57" s="1"/>
  <c r="AL173" i="57" s="1"/>
  <c r="AM173" i="57" s="1"/>
  <c r="AN173" i="57" s="1"/>
  <c r="AO173" i="57" s="1"/>
  <c r="AP173" i="57" s="1"/>
  <c r="AQ173" i="57" s="1"/>
  <c r="BZ82" i="57"/>
  <c r="CA82" i="57" s="1"/>
  <c r="CB82" i="57" s="1"/>
  <c r="CC82" i="57" s="1"/>
  <c r="CD82" i="57" s="1"/>
  <c r="CE82" i="57" s="1"/>
  <c r="CF82" i="57" s="1"/>
  <c r="CG82" i="57" s="1"/>
  <c r="C43" i="62"/>
  <c r="D21" i="57"/>
  <c r="E21" i="57" s="1"/>
  <c r="F21" i="57" s="1"/>
  <c r="G21" i="57" s="1"/>
  <c r="H21" i="57" s="1"/>
  <c r="I21" i="57" s="1"/>
  <c r="J21" i="57" s="1"/>
  <c r="K21" i="57" s="1"/>
  <c r="L21" i="57" s="1"/>
  <c r="M21" i="57" s="1"/>
  <c r="N21" i="57" s="1"/>
  <c r="O21" i="57" s="1"/>
  <c r="P21" i="57" s="1"/>
  <c r="Q21" i="57" s="1"/>
  <c r="R21" i="57" s="1"/>
  <c r="S21" i="57" s="1"/>
  <c r="T21" i="57" s="1"/>
  <c r="U21" i="57" s="1"/>
  <c r="V21" i="57" s="1"/>
  <c r="W21" i="57" s="1"/>
  <c r="X21" i="57" s="1"/>
  <c r="Y21" i="57" s="1"/>
  <c r="Z21" i="57" s="1"/>
  <c r="AA21" i="57" s="1"/>
  <c r="AB21" i="57" s="1"/>
  <c r="AC21" i="57" s="1"/>
  <c r="AD21" i="57" s="1"/>
  <c r="AE21" i="57" s="1"/>
  <c r="AF21" i="57" s="1"/>
  <c r="AG21" i="57" s="1"/>
  <c r="AH21" i="57" s="1"/>
  <c r="AI21" i="57" s="1"/>
  <c r="D208" i="57"/>
  <c r="E208" i="57" s="1"/>
  <c r="F208" i="57" s="1"/>
  <c r="G208" i="57" s="1"/>
  <c r="H208" i="57" s="1"/>
  <c r="I208" i="57" s="1"/>
  <c r="J208" i="57" s="1"/>
  <c r="K208" i="57" s="1"/>
  <c r="L208" i="57" s="1"/>
  <c r="M208" i="57" s="1"/>
  <c r="N208" i="57" s="1"/>
  <c r="O208" i="57" s="1"/>
  <c r="P208" i="57" s="1"/>
  <c r="Q208" i="57" s="1"/>
  <c r="R208" i="57" s="1"/>
  <c r="S208" i="57" s="1"/>
  <c r="T208" i="57" s="1"/>
  <c r="U208" i="57" s="1"/>
  <c r="V208" i="57" s="1"/>
  <c r="W208" i="57" s="1"/>
  <c r="X208" i="57" s="1"/>
  <c r="Y208" i="57" s="1"/>
  <c r="Z208" i="57" s="1"/>
  <c r="AA208" i="57" s="1"/>
  <c r="AB208" i="57" s="1"/>
  <c r="AC208" i="57" s="1"/>
  <c r="AD208" i="57" s="1"/>
  <c r="AE208" i="57" s="1"/>
  <c r="AF208" i="57" s="1"/>
  <c r="AG208" i="57" s="1"/>
  <c r="AH208" i="57" s="1"/>
  <c r="AI208" i="57" s="1"/>
  <c r="D122" i="57"/>
  <c r="E122" i="57" s="1"/>
  <c r="F122" i="57" s="1"/>
  <c r="G122" i="57" s="1"/>
  <c r="H122" i="57" s="1"/>
  <c r="I122" i="57" s="1"/>
  <c r="J122" i="57" s="1"/>
  <c r="K122" i="57" s="1"/>
  <c r="L122" i="57" s="1"/>
  <c r="M122" i="57" s="1"/>
  <c r="N122" i="57" s="1"/>
  <c r="O122" i="57" s="1"/>
  <c r="P122" i="57" s="1"/>
  <c r="Q122" i="57" s="1"/>
  <c r="R122" i="57" s="1"/>
  <c r="S122" i="57" s="1"/>
  <c r="T122" i="57" s="1"/>
  <c r="U122" i="57" s="1"/>
  <c r="V122" i="57" s="1"/>
  <c r="W122" i="57" s="1"/>
  <c r="X122" i="57" s="1"/>
  <c r="Y122" i="57" s="1"/>
  <c r="Z122" i="57" s="1"/>
  <c r="AA122" i="57" s="1"/>
  <c r="AB122" i="57" s="1"/>
  <c r="AC122" i="57" s="1"/>
  <c r="AD122" i="57" s="1"/>
  <c r="AE122" i="57" s="1"/>
  <c r="AF122" i="57" s="1"/>
  <c r="AG122" i="57" s="1"/>
  <c r="AH122" i="57" s="1"/>
  <c r="AI122" i="57" s="1"/>
  <c r="BJ230" i="57"/>
  <c r="BK230" i="57" s="1"/>
  <c r="BL230" i="57" s="1"/>
  <c r="BM230" i="57" s="1"/>
  <c r="BN230" i="57" s="1"/>
  <c r="BO230" i="57" s="1"/>
  <c r="BP230" i="57" s="1"/>
  <c r="BQ230" i="57" s="1"/>
  <c r="BR230" i="57" s="1"/>
  <c r="BS230" i="57" s="1"/>
  <c r="BT230" i="57" s="1"/>
  <c r="BU230" i="57" s="1"/>
  <c r="BV230" i="57" s="1"/>
  <c r="BW230" i="57" s="1"/>
  <c r="BX230" i="57" s="1"/>
  <c r="BY230" i="57" s="1"/>
  <c r="BJ144" i="57"/>
  <c r="BK144" i="57" s="1"/>
  <c r="BL144" i="57" s="1"/>
  <c r="BM144" i="57" s="1"/>
  <c r="BN144" i="57" s="1"/>
  <c r="BO144" i="57" s="1"/>
  <c r="BP144" i="57" s="1"/>
  <c r="BQ144" i="57" s="1"/>
  <c r="BR144" i="57" s="1"/>
  <c r="BS144" i="57" s="1"/>
  <c r="BT144" i="57" s="1"/>
  <c r="BU144" i="57" s="1"/>
  <c r="BV144" i="57" s="1"/>
  <c r="BW144" i="57" s="1"/>
  <c r="BX144" i="57" s="1"/>
  <c r="BY144" i="57" s="1"/>
  <c r="AT64" i="57"/>
  <c r="AU64" i="57" s="1"/>
  <c r="AV64" i="57" s="1"/>
  <c r="AW64" i="57" s="1"/>
  <c r="AX64" i="57" s="1"/>
  <c r="AY64" i="57" s="1"/>
  <c r="AZ64" i="57" s="1"/>
  <c r="BA64" i="57" s="1"/>
  <c r="BB64" i="57" s="1"/>
  <c r="BC64" i="57" s="1"/>
  <c r="BD64" i="57" s="1"/>
  <c r="BE64" i="57" s="1"/>
  <c r="BF64" i="57" s="1"/>
  <c r="BG64" i="57" s="1"/>
  <c r="BH64" i="57" s="1"/>
  <c r="BI64" i="57" s="1"/>
  <c r="BJ64" i="57" s="1"/>
  <c r="BK64" i="57" s="1"/>
  <c r="BL64" i="57" s="1"/>
  <c r="BM64" i="57" s="1"/>
  <c r="BN64" i="57" s="1"/>
  <c r="BO64" i="57" s="1"/>
  <c r="BP64" i="57" s="1"/>
  <c r="BQ64" i="57" s="1"/>
  <c r="BR64" i="57" s="1"/>
  <c r="BS64" i="57" s="1"/>
  <c r="BT64" i="57" s="1"/>
  <c r="BU64" i="57" s="1"/>
  <c r="BV64" i="57" s="1"/>
  <c r="BW64" i="57" s="1"/>
  <c r="BX64" i="57" s="1"/>
  <c r="BY64" i="57" s="1"/>
  <c r="AG20" i="62"/>
  <c r="AC20" i="62"/>
  <c r="G20" i="62"/>
  <c r="AK20" i="62"/>
  <c r="AA20" i="62"/>
  <c r="AM20" i="62"/>
  <c r="U20" i="62"/>
  <c r="K20" i="62"/>
  <c r="S20" i="62"/>
  <c r="Q20" i="62"/>
  <c r="W20" i="62"/>
  <c r="AE20" i="62"/>
  <c r="M20" i="62"/>
  <c r="Y20" i="62"/>
  <c r="AI20" i="62"/>
  <c r="AO20" i="62"/>
  <c r="I20" i="62"/>
  <c r="AQ20" i="62"/>
  <c r="O20" i="62"/>
  <c r="BJ142" i="57"/>
  <c r="BK142" i="57" s="1"/>
  <c r="BL142" i="57" s="1"/>
  <c r="BM142" i="57" s="1"/>
  <c r="BN142" i="57" s="1"/>
  <c r="BO142" i="57" s="1"/>
  <c r="BP142" i="57" s="1"/>
  <c r="BQ142" i="57" s="1"/>
  <c r="BR142" i="57" s="1"/>
  <c r="BS142" i="57" s="1"/>
  <c r="BT142" i="57" s="1"/>
  <c r="BU142" i="57" s="1"/>
  <c r="BV142" i="57" s="1"/>
  <c r="BW142" i="57" s="1"/>
  <c r="BX142" i="57" s="1"/>
  <c r="BY142" i="57" s="1"/>
  <c r="T202" i="57"/>
  <c r="U202" i="57" s="1"/>
  <c r="V202" i="57" s="1"/>
  <c r="W202" i="57" s="1"/>
  <c r="X202" i="57" s="1"/>
  <c r="Y202" i="57" s="1"/>
  <c r="Z202" i="57" s="1"/>
  <c r="AA202" i="57" s="1"/>
  <c r="AB202" i="57" s="1"/>
  <c r="AC202" i="57" s="1"/>
  <c r="AD202" i="57" s="1"/>
  <c r="AE202" i="57" s="1"/>
  <c r="AF202" i="57" s="1"/>
  <c r="AG202" i="57" s="1"/>
  <c r="AH202" i="57" s="1"/>
  <c r="AI202" i="57" s="1"/>
  <c r="AT108" i="57"/>
  <c r="AU108" i="57" s="1"/>
  <c r="AV108" i="57" s="1"/>
  <c r="AW108" i="57" s="1"/>
  <c r="AX108" i="57" s="1"/>
  <c r="AY108" i="57" s="1"/>
  <c r="AZ108" i="57" s="1"/>
  <c r="BA108" i="57" s="1"/>
  <c r="BB108" i="57" s="1"/>
  <c r="BC108" i="57" s="1"/>
  <c r="BD108" i="57" s="1"/>
  <c r="BE108" i="57" s="1"/>
  <c r="BF108" i="57" s="1"/>
  <c r="BG108" i="57" s="1"/>
  <c r="BH108" i="57" s="1"/>
  <c r="BI108" i="57" s="1"/>
  <c r="BJ108" i="57" s="1"/>
  <c r="BK108" i="57" s="1"/>
  <c r="BL108" i="57" s="1"/>
  <c r="BM108" i="57" s="1"/>
  <c r="BN108" i="57" s="1"/>
  <c r="BO108" i="57" s="1"/>
  <c r="BP108" i="57" s="1"/>
  <c r="BQ108" i="57" s="1"/>
  <c r="BR108" i="57" s="1"/>
  <c r="BS108" i="57" s="1"/>
  <c r="BT108" i="57" s="1"/>
  <c r="BU108" i="57" s="1"/>
  <c r="BV108" i="57" s="1"/>
  <c r="BW108" i="57" s="1"/>
  <c r="BX108" i="57" s="1"/>
  <c r="BY108" i="57" s="1"/>
  <c r="D193" i="57"/>
  <c r="E193" i="57" s="1"/>
  <c r="F193" i="57" s="1"/>
  <c r="G193" i="57" s="1"/>
  <c r="H193" i="57" s="1"/>
  <c r="I193" i="57" s="1"/>
  <c r="J193" i="57" s="1"/>
  <c r="K193" i="57" s="1"/>
  <c r="L193" i="57" s="1"/>
  <c r="M193" i="57" s="1"/>
  <c r="N193" i="57" s="1"/>
  <c r="O193" i="57" s="1"/>
  <c r="P193" i="57" s="1"/>
  <c r="Q193" i="57" s="1"/>
  <c r="R193" i="57" s="1"/>
  <c r="S193" i="57" s="1"/>
  <c r="T193" i="57" s="1"/>
  <c r="U193" i="57" s="1"/>
  <c r="V193" i="57" s="1"/>
  <c r="W193" i="57" s="1"/>
  <c r="X193" i="57" s="1"/>
  <c r="Y193" i="57" s="1"/>
  <c r="Z193" i="57" s="1"/>
  <c r="AA193" i="57" s="1"/>
  <c r="AB193" i="57" s="1"/>
  <c r="AC193" i="57" s="1"/>
  <c r="AD193" i="57" s="1"/>
  <c r="AE193" i="57" s="1"/>
  <c r="AF193" i="57" s="1"/>
  <c r="AG193" i="57" s="1"/>
  <c r="AH193" i="57" s="1"/>
  <c r="AI193" i="57" s="1"/>
  <c r="BJ207" i="57"/>
  <c r="BK207" i="57" s="1"/>
  <c r="BL207" i="57" s="1"/>
  <c r="BM207" i="57" s="1"/>
  <c r="BN207" i="57" s="1"/>
  <c r="BO207" i="57" s="1"/>
  <c r="BP207" i="57" s="1"/>
  <c r="BQ207" i="57" s="1"/>
  <c r="BR207" i="57" s="1"/>
  <c r="BS207" i="57" s="1"/>
  <c r="BT207" i="57" s="1"/>
  <c r="BU207" i="57" s="1"/>
  <c r="BV207" i="57" s="1"/>
  <c r="BW207" i="57" s="1"/>
  <c r="BX207" i="57" s="1"/>
  <c r="BY207" i="57" s="1"/>
  <c r="D72" i="57"/>
  <c r="E72" i="57" s="1"/>
  <c r="F72" i="57" s="1"/>
  <c r="G72" i="57" s="1"/>
  <c r="H72" i="57" s="1"/>
  <c r="I72" i="57" s="1"/>
  <c r="J72" i="57" s="1"/>
  <c r="K72" i="57" s="1"/>
  <c r="L72" i="57" s="1"/>
  <c r="M72" i="57" s="1"/>
  <c r="N72" i="57" s="1"/>
  <c r="O72" i="57" s="1"/>
  <c r="P72" i="57" s="1"/>
  <c r="Q72" i="57" s="1"/>
  <c r="R72" i="57" s="1"/>
  <c r="S72" i="57" s="1"/>
  <c r="T72" i="57" s="1"/>
  <c r="U72" i="57" s="1"/>
  <c r="V72" i="57" s="1"/>
  <c r="W72" i="57" s="1"/>
  <c r="X72" i="57" s="1"/>
  <c r="Y72" i="57" s="1"/>
  <c r="Z72" i="57" s="1"/>
  <c r="AA72" i="57" s="1"/>
  <c r="AB72" i="57" s="1"/>
  <c r="AC72" i="57" s="1"/>
  <c r="AD72" i="57" s="1"/>
  <c r="AE72" i="57" s="1"/>
  <c r="AF72" i="57" s="1"/>
  <c r="AG72" i="57" s="1"/>
  <c r="AH72" i="57" s="1"/>
  <c r="AI72" i="57" s="1"/>
  <c r="C145" i="62"/>
  <c r="BJ33" i="57"/>
  <c r="BK33" i="57" s="1"/>
  <c r="BL33" i="57" s="1"/>
  <c r="BM33" i="57" s="1"/>
  <c r="BN33" i="57" s="1"/>
  <c r="BO33" i="57" s="1"/>
  <c r="BP33" i="57" s="1"/>
  <c r="BQ33" i="57" s="1"/>
  <c r="BR33" i="57" s="1"/>
  <c r="BS33" i="57" s="1"/>
  <c r="BT33" i="57" s="1"/>
  <c r="BU33" i="57" s="1"/>
  <c r="BV33" i="57" s="1"/>
  <c r="BW33" i="57" s="1"/>
  <c r="BX33" i="57" s="1"/>
  <c r="BY33" i="57" s="1"/>
  <c r="C35" i="62"/>
  <c r="D17" i="57"/>
  <c r="E17" i="57" s="1"/>
  <c r="F17" i="57" s="1"/>
  <c r="G17" i="57" s="1"/>
  <c r="H17" i="57" s="1"/>
  <c r="I17" i="57" s="1"/>
  <c r="J17" i="57" s="1"/>
  <c r="K17" i="57" s="1"/>
  <c r="L17" i="57" s="1"/>
  <c r="M17" i="57" s="1"/>
  <c r="N17" i="57" s="1"/>
  <c r="O17" i="57" s="1"/>
  <c r="P17" i="57" s="1"/>
  <c r="Q17" i="57" s="1"/>
  <c r="R17" i="57" s="1"/>
  <c r="S17" i="57" s="1"/>
  <c r="AT100" i="57"/>
  <c r="AU100" i="57" s="1"/>
  <c r="AV100" i="57" s="1"/>
  <c r="AW100" i="57" s="1"/>
  <c r="AX100" i="57" s="1"/>
  <c r="AY100" i="57" s="1"/>
  <c r="AZ100" i="57" s="1"/>
  <c r="BA100" i="57" s="1"/>
  <c r="BB100" i="57" s="1"/>
  <c r="BC100" i="57" s="1"/>
  <c r="BD100" i="57" s="1"/>
  <c r="BE100" i="57" s="1"/>
  <c r="BF100" i="57" s="1"/>
  <c r="BG100" i="57" s="1"/>
  <c r="BH100" i="57" s="1"/>
  <c r="BI100" i="57" s="1"/>
  <c r="BJ176" i="57"/>
  <c r="BK176" i="57" s="1"/>
  <c r="BL176" i="57" s="1"/>
  <c r="BM176" i="57" s="1"/>
  <c r="BN176" i="57" s="1"/>
  <c r="BO176" i="57" s="1"/>
  <c r="BP176" i="57" s="1"/>
  <c r="BQ176" i="57" s="1"/>
  <c r="BR176" i="57" s="1"/>
  <c r="BS176" i="57" s="1"/>
  <c r="BT176" i="57" s="1"/>
  <c r="BU176" i="57" s="1"/>
  <c r="BV176" i="57" s="1"/>
  <c r="BW176" i="57" s="1"/>
  <c r="BX176" i="57" s="1"/>
  <c r="BY176" i="57" s="1"/>
  <c r="AT183" i="57"/>
  <c r="AU183" i="57" s="1"/>
  <c r="AV183" i="57" s="1"/>
  <c r="AW183" i="57" s="1"/>
  <c r="AX183" i="57" s="1"/>
  <c r="AY183" i="57" s="1"/>
  <c r="AZ183" i="57" s="1"/>
  <c r="BA183" i="57" s="1"/>
  <c r="BB183" i="57" s="1"/>
  <c r="BC183" i="57" s="1"/>
  <c r="BD183" i="57" s="1"/>
  <c r="BE183" i="57" s="1"/>
  <c r="BF183" i="57" s="1"/>
  <c r="BG183" i="57" s="1"/>
  <c r="BH183" i="57" s="1"/>
  <c r="BI183" i="57" s="1"/>
  <c r="BJ183" i="57" s="1"/>
  <c r="BK183" i="57" s="1"/>
  <c r="BL183" i="57" s="1"/>
  <c r="BM183" i="57" s="1"/>
  <c r="BN183" i="57" s="1"/>
  <c r="BO183" i="57" s="1"/>
  <c r="BP183" i="57" s="1"/>
  <c r="BQ183" i="57" s="1"/>
  <c r="BR183" i="57" s="1"/>
  <c r="BS183" i="57" s="1"/>
  <c r="BT183" i="57" s="1"/>
  <c r="BU183" i="57" s="1"/>
  <c r="BV183" i="57" s="1"/>
  <c r="BW183" i="57" s="1"/>
  <c r="BX183" i="57" s="1"/>
  <c r="BY183" i="57" s="1"/>
  <c r="T225" i="57"/>
  <c r="U225" i="57" s="1"/>
  <c r="V225" i="57" s="1"/>
  <c r="W225" i="57" s="1"/>
  <c r="X225" i="57" s="1"/>
  <c r="Y225" i="57" s="1"/>
  <c r="Z225" i="57" s="1"/>
  <c r="AA225" i="57" s="1"/>
  <c r="AB225" i="57" s="1"/>
  <c r="AC225" i="57" s="1"/>
  <c r="AD225" i="57" s="1"/>
  <c r="AE225" i="57" s="1"/>
  <c r="AF225" i="57" s="1"/>
  <c r="AG225" i="57" s="1"/>
  <c r="AH225" i="57" s="1"/>
  <c r="AI225" i="57" s="1"/>
  <c r="C71" i="62"/>
  <c r="D35" i="57"/>
  <c r="E35" i="57" s="1"/>
  <c r="F35" i="57" s="1"/>
  <c r="G35" i="57" s="1"/>
  <c r="H35" i="57" s="1"/>
  <c r="I35" i="57" s="1"/>
  <c r="J35" i="57" s="1"/>
  <c r="K35" i="57" s="1"/>
  <c r="L35" i="57" s="1"/>
  <c r="M35" i="57" s="1"/>
  <c r="N35" i="57" s="1"/>
  <c r="O35" i="57" s="1"/>
  <c r="P35" i="57" s="1"/>
  <c r="Q35" i="57" s="1"/>
  <c r="R35" i="57" s="1"/>
  <c r="S35" i="57" s="1"/>
  <c r="C41" i="62"/>
  <c r="D20" i="57"/>
  <c r="E20" i="57" s="1"/>
  <c r="F20" i="57" s="1"/>
  <c r="G20" i="57" s="1"/>
  <c r="H20" i="57" s="1"/>
  <c r="I20" i="57" s="1"/>
  <c r="J20" i="57" s="1"/>
  <c r="K20" i="57" s="1"/>
  <c r="L20" i="57" s="1"/>
  <c r="M20" i="57" s="1"/>
  <c r="N20" i="57" s="1"/>
  <c r="O20" i="57" s="1"/>
  <c r="P20" i="57" s="1"/>
  <c r="Q20" i="57" s="1"/>
  <c r="R20" i="57" s="1"/>
  <c r="S20" i="57" s="1"/>
  <c r="C115" i="62"/>
  <c r="D57" i="57"/>
  <c r="E57" i="57" s="1"/>
  <c r="F57" i="57" s="1"/>
  <c r="G57" i="57" s="1"/>
  <c r="H57" i="57" s="1"/>
  <c r="I57" i="57" s="1"/>
  <c r="J57" i="57" s="1"/>
  <c r="K57" i="57" s="1"/>
  <c r="L57" i="57" s="1"/>
  <c r="M57" i="57" s="1"/>
  <c r="N57" i="57" s="1"/>
  <c r="O57" i="57" s="1"/>
  <c r="P57" i="57" s="1"/>
  <c r="Q57" i="57" s="1"/>
  <c r="R57" i="57" s="1"/>
  <c r="S57" i="57" s="1"/>
  <c r="T148" i="57"/>
  <c r="U148" i="57" s="1"/>
  <c r="V148" i="57" s="1"/>
  <c r="W148" i="57" s="1"/>
  <c r="X148" i="57" s="1"/>
  <c r="Y148" i="57" s="1"/>
  <c r="Z148" i="57" s="1"/>
  <c r="AA148" i="57" s="1"/>
  <c r="AB148" i="57" s="1"/>
  <c r="AC148" i="57" s="1"/>
  <c r="AD148" i="57" s="1"/>
  <c r="AE148" i="57" s="1"/>
  <c r="AF148" i="57" s="1"/>
  <c r="AG148" i="57" s="1"/>
  <c r="AH148" i="57" s="1"/>
  <c r="AI148" i="57" s="1"/>
  <c r="AT54" i="57"/>
  <c r="AU54" i="57" s="1"/>
  <c r="AV54" i="57" s="1"/>
  <c r="AW54" i="57" s="1"/>
  <c r="AX54" i="57" s="1"/>
  <c r="AY54" i="57" s="1"/>
  <c r="AZ54" i="57" s="1"/>
  <c r="BA54" i="57" s="1"/>
  <c r="BB54" i="57" s="1"/>
  <c r="BC54" i="57" s="1"/>
  <c r="BD54" i="57" s="1"/>
  <c r="BE54" i="57" s="1"/>
  <c r="BF54" i="57" s="1"/>
  <c r="BG54" i="57" s="1"/>
  <c r="BH54" i="57" s="1"/>
  <c r="BI54" i="57" s="1"/>
  <c r="BJ54" i="57" s="1"/>
  <c r="BK54" i="57" s="1"/>
  <c r="BL54" i="57" s="1"/>
  <c r="BM54" i="57" s="1"/>
  <c r="BN54" i="57" s="1"/>
  <c r="BO54" i="57" s="1"/>
  <c r="BP54" i="57" s="1"/>
  <c r="BQ54" i="57" s="1"/>
  <c r="BR54" i="57" s="1"/>
  <c r="BS54" i="57" s="1"/>
  <c r="BT54" i="57" s="1"/>
  <c r="BU54" i="57" s="1"/>
  <c r="BV54" i="57" s="1"/>
  <c r="BW54" i="57" s="1"/>
  <c r="BX54" i="57" s="1"/>
  <c r="BY54" i="57" s="1"/>
  <c r="D167" i="57"/>
  <c r="E167" i="57" s="1"/>
  <c r="F167" i="57" s="1"/>
  <c r="G167" i="57" s="1"/>
  <c r="H167" i="57" s="1"/>
  <c r="I167" i="57" s="1"/>
  <c r="J167" i="57" s="1"/>
  <c r="K167" i="57" s="1"/>
  <c r="L167" i="57" s="1"/>
  <c r="M167" i="57" s="1"/>
  <c r="N167" i="57" s="1"/>
  <c r="O167" i="57" s="1"/>
  <c r="P167" i="57" s="1"/>
  <c r="Q167" i="57" s="1"/>
  <c r="R167" i="57" s="1"/>
  <c r="S167" i="57" s="1"/>
  <c r="T167" i="57" s="1"/>
  <c r="U167" i="57" s="1"/>
  <c r="V167" i="57" s="1"/>
  <c r="W167" i="57" s="1"/>
  <c r="X167" i="57" s="1"/>
  <c r="Y167" i="57" s="1"/>
  <c r="Z167" i="57" s="1"/>
  <c r="AA167" i="57" s="1"/>
  <c r="AB167" i="57" s="1"/>
  <c r="AC167" i="57" s="1"/>
  <c r="AD167" i="57" s="1"/>
  <c r="AE167" i="57" s="1"/>
  <c r="AF167" i="57" s="1"/>
  <c r="AG167" i="57" s="1"/>
  <c r="AH167" i="57" s="1"/>
  <c r="AI167" i="57" s="1"/>
  <c r="AT73" i="57"/>
  <c r="AU73" i="57" s="1"/>
  <c r="AV73" i="57" s="1"/>
  <c r="AW73" i="57" s="1"/>
  <c r="AX73" i="57" s="1"/>
  <c r="AY73" i="57" s="1"/>
  <c r="AZ73" i="57" s="1"/>
  <c r="BA73" i="57" s="1"/>
  <c r="BB73" i="57" s="1"/>
  <c r="BC73" i="57" s="1"/>
  <c r="BD73" i="57" s="1"/>
  <c r="BE73" i="57" s="1"/>
  <c r="BF73" i="57" s="1"/>
  <c r="BG73" i="57" s="1"/>
  <c r="BH73" i="57" s="1"/>
  <c r="BI73" i="57" s="1"/>
  <c r="BJ73" i="57" s="1"/>
  <c r="BK73" i="57" s="1"/>
  <c r="BL73" i="57" s="1"/>
  <c r="BM73" i="57" s="1"/>
  <c r="BN73" i="57" s="1"/>
  <c r="BO73" i="57" s="1"/>
  <c r="BP73" i="57" s="1"/>
  <c r="BQ73" i="57" s="1"/>
  <c r="BR73" i="57" s="1"/>
  <c r="BS73" i="57" s="1"/>
  <c r="BT73" i="57" s="1"/>
  <c r="BU73" i="57" s="1"/>
  <c r="BV73" i="57" s="1"/>
  <c r="BW73" i="57" s="1"/>
  <c r="BX73" i="57" s="1"/>
  <c r="BY73" i="57" s="1"/>
  <c r="AT95" i="57"/>
  <c r="AU95" i="57" s="1"/>
  <c r="AV95" i="57" s="1"/>
  <c r="AW95" i="57" s="1"/>
  <c r="AX95" i="57" s="1"/>
  <c r="AY95" i="57" s="1"/>
  <c r="AZ95" i="57" s="1"/>
  <c r="BA95" i="57" s="1"/>
  <c r="BB95" i="57" s="1"/>
  <c r="BC95" i="57" s="1"/>
  <c r="BD95" i="57" s="1"/>
  <c r="BE95" i="57" s="1"/>
  <c r="BF95" i="57" s="1"/>
  <c r="BG95" i="57" s="1"/>
  <c r="BH95" i="57" s="1"/>
  <c r="BI95" i="57" s="1"/>
  <c r="BJ95" i="57" s="1"/>
  <c r="BK95" i="57" s="1"/>
  <c r="BL95" i="57" s="1"/>
  <c r="BM95" i="57" s="1"/>
  <c r="BN95" i="57" s="1"/>
  <c r="BO95" i="57" s="1"/>
  <c r="BP95" i="57" s="1"/>
  <c r="BQ95" i="57" s="1"/>
  <c r="BR95" i="57" s="1"/>
  <c r="BS95" i="57" s="1"/>
  <c r="BT95" i="57" s="1"/>
  <c r="BU95" i="57" s="1"/>
  <c r="BV95" i="57" s="1"/>
  <c r="BW95" i="57" s="1"/>
  <c r="BX95" i="57" s="1"/>
  <c r="BY95" i="57" s="1"/>
  <c r="D141" i="57"/>
  <c r="E141" i="57" s="1"/>
  <c r="F141" i="57" s="1"/>
  <c r="G141" i="57" s="1"/>
  <c r="H141" i="57" s="1"/>
  <c r="I141" i="57" s="1"/>
  <c r="J141" i="57" s="1"/>
  <c r="K141" i="57" s="1"/>
  <c r="L141" i="57" s="1"/>
  <c r="M141" i="57" s="1"/>
  <c r="N141" i="57" s="1"/>
  <c r="O141" i="57" s="1"/>
  <c r="P141" i="57" s="1"/>
  <c r="Q141" i="57" s="1"/>
  <c r="R141" i="57" s="1"/>
  <c r="S141" i="57" s="1"/>
  <c r="T141" i="57" s="1"/>
  <c r="U141" i="57" s="1"/>
  <c r="V141" i="57" s="1"/>
  <c r="W141" i="57" s="1"/>
  <c r="X141" i="57" s="1"/>
  <c r="Y141" i="57" s="1"/>
  <c r="Z141" i="57" s="1"/>
  <c r="AA141" i="57" s="1"/>
  <c r="AB141" i="57" s="1"/>
  <c r="AC141" i="57" s="1"/>
  <c r="AD141" i="57" s="1"/>
  <c r="AE141" i="57" s="1"/>
  <c r="AF141" i="57" s="1"/>
  <c r="AG141" i="57" s="1"/>
  <c r="AH141" i="57" s="1"/>
  <c r="AI141" i="57" s="1"/>
  <c r="AT205" i="57"/>
  <c r="AU205" i="57" s="1"/>
  <c r="AV205" i="57" s="1"/>
  <c r="AW205" i="57" s="1"/>
  <c r="AX205" i="57" s="1"/>
  <c r="AY205" i="57" s="1"/>
  <c r="AZ205" i="57" s="1"/>
  <c r="BA205" i="57" s="1"/>
  <c r="BB205" i="57" s="1"/>
  <c r="BC205" i="57" s="1"/>
  <c r="BD205" i="57" s="1"/>
  <c r="BE205" i="57" s="1"/>
  <c r="BF205" i="57" s="1"/>
  <c r="BG205" i="57" s="1"/>
  <c r="BH205" i="57" s="1"/>
  <c r="BI205" i="57" s="1"/>
  <c r="T144" i="57"/>
  <c r="U144" i="57" s="1"/>
  <c r="V144" i="57" s="1"/>
  <c r="W144" i="57" s="1"/>
  <c r="X144" i="57" s="1"/>
  <c r="Y144" i="57" s="1"/>
  <c r="Z144" i="57" s="1"/>
  <c r="AA144" i="57" s="1"/>
  <c r="AB144" i="57" s="1"/>
  <c r="AC144" i="57" s="1"/>
  <c r="AD144" i="57" s="1"/>
  <c r="AE144" i="57" s="1"/>
  <c r="AF144" i="57" s="1"/>
  <c r="AG144" i="57" s="1"/>
  <c r="AH144" i="57" s="1"/>
  <c r="AI144" i="57" s="1"/>
  <c r="BJ250" i="57"/>
  <c r="BK250" i="57" s="1"/>
  <c r="BL250" i="57" s="1"/>
  <c r="BM250" i="57" s="1"/>
  <c r="BN250" i="57" s="1"/>
  <c r="BO250" i="57" s="1"/>
  <c r="BP250" i="57" s="1"/>
  <c r="BQ250" i="57" s="1"/>
  <c r="BR250" i="57" s="1"/>
  <c r="BS250" i="57" s="1"/>
  <c r="BT250" i="57" s="1"/>
  <c r="BU250" i="57" s="1"/>
  <c r="BV250" i="57" s="1"/>
  <c r="BW250" i="57" s="1"/>
  <c r="BX250" i="57" s="1"/>
  <c r="BY250" i="57" s="1"/>
  <c r="AT171" i="57"/>
  <c r="AU171" i="57" s="1"/>
  <c r="AV171" i="57" s="1"/>
  <c r="AW171" i="57" s="1"/>
  <c r="AX171" i="57" s="1"/>
  <c r="AY171" i="57" s="1"/>
  <c r="AZ171" i="57" s="1"/>
  <c r="BA171" i="57" s="1"/>
  <c r="BB171" i="57" s="1"/>
  <c r="BC171" i="57" s="1"/>
  <c r="BD171" i="57" s="1"/>
  <c r="BE171" i="57" s="1"/>
  <c r="BF171" i="57" s="1"/>
  <c r="BG171" i="57" s="1"/>
  <c r="BH171" i="57" s="1"/>
  <c r="BI171" i="57" s="1"/>
  <c r="BJ171" i="57" s="1"/>
  <c r="BK171" i="57" s="1"/>
  <c r="BL171" i="57" s="1"/>
  <c r="BM171" i="57" s="1"/>
  <c r="BN171" i="57" s="1"/>
  <c r="BO171" i="57" s="1"/>
  <c r="BP171" i="57" s="1"/>
  <c r="BQ171" i="57" s="1"/>
  <c r="BR171" i="57" s="1"/>
  <c r="BS171" i="57" s="1"/>
  <c r="BT171" i="57" s="1"/>
  <c r="BU171" i="57" s="1"/>
  <c r="BV171" i="57" s="1"/>
  <c r="BW171" i="57" s="1"/>
  <c r="BX171" i="57" s="1"/>
  <c r="BY171" i="57" s="1"/>
  <c r="AT199" i="57"/>
  <c r="AU199" i="57" s="1"/>
  <c r="AV199" i="57" s="1"/>
  <c r="AW199" i="57" s="1"/>
  <c r="AX199" i="57" s="1"/>
  <c r="AY199" i="57" s="1"/>
  <c r="AZ199" i="57" s="1"/>
  <c r="BA199" i="57" s="1"/>
  <c r="BB199" i="57" s="1"/>
  <c r="BC199" i="57" s="1"/>
  <c r="BD199" i="57" s="1"/>
  <c r="BE199" i="57" s="1"/>
  <c r="BF199" i="57" s="1"/>
  <c r="BG199" i="57" s="1"/>
  <c r="BH199" i="57" s="1"/>
  <c r="BI199" i="57" s="1"/>
  <c r="BJ199" i="57" s="1"/>
  <c r="BK199" i="57" s="1"/>
  <c r="BL199" i="57" s="1"/>
  <c r="BM199" i="57" s="1"/>
  <c r="BN199" i="57" s="1"/>
  <c r="BO199" i="57" s="1"/>
  <c r="BP199" i="57" s="1"/>
  <c r="BQ199" i="57" s="1"/>
  <c r="BR199" i="57" s="1"/>
  <c r="BS199" i="57" s="1"/>
  <c r="BT199" i="57" s="1"/>
  <c r="BU199" i="57" s="1"/>
  <c r="BV199" i="57" s="1"/>
  <c r="BW199" i="57" s="1"/>
  <c r="BX199" i="57" s="1"/>
  <c r="BY199" i="57" s="1"/>
  <c r="AT66" i="57"/>
  <c r="AU66" i="57" s="1"/>
  <c r="AV66" i="57" s="1"/>
  <c r="AW66" i="57" s="1"/>
  <c r="AX66" i="57" s="1"/>
  <c r="AY66" i="57" s="1"/>
  <c r="AZ66" i="57" s="1"/>
  <c r="BA66" i="57" s="1"/>
  <c r="BB66" i="57" s="1"/>
  <c r="BC66" i="57" s="1"/>
  <c r="BD66" i="57" s="1"/>
  <c r="BE66" i="57" s="1"/>
  <c r="BF66" i="57" s="1"/>
  <c r="BG66" i="57" s="1"/>
  <c r="BH66" i="57" s="1"/>
  <c r="BI66" i="57" s="1"/>
  <c r="BJ66" i="57" s="1"/>
  <c r="BK66" i="57" s="1"/>
  <c r="BL66" i="57" s="1"/>
  <c r="BM66" i="57" s="1"/>
  <c r="BN66" i="57" s="1"/>
  <c r="BO66" i="57" s="1"/>
  <c r="BP66" i="57" s="1"/>
  <c r="BQ66" i="57" s="1"/>
  <c r="BR66" i="57" s="1"/>
  <c r="BS66" i="57" s="1"/>
  <c r="BT66" i="57" s="1"/>
  <c r="BU66" i="57" s="1"/>
  <c r="BV66" i="57" s="1"/>
  <c r="BW66" i="57" s="1"/>
  <c r="BX66" i="57" s="1"/>
  <c r="BY66" i="57" s="1"/>
  <c r="D26" i="57"/>
  <c r="E26" i="57" s="1"/>
  <c r="F26" i="57" s="1"/>
  <c r="G26" i="57" s="1"/>
  <c r="H26" i="57" s="1"/>
  <c r="I26" i="57" s="1"/>
  <c r="J26" i="57" s="1"/>
  <c r="K26" i="57" s="1"/>
  <c r="L26" i="57" s="1"/>
  <c r="M26" i="57" s="1"/>
  <c r="N26" i="57" s="1"/>
  <c r="O26" i="57" s="1"/>
  <c r="P26" i="57" s="1"/>
  <c r="Q26" i="57" s="1"/>
  <c r="R26" i="57" s="1"/>
  <c r="S26" i="57" s="1"/>
  <c r="T26" i="57" s="1"/>
  <c r="U26" i="57" s="1"/>
  <c r="V26" i="57" s="1"/>
  <c r="W26" i="57" s="1"/>
  <c r="X26" i="57" s="1"/>
  <c r="Y26" i="57" s="1"/>
  <c r="Z26" i="57" s="1"/>
  <c r="AA26" i="57" s="1"/>
  <c r="AB26" i="57" s="1"/>
  <c r="AC26" i="57" s="1"/>
  <c r="AD26" i="57" s="1"/>
  <c r="AE26" i="57" s="1"/>
  <c r="AF26" i="57" s="1"/>
  <c r="AG26" i="57" s="1"/>
  <c r="AH26" i="57" s="1"/>
  <c r="AI26" i="57" s="1"/>
  <c r="C53" i="62"/>
  <c r="AI10" i="62"/>
  <c r="AA10" i="62"/>
  <c r="U10" i="62"/>
  <c r="G10" i="62"/>
  <c r="AQ10" i="62"/>
  <c r="AM10" i="62"/>
  <c r="AG10" i="62"/>
  <c r="I10" i="62"/>
  <c r="Q10" i="62"/>
  <c r="O10" i="62"/>
  <c r="S10" i="62"/>
  <c r="AK10" i="62"/>
  <c r="AE10" i="62"/>
  <c r="K10" i="62"/>
  <c r="AO10" i="62"/>
  <c r="AC10" i="62"/>
  <c r="W10" i="62"/>
  <c r="Y10" i="62"/>
  <c r="M10" i="62"/>
  <c r="D16" i="57"/>
  <c r="E16" i="57" s="1"/>
  <c r="F16" i="57" s="1"/>
  <c r="G16" i="57" s="1"/>
  <c r="H16" i="57" s="1"/>
  <c r="I16" i="57" s="1"/>
  <c r="J16" i="57" s="1"/>
  <c r="K16" i="57" s="1"/>
  <c r="L16" i="57" s="1"/>
  <c r="M16" i="57" s="1"/>
  <c r="N16" i="57" s="1"/>
  <c r="O16" i="57" s="1"/>
  <c r="P16" i="57" s="1"/>
  <c r="Q16" i="57" s="1"/>
  <c r="R16" i="57" s="1"/>
  <c r="S16" i="57" s="1"/>
  <c r="C33" i="62"/>
  <c r="D31" i="57"/>
  <c r="E31" i="57" s="1"/>
  <c r="F31" i="57" s="1"/>
  <c r="G31" i="57" s="1"/>
  <c r="H31" i="57" s="1"/>
  <c r="I31" i="57" s="1"/>
  <c r="J31" i="57" s="1"/>
  <c r="K31" i="57" s="1"/>
  <c r="L31" i="57" s="1"/>
  <c r="M31" i="57" s="1"/>
  <c r="N31" i="57" s="1"/>
  <c r="O31" i="57" s="1"/>
  <c r="P31" i="57" s="1"/>
  <c r="Q31" i="57" s="1"/>
  <c r="R31" i="57" s="1"/>
  <c r="S31" i="57" s="1"/>
  <c r="C63" i="62"/>
  <c r="D53" i="57"/>
  <c r="E53" i="57" s="1"/>
  <c r="F53" i="57" s="1"/>
  <c r="G53" i="57" s="1"/>
  <c r="H53" i="57" s="1"/>
  <c r="I53" i="57" s="1"/>
  <c r="J53" i="57" s="1"/>
  <c r="K53" i="57" s="1"/>
  <c r="L53" i="57" s="1"/>
  <c r="M53" i="57" s="1"/>
  <c r="N53" i="57" s="1"/>
  <c r="O53" i="57" s="1"/>
  <c r="P53" i="57" s="1"/>
  <c r="Q53" i="57" s="1"/>
  <c r="R53" i="57" s="1"/>
  <c r="S53" i="57" s="1"/>
  <c r="C107" i="62"/>
  <c r="AT42" i="57"/>
  <c r="AU42" i="57" s="1"/>
  <c r="AV42" i="57" s="1"/>
  <c r="AW42" i="57" s="1"/>
  <c r="AX42" i="57" s="1"/>
  <c r="AY42" i="57" s="1"/>
  <c r="AZ42" i="57" s="1"/>
  <c r="BA42" i="57" s="1"/>
  <c r="BB42" i="57" s="1"/>
  <c r="BC42" i="57" s="1"/>
  <c r="BD42" i="57" s="1"/>
  <c r="BE42" i="57" s="1"/>
  <c r="BF42" i="57" s="1"/>
  <c r="BG42" i="57" s="1"/>
  <c r="BH42" i="57" s="1"/>
  <c r="BI42" i="57" s="1"/>
  <c r="BJ42" i="57" s="1"/>
  <c r="BK42" i="57" s="1"/>
  <c r="BL42" i="57" s="1"/>
  <c r="BM42" i="57" s="1"/>
  <c r="BN42" i="57" s="1"/>
  <c r="BO42" i="57" s="1"/>
  <c r="BP42" i="57" s="1"/>
  <c r="BQ42" i="57" s="1"/>
  <c r="BR42" i="57" s="1"/>
  <c r="BS42" i="57" s="1"/>
  <c r="BT42" i="57" s="1"/>
  <c r="BU42" i="57" s="1"/>
  <c r="BV42" i="57" s="1"/>
  <c r="BW42" i="57" s="1"/>
  <c r="BX42" i="57" s="1"/>
  <c r="BY42" i="57" s="1"/>
  <c r="T100" i="57"/>
  <c r="U100" i="57" s="1"/>
  <c r="V100" i="57" s="1"/>
  <c r="W100" i="57" s="1"/>
  <c r="X100" i="57" s="1"/>
  <c r="Y100" i="57" s="1"/>
  <c r="Z100" i="57" s="1"/>
  <c r="AA100" i="57" s="1"/>
  <c r="AB100" i="57" s="1"/>
  <c r="AC100" i="57" s="1"/>
  <c r="AD100" i="57" s="1"/>
  <c r="AE100" i="57" s="1"/>
  <c r="AF100" i="57" s="1"/>
  <c r="AG100" i="57" s="1"/>
  <c r="AH100" i="57" s="1"/>
  <c r="AI100" i="57" s="1"/>
  <c r="BJ243" i="57"/>
  <c r="BK243" i="57" s="1"/>
  <c r="BL243" i="57" s="1"/>
  <c r="BM243" i="57" s="1"/>
  <c r="BN243" i="57" s="1"/>
  <c r="BO243" i="57" s="1"/>
  <c r="BP243" i="57" s="1"/>
  <c r="BQ243" i="57" s="1"/>
  <c r="BR243" i="57" s="1"/>
  <c r="BS243" i="57" s="1"/>
  <c r="BT243" i="57" s="1"/>
  <c r="BU243" i="57" s="1"/>
  <c r="BV243" i="57" s="1"/>
  <c r="BW243" i="57" s="1"/>
  <c r="BX243" i="57" s="1"/>
  <c r="BY243" i="57" s="1"/>
  <c r="AG24" i="62"/>
  <c r="AA24" i="62"/>
  <c r="AK24" i="62"/>
  <c r="G24" i="62"/>
  <c r="AI24" i="62"/>
  <c r="AE24" i="62"/>
  <c r="AC24" i="62"/>
  <c r="D231" i="57"/>
  <c r="E231" i="57" s="1"/>
  <c r="F231" i="57" s="1"/>
  <c r="G231" i="57" s="1"/>
  <c r="H231" i="57" s="1"/>
  <c r="I231" i="57" s="1"/>
  <c r="J231" i="57" s="1"/>
  <c r="K231" i="57" s="1"/>
  <c r="L231" i="57" s="1"/>
  <c r="M231" i="57" s="1"/>
  <c r="N231" i="57" s="1"/>
  <c r="O231" i="57" s="1"/>
  <c r="P231" i="57" s="1"/>
  <c r="Q231" i="57" s="1"/>
  <c r="R231" i="57" s="1"/>
  <c r="S231" i="57" s="1"/>
  <c r="T231" i="57" s="1"/>
  <c r="U231" i="57" s="1"/>
  <c r="V231" i="57" s="1"/>
  <c r="W231" i="57" s="1"/>
  <c r="X231" i="57" s="1"/>
  <c r="Y231" i="57" s="1"/>
  <c r="Z231" i="57" s="1"/>
  <c r="AA231" i="57" s="1"/>
  <c r="AB231" i="57" s="1"/>
  <c r="AC231" i="57" s="1"/>
  <c r="AD231" i="57" s="1"/>
  <c r="AE231" i="57" s="1"/>
  <c r="AF231" i="57" s="1"/>
  <c r="AG231" i="57" s="1"/>
  <c r="AH231" i="57" s="1"/>
  <c r="AI231" i="57" s="1"/>
  <c r="D196" i="57"/>
  <c r="E196" i="57" s="1"/>
  <c r="F196" i="57" s="1"/>
  <c r="G196" i="57" s="1"/>
  <c r="H196" i="57" s="1"/>
  <c r="I196" i="57" s="1"/>
  <c r="J196" i="57" s="1"/>
  <c r="K196" i="57" s="1"/>
  <c r="L196" i="57" s="1"/>
  <c r="M196" i="57" s="1"/>
  <c r="N196" i="57" s="1"/>
  <c r="O196" i="57" s="1"/>
  <c r="P196" i="57" s="1"/>
  <c r="Q196" i="57" s="1"/>
  <c r="R196" i="57" s="1"/>
  <c r="S196" i="57" s="1"/>
  <c r="T196" i="57" s="1"/>
  <c r="U196" i="57" s="1"/>
  <c r="V196" i="57" s="1"/>
  <c r="W196" i="57" s="1"/>
  <c r="X196" i="57" s="1"/>
  <c r="Y196" i="57" s="1"/>
  <c r="Z196" i="57" s="1"/>
  <c r="AA196" i="57" s="1"/>
  <c r="AB196" i="57" s="1"/>
  <c r="AC196" i="57" s="1"/>
  <c r="AD196" i="57" s="1"/>
  <c r="AE196" i="57" s="1"/>
  <c r="AF196" i="57" s="1"/>
  <c r="AG196" i="57" s="1"/>
  <c r="AH196" i="57" s="1"/>
  <c r="AI196" i="57" s="1"/>
  <c r="D81" i="57"/>
  <c r="E81" i="57" s="1"/>
  <c r="F81" i="57" s="1"/>
  <c r="G81" i="57" s="1"/>
  <c r="H81" i="57" s="1"/>
  <c r="I81" i="57" s="1"/>
  <c r="J81" i="57" s="1"/>
  <c r="K81" i="57" s="1"/>
  <c r="L81" i="57" s="1"/>
  <c r="M81" i="57" s="1"/>
  <c r="N81" i="57" s="1"/>
  <c r="O81" i="57" s="1"/>
  <c r="P81" i="57" s="1"/>
  <c r="Q81" i="57" s="1"/>
  <c r="R81" i="57" s="1"/>
  <c r="S81" i="57" s="1"/>
  <c r="C163" i="62"/>
  <c r="BJ247" i="57"/>
  <c r="BK247" i="57" s="1"/>
  <c r="BL247" i="57" s="1"/>
  <c r="BM247" i="57" s="1"/>
  <c r="BN247" i="57" s="1"/>
  <c r="BO247" i="57" s="1"/>
  <c r="BP247" i="57" s="1"/>
  <c r="BQ247" i="57" s="1"/>
  <c r="BR247" i="57" s="1"/>
  <c r="BS247" i="57" s="1"/>
  <c r="BT247" i="57" s="1"/>
  <c r="BU247" i="57" s="1"/>
  <c r="BV247" i="57" s="1"/>
  <c r="BW247" i="57" s="1"/>
  <c r="BX247" i="57" s="1"/>
  <c r="BY247" i="57" s="1"/>
  <c r="C111" i="62"/>
  <c r="D55" i="57"/>
  <c r="E55" i="57" s="1"/>
  <c r="F55" i="57" s="1"/>
  <c r="G55" i="57" s="1"/>
  <c r="H55" i="57" s="1"/>
  <c r="I55" i="57" s="1"/>
  <c r="J55" i="57" s="1"/>
  <c r="K55" i="57" s="1"/>
  <c r="L55" i="57" s="1"/>
  <c r="M55" i="57" s="1"/>
  <c r="N55" i="57" s="1"/>
  <c r="O55" i="57" s="1"/>
  <c r="P55" i="57" s="1"/>
  <c r="Q55" i="57" s="1"/>
  <c r="R55" i="57" s="1"/>
  <c r="S55" i="57" s="1"/>
  <c r="AT167" i="57"/>
  <c r="AU167" i="57" s="1"/>
  <c r="AV167" i="57" s="1"/>
  <c r="AW167" i="57" s="1"/>
  <c r="AX167" i="57" s="1"/>
  <c r="AY167" i="57" s="1"/>
  <c r="AZ167" i="57" s="1"/>
  <c r="BA167" i="57" s="1"/>
  <c r="BB167" i="57" s="1"/>
  <c r="BC167" i="57" s="1"/>
  <c r="BD167" i="57" s="1"/>
  <c r="BE167" i="57" s="1"/>
  <c r="BF167" i="57" s="1"/>
  <c r="BG167" i="57" s="1"/>
  <c r="BH167" i="57" s="1"/>
  <c r="BI167" i="57" s="1"/>
  <c r="BJ167" i="57" s="1"/>
  <c r="BK167" i="57" s="1"/>
  <c r="BL167" i="57" s="1"/>
  <c r="BM167" i="57" s="1"/>
  <c r="BN167" i="57" s="1"/>
  <c r="BO167" i="57" s="1"/>
  <c r="BP167" i="57" s="1"/>
  <c r="BQ167" i="57" s="1"/>
  <c r="BR167" i="57" s="1"/>
  <c r="BS167" i="57" s="1"/>
  <c r="BT167" i="57" s="1"/>
  <c r="BU167" i="57" s="1"/>
  <c r="BV167" i="57" s="1"/>
  <c r="BW167" i="57" s="1"/>
  <c r="BX167" i="57" s="1"/>
  <c r="BY167" i="57" s="1"/>
  <c r="T114" i="57"/>
  <c r="U114" i="57" s="1"/>
  <c r="V114" i="57" s="1"/>
  <c r="W114" i="57" s="1"/>
  <c r="X114" i="57" s="1"/>
  <c r="Y114" i="57" s="1"/>
  <c r="Z114" i="57" s="1"/>
  <c r="AA114" i="57" s="1"/>
  <c r="AB114" i="57" s="1"/>
  <c r="AC114" i="57" s="1"/>
  <c r="AD114" i="57" s="1"/>
  <c r="AE114" i="57" s="1"/>
  <c r="AF114" i="57" s="1"/>
  <c r="AG114" i="57" s="1"/>
  <c r="AH114" i="57" s="1"/>
  <c r="AI114" i="57" s="1"/>
  <c r="BZ251" i="57"/>
  <c r="CA251" i="57" s="1"/>
  <c r="CB251" i="57" s="1"/>
  <c r="CC251" i="57" s="1"/>
  <c r="CD251" i="57" s="1"/>
  <c r="CE251" i="57" s="1"/>
  <c r="CF251" i="57" s="1"/>
  <c r="CG251" i="57" s="1"/>
  <c r="AJ135" i="57"/>
  <c r="AK135" i="57" s="1"/>
  <c r="AL135" i="57" s="1"/>
  <c r="AM135" i="57" s="1"/>
  <c r="AN135" i="57" s="1"/>
  <c r="AO135" i="57" s="1"/>
  <c r="AP135" i="57" s="1"/>
  <c r="AQ135" i="57" s="1"/>
  <c r="BZ159" i="57"/>
  <c r="CA159" i="57" s="1"/>
  <c r="CB159" i="57" s="1"/>
  <c r="CC159" i="57" s="1"/>
  <c r="CD159" i="57" s="1"/>
  <c r="CE159" i="57" s="1"/>
  <c r="CF159" i="57" s="1"/>
  <c r="CG159" i="57" s="1"/>
  <c r="BZ135" i="57"/>
  <c r="CA135" i="57" s="1"/>
  <c r="CB135" i="57" s="1"/>
  <c r="CC135" i="57" s="1"/>
  <c r="CD135" i="57" s="1"/>
  <c r="CE135" i="57" s="1"/>
  <c r="CF135" i="57" s="1"/>
  <c r="CG135" i="57" s="1"/>
  <c r="AJ94" i="57"/>
  <c r="AK94" i="57" s="1"/>
  <c r="AL94" i="57" s="1"/>
  <c r="AM94" i="57" s="1"/>
  <c r="AN94" i="57" s="1"/>
  <c r="AO94" i="57" s="1"/>
  <c r="AP94" i="57" s="1"/>
  <c r="AQ94" i="57" s="1"/>
  <c r="AJ198" i="57"/>
  <c r="AK198" i="57" s="1"/>
  <c r="AL198" i="57" s="1"/>
  <c r="AM198" i="57" s="1"/>
  <c r="AN198" i="57" s="1"/>
  <c r="AO198" i="57" s="1"/>
  <c r="AP198" i="57" s="1"/>
  <c r="AQ198" i="57" s="1"/>
  <c r="AJ200" i="57"/>
  <c r="AK200" i="57" s="1"/>
  <c r="AL200" i="57" s="1"/>
  <c r="AM200" i="57" s="1"/>
  <c r="AN200" i="57" s="1"/>
  <c r="AO200" i="57" s="1"/>
  <c r="AP200" i="57" s="1"/>
  <c r="AQ200" i="57" s="1"/>
  <c r="BZ103" i="57"/>
  <c r="CA103" i="57" s="1"/>
  <c r="CB103" i="57" s="1"/>
  <c r="CC103" i="57" s="1"/>
  <c r="CD103" i="57" s="1"/>
  <c r="CE103" i="57" s="1"/>
  <c r="CF103" i="57" s="1"/>
  <c r="CG103" i="57" s="1"/>
  <c r="AJ136" i="57"/>
  <c r="AK136" i="57" s="1"/>
  <c r="AL136" i="57" s="1"/>
  <c r="AM136" i="57" s="1"/>
  <c r="AN136" i="57" s="1"/>
  <c r="AO136" i="57" s="1"/>
  <c r="AP136" i="57" s="1"/>
  <c r="AQ136" i="57" s="1"/>
  <c r="BZ235" i="57"/>
  <c r="CA235" i="57" s="1"/>
  <c r="CB235" i="57" s="1"/>
  <c r="CC235" i="57" s="1"/>
  <c r="CD235" i="57" s="1"/>
  <c r="CE235" i="57" s="1"/>
  <c r="CF235" i="57" s="1"/>
  <c r="CG235" i="57" s="1"/>
  <c r="AJ188" i="57"/>
  <c r="AK188" i="57" s="1"/>
  <c r="AL188" i="57" s="1"/>
  <c r="AM188" i="57" s="1"/>
  <c r="AN188" i="57" s="1"/>
  <c r="AO188" i="57" s="1"/>
  <c r="AP188" i="57" s="1"/>
  <c r="AQ188" i="57" s="1"/>
  <c r="T6" i="57"/>
  <c r="U6" i="57" s="1"/>
  <c r="V6" i="57" s="1"/>
  <c r="W6" i="57" s="1"/>
  <c r="X6" i="57" s="1"/>
  <c r="Y6" i="57" s="1"/>
  <c r="Z6" i="57" s="1"/>
  <c r="AA6" i="57" s="1"/>
  <c r="AB6" i="57" s="1"/>
  <c r="AC6" i="57" s="1"/>
  <c r="AD6" i="57" s="1"/>
  <c r="AE6" i="57" s="1"/>
  <c r="AF6" i="57" s="1"/>
  <c r="AG6" i="57" s="1"/>
  <c r="AH6" i="57" s="1"/>
  <c r="AI6" i="57" s="1"/>
  <c r="BZ58" i="57"/>
  <c r="BZ93" i="57"/>
  <c r="AJ155" i="57"/>
  <c r="AI180" i="62"/>
  <c r="AG180" i="62"/>
  <c r="AK180" i="62"/>
  <c r="AA180" i="62"/>
  <c r="AE180" i="62"/>
  <c r="AC180" i="62"/>
  <c r="BZ118" i="57"/>
  <c r="CA118" i="57" s="1"/>
  <c r="CB118" i="57" s="1"/>
  <c r="CC118" i="57" s="1"/>
  <c r="CD118" i="57" s="1"/>
  <c r="CE118" i="57" s="1"/>
  <c r="CF118" i="57" s="1"/>
  <c r="CG118" i="57" s="1"/>
  <c r="BZ115" i="57"/>
  <c r="CA115" i="57" s="1"/>
  <c r="CB115" i="57" s="1"/>
  <c r="CC115" i="57" s="1"/>
  <c r="CD115" i="57" s="1"/>
  <c r="CE115" i="57" s="1"/>
  <c r="CF115" i="57" s="1"/>
  <c r="CG115" i="57" s="1"/>
  <c r="CA114" i="57"/>
  <c r="CB114" i="57" s="1"/>
  <c r="CC114" i="57" s="1"/>
  <c r="CD114" i="57" s="1"/>
  <c r="CE114" i="57" s="1"/>
  <c r="CF114" i="57" s="1"/>
  <c r="CG114" i="57" s="1"/>
  <c r="AR181" i="62"/>
  <c r="G180" i="62"/>
  <c r="B184" i="62"/>
  <c r="AR184" i="62" s="1"/>
  <c r="C183" i="62"/>
  <c r="A186" i="62"/>
  <c r="A185" i="62"/>
  <c r="AO24" i="62"/>
  <c r="AM24" i="62"/>
  <c r="A185" i="67"/>
  <c r="A184" i="67"/>
  <c r="O24" i="62"/>
  <c r="U24" i="62"/>
  <c r="Q24" i="62"/>
  <c r="M24" i="62"/>
  <c r="AQ24" i="62"/>
  <c r="I24" i="62"/>
  <c r="S24" i="62"/>
  <c r="W24" i="62"/>
  <c r="K24" i="62"/>
  <c r="Y24" i="62"/>
  <c r="D184" i="62"/>
  <c r="F184" i="62"/>
  <c r="B183" i="62"/>
  <c r="C182" i="62"/>
  <c r="E184" i="62"/>
  <c r="BZ34" i="57" l="1"/>
  <c r="CA34" i="57" s="1"/>
  <c r="CB34" i="57" s="1"/>
  <c r="CC34" i="57" s="1"/>
  <c r="CD34" i="57" s="1"/>
  <c r="CE34" i="57" s="1"/>
  <c r="CF34" i="57" s="1"/>
  <c r="CG34" i="57" s="1"/>
  <c r="BJ28" i="57"/>
  <c r="BK28" i="57" s="1"/>
  <c r="BL28" i="57" s="1"/>
  <c r="BM28" i="57" s="1"/>
  <c r="BN28" i="57" s="1"/>
  <c r="BO28" i="57" s="1"/>
  <c r="BP28" i="57" s="1"/>
  <c r="BQ28" i="57" s="1"/>
  <c r="BR28" i="57" s="1"/>
  <c r="BS28" i="57" s="1"/>
  <c r="BT28" i="57" s="1"/>
  <c r="BU28" i="57" s="1"/>
  <c r="BV28" i="57" s="1"/>
  <c r="BW28" i="57" s="1"/>
  <c r="BX28" i="57" s="1"/>
  <c r="BY28" i="57" s="1"/>
  <c r="AJ28" i="57"/>
  <c r="AK28" i="57"/>
  <c r="AL28" i="57" s="1"/>
  <c r="AM28" i="57" s="1"/>
  <c r="AN28" i="57" s="1"/>
  <c r="AO28" i="57" s="1"/>
  <c r="AP28" i="57" s="1"/>
  <c r="AQ28" i="57" s="1"/>
  <c r="AJ29" i="57"/>
  <c r="BZ24" i="57"/>
  <c r="CA24" i="57" s="1"/>
  <c r="CB24" i="57" s="1"/>
  <c r="CC24" i="57" s="1"/>
  <c r="CD24" i="57" s="1"/>
  <c r="CE24" i="57" s="1"/>
  <c r="CF24" i="57" s="1"/>
  <c r="CG24" i="57" s="1"/>
  <c r="BJ25" i="57"/>
  <c r="BK25" i="57" s="1"/>
  <c r="BL25" i="57" s="1"/>
  <c r="BM25" i="57" s="1"/>
  <c r="BN25" i="57" s="1"/>
  <c r="BO25" i="57" s="1"/>
  <c r="BP25" i="57" s="1"/>
  <c r="BQ25" i="57" s="1"/>
  <c r="BR25" i="57" s="1"/>
  <c r="BS25" i="57" s="1"/>
  <c r="BT25" i="57" s="1"/>
  <c r="BU25" i="57" s="1"/>
  <c r="BV25" i="57" s="1"/>
  <c r="BW25" i="57" s="1"/>
  <c r="BX25" i="57" s="1"/>
  <c r="BY25" i="57" s="1"/>
  <c r="BZ29" i="57"/>
  <c r="CA29" i="57" s="1"/>
  <c r="CB29" i="57" s="1"/>
  <c r="CC29" i="57" s="1"/>
  <c r="CD29" i="57" s="1"/>
  <c r="CE29" i="57" s="1"/>
  <c r="CF29" i="57" s="1"/>
  <c r="CG29" i="57" s="1"/>
  <c r="CH29" i="57" s="1"/>
  <c r="BZ32" i="57"/>
  <c r="CA32" i="57" s="1"/>
  <c r="CB32" i="57" s="1"/>
  <c r="CC32" i="57" s="1"/>
  <c r="CD32" i="57" s="1"/>
  <c r="CE32" i="57" s="1"/>
  <c r="CF32" i="57" s="1"/>
  <c r="CG32" i="57" s="1"/>
  <c r="AJ143" i="57"/>
  <c r="AK143" i="57" s="1"/>
  <c r="AL143" i="57" s="1"/>
  <c r="AM143" i="57" s="1"/>
  <c r="AN143" i="57" s="1"/>
  <c r="AO143" i="57" s="1"/>
  <c r="AP143" i="57" s="1"/>
  <c r="AQ143" i="57" s="1"/>
  <c r="BJ23" i="57"/>
  <c r="BK23" i="57" s="1"/>
  <c r="BL23" i="57" s="1"/>
  <c r="BM23" i="57" s="1"/>
  <c r="BN23" i="57" s="1"/>
  <c r="BO23" i="57" s="1"/>
  <c r="BP23" i="57" s="1"/>
  <c r="BQ23" i="57" s="1"/>
  <c r="BR23" i="57" s="1"/>
  <c r="BS23" i="57" s="1"/>
  <c r="BT23" i="57" s="1"/>
  <c r="BU23" i="57" s="1"/>
  <c r="BV23" i="57" s="1"/>
  <c r="BW23" i="57" s="1"/>
  <c r="BX23" i="57" s="1"/>
  <c r="BY23" i="57" s="1"/>
  <c r="BJ19" i="57"/>
  <c r="BK19" i="57" s="1"/>
  <c r="BL19" i="57" s="1"/>
  <c r="BM19" i="57" s="1"/>
  <c r="BN19" i="57" s="1"/>
  <c r="BO19" i="57" s="1"/>
  <c r="BP19" i="57" s="1"/>
  <c r="BQ19" i="57" s="1"/>
  <c r="BR19" i="57" s="1"/>
  <c r="BS19" i="57" s="1"/>
  <c r="BT19" i="57" s="1"/>
  <c r="BU19" i="57" s="1"/>
  <c r="BV19" i="57" s="1"/>
  <c r="BW19" i="57" s="1"/>
  <c r="BX19" i="57" s="1"/>
  <c r="BY19" i="57" s="1"/>
  <c r="BZ21" i="57"/>
  <c r="CA21" i="57" s="1"/>
  <c r="CB21" i="57" s="1"/>
  <c r="CC21" i="57" s="1"/>
  <c r="CD21" i="57" s="1"/>
  <c r="CE21" i="57" s="1"/>
  <c r="CF21" i="57" s="1"/>
  <c r="CG21" i="57" s="1"/>
  <c r="CH21" i="57" s="1"/>
  <c r="BZ16" i="57"/>
  <c r="CA16" i="57" s="1"/>
  <c r="CB16" i="57" s="1"/>
  <c r="CC16" i="57" s="1"/>
  <c r="CD16" i="57" s="1"/>
  <c r="CE16" i="57" s="1"/>
  <c r="CF16" i="57" s="1"/>
  <c r="CG16" i="57" s="1"/>
  <c r="BJ20" i="57"/>
  <c r="BK20" i="57" s="1"/>
  <c r="BL20" i="57" s="1"/>
  <c r="BM20" i="57" s="1"/>
  <c r="BN20" i="57" s="1"/>
  <c r="BO20" i="57" s="1"/>
  <c r="BP20" i="57" s="1"/>
  <c r="BQ20" i="57" s="1"/>
  <c r="BR17" i="57"/>
  <c r="BS17" i="57" s="1"/>
  <c r="BT17" i="57" s="1"/>
  <c r="BU17" i="57" s="1"/>
  <c r="BV17" i="57" s="1"/>
  <c r="BW17" i="57" s="1"/>
  <c r="BX17" i="57" s="1"/>
  <c r="BY17" i="57" s="1"/>
  <c r="BZ15" i="57"/>
  <c r="CA15" i="57" s="1"/>
  <c r="CB15" i="57" s="1"/>
  <c r="CC15" i="57" s="1"/>
  <c r="CD15" i="57" s="1"/>
  <c r="CE15" i="57" s="1"/>
  <c r="CF15" i="57" s="1"/>
  <c r="CG15" i="57" s="1"/>
  <c r="CH89" i="57"/>
  <c r="AJ128" i="57"/>
  <c r="AK128" i="57" s="1"/>
  <c r="AL128" i="57" s="1"/>
  <c r="AM128" i="57" s="1"/>
  <c r="AN128" i="57" s="1"/>
  <c r="AO128" i="57" s="1"/>
  <c r="AP128" i="57" s="1"/>
  <c r="AQ128" i="57" s="1"/>
  <c r="CH210" i="57"/>
  <c r="BZ237" i="57"/>
  <c r="CA237" i="57" s="1"/>
  <c r="CB237" i="57" s="1"/>
  <c r="CC237" i="57" s="1"/>
  <c r="CD237" i="57" s="1"/>
  <c r="CE237" i="57" s="1"/>
  <c r="CF237" i="57" s="1"/>
  <c r="CG237" i="57" s="1"/>
  <c r="BZ111" i="57"/>
  <c r="CA111" i="57" s="1"/>
  <c r="CB111" i="57" s="1"/>
  <c r="CC111" i="57" s="1"/>
  <c r="CD111" i="57" s="1"/>
  <c r="CE111" i="57" s="1"/>
  <c r="CF111" i="57" s="1"/>
  <c r="CG111" i="57" s="1"/>
  <c r="AJ49" i="57"/>
  <c r="AK49" i="57" s="1"/>
  <c r="AL49" i="57" s="1"/>
  <c r="AM49" i="57" s="1"/>
  <c r="AN49" i="57" s="1"/>
  <c r="AO49" i="57" s="1"/>
  <c r="AP49" i="57" s="1"/>
  <c r="AQ49" i="57" s="1"/>
  <c r="AJ105" i="57"/>
  <c r="AK105" i="57" s="1"/>
  <c r="AL105" i="57" s="1"/>
  <c r="AM105" i="57" s="1"/>
  <c r="AN105" i="57" s="1"/>
  <c r="AO105" i="57" s="1"/>
  <c r="AP105" i="57" s="1"/>
  <c r="AQ105" i="57" s="1"/>
  <c r="AR92" i="57"/>
  <c r="CH72" i="57"/>
  <c r="CH143" i="57"/>
  <c r="BZ190" i="57"/>
  <c r="CA190" i="57" s="1"/>
  <c r="CB190" i="57" s="1"/>
  <c r="CC190" i="57" s="1"/>
  <c r="CD190" i="57" s="1"/>
  <c r="CE190" i="57" s="1"/>
  <c r="CF190" i="57" s="1"/>
  <c r="CG190" i="57" s="1"/>
  <c r="AJ66" i="57"/>
  <c r="AK66" i="57" s="1"/>
  <c r="AL66" i="57" s="1"/>
  <c r="AM66" i="57" s="1"/>
  <c r="AN66" i="57" s="1"/>
  <c r="AO66" i="57" s="1"/>
  <c r="AP66" i="57" s="1"/>
  <c r="AQ66" i="57" s="1"/>
  <c r="AJ73" i="57"/>
  <c r="AK73" i="57" s="1"/>
  <c r="AL73" i="57" s="1"/>
  <c r="AM73" i="57" s="1"/>
  <c r="AN73" i="57" s="1"/>
  <c r="AO73" i="57" s="1"/>
  <c r="AP73" i="57" s="1"/>
  <c r="AQ73" i="57" s="1"/>
  <c r="AJ191" i="57"/>
  <c r="AK191" i="57" s="1"/>
  <c r="AL191" i="57" s="1"/>
  <c r="AM191" i="57" s="1"/>
  <c r="AN191" i="57" s="1"/>
  <c r="AO191" i="57" s="1"/>
  <c r="AP191" i="57" s="1"/>
  <c r="AQ191" i="57" s="1"/>
  <c r="AR237" i="57"/>
  <c r="CH187" i="57"/>
  <c r="BZ48" i="57"/>
  <c r="CA48" i="57" s="1"/>
  <c r="CB48" i="57" s="1"/>
  <c r="CC48" i="57" s="1"/>
  <c r="CD48" i="57" s="1"/>
  <c r="CE48" i="57" s="1"/>
  <c r="CF48" i="57" s="1"/>
  <c r="CG48" i="57" s="1"/>
  <c r="BZ126" i="57"/>
  <c r="CA126" i="57" s="1"/>
  <c r="CB126" i="57" s="1"/>
  <c r="CC126" i="57" s="1"/>
  <c r="CD126" i="57" s="1"/>
  <c r="CE126" i="57" s="1"/>
  <c r="CF126" i="57" s="1"/>
  <c r="CG126" i="57" s="1"/>
  <c r="AJ174" i="57"/>
  <c r="AK174" i="57" s="1"/>
  <c r="AL174" i="57" s="1"/>
  <c r="AM174" i="57" s="1"/>
  <c r="AN174" i="57" s="1"/>
  <c r="AO174" i="57" s="1"/>
  <c r="AP174" i="57" s="1"/>
  <c r="AQ174" i="57" s="1"/>
  <c r="AJ39" i="57"/>
  <c r="AK39" i="57" s="1"/>
  <c r="AL39" i="57" s="1"/>
  <c r="AM39" i="57" s="1"/>
  <c r="AN39" i="57" s="1"/>
  <c r="AO39" i="57" s="1"/>
  <c r="AP39" i="57" s="1"/>
  <c r="AQ39" i="57" s="1"/>
  <c r="AJ76" i="57"/>
  <c r="AK76" i="57" s="1"/>
  <c r="AL76" i="57" s="1"/>
  <c r="AM76" i="57" s="1"/>
  <c r="AN76" i="57" s="1"/>
  <c r="AO76" i="57" s="1"/>
  <c r="AP76" i="57" s="1"/>
  <c r="AQ76" i="57" s="1"/>
  <c r="AJ247" i="57"/>
  <c r="AK247" i="57" s="1"/>
  <c r="AL247" i="57" s="1"/>
  <c r="AM247" i="57" s="1"/>
  <c r="AN247" i="57" s="1"/>
  <c r="AO247" i="57" s="1"/>
  <c r="AP247" i="57" s="1"/>
  <c r="AQ247" i="57" s="1"/>
  <c r="AJ146" i="57"/>
  <c r="AK146" i="57" s="1"/>
  <c r="AL146" i="57" s="1"/>
  <c r="AM146" i="57" s="1"/>
  <c r="AN146" i="57" s="1"/>
  <c r="AO146" i="57" s="1"/>
  <c r="AP146" i="57" s="1"/>
  <c r="AQ146" i="57" s="1"/>
  <c r="AJ245" i="57"/>
  <c r="AK245" i="57" s="1"/>
  <c r="AL245" i="57" s="1"/>
  <c r="AM245" i="57" s="1"/>
  <c r="AN245" i="57" s="1"/>
  <c r="AO245" i="57" s="1"/>
  <c r="AP245" i="57" s="1"/>
  <c r="AQ245" i="57" s="1"/>
  <c r="AR54" i="57"/>
  <c r="AJ210" i="57"/>
  <c r="AK210" i="57" s="1"/>
  <c r="AL210" i="57" s="1"/>
  <c r="AM210" i="57" s="1"/>
  <c r="AN210" i="57" s="1"/>
  <c r="AO210" i="57" s="1"/>
  <c r="AP210" i="57" s="1"/>
  <c r="AQ210" i="57" s="1"/>
  <c r="CH217" i="57"/>
  <c r="AJ38" i="57"/>
  <c r="AK38" i="57" s="1"/>
  <c r="AL38" i="57" s="1"/>
  <c r="AM38" i="57" s="1"/>
  <c r="AN38" i="57" s="1"/>
  <c r="AO38" i="57" s="1"/>
  <c r="AP38" i="57" s="1"/>
  <c r="AQ38" i="57" s="1"/>
  <c r="AR142" i="57"/>
  <c r="CH202" i="57"/>
  <c r="BZ56" i="57"/>
  <c r="CA56" i="57" s="1"/>
  <c r="CB56" i="57" s="1"/>
  <c r="CC56" i="57" s="1"/>
  <c r="CD56" i="57" s="1"/>
  <c r="CE56" i="57" s="1"/>
  <c r="CF56" i="57" s="1"/>
  <c r="CG56" i="57" s="1"/>
  <c r="AJ111" i="57"/>
  <c r="AK111" i="57" s="1"/>
  <c r="AL111" i="57" s="1"/>
  <c r="AM111" i="57" s="1"/>
  <c r="AN111" i="57" s="1"/>
  <c r="AO111" i="57" s="1"/>
  <c r="AP111" i="57" s="1"/>
  <c r="AQ111" i="57" s="1"/>
  <c r="CH160" i="57"/>
  <c r="CH156" i="57"/>
  <c r="CH214" i="57"/>
  <c r="BZ191" i="57"/>
  <c r="CA191" i="57" s="1"/>
  <c r="CB191" i="57" s="1"/>
  <c r="CC191" i="57" s="1"/>
  <c r="CD191" i="57" s="1"/>
  <c r="CE191" i="57" s="1"/>
  <c r="CF191" i="57" s="1"/>
  <c r="CG191" i="57" s="1"/>
  <c r="AJ6" i="57"/>
  <c r="AK6" i="57" s="1"/>
  <c r="AL6" i="57" s="1"/>
  <c r="AM6" i="57" s="1"/>
  <c r="AN6" i="57" s="1"/>
  <c r="AO6" i="57" s="1"/>
  <c r="AP6" i="57" s="1"/>
  <c r="AQ6" i="57" s="1"/>
  <c r="AJ8" i="57"/>
  <c r="AK8" i="57" s="1"/>
  <c r="AL8" i="57" s="1"/>
  <c r="AM8" i="57" s="1"/>
  <c r="AN8" i="57" s="1"/>
  <c r="AO8" i="57" s="1"/>
  <c r="AP8" i="57" s="1"/>
  <c r="AQ8" i="57" s="1"/>
  <c r="BZ80" i="57"/>
  <c r="CA80" i="57" s="1"/>
  <c r="CB80" i="57" s="1"/>
  <c r="CC80" i="57" s="1"/>
  <c r="CD80" i="57" s="1"/>
  <c r="CE80" i="57" s="1"/>
  <c r="CF80" i="57" s="1"/>
  <c r="CG80" i="57" s="1"/>
  <c r="AR218" i="57"/>
  <c r="AJ185" i="57"/>
  <c r="AK185" i="57" s="1"/>
  <c r="AL185" i="57" s="1"/>
  <c r="AM185" i="57" s="1"/>
  <c r="AN185" i="57" s="1"/>
  <c r="AO185" i="57" s="1"/>
  <c r="AP185" i="57" s="1"/>
  <c r="AQ185" i="57" s="1"/>
  <c r="BZ79" i="57"/>
  <c r="CA79" i="57" s="1"/>
  <c r="CB79" i="57" s="1"/>
  <c r="CC79" i="57" s="1"/>
  <c r="CD79" i="57" s="1"/>
  <c r="CE79" i="57" s="1"/>
  <c r="CF79" i="57" s="1"/>
  <c r="CG79" i="57" s="1"/>
  <c r="CH220" i="57"/>
  <c r="AJ27" i="57"/>
  <c r="AK27" i="57" s="1"/>
  <c r="AL27" i="57" s="1"/>
  <c r="AM27" i="57" s="1"/>
  <c r="AN27" i="57" s="1"/>
  <c r="AO27" i="57" s="1"/>
  <c r="AP27" i="57" s="1"/>
  <c r="AQ27" i="57" s="1"/>
  <c r="CH178" i="57"/>
  <c r="AJ179" i="57"/>
  <c r="AK179" i="57" s="1"/>
  <c r="AL179" i="57" s="1"/>
  <c r="AM179" i="57" s="1"/>
  <c r="AN179" i="57" s="1"/>
  <c r="AO179" i="57" s="1"/>
  <c r="AP179" i="57" s="1"/>
  <c r="AQ179" i="57" s="1"/>
  <c r="AJ206" i="57"/>
  <c r="AK206" i="57" s="1"/>
  <c r="AL206" i="57" s="1"/>
  <c r="AM206" i="57" s="1"/>
  <c r="AN206" i="57" s="1"/>
  <c r="AO206" i="57" s="1"/>
  <c r="AP206" i="57" s="1"/>
  <c r="AQ206" i="57" s="1"/>
  <c r="BZ49" i="57"/>
  <c r="CA49" i="57" s="1"/>
  <c r="CB49" i="57" s="1"/>
  <c r="CC49" i="57" s="1"/>
  <c r="CD49" i="57" s="1"/>
  <c r="CE49" i="57" s="1"/>
  <c r="CF49" i="57" s="1"/>
  <c r="CG49" i="57" s="1"/>
  <c r="AJ147" i="57"/>
  <c r="AK147" i="57" s="1"/>
  <c r="AL147" i="57" s="1"/>
  <c r="AM147" i="57" s="1"/>
  <c r="AN147" i="57" s="1"/>
  <c r="AO147" i="57" s="1"/>
  <c r="AP147" i="57" s="1"/>
  <c r="AQ147" i="57" s="1"/>
  <c r="AJ23" i="57"/>
  <c r="AK23" i="57" s="1"/>
  <c r="AL23" i="57" s="1"/>
  <c r="AM23" i="57" s="1"/>
  <c r="AN23" i="57" s="1"/>
  <c r="AO23" i="57" s="1"/>
  <c r="AP23" i="57" s="1"/>
  <c r="AQ23" i="57" s="1"/>
  <c r="BZ221" i="57"/>
  <c r="CA221" i="57" s="1"/>
  <c r="CB221" i="57" s="1"/>
  <c r="CC221" i="57" s="1"/>
  <c r="CD221" i="57" s="1"/>
  <c r="CE221" i="57" s="1"/>
  <c r="CF221" i="57" s="1"/>
  <c r="CG221" i="57" s="1"/>
  <c r="BZ147" i="57"/>
  <c r="CA147" i="57" s="1"/>
  <c r="CB147" i="57" s="1"/>
  <c r="CC147" i="57" s="1"/>
  <c r="CD147" i="57" s="1"/>
  <c r="CE147" i="57" s="1"/>
  <c r="CF147" i="57" s="1"/>
  <c r="CG147" i="57" s="1"/>
  <c r="CH147" i="57" s="1"/>
  <c r="CH117" i="57"/>
  <c r="AJ58" i="57"/>
  <c r="AK58" i="57" s="1"/>
  <c r="AL58" i="57" s="1"/>
  <c r="AM58" i="57" s="1"/>
  <c r="AN58" i="57" s="1"/>
  <c r="AO58" i="57" s="1"/>
  <c r="AP58" i="57" s="1"/>
  <c r="AQ58" i="57" s="1"/>
  <c r="AJ183" i="57"/>
  <c r="AK183" i="57" s="1"/>
  <c r="AL183" i="57" s="1"/>
  <c r="AM183" i="57" s="1"/>
  <c r="AN183" i="57" s="1"/>
  <c r="AO183" i="57" s="1"/>
  <c r="AP183" i="57" s="1"/>
  <c r="AQ183" i="57" s="1"/>
  <c r="CH110" i="57"/>
  <c r="AR226" i="57"/>
  <c r="AJ246" i="57"/>
  <c r="AK246" i="57" s="1"/>
  <c r="AL246" i="57" s="1"/>
  <c r="AM246" i="57" s="1"/>
  <c r="AN246" i="57" s="1"/>
  <c r="AO246" i="57" s="1"/>
  <c r="AP246" i="57" s="1"/>
  <c r="AQ246" i="57" s="1"/>
  <c r="AR115" i="57"/>
  <c r="CH164" i="57"/>
  <c r="AJ80" i="57"/>
  <c r="AK80" i="57" s="1"/>
  <c r="AL80" i="57" s="1"/>
  <c r="AM80" i="57" s="1"/>
  <c r="AN80" i="57" s="1"/>
  <c r="AO80" i="57" s="1"/>
  <c r="AP80" i="57" s="1"/>
  <c r="AQ80" i="57" s="1"/>
  <c r="CH192" i="57"/>
  <c r="CH215" i="57"/>
  <c r="CH94" i="57"/>
  <c r="AR95" i="57"/>
  <c r="CH253" i="57"/>
  <c r="CH158" i="57"/>
  <c r="AJ199" i="57"/>
  <c r="AK199" i="57" s="1"/>
  <c r="AL199" i="57" s="1"/>
  <c r="AM199" i="57" s="1"/>
  <c r="AN199" i="57" s="1"/>
  <c r="AO199" i="57" s="1"/>
  <c r="AP199" i="57" s="1"/>
  <c r="AQ199" i="57" s="1"/>
  <c r="CH231" i="57"/>
  <c r="CH148" i="57"/>
  <c r="BZ155" i="57"/>
  <c r="CA155" i="57" s="1"/>
  <c r="CB155" i="57" s="1"/>
  <c r="CC155" i="57" s="1"/>
  <c r="CD155" i="57" s="1"/>
  <c r="CE155" i="57" s="1"/>
  <c r="CF155" i="57" s="1"/>
  <c r="CG155" i="57" s="1"/>
  <c r="BZ92" i="57"/>
  <c r="CA92" i="57" s="1"/>
  <c r="CB92" i="57" s="1"/>
  <c r="CC92" i="57" s="1"/>
  <c r="CD92" i="57" s="1"/>
  <c r="CE92" i="57" s="1"/>
  <c r="CF92" i="57" s="1"/>
  <c r="CG92" i="57" s="1"/>
  <c r="AJ67" i="57"/>
  <c r="AK67" i="57" s="1"/>
  <c r="AL67" i="57" s="1"/>
  <c r="AM67" i="57" s="1"/>
  <c r="AN67" i="57" s="1"/>
  <c r="AO67" i="57" s="1"/>
  <c r="AP67" i="57" s="1"/>
  <c r="AQ67" i="57" s="1"/>
  <c r="BZ65" i="57"/>
  <c r="CA65" i="57" s="1"/>
  <c r="CB65" i="57" s="1"/>
  <c r="CC65" i="57" s="1"/>
  <c r="CD65" i="57" s="1"/>
  <c r="CE65" i="57" s="1"/>
  <c r="CF65" i="57" s="1"/>
  <c r="CG65" i="57" s="1"/>
  <c r="AJ14" i="57"/>
  <c r="AK14" i="57" s="1"/>
  <c r="AL14" i="57" s="1"/>
  <c r="AM14" i="57" s="1"/>
  <c r="AN14" i="57" s="1"/>
  <c r="AO14" i="57" s="1"/>
  <c r="AP14" i="57" s="1"/>
  <c r="AQ14" i="57" s="1"/>
  <c r="BZ189" i="57"/>
  <c r="CA189" i="57" s="1"/>
  <c r="CB189" i="57" s="1"/>
  <c r="CC189" i="57" s="1"/>
  <c r="CD189" i="57" s="1"/>
  <c r="CE189" i="57" s="1"/>
  <c r="CF189" i="57" s="1"/>
  <c r="CG189" i="57" s="1"/>
  <c r="BZ204" i="57"/>
  <c r="CA204" i="57" s="1"/>
  <c r="CB204" i="57" s="1"/>
  <c r="CC204" i="57" s="1"/>
  <c r="CD204" i="57" s="1"/>
  <c r="CE204" i="57" s="1"/>
  <c r="CF204" i="57" s="1"/>
  <c r="CG204" i="57" s="1"/>
  <c r="AJ192" i="57"/>
  <c r="AK192" i="57" s="1"/>
  <c r="AL192" i="57" s="1"/>
  <c r="AM192" i="57" s="1"/>
  <c r="AN192" i="57" s="1"/>
  <c r="AO192" i="57" s="1"/>
  <c r="AP192" i="57" s="1"/>
  <c r="AQ192" i="57" s="1"/>
  <c r="BZ50" i="57"/>
  <c r="CA50" i="57" s="1"/>
  <c r="CB50" i="57" s="1"/>
  <c r="CC50" i="57" s="1"/>
  <c r="CD50" i="57" s="1"/>
  <c r="CE50" i="57" s="1"/>
  <c r="CF50" i="57" s="1"/>
  <c r="CG50" i="57" s="1"/>
  <c r="AJ77" i="57"/>
  <c r="AK77" i="57" s="1"/>
  <c r="AL77" i="57" s="1"/>
  <c r="AM77" i="57" s="1"/>
  <c r="AN77" i="57" s="1"/>
  <c r="AO77" i="57" s="1"/>
  <c r="AP77" i="57" s="1"/>
  <c r="AQ77" i="57" s="1"/>
  <c r="AJ140" i="57"/>
  <c r="AK140" i="57" s="1"/>
  <c r="AL140" i="57" s="1"/>
  <c r="AM140" i="57" s="1"/>
  <c r="AN140" i="57" s="1"/>
  <c r="AO140" i="57" s="1"/>
  <c r="AP140" i="57" s="1"/>
  <c r="AQ140" i="57" s="1"/>
  <c r="CH133" i="57"/>
  <c r="AJ5" i="57"/>
  <c r="AK5" i="57" s="1"/>
  <c r="AL5" i="57" s="1"/>
  <c r="AM5" i="57" s="1"/>
  <c r="AN5" i="57" s="1"/>
  <c r="AO5" i="57" s="1"/>
  <c r="AP5" i="57" s="1"/>
  <c r="AQ5" i="57" s="1"/>
  <c r="AR251" i="57"/>
  <c r="CH125" i="57"/>
  <c r="CH203" i="57"/>
  <c r="AJ187" i="57"/>
  <c r="AK187" i="57" s="1"/>
  <c r="AL187" i="57" s="1"/>
  <c r="AM187" i="57" s="1"/>
  <c r="AN187" i="57" s="1"/>
  <c r="AO187" i="57" s="1"/>
  <c r="AP187" i="57" s="1"/>
  <c r="AQ187" i="57" s="1"/>
  <c r="AJ85" i="57"/>
  <c r="AK85" i="57" s="1"/>
  <c r="AL85" i="57" s="1"/>
  <c r="AM85" i="57" s="1"/>
  <c r="AN85" i="57" s="1"/>
  <c r="AO85" i="57" s="1"/>
  <c r="AP85" i="57" s="1"/>
  <c r="AQ85" i="57" s="1"/>
  <c r="AJ75" i="57"/>
  <c r="AK75" i="57" s="1"/>
  <c r="AL75" i="57" s="1"/>
  <c r="AM75" i="57" s="1"/>
  <c r="AN75" i="57" s="1"/>
  <c r="AO75" i="57" s="1"/>
  <c r="AP75" i="57" s="1"/>
  <c r="AQ75" i="57" s="1"/>
  <c r="CH212" i="57"/>
  <c r="AJ110" i="57"/>
  <c r="AK110" i="57" s="1"/>
  <c r="AL110" i="57" s="1"/>
  <c r="AM110" i="57" s="1"/>
  <c r="AN110" i="57" s="1"/>
  <c r="AO110" i="57" s="1"/>
  <c r="AP110" i="57" s="1"/>
  <c r="AQ110" i="57" s="1"/>
  <c r="AJ160" i="57"/>
  <c r="AK160" i="57" s="1"/>
  <c r="AL160" i="57" s="1"/>
  <c r="AM160" i="57" s="1"/>
  <c r="AN160" i="57" s="1"/>
  <c r="AO160" i="57" s="1"/>
  <c r="AP160" i="57" s="1"/>
  <c r="AQ160" i="57" s="1"/>
  <c r="AJ221" i="57"/>
  <c r="AK221" i="57" s="1"/>
  <c r="AL221" i="57" s="1"/>
  <c r="AM221" i="57" s="1"/>
  <c r="AN221" i="57" s="1"/>
  <c r="AO221" i="57" s="1"/>
  <c r="AP221" i="57" s="1"/>
  <c r="AQ221" i="57" s="1"/>
  <c r="CH206" i="57"/>
  <c r="AJ30" i="57"/>
  <c r="AK30" i="57" s="1"/>
  <c r="AL30" i="57" s="1"/>
  <c r="AM30" i="57" s="1"/>
  <c r="AN30" i="57" s="1"/>
  <c r="AO30" i="57" s="1"/>
  <c r="AP30" i="57" s="1"/>
  <c r="AQ30" i="57" s="1"/>
  <c r="CH249" i="57"/>
  <c r="BZ162" i="57"/>
  <c r="CA162" i="57" s="1"/>
  <c r="CB162" i="57" s="1"/>
  <c r="CC162" i="57" s="1"/>
  <c r="CD162" i="57" s="1"/>
  <c r="CE162" i="57" s="1"/>
  <c r="CF162" i="57" s="1"/>
  <c r="CG162" i="57" s="1"/>
  <c r="CH52" i="57"/>
  <c r="AJ47" i="57"/>
  <c r="AK47" i="57" s="1"/>
  <c r="AL47" i="57" s="1"/>
  <c r="AM47" i="57" s="1"/>
  <c r="AN47" i="57" s="1"/>
  <c r="AO47" i="57" s="1"/>
  <c r="AP47" i="57" s="1"/>
  <c r="AQ47" i="57" s="1"/>
  <c r="BZ101" i="57"/>
  <c r="CA101" i="57" s="1"/>
  <c r="CB101" i="57" s="1"/>
  <c r="CC101" i="57" s="1"/>
  <c r="CD101" i="57" s="1"/>
  <c r="CE101" i="57" s="1"/>
  <c r="CF101" i="57" s="1"/>
  <c r="CG101" i="57" s="1"/>
  <c r="BZ175" i="57"/>
  <c r="CA175" i="57" s="1"/>
  <c r="CB175" i="57" s="1"/>
  <c r="CC175" i="57" s="1"/>
  <c r="CD175" i="57" s="1"/>
  <c r="CE175" i="57" s="1"/>
  <c r="CF175" i="57" s="1"/>
  <c r="CG175" i="57" s="1"/>
  <c r="CH175" i="57" s="1"/>
  <c r="CH226" i="57"/>
  <c r="AR158" i="57"/>
  <c r="AJ197" i="57"/>
  <c r="AK197" i="57" s="1"/>
  <c r="AL197" i="57" s="1"/>
  <c r="AM197" i="57" s="1"/>
  <c r="AN197" i="57" s="1"/>
  <c r="AO197" i="57" s="1"/>
  <c r="AP197" i="57" s="1"/>
  <c r="AQ197" i="57" s="1"/>
  <c r="AR243" i="57"/>
  <c r="BZ169" i="57"/>
  <c r="CA169" i="57" s="1"/>
  <c r="CB169" i="57" s="1"/>
  <c r="CC169" i="57" s="1"/>
  <c r="CD169" i="57" s="1"/>
  <c r="CE169" i="57" s="1"/>
  <c r="CF169" i="57" s="1"/>
  <c r="CG169" i="57" s="1"/>
  <c r="AR204" i="57"/>
  <c r="AJ84" i="57"/>
  <c r="AK84" i="57" s="1"/>
  <c r="AL84" i="57" s="1"/>
  <c r="AM84" i="57" s="1"/>
  <c r="AN84" i="57" s="1"/>
  <c r="AO84" i="57" s="1"/>
  <c r="AP84" i="57" s="1"/>
  <c r="AQ84" i="57" s="1"/>
  <c r="BZ194" i="57"/>
  <c r="CA194" i="57" s="1"/>
  <c r="CB194" i="57" s="1"/>
  <c r="CC194" i="57" s="1"/>
  <c r="CD194" i="57" s="1"/>
  <c r="CE194" i="57" s="1"/>
  <c r="CF194" i="57" s="1"/>
  <c r="CG194" i="57" s="1"/>
  <c r="CH120" i="57"/>
  <c r="CH218" i="57"/>
  <c r="CH208" i="57"/>
  <c r="BZ31" i="57"/>
  <c r="CA31" i="57" s="1"/>
  <c r="CB31" i="57" s="1"/>
  <c r="CC31" i="57" s="1"/>
  <c r="CD31" i="57" s="1"/>
  <c r="CE31" i="57" s="1"/>
  <c r="CF31" i="57" s="1"/>
  <c r="CG31" i="57" s="1"/>
  <c r="AJ123" i="57"/>
  <c r="AK123" i="57" s="1"/>
  <c r="AL123" i="57" s="1"/>
  <c r="AM123" i="57" s="1"/>
  <c r="AN123" i="57" s="1"/>
  <c r="AO123" i="57" s="1"/>
  <c r="AP123" i="57" s="1"/>
  <c r="AQ123" i="57" s="1"/>
  <c r="BZ40" i="57"/>
  <c r="CA40" i="57" s="1"/>
  <c r="CB40" i="57" s="1"/>
  <c r="CC40" i="57" s="1"/>
  <c r="CD40" i="57" s="1"/>
  <c r="CE40" i="57" s="1"/>
  <c r="CF40" i="57" s="1"/>
  <c r="CG40" i="57" s="1"/>
  <c r="AR220" i="57"/>
  <c r="CH246" i="57"/>
  <c r="AJ181" i="57"/>
  <c r="AK181" i="57" s="1"/>
  <c r="AL181" i="57" s="1"/>
  <c r="AM181" i="57" s="1"/>
  <c r="AN181" i="57" s="1"/>
  <c r="AO181" i="57" s="1"/>
  <c r="AP181" i="57" s="1"/>
  <c r="AQ181" i="57" s="1"/>
  <c r="AJ175" i="57"/>
  <c r="AK175" i="57" s="1"/>
  <c r="AL175" i="57" s="1"/>
  <c r="AM175" i="57" s="1"/>
  <c r="AN175" i="57" s="1"/>
  <c r="AO175" i="57" s="1"/>
  <c r="AP175" i="57" s="1"/>
  <c r="AQ175" i="57" s="1"/>
  <c r="AR37" i="57"/>
  <c r="AJ186" i="57"/>
  <c r="AK186" i="57" s="1"/>
  <c r="AL186" i="57" s="1"/>
  <c r="AM186" i="57" s="1"/>
  <c r="AN186" i="57" s="1"/>
  <c r="AO186" i="57" s="1"/>
  <c r="AP186" i="57" s="1"/>
  <c r="AQ186" i="57" s="1"/>
  <c r="BZ232" i="57"/>
  <c r="CA232" i="57" s="1"/>
  <c r="CB232" i="57" s="1"/>
  <c r="CC232" i="57" s="1"/>
  <c r="CD232" i="57" s="1"/>
  <c r="CE232" i="57" s="1"/>
  <c r="CF232" i="57" s="1"/>
  <c r="CG232" i="57" s="1"/>
  <c r="AJ170" i="57"/>
  <c r="AK170" i="57" s="1"/>
  <c r="AL170" i="57" s="1"/>
  <c r="AM170" i="57" s="1"/>
  <c r="AN170" i="57" s="1"/>
  <c r="AO170" i="57" s="1"/>
  <c r="AP170" i="57" s="1"/>
  <c r="AQ170" i="57" s="1"/>
  <c r="BZ96" i="57"/>
  <c r="CA96" i="57" s="1"/>
  <c r="CB96" i="57" s="1"/>
  <c r="CC96" i="57" s="1"/>
  <c r="CD96" i="57" s="1"/>
  <c r="CE96" i="57" s="1"/>
  <c r="CF96" i="57" s="1"/>
  <c r="CG96" i="57" s="1"/>
  <c r="AJ19" i="57"/>
  <c r="AK19" i="57" s="1"/>
  <c r="AL19" i="57" s="1"/>
  <c r="AM19" i="57" s="1"/>
  <c r="AN19" i="57" s="1"/>
  <c r="AO19" i="57" s="1"/>
  <c r="AP19" i="57" s="1"/>
  <c r="AQ19" i="57" s="1"/>
  <c r="CH252" i="57"/>
  <c r="BZ180" i="57"/>
  <c r="CA180" i="57" s="1"/>
  <c r="CB180" i="57" s="1"/>
  <c r="CC180" i="57" s="1"/>
  <c r="CD180" i="57" s="1"/>
  <c r="CE180" i="57" s="1"/>
  <c r="CF180" i="57" s="1"/>
  <c r="CG180" i="57" s="1"/>
  <c r="AJ171" i="57"/>
  <c r="AK171" i="57" s="1"/>
  <c r="AL171" i="57" s="1"/>
  <c r="AM171" i="57" s="1"/>
  <c r="AN171" i="57" s="1"/>
  <c r="AO171" i="57" s="1"/>
  <c r="AP171" i="57" s="1"/>
  <c r="AQ171" i="57" s="1"/>
  <c r="BZ85" i="57"/>
  <c r="CA85" i="57" s="1"/>
  <c r="CB85" i="57" s="1"/>
  <c r="CC85" i="57" s="1"/>
  <c r="CD85" i="57" s="1"/>
  <c r="CE85" i="57" s="1"/>
  <c r="CF85" i="57" s="1"/>
  <c r="CG85" i="57" s="1"/>
  <c r="CH77" i="57"/>
  <c r="CH244" i="57"/>
  <c r="AJ234" i="57"/>
  <c r="AK234" i="57" s="1"/>
  <c r="AL234" i="57" s="1"/>
  <c r="AM234" i="57" s="1"/>
  <c r="AN234" i="57" s="1"/>
  <c r="AO234" i="57" s="1"/>
  <c r="AP234" i="57" s="1"/>
  <c r="AQ234" i="57" s="1"/>
  <c r="CH121" i="57"/>
  <c r="AR134" i="57"/>
  <c r="CH157" i="57"/>
  <c r="AR119" i="57"/>
  <c r="AJ224" i="57"/>
  <c r="AK224" i="57" s="1"/>
  <c r="AL224" i="57" s="1"/>
  <c r="AM224" i="57" s="1"/>
  <c r="AN224" i="57" s="1"/>
  <c r="AO224" i="57" s="1"/>
  <c r="AP224" i="57" s="1"/>
  <c r="AQ224" i="57" s="1"/>
  <c r="AJ242" i="57"/>
  <c r="AK242" i="57" s="1"/>
  <c r="AL242" i="57" s="1"/>
  <c r="AM242" i="57" s="1"/>
  <c r="AN242" i="57" s="1"/>
  <c r="AO242" i="57" s="1"/>
  <c r="AP242" i="57" s="1"/>
  <c r="AQ242" i="57" s="1"/>
  <c r="BZ78" i="57"/>
  <c r="CA78" i="57" s="1"/>
  <c r="CB78" i="57" s="1"/>
  <c r="CC78" i="57" s="1"/>
  <c r="CD78" i="57" s="1"/>
  <c r="CE78" i="57" s="1"/>
  <c r="CF78" i="57" s="1"/>
  <c r="CG78" i="57" s="1"/>
  <c r="BZ213" i="57"/>
  <c r="CA213" i="57" s="1"/>
  <c r="CB213" i="57" s="1"/>
  <c r="CC213" i="57" s="1"/>
  <c r="CD213" i="57" s="1"/>
  <c r="CE213" i="57" s="1"/>
  <c r="CF213" i="57" s="1"/>
  <c r="CG213" i="57" s="1"/>
  <c r="CH37" i="57"/>
  <c r="AJ90" i="57"/>
  <c r="AK90" i="57" s="1"/>
  <c r="AL90" i="57" s="1"/>
  <c r="AM90" i="57" s="1"/>
  <c r="AN90" i="57" s="1"/>
  <c r="AO90" i="57" s="1"/>
  <c r="AP90" i="57" s="1"/>
  <c r="AQ90" i="57" s="1"/>
  <c r="BZ233" i="57"/>
  <c r="CA233" i="57" s="1"/>
  <c r="CB233" i="57" s="1"/>
  <c r="CC233" i="57" s="1"/>
  <c r="CD233" i="57" s="1"/>
  <c r="CE233" i="57" s="1"/>
  <c r="CF233" i="57" s="1"/>
  <c r="CG233" i="57" s="1"/>
  <c r="AJ69" i="57"/>
  <c r="AK69" i="57" s="1"/>
  <c r="AL69" i="57" s="1"/>
  <c r="AM69" i="57" s="1"/>
  <c r="AN69" i="57" s="1"/>
  <c r="AO69" i="57" s="1"/>
  <c r="AP69" i="57" s="1"/>
  <c r="AQ69" i="57" s="1"/>
  <c r="AJ32" i="57"/>
  <c r="AK32" i="57" s="1"/>
  <c r="AL32" i="57" s="1"/>
  <c r="AM32" i="57" s="1"/>
  <c r="AN32" i="57" s="1"/>
  <c r="AO32" i="57" s="1"/>
  <c r="AP32" i="57" s="1"/>
  <c r="AQ32" i="57" s="1"/>
  <c r="AR178" i="57"/>
  <c r="AR108" i="57"/>
  <c r="AJ163" i="57"/>
  <c r="AK163" i="57" s="1"/>
  <c r="AL163" i="57" s="1"/>
  <c r="AM163" i="57" s="1"/>
  <c r="AN163" i="57" s="1"/>
  <c r="AO163" i="57" s="1"/>
  <c r="AP163" i="57" s="1"/>
  <c r="AQ163" i="57" s="1"/>
  <c r="AJ195" i="57"/>
  <c r="AK195" i="57" s="1"/>
  <c r="AL195" i="57" s="1"/>
  <c r="AM195" i="57" s="1"/>
  <c r="AN195" i="57" s="1"/>
  <c r="AO195" i="57" s="1"/>
  <c r="AP195" i="57" s="1"/>
  <c r="AQ195" i="57" s="1"/>
  <c r="CH245" i="57"/>
  <c r="AR149" i="57"/>
  <c r="BZ153" i="57"/>
  <c r="CA153" i="57" s="1"/>
  <c r="CB153" i="57" s="1"/>
  <c r="CC153" i="57" s="1"/>
  <c r="CD153" i="57" s="1"/>
  <c r="CE153" i="57" s="1"/>
  <c r="CF153" i="57" s="1"/>
  <c r="CG153" i="57" s="1"/>
  <c r="BZ195" i="57"/>
  <c r="CA195" i="57" s="1"/>
  <c r="CB195" i="57" s="1"/>
  <c r="CC195" i="57" s="1"/>
  <c r="CD195" i="57" s="1"/>
  <c r="CE195" i="57" s="1"/>
  <c r="CF195" i="57" s="1"/>
  <c r="CG195" i="57" s="1"/>
  <c r="AJ165" i="57"/>
  <c r="AK165" i="57" s="1"/>
  <c r="AL165" i="57" s="1"/>
  <c r="AM165" i="57" s="1"/>
  <c r="AN165" i="57" s="1"/>
  <c r="AO165" i="57" s="1"/>
  <c r="AP165" i="57" s="1"/>
  <c r="AQ165" i="57" s="1"/>
  <c r="AJ157" i="57"/>
  <c r="AK157" i="57" s="1"/>
  <c r="AL157" i="57" s="1"/>
  <c r="AM157" i="57" s="1"/>
  <c r="AN157" i="57" s="1"/>
  <c r="AO157" i="57" s="1"/>
  <c r="AP157" i="57" s="1"/>
  <c r="AQ157" i="57" s="1"/>
  <c r="AJ217" i="57"/>
  <c r="AK217" i="57" s="1"/>
  <c r="AL217" i="57" s="1"/>
  <c r="AM217" i="57" s="1"/>
  <c r="AN217" i="57" s="1"/>
  <c r="AO217" i="57" s="1"/>
  <c r="AP217" i="57" s="1"/>
  <c r="AQ217" i="57" s="1"/>
  <c r="AJ184" i="57"/>
  <c r="AK184" i="57" s="1"/>
  <c r="AL184" i="57" s="1"/>
  <c r="AM184" i="57" s="1"/>
  <c r="AN184" i="57" s="1"/>
  <c r="AO184" i="57" s="1"/>
  <c r="AP184" i="57" s="1"/>
  <c r="AQ184" i="57" s="1"/>
  <c r="CH34" i="57"/>
  <c r="BZ177" i="57"/>
  <c r="CA177" i="57" s="1"/>
  <c r="CB177" i="57" s="1"/>
  <c r="CC177" i="57" s="1"/>
  <c r="CD177" i="57" s="1"/>
  <c r="CE177" i="57" s="1"/>
  <c r="CF177" i="57" s="1"/>
  <c r="CG177" i="57" s="1"/>
  <c r="AJ62" i="57"/>
  <c r="AK62" i="57" s="1"/>
  <c r="AL62" i="57" s="1"/>
  <c r="AM62" i="57" s="1"/>
  <c r="AN62" i="57" s="1"/>
  <c r="AO62" i="57" s="1"/>
  <c r="AP62" i="57" s="1"/>
  <c r="AQ62" i="57" s="1"/>
  <c r="AJ249" i="57"/>
  <c r="AK249" i="57" s="1"/>
  <c r="AL249" i="57" s="1"/>
  <c r="AM249" i="57" s="1"/>
  <c r="AN249" i="57" s="1"/>
  <c r="AO249" i="57" s="1"/>
  <c r="AP249" i="57" s="1"/>
  <c r="AQ249" i="57" s="1"/>
  <c r="BZ105" i="57"/>
  <c r="CA105" i="57" s="1"/>
  <c r="CB105" i="57" s="1"/>
  <c r="CC105" i="57" s="1"/>
  <c r="CD105" i="57" s="1"/>
  <c r="CE105" i="57" s="1"/>
  <c r="CF105" i="57" s="1"/>
  <c r="CG105" i="57" s="1"/>
  <c r="AR65" i="57"/>
  <c r="AJ145" i="57"/>
  <c r="AK145" i="57" s="1"/>
  <c r="AL145" i="57" s="1"/>
  <c r="AM145" i="57" s="1"/>
  <c r="AN145" i="57" s="1"/>
  <c r="AO145" i="57" s="1"/>
  <c r="AP145" i="57" s="1"/>
  <c r="AQ145" i="57" s="1"/>
  <c r="AJ229" i="57"/>
  <c r="AK229" i="57" s="1"/>
  <c r="AL229" i="57" s="1"/>
  <c r="AM229" i="57" s="1"/>
  <c r="AN229" i="57" s="1"/>
  <c r="AO229" i="57" s="1"/>
  <c r="AP229" i="57" s="1"/>
  <c r="AQ229" i="57" s="1"/>
  <c r="AJ180" i="57"/>
  <c r="AK180" i="57" s="1"/>
  <c r="AL180" i="57" s="1"/>
  <c r="AM180" i="57" s="1"/>
  <c r="AN180" i="57" s="1"/>
  <c r="AO180" i="57" s="1"/>
  <c r="AP180" i="57" s="1"/>
  <c r="AQ180" i="57" s="1"/>
  <c r="AJ212" i="57"/>
  <c r="AK212" i="57" s="1"/>
  <c r="AL212" i="57" s="1"/>
  <c r="AM212" i="57" s="1"/>
  <c r="AN212" i="57" s="1"/>
  <c r="AO212" i="57" s="1"/>
  <c r="AP212" i="57" s="1"/>
  <c r="AQ212" i="57" s="1"/>
  <c r="AJ239" i="57"/>
  <c r="AK239" i="57" s="1"/>
  <c r="AL239" i="57" s="1"/>
  <c r="AM239" i="57" s="1"/>
  <c r="AN239" i="57" s="1"/>
  <c r="AO239" i="57" s="1"/>
  <c r="AP239" i="57" s="1"/>
  <c r="AQ239" i="57" s="1"/>
  <c r="CH112" i="57"/>
  <c r="AJ64" i="57"/>
  <c r="AK64" i="57" s="1"/>
  <c r="AL64" i="57" s="1"/>
  <c r="AM64" i="57" s="1"/>
  <c r="AN64" i="57" s="1"/>
  <c r="AO64" i="57" s="1"/>
  <c r="AP64" i="57" s="1"/>
  <c r="AQ64" i="57" s="1"/>
  <c r="AJ131" i="57"/>
  <c r="AJ244" i="57"/>
  <c r="AK244" i="57" s="1"/>
  <c r="AL244" i="57" s="1"/>
  <c r="AM244" i="57" s="1"/>
  <c r="AN244" i="57" s="1"/>
  <c r="AO244" i="57" s="1"/>
  <c r="AP244" i="57" s="1"/>
  <c r="AQ244" i="57" s="1"/>
  <c r="AJ219" i="57"/>
  <c r="AK219" i="57" s="1"/>
  <c r="AL219" i="57" s="1"/>
  <c r="AM219" i="57" s="1"/>
  <c r="AN219" i="57" s="1"/>
  <c r="AO219" i="57" s="1"/>
  <c r="AP219" i="57" s="1"/>
  <c r="AQ219" i="57" s="1"/>
  <c r="AJ214" i="57"/>
  <c r="AK214" i="57" s="1"/>
  <c r="AL214" i="57" s="1"/>
  <c r="AM214" i="57" s="1"/>
  <c r="AN214" i="57" s="1"/>
  <c r="AO214" i="57" s="1"/>
  <c r="AP214" i="57" s="1"/>
  <c r="AQ214" i="57" s="1"/>
  <c r="AR169" i="57"/>
  <c r="BZ151" i="57"/>
  <c r="AK99" i="57"/>
  <c r="AL99" i="57" s="1"/>
  <c r="AM99" i="57" s="1"/>
  <c r="AN99" i="57" s="1"/>
  <c r="AO99" i="57" s="1"/>
  <c r="AP99" i="57" s="1"/>
  <c r="AQ99" i="57" s="1"/>
  <c r="BZ68" i="57"/>
  <c r="CA68" i="57" s="1"/>
  <c r="CB68" i="57" s="1"/>
  <c r="CC68" i="57" s="1"/>
  <c r="CD68" i="57" s="1"/>
  <c r="CE68" i="57" s="1"/>
  <c r="CF68" i="57" s="1"/>
  <c r="CG68" i="57" s="1"/>
  <c r="AJ121" i="57"/>
  <c r="AK121" i="57" s="1"/>
  <c r="AL121" i="57" s="1"/>
  <c r="AM121" i="57" s="1"/>
  <c r="AN121" i="57" s="1"/>
  <c r="AO121" i="57" s="1"/>
  <c r="AP121" i="57" s="1"/>
  <c r="AQ121" i="57" s="1"/>
  <c r="AR130" i="57"/>
  <c r="BZ138" i="57"/>
  <c r="CA138" i="57" s="1"/>
  <c r="CB138" i="57" s="1"/>
  <c r="CC138" i="57" s="1"/>
  <c r="CD138" i="57" s="1"/>
  <c r="CE138" i="57" s="1"/>
  <c r="CF138" i="57" s="1"/>
  <c r="CG138" i="57" s="1"/>
  <c r="AJ68" i="57"/>
  <c r="AJ177" i="57"/>
  <c r="AK177" i="57" s="1"/>
  <c r="AL177" i="57" s="1"/>
  <c r="AM177" i="57" s="1"/>
  <c r="AN177" i="57" s="1"/>
  <c r="AO177" i="57" s="1"/>
  <c r="AP177" i="57" s="1"/>
  <c r="AQ177" i="57" s="1"/>
  <c r="CH165" i="57"/>
  <c r="AJ233" i="57"/>
  <c r="AK233" i="57" s="1"/>
  <c r="AL233" i="57" s="1"/>
  <c r="AM233" i="57" s="1"/>
  <c r="AN233" i="57" s="1"/>
  <c r="AO233" i="57" s="1"/>
  <c r="AP233" i="57" s="1"/>
  <c r="AQ233" i="57" s="1"/>
  <c r="AJ138" i="57"/>
  <c r="AK138" i="57" s="1"/>
  <c r="AL138" i="57" s="1"/>
  <c r="AM138" i="57" s="1"/>
  <c r="AN138" i="57" s="1"/>
  <c r="AO138" i="57" s="1"/>
  <c r="AP138" i="57" s="1"/>
  <c r="AQ138" i="57" s="1"/>
  <c r="CH99" i="57"/>
  <c r="AJ9" i="57"/>
  <c r="AK9" i="57" s="1"/>
  <c r="AL9" i="57" s="1"/>
  <c r="AM9" i="57" s="1"/>
  <c r="AN9" i="57" s="1"/>
  <c r="AO9" i="57" s="1"/>
  <c r="AP9" i="57" s="1"/>
  <c r="AQ9" i="57" s="1"/>
  <c r="BJ13" i="57"/>
  <c r="BK13" i="57" s="1"/>
  <c r="BL13" i="57" s="1"/>
  <c r="BM13" i="57" s="1"/>
  <c r="BN13" i="57" s="1"/>
  <c r="BO13" i="57" s="1"/>
  <c r="BP13" i="57" s="1"/>
  <c r="BQ13" i="57" s="1"/>
  <c r="BR13" i="57" s="1"/>
  <c r="BS13" i="57" s="1"/>
  <c r="BT13" i="57" s="1"/>
  <c r="BU13" i="57" s="1"/>
  <c r="BV13" i="57" s="1"/>
  <c r="BW13" i="57" s="1"/>
  <c r="BX13" i="57" s="1"/>
  <c r="BY13" i="57" s="1"/>
  <c r="BZ51" i="57"/>
  <c r="CA51" i="57" s="1"/>
  <c r="CB51" i="57" s="1"/>
  <c r="CC51" i="57" s="1"/>
  <c r="CD51" i="57" s="1"/>
  <c r="CE51" i="57" s="1"/>
  <c r="CF51" i="57" s="1"/>
  <c r="CG51" i="57" s="1"/>
  <c r="AJ209" i="57"/>
  <c r="AK209" i="57" s="1"/>
  <c r="AL209" i="57" s="1"/>
  <c r="AM209" i="57" s="1"/>
  <c r="AN209" i="57" s="1"/>
  <c r="AO209" i="57" s="1"/>
  <c r="AP209" i="57" s="1"/>
  <c r="AQ209" i="57" s="1"/>
  <c r="CH173" i="57"/>
  <c r="CH248" i="57"/>
  <c r="AR93" i="57"/>
  <c r="AJ113" i="57"/>
  <c r="AK113" i="57" s="1"/>
  <c r="AL113" i="57" s="1"/>
  <c r="AM113" i="57" s="1"/>
  <c r="AN113" i="57" s="1"/>
  <c r="AO113" i="57" s="1"/>
  <c r="AP113" i="57" s="1"/>
  <c r="AQ113" i="57" s="1"/>
  <c r="BZ145" i="57"/>
  <c r="CA145" i="57" s="1"/>
  <c r="CB145" i="57" s="1"/>
  <c r="CC145" i="57" s="1"/>
  <c r="CD145" i="57" s="1"/>
  <c r="CE145" i="57" s="1"/>
  <c r="CF145" i="57" s="1"/>
  <c r="CG145" i="57" s="1"/>
  <c r="BZ193" i="57"/>
  <c r="CA193" i="57" s="1"/>
  <c r="CB193" i="57" s="1"/>
  <c r="CC193" i="57" s="1"/>
  <c r="CD193" i="57" s="1"/>
  <c r="CE193" i="57" s="1"/>
  <c r="CF193" i="57" s="1"/>
  <c r="CG193" i="57" s="1"/>
  <c r="BZ102" i="57"/>
  <c r="AR156" i="57"/>
  <c r="CH61" i="57"/>
  <c r="AJ34" i="57"/>
  <c r="AK34" i="57" s="1"/>
  <c r="AL34" i="57" s="1"/>
  <c r="AM34" i="57" s="1"/>
  <c r="AN34" i="57" s="1"/>
  <c r="AO34" i="57" s="1"/>
  <c r="AP34" i="57" s="1"/>
  <c r="AQ34" i="57" s="1"/>
  <c r="AR34" i="57" s="1"/>
  <c r="AJ45" i="57"/>
  <c r="AK45" i="57" s="1"/>
  <c r="AL45" i="57" s="1"/>
  <c r="AM45" i="57" s="1"/>
  <c r="AN45" i="57" s="1"/>
  <c r="AO45" i="57" s="1"/>
  <c r="AP45" i="57" s="1"/>
  <c r="AQ45" i="57" s="1"/>
  <c r="AJ22" i="57"/>
  <c r="AK22" i="57" s="1"/>
  <c r="AL22" i="57" s="1"/>
  <c r="AM22" i="57" s="1"/>
  <c r="AN22" i="57" s="1"/>
  <c r="AO22" i="57" s="1"/>
  <c r="AP22" i="57" s="1"/>
  <c r="AQ22" i="57" s="1"/>
  <c r="AJ89" i="57"/>
  <c r="AK89" i="57" s="1"/>
  <c r="AL89" i="57" s="1"/>
  <c r="AM89" i="57" s="1"/>
  <c r="AN89" i="57" s="1"/>
  <c r="AO89" i="57" s="1"/>
  <c r="AP89" i="57" s="1"/>
  <c r="AQ89" i="57" s="1"/>
  <c r="AR89" i="57" s="1"/>
  <c r="AJ241" i="57"/>
  <c r="BZ62" i="57"/>
  <c r="CA62" i="57" s="1"/>
  <c r="CB62" i="57" s="1"/>
  <c r="CC62" i="57" s="1"/>
  <c r="CD62" i="57" s="1"/>
  <c r="CE62" i="57" s="1"/>
  <c r="CF62" i="57" s="1"/>
  <c r="CG62" i="57" s="1"/>
  <c r="CH184" i="57"/>
  <c r="AJ43" i="57"/>
  <c r="AK43" i="57" s="1"/>
  <c r="AL43" i="57" s="1"/>
  <c r="AM43" i="57" s="1"/>
  <c r="AN43" i="57" s="1"/>
  <c r="AO43" i="57" s="1"/>
  <c r="AP43" i="57" s="1"/>
  <c r="AQ43" i="57" s="1"/>
  <c r="CH223" i="57"/>
  <c r="CH198" i="57"/>
  <c r="BZ170" i="57"/>
  <c r="CA170" i="57" s="1"/>
  <c r="CB170" i="57" s="1"/>
  <c r="CC170" i="57" s="1"/>
  <c r="CD170" i="57" s="1"/>
  <c r="CE170" i="57" s="1"/>
  <c r="CF170" i="57" s="1"/>
  <c r="CG170" i="57" s="1"/>
  <c r="AJ59" i="57"/>
  <c r="AK59" i="57" s="1"/>
  <c r="AL59" i="57" s="1"/>
  <c r="AM59" i="57" s="1"/>
  <c r="AN59" i="57" s="1"/>
  <c r="AO59" i="57" s="1"/>
  <c r="AP59" i="57" s="1"/>
  <c r="AQ59" i="57" s="1"/>
  <c r="AJ194" i="57"/>
  <c r="AK194" i="57" s="1"/>
  <c r="AL194" i="57" s="1"/>
  <c r="AM194" i="57" s="1"/>
  <c r="AN194" i="57" s="1"/>
  <c r="AO194" i="57" s="1"/>
  <c r="AP194" i="57" s="1"/>
  <c r="AQ194" i="57" s="1"/>
  <c r="AR82" i="57"/>
  <c r="CH107" i="57"/>
  <c r="AJ33" i="57"/>
  <c r="AK33" i="57" s="1"/>
  <c r="AL33" i="57" s="1"/>
  <c r="AM33" i="57" s="1"/>
  <c r="AN33" i="57" s="1"/>
  <c r="AO33" i="57" s="1"/>
  <c r="AP33" i="57" s="1"/>
  <c r="AQ33" i="57" s="1"/>
  <c r="AR24" i="57"/>
  <c r="AR15" i="57"/>
  <c r="CH116" i="57"/>
  <c r="BZ228" i="57"/>
  <c r="CA228" i="57" s="1"/>
  <c r="CB228" i="57" s="1"/>
  <c r="CC228" i="57" s="1"/>
  <c r="CD228" i="57" s="1"/>
  <c r="CE228" i="57" s="1"/>
  <c r="CF228" i="57" s="1"/>
  <c r="CG228" i="57" s="1"/>
  <c r="BZ41" i="57"/>
  <c r="CA41" i="57" s="1"/>
  <c r="CB41" i="57" s="1"/>
  <c r="CC41" i="57" s="1"/>
  <c r="CD41" i="57" s="1"/>
  <c r="CE41" i="57" s="1"/>
  <c r="CF41" i="57" s="1"/>
  <c r="CG41" i="57" s="1"/>
  <c r="CA181" i="57"/>
  <c r="CB181" i="57" s="1"/>
  <c r="CC181" i="57" s="1"/>
  <c r="CD181" i="57" s="1"/>
  <c r="CE181" i="57" s="1"/>
  <c r="CF181" i="57" s="1"/>
  <c r="CG181" i="57" s="1"/>
  <c r="BZ196" i="57"/>
  <c r="CA196" i="57" s="1"/>
  <c r="CB196" i="57" s="1"/>
  <c r="CC196" i="57" s="1"/>
  <c r="CD196" i="57" s="1"/>
  <c r="CE196" i="57" s="1"/>
  <c r="CF196" i="57" s="1"/>
  <c r="CG196" i="57" s="1"/>
  <c r="AJ159" i="57"/>
  <c r="AK159" i="57" s="1"/>
  <c r="AL159" i="57" s="1"/>
  <c r="AM159" i="57" s="1"/>
  <c r="AN159" i="57" s="1"/>
  <c r="AO159" i="57" s="1"/>
  <c r="AP159" i="57" s="1"/>
  <c r="AQ159" i="57" s="1"/>
  <c r="CH86" i="57"/>
  <c r="AR56" i="57"/>
  <c r="BZ139" i="57"/>
  <c r="CA139" i="57" s="1"/>
  <c r="CB139" i="57" s="1"/>
  <c r="CC139" i="57" s="1"/>
  <c r="CD139" i="57" s="1"/>
  <c r="CE139" i="57" s="1"/>
  <c r="CF139" i="57" s="1"/>
  <c r="CG139" i="57" s="1"/>
  <c r="AR12" i="57"/>
  <c r="CH238" i="57"/>
  <c r="AJ166" i="57"/>
  <c r="AK166" i="57" s="1"/>
  <c r="AL166" i="57" s="1"/>
  <c r="AM166" i="57" s="1"/>
  <c r="AN166" i="57" s="1"/>
  <c r="AO166" i="57" s="1"/>
  <c r="AP166" i="57" s="1"/>
  <c r="AQ166" i="57" s="1"/>
  <c r="AR161" i="57"/>
  <c r="AJ44" i="57"/>
  <c r="AK44" i="57" s="1"/>
  <c r="AL44" i="57" s="1"/>
  <c r="AM44" i="57" s="1"/>
  <c r="AN44" i="57" s="1"/>
  <c r="AO44" i="57" s="1"/>
  <c r="AP44" i="57" s="1"/>
  <c r="AQ44" i="57" s="1"/>
  <c r="AJ248" i="57"/>
  <c r="AK248" i="57" s="1"/>
  <c r="AL248" i="57" s="1"/>
  <c r="AM248" i="57" s="1"/>
  <c r="AN248" i="57" s="1"/>
  <c r="AO248" i="57" s="1"/>
  <c r="AP248" i="57" s="1"/>
  <c r="AQ248" i="57" s="1"/>
  <c r="AJ201" i="57"/>
  <c r="AK201" i="57" s="1"/>
  <c r="AL201" i="57" s="1"/>
  <c r="AM201" i="57" s="1"/>
  <c r="AN201" i="57" s="1"/>
  <c r="AO201" i="57" s="1"/>
  <c r="AP201" i="57" s="1"/>
  <c r="AQ201" i="57" s="1"/>
  <c r="CH179" i="57"/>
  <c r="AJ10" i="57"/>
  <c r="AK10" i="57" s="1"/>
  <c r="AL10" i="57" s="1"/>
  <c r="AM10" i="57" s="1"/>
  <c r="AN10" i="57" s="1"/>
  <c r="AO10" i="57" s="1"/>
  <c r="AP10" i="57" s="1"/>
  <c r="AQ10" i="57" s="1"/>
  <c r="CH234" i="57"/>
  <c r="BZ87" i="57"/>
  <c r="CA87" i="57" s="1"/>
  <c r="CB87" i="57" s="1"/>
  <c r="CC87" i="57" s="1"/>
  <c r="CD87" i="57" s="1"/>
  <c r="CE87" i="57" s="1"/>
  <c r="CF87" i="57" s="1"/>
  <c r="CG87" i="57" s="1"/>
  <c r="AJ102" i="57"/>
  <c r="AK102" i="57" s="1"/>
  <c r="AL102" i="57" s="1"/>
  <c r="AM102" i="57" s="1"/>
  <c r="AN102" i="57" s="1"/>
  <c r="AO102" i="57" s="1"/>
  <c r="AP102" i="57" s="1"/>
  <c r="AQ102" i="57" s="1"/>
  <c r="AJ129" i="57"/>
  <c r="AK129" i="57" s="1"/>
  <c r="AL129" i="57" s="1"/>
  <c r="AM129" i="57" s="1"/>
  <c r="AN129" i="57" s="1"/>
  <c r="AO129" i="57" s="1"/>
  <c r="AP129" i="57" s="1"/>
  <c r="AQ129" i="57" s="1"/>
  <c r="AR154" i="57"/>
  <c r="BZ137" i="57"/>
  <c r="CA137" i="57" s="1"/>
  <c r="CB137" i="57" s="1"/>
  <c r="CC137" i="57" s="1"/>
  <c r="CD137" i="57" s="1"/>
  <c r="CE137" i="57" s="1"/>
  <c r="CF137" i="57" s="1"/>
  <c r="CG137" i="57" s="1"/>
  <c r="BZ69" i="57"/>
  <c r="CA69" i="57" s="1"/>
  <c r="CB69" i="57" s="1"/>
  <c r="CC69" i="57" s="1"/>
  <c r="CD69" i="57" s="1"/>
  <c r="CE69" i="57" s="1"/>
  <c r="CF69" i="57" s="1"/>
  <c r="CG69" i="57" s="1"/>
  <c r="AJ70" i="57"/>
  <c r="AK70" i="57" s="1"/>
  <c r="AL70" i="57" s="1"/>
  <c r="AM70" i="57" s="1"/>
  <c r="AN70" i="57" s="1"/>
  <c r="AO70" i="57" s="1"/>
  <c r="AP70" i="57" s="1"/>
  <c r="AQ70" i="57" s="1"/>
  <c r="BZ241" i="57"/>
  <c r="CA241" i="57" s="1"/>
  <c r="CB241" i="57" s="1"/>
  <c r="CC241" i="57" s="1"/>
  <c r="CD241" i="57" s="1"/>
  <c r="CE241" i="57" s="1"/>
  <c r="CF241" i="57" s="1"/>
  <c r="CG241" i="57" s="1"/>
  <c r="CH84" i="57"/>
  <c r="CH129" i="57"/>
  <c r="AJ87" i="57"/>
  <c r="AK87" i="57" s="1"/>
  <c r="AL87" i="57" s="1"/>
  <c r="AM87" i="57" s="1"/>
  <c r="AN87" i="57" s="1"/>
  <c r="AO87" i="57" s="1"/>
  <c r="AP87" i="57" s="1"/>
  <c r="AQ87" i="57" s="1"/>
  <c r="AJ228" i="57"/>
  <c r="AK228" i="57" s="1"/>
  <c r="AL228" i="57" s="1"/>
  <c r="AM228" i="57" s="1"/>
  <c r="AN228" i="57" s="1"/>
  <c r="AO228" i="57" s="1"/>
  <c r="AP228" i="57" s="1"/>
  <c r="AQ228" i="57" s="1"/>
  <c r="AJ97" i="57"/>
  <c r="AK97" i="57" s="1"/>
  <c r="AL97" i="57" s="1"/>
  <c r="AM97" i="57" s="1"/>
  <c r="AN97" i="57" s="1"/>
  <c r="AO97" i="57" s="1"/>
  <c r="AP97" i="57" s="1"/>
  <c r="AQ97" i="57" s="1"/>
  <c r="CH242" i="57"/>
  <c r="AJ83" i="57"/>
  <c r="AK83" i="57" s="1"/>
  <c r="AL83" i="57" s="1"/>
  <c r="AM83" i="57" s="1"/>
  <c r="AN83" i="57" s="1"/>
  <c r="AO83" i="57" s="1"/>
  <c r="AP83" i="57" s="1"/>
  <c r="AQ83" i="57" s="1"/>
  <c r="BZ45" i="57"/>
  <c r="CA45" i="57" s="1"/>
  <c r="CB45" i="57" s="1"/>
  <c r="CC45" i="57" s="1"/>
  <c r="CD45" i="57" s="1"/>
  <c r="CE45" i="57" s="1"/>
  <c r="CF45" i="57" s="1"/>
  <c r="CG45" i="57" s="1"/>
  <c r="BZ18" i="57"/>
  <c r="CA18" i="57" s="1"/>
  <c r="CB18" i="57" s="1"/>
  <c r="CC18" i="57" s="1"/>
  <c r="CD18" i="57" s="1"/>
  <c r="CE18" i="57" s="1"/>
  <c r="CF18" i="57" s="1"/>
  <c r="CG18" i="57" s="1"/>
  <c r="AJ137" i="57"/>
  <c r="AK137" i="57" s="1"/>
  <c r="AL137" i="57" s="1"/>
  <c r="AM137" i="57" s="1"/>
  <c r="AN137" i="57" s="1"/>
  <c r="AO137" i="57" s="1"/>
  <c r="AP137" i="57" s="1"/>
  <c r="AQ137" i="57" s="1"/>
  <c r="AJ60" i="57"/>
  <c r="AK60" i="57" s="1"/>
  <c r="AL60" i="57" s="1"/>
  <c r="AM60" i="57" s="1"/>
  <c r="AN60" i="57" s="1"/>
  <c r="AO60" i="57" s="1"/>
  <c r="AP60" i="57" s="1"/>
  <c r="AQ60" i="57" s="1"/>
  <c r="AJ124" i="57"/>
  <c r="AK124" i="57" s="1"/>
  <c r="AL124" i="57" s="1"/>
  <c r="AM124" i="57" s="1"/>
  <c r="AN124" i="57" s="1"/>
  <c r="AO124" i="57" s="1"/>
  <c r="AP124" i="57" s="1"/>
  <c r="AQ124" i="57" s="1"/>
  <c r="AJ232" i="57"/>
  <c r="AK232" i="57" s="1"/>
  <c r="AL232" i="57" s="1"/>
  <c r="AM232" i="57" s="1"/>
  <c r="AN232" i="57" s="1"/>
  <c r="AO232" i="57" s="1"/>
  <c r="AP232" i="57" s="1"/>
  <c r="AQ232" i="57" s="1"/>
  <c r="BZ152" i="57"/>
  <c r="CA152" i="57" s="1"/>
  <c r="CB152" i="57" s="1"/>
  <c r="CC152" i="57" s="1"/>
  <c r="CD152" i="57" s="1"/>
  <c r="CE152" i="57" s="1"/>
  <c r="CF152" i="57" s="1"/>
  <c r="CG152" i="57" s="1"/>
  <c r="AJ26" i="57"/>
  <c r="AK26" i="57" s="1"/>
  <c r="AL26" i="57" s="1"/>
  <c r="AM26" i="57" s="1"/>
  <c r="AN26" i="57" s="1"/>
  <c r="AO26" i="57" s="1"/>
  <c r="AP26" i="57" s="1"/>
  <c r="AQ26" i="57" s="1"/>
  <c r="AR215" i="57"/>
  <c r="AJ211" i="57"/>
  <c r="AJ104" i="57"/>
  <c r="AK104" i="57" s="1"/>
  <c r="AL104" i="57" s="1"/>
  <c r="AM104" i="57" s="1"/>
  <c r="AN104" i="57" s="1"/>
  <c r="AO104" i="57" s="1"/>
  <c r="AP104" i="57" s="1"/>
  <c r="AQ104" i="57" s="1"/>
  <c r="BZ109" i="57"/>
  <c r="CA109" i="57" s="1"/>
  <c r="CB109" i="57" s="1"/>
  <c r="CC109" i="57" s="1"/>
  <c r="CD109" i="57" s="1"/>
  <c r="CE109" i="57" s="1"/>
  <c r="CF109" i="57" s="1"/>
  <c r="CG109" i="57" s="1"/>
  <c r="AJ103" i="57"/>
  <c r="AK103" i="57" s="1"/>
  <c r="AL103" i="57" s="1"/>
  <c r="AM103" i="57" s="1"/>
  <c r="AN103" i="57" s="1"/>
  <c r="AO103" i="57" s="1"/>
  <c r="AP103" i="57" s="1"/>
  <c r="AQ103" i="57" s="1"/>
  <c r="CH149" i="57"/>
  <c r="AJ240" i="57"/>
  <c r="AK240" i="57" s="1"/>
  <c r="AL240" i="57" s="1"/>
  <c r="AM240" i="57" s="1"/>
  <c r="AN240" i="57" s="1"/>
  <c r="AO240" i="57" s="1"/>
  <c r="AP240" i="57" s="1"/>
  <c r="AQ240" i="57" s="1"/>
  <c r="BZ161" i="57"/>
  <c r="CH224" i="57"/>
  <c r="AR117" i="57"/>
  <c r="BZ43" i="57"/>
  <c r="CA43" i="57" s="1"/>
  <c r="CB43" i="57" s="1"/>
  <c r="CC43" i="57" s="1"/>
  <c r="CD43" i="57" s="1"/>
  <c r="CE43" i="57" s="1"/>
  <c r="CF43" i="57" s="1"/>
  <c r="CG43" i="57" s="1"/>
  <c r="AK116" i="57"/>
  <c r="AL116" i="57" s="1"/>
  <c r="AM116" i="57" s="1"/>
  <c r="AN116" i="57" s="1"/>
  <c r="AO116" i="57" s="1"/>
  <c r="AP116" i="57" s="1"/>
  <c r="AQ116" i="57" s="1"/>
  <c r="CH97" i="57"/>
  <c r="CA236" i="57"/>
  <c r="CB236" i="57" s="1"/>
  <c r="CC236" i="57" s="1"/>
  <c r="CD236" i="57" s="1"/>
  <c r="CE236" i="57" s="1"/>
  <c r="CF236" i="57" s="1"/>
  <c r="CG236" i="57" s="1"/>
  <c r="BZ59" i="57"/>
  <c r="CA59" i="57" s="1"/>
  <c r="CB59" i="57" s="1"/>
  <c r="CC59" i="57" s="1"/>
  <c r="CD59" i="57" s="1"/>
  <c r="CE59" i="57" s="1"/>
  <c r="CF59" i="57" s="1"/>
  <c r="CG59" i="57" s="1"/>
  <c r="BJ8" i="57"/>
  <c r="BK8" i="57" s="1"/>
  <c r="BL8" i="57" s="1"/>
  <c r="BM8" i="57" s="1"/>
  <c r="BN8" i="57" s="1"/>
  <c r="BO8" i="57" s="1"/>
  <c r="BP8" i="57" s="1"/>
  <c r="BQ8" i="57" s="1"/>
  <c r="BR8" i="57" s="1"/>
  <c r="BS8" i="57" s="1"/>
  <c r="BT8" i="57" s="1"/>
  <c r="BU8" i="57" s="1"/>
  <c r="BV8" i="57" s="1"/>
  <c r="BW8" i="57" s="1"/>
  <c r="BX8" i="57" s="1"/>
  <c r="BY8" i="57" s="1"/>
  <c r="CH166" i="57"/>
  <c r="BJ12" i="57"/>
  <c r="BK12" i="57" s="1"/>
  <c r="BL12" i="57" s="1"/>
  <c r="BM12" i="57" s="1"/>
  <c r="BN12" i="57" s="1"/>
  <c r="BO12" i="57" s="1"/>
  <c r="BP12" i="57" s="1"/>
  <c r="BQ12" i="57" s="1"/>
  <c r="BR12" i="57" s="1"/>
  <c r="BS12" i="57" s="1"/>
  <c r="BT12" i="57" s="1"/>
  <c r="BU12" i="57" s="1"/>
  <c r="BV12" i="57" s="1"/>
  <c r="BW12" i="57" s="1"/>
  <c r="BX12" i="57" s="1"/>
  <c r="BY12" i="57" s="1"/>
  <c r="BZ70" i="57"/>
  <c r="CA70" i="57" s="1"/>
  <c r="CB70" i="57" s="1"/>
  <c r="CC70" i="57" s="1"/>
  <c r="CD70" i="57" s="1"/>
  <c r="CE70" i="57" s="1"/>
  <c r="CF70" i="57" s="1"/>
  <c r="CG70" i="57" s="1"/>
  <c r="CA222" i="57"/>
  <c r="CB222" i="57" s="1"/>
  <c r="CC222" i="57" s="1"/>
  <c r="CD222" i="57" s="1"/>
  <c r="CE222" i="57" s="1"/>
  <c r="CF222" i="57" s="1"/>
  <c r="CG222" i="57" s="1"/>
  <c r="CH124" i="57"/>
  <c r="BZ98" i="57"/>
  <c r="CA98" i="57" s="1"/>
  <c r="CB98" i="57" s="1"/>
  <c r="CC98" i="57" s="1"/>
  <c r="CD98" i="57" s="1"/>
  <c r="CE98" i="57" s="1"/>
  <c r="CF98" i="57" s="1"/>
  <c r="CG98" i="57" s="1"/>
  <c r="CH104" i="57"/>
  <c r="CH44" i="57"/>
  <c r="BZ227" i="57"/>
  <c r="CA227" i="57" s="1"/>
  <c r="CB227" i="57" s="1"/>
  <c r="CC227" i="57" s="1"/>
  <c r="CD227" i="57" s="1"/>
  <c r="CE227" i="57" s="1"/>
  <c r="CF227" i="57" s="1"/>
  <c r="CG227" i="57" s="1"/>
  <c r="AJ101" i="57"/>
  <c r="AK101" i="57" s="1"/>
  <c r="AL101" i="57" s="1"/>
  <c r="AM101" i="57" s="1"/>
  <c r="AN101" i="57" s="1"/>
  <c r="AO101" i="57" s="1"/>
  <c r="AP101" i="57" s="1"/>
  <c r="AQ101" i="57" s="1"/>
  <c r="BZ182" i="57"/>
  <c r="CA182" i="57" s="1"/>
  <c r="CB182" i="57" s="1"/>
  <c r="CC182" i="57" s="1"/>
  <c r="CD182" i="57" s="1"/>
  <c r="CE182" i="57" s="1"/>
  <c r="CF182" i="57" s="1"/>
  <c r="CG182" i="57" s="1"/>
  <c r="AJ88" i="57"/>
  <c r="AK88" i="57" s="1"/>
  <c r="AL88" i="57" s="1"/>
  <c r="AM88" i="57" s="1"/>
  <c r="AN88" i="57" s="1"/>
  <c r="AO88" i="57" s="1"/>
  <c r="AP88" i="57" s="1"/>
  <c r="AQ88" i="57" s="1"/>
  <c r="CH154" i="57"/>
  <c r="AJ189" i="57"/>
  <c r="AK189" i="57" s="1"/>
  <c r="AL189" i="57" s="1"/>
  <c r="AM189" i="57" s="1"/>
  <c r="AN189" i="57" s="1"/>
  <c r="AO189" i="57" s="1"/>
  <c r="AP189" i="57" s="1"/>
  <c r="AQ189" i="57" s="1"/>
  <c r="BJ7" i="57"/>
  <c r="BK7" i="57" s="1"/>
  <c r="BL7" i="57" s="1"/>
  <c r="BM7" i="57" s="1"/>
  <c r="BN7" i="57" s="1"/>
  <c r="BO7" i="57" s="1"/>
  <c r="BP7" i="57" s="1"/>
  <c r="BQ7" i="57" s="1"/>
  <c r="BR7" i="57" s="1"/>
  <c r="BS7" i="57" s="1"/>
  <c r="BT7" i="57" s="1"/>
  <c r="BU7" i="57" s="1"/>
  <c r="BV7" i="57" s="1"/>
  <c r="BW7" i="57" s="1"/>
  <c r="BX7" i="57" s="1"/>
  <c r="BY7" i="57" s="1"/>
  <c r="CH131" i="57"/>
  <c r="AR46" i="57"/>
  <c r="CH36" i="57"/>
  <c r="AJ107" i="57"/>
  <c r="AK107" i="57" s="1"/>
  <c r="AL107" i="57" s="1"/>
  <c r="AM107" i="57" s="1"/>
  <c r="AN107" i="57" s="1"/>
  <c r="AO107" i="57" s="1"/>
  <c r="AP107" i="57" s="1"/>
  <c r="AQ107" i="57" s="1"/>
  <c r="AJ223" i="57"/>
  <c r="AK223" i="57" s="1"/>
  <c r="AL223" i="57" s="1"/>
  <c r="AM223" i="57" s="1"/>
  <c r="AN223" i="57" s="1"/>
  <c r="AO223" i="57" s="1"/>
  <c r="AP223" i="57" s="1"/>
  <c r="AQ223" i="57" s="1"/>
  <c r="CH251" i="57"/>
  <c r="BJ11" i="57"/>
  <c r="BK11" i="57" s="1"/>
  <c r="BL11" i="57" s="1"/>
  <c r="BM11" i="57" s="1"/>
  <c r="BN11" i="57" s="1"/>
  <c r="BO11" i="57" s="1"/>
  <c r="BP11" i="57" s="1"/>
  <c r="BQ11" i="57" s="1"/>
  <c r="BR11" i="57" s="1"/>
  <c r="BS11" i="57" s="1"/>
  <c r="BT11" i="57" s="1"/>
  <c r="BU11" i="57" s="1"/>
  <c r="BV11" i="57" s="1"/>
  <c r="BW11" i="57" s="1"/>
  <c r="BX11" i="57" s="1"/>
  <c r="BY11" i="57" s="1"/>
  <c r="BJ6" i="57"/>
  <c r="BK6" i="57" s="1"/>
  <c r="BL6" i="57" s="1"/>
  <c r="BM6" i="57" s="1"/>
  <c r="BN6" i="57" s="1"/>
  <c r="BO6" i="57" s="1"/>
  <c r="BP6" i="57" s="1"/>
  <c r="BQ6" i="57" s="1"/>
  <c r="BR6" i="57" s="1"/>
  <c r="BS6" i="57" s="1"/>
  <c r="BT6" i="57" s="1"/>
  <c r="BU6" i="57" s="1"/>
  <c r="BV6" i="57" s="1"/>
  <c r="BW6" i="57" s="1"/>
  <c r="BX6" i="57" s="1"/>
  <c r="BY6" i="57" s="1"/>
  <c r="AJ139" i="57"/>
  <c r="AJ25" i="57"/>
  <c r="AK25" i="57" s="1"/>
  <c r="AL25" i="57" s="1"/>
  <c r="AM25" i="57" s="1"/>
  <c r="AN25" i="57" s="1"/>
  <c r="AO25" i="57" s="1"/>
  <c r="AP25" i="57" s="1"/>
  <c r="AQ25" i="57" s="1"/>
  <c r="AJ18" i="57"/>
  <c r="AK18" i="57" s="1"/>
  <c r="AL18" i="57" s="1"/>
  <c r="AM18" i="57" s="1"/>
  <c r="AN18" i="57" s="1"/>
  <c r="AO18" i="57" s="1"/>
  <c r="AP18" i="57" s="1"/>
  <c r="AQ18" i="57" s="1"/>
  <c r="AJ21" i="57"/>
  <c r="AK21" i="57" s="1"/>
  <c r="AL21" i="57" s="1"/>
  <c r="AM21" i="57" s="1"/>
  <c r="AN21" i="57" s="1"/>
  <c r="AO21" i="57" s="1"/>
  <c r="AP21" i="57" s="1"/>
  <c r="AQ21" i="57" s="1"/>
  <c r="CA229" i="57"/>
  <c r="CB229" i="57" s="1"/>
  <c r="CC229" i="57" s="1"/>
  <c r="CD229" i="57" s="1"/>
  <c r="CE229" i="57" s="1"/>
  <c r="CF229" i="57" s="1"/>
  <c r="CG229" i="57" s="1"/>
  <c r="AJ86" i="57"/>
  <c r="AK86" i="57" s="1"/>
  <c r="AL86" i="57" s="1"/>
  <c r="AM86" i="57" s="1"/>
  <c r="AN86" i="57" s="1"/>
  <c r="AO86" i="57" s="1"/>
  <c r="AP86" i="57" s="1"/>
  <c r="AQ86" i="57" s="1"/>
  <c r="T61" i="57"/>
  <c r="U61" i="57" s="1"/>
  <c r="V61" i="57" s="1"/>
  <c r="W61" i="57" s="1"/>
  <c r="X61" i="57" s="1"/>
  <c r="Y61" i="57" s="1"/>
  <c r="Z61" i="57" s="1"/>
  <c r="AA61" i="57" s="1"/>
  <c r="AB61" i="57" s="1"/>
  <c r="AC61" i="57" s="1"/>
  <c r="AD61" i="57" s="1"/>
  <c r="AE61" i="57" s="1"/>
  <c r="AF61" i="57" s="1"/>
  <c r="AG61" i="57" s="1"/>
  <c r="AH61" i="57" s="1"/>
  <c r="AI61" i="57" s="1"/>
  <c r="BV91" i="57"/>
  <c r="BW91" i="57" s="1"/>
  <c r="BX91" i="57" s="1"/>
  <c r="BY91" i="57" s="1"/>
  <c r="AJ118" i="57"/>
  <c r="T164" i="57"/>
  <c r="U164" i="57" s="1"/>
  <c r="V164" i="57" s="1"/>
  <c r="W164" i="57" s="1"/>
  <c r="X164" i="57" s="1"/>
  <c r="Y164" i="57" s="1"/>
  <c r="Z164" i="57" s="1"/>
  <c r="AA164" i="57" s="1"/>
  <c r="AB164" i="57" s="1"/>
  <c r="AC164" i="57" s="1"/>
  <c r="AD164" i="57" s="1"/>
  <c r="AE164" i="57" s="1"/>
  <c r="AF164" i="57" s="1"/>
  <c r="AG164" i="57" s="1"/>
  <c r="AH164" i="57" s="1"/>
  <c r="AI164" i="57" s="1"/>
  <c r="CH159" i="57"/>
  <c r="BJ9" i="57"/>
  <c r="BK9" i="57" s="1"/>
  <c r="BL9" i="57" s="1"/>
  <c r="BM9" i="57" s="1"/>
  <c r="BN9" i="57" s="1"/>
  <c r="BO9" i="57" s="1"/>
  <c r="BP9" i="57" s="1"/>
  <c r="BQ9" i="57" s="1"/>
  <c r="BR9" i="57" s="1"/>
  <c r="BS9" i="57" s="1"/>
  <c r="BT9" i="57" s="1"/>
  <c r="BU9" i="57" s="1"/>
  <c r="BV9" i="57" s="1"/>
  <c r="BW9" i="57" s="1"/>
  <c r="BX9" i="57" s="1"/>
  <c r="BY9" i="57" s="1"/>
  <c r="AJ252" i="57"/>
  <c r="AK252" i="57" s="1"/>
  <c r="AL252" i="57" s="1"/>
  <c r="AM252" i="57" s="1"/>
  <c r="AN252" i="57" s="1"/>
  <c r="AO252" i="57" s="1"/>
  <c r="AP252" i="57" s="1"/>
  <c r="AQ252" i="57" s="1"/>
  <c r="AR252" i="57" s="1"/>
  <c r="BJ10" i="57"/>
  <c r="BK10" i="57" s="1"/>
  <c r="BL10" i="57" s="1"/>
  <c r="BM10" i="57" s="1"/>
  <c r="BN10" i="57" s="1"/>
  <c r="BO10" i="57" s="1"/>
  <c r="BP10" i="57" s="1"/>
  <c r="BQ10" i="57" s="1"/>
  <c r="BR10" i="57" s="1"/>
  <c r="BS10" i="57" s="1"/>
  <c r="BT10" i="57" s="1"/>
  <c r="BU10" i="57" s="1"/>
  <c r="BV10" i="57" s="1"/>
  <c r="BW10" i="57" s="1"/>
  <c r="BX10" i="57" s="1"/>
  <c r="BY10" i="57" s="1"/>
  <c r="BZ10" i="57" s="1"/>
  <c r="CA10" i="57" s="1"/>
  <c r="CB10" i="57" s="1"/>
  <c r="CC10" i="57" s="1"/>
  <c r="CD10" i="57" s="1"/>
  <c r="CE10" i="57" s="1"/>
  <c r="CF10" i="57" s="1"/>
  <c r="CG10" i="57" s="1"/>
  <c r="CH135" i="57"/>
  <c r="BJ5" i="57"/>
  <c r="BK5" i="57" s="1"/>
  <c r="BL5" i="57" s="1"/>
  <c r="BM5" i="57" s="1"/>
  <c r="BN5" i="57" s="1"/>
  <c r="BO5" i="57" s="1"/>
  <c r="BP5" i="57" s="1"/>
  <c r="BQ5" i="57" s="1"/>
  <c r="BR5" i="57" s="1"/>
  <c r="BS5" i="57" s="1"/>
  <c r="BT5" i="57" s="1"/>
  <c r="BU5" i="57" s="1"/>
  <c r="BV5" i="57" s="1"/>
  <c r="BW5" i="57" s="1"/>
  <c r="BX5" i="57" s="1"/>
  <c r="BY5" i="57" s="1"/>
  <c r="CH211" i="57"/>
  <c r="CH82" i="57"/>
  <c r="AJ13" i="57"/>
  <c r="AK13" i="57" s="1"/>
  <c r="AL13" i="57" s="1"/>
  <c r="AM13" i="57" s="1"/>
  <c r="AN13" i="57" s="1"/>
  <c r="AO13" i="57" s="1"/>
  <c r="AP13" i="57" s="1"/>
  <c r="AQ13" i="57" s="1"/>
  <c r="BZ63" i="57"/>
  <c r="CA63" i="57" s="1"/>
  <c r="CB63" i="57" s="1"/>
  <c r="CC63" i="57" s="1"/>
  <c r="CD63" i="57" s="1"/>
  <c r="CE63" i="57" s="1"/>
  <c r="CF63" i="57" s="1"/>
  <c r="CG63" i="57" s="1"/>
  <c r="BZ33" i="57"/>
  <c r="CA33" i="57" s="1"/>
  <c r="CB33" i="57" s="1"/>
  <c r="CC33" i="57" s="1"/>
  <c r="CD33" i="57" s="1"/>
  <c r="CE33" i="57" s="1"/>
  <c r="CF33" i="57" s="1"/>
  <c r="CG33" i="57" s="1"/>
  <c r="T162" i="57"/>
  <c r="U162" i="57" s="1"/>
  <c r="V162" i="57" s="1"/>
  <c r="W162" i="57" s="1"/>
  <c r="X162" i="57" s="1"/>
  <c r="Y162" i="57" s="1"/>
  <c r="Z162" i="57" s="1"/>
  <c r="AA162" i="57" s="1"/>
  <c r="AB162" i="57" s="1"/>
  <c r="AC162" i="57" s="1"/>
  <c r="AD162" i="57" s="1"/>
  <c r="AE162" i="57" s="1"/>
  <c r="AF162" i="57" s="1"/>
  <c r="AG162" i="57" s="1"/>
  <c r="AH162" i="57" s="1"/>
  <c r="AI162" i="57" s="1"/>
  <c r="BZ134" i="57"/>
  <c r="BZ176" i="57"/>
  <c r="CA176" i="57" s="1"/>
  <c r="CB176" i="57" s="1"/>
  <c r="CC176" i="57" s="1"/>
  <c r="CD176" i="57" s="1"/>
  <c r="CE176" i="57" s="1"/>
  <c r="CF176" i="57" s="1"/>
  <c r="CG176" i="57" s="1"/>
  <c r="AJ106" i="57"/>
  <c r="AK106" i="57" s="1"/>
  <c r="AL106" i="57" s="1"/>
  <c r="AM106" i="57" s="1"/>
  <c r="AN106" i="57" s="1"/>
  <c r="AO106" i="57" s="1"/>
  <c r="AP106" i="57" s="1"/>
  <c r="AQ106" i="57" s="1"/>
  <c r="BZ136" i="57"/>
  <c r="BZ250" i="57"/>
  <c r="CA250" i="57" s="1"/>
  <c r="CB250" i="57" s="1"/>
  <c r="CC250" i="57" s="1"/>
  <c r="CD250" i="57" s="1"/>
  <c r="CE250" i="57" s="1"/>
  <c r="CF250" i="57" s="1"/>
  <c r="CG250" i="57" s="1"/>
  <c r="BZ168" i="57"/>
  <c r="CA168" i="57" s="1"/>
  <c r="CB168" i="57" s="1"/>
  <c r="CC168" i="57" s="1"/>
  <c r="CD168" i="57" s="1"/>
  <c r="CE168" i="57" s="1"/>
  <c r="CF168" i="57" s="1"/>
  <c r="CG168" i="57" s="1"/>
  <c r="AJ126" i="57"/>
  <c r="AJ96" i="57"/>
  <c r="BZ81" i="57"/>
  <c r="CA81" i="57" s="1"/>
  <c r="CB81" i="57" s="1"/>
  <c r="CC81" i="57" s="1"/>
  <c r="CD81" i="57" s="1"/>
  <c r="CE81" i="57" s="1"/>
  <c r="CF81" i="57" s="1"/>
  <c r="CG81" i="57" s="1"/>
  <c r="AB150" i="57"/>
  <c r="AC150" i="57" s="1"/>
  <c r="AD150" i="57" s="1"/>
  <c r="AE150" i="57" s="1"/>
  <c r="AF150" i="57" s="1"/>
  <c r="AG150" i="57" s="1"/>
  <c r="AH150" i="57" s="1"/>
  <c r="AI150" i="57" s="1"/>
  <c r="AB91" i="57"/>
  <c r="AC91" i="57" s="1"/>
  <c r="AD91" i="57" s="1"/>
  <c r="AE91" i="57" s="1"/>
  <c r="AF91" i="57" s="1"/>
  <c r="AG91" i="57" s="1"/>
  <c r="AH91" i="57" s="1"/>
  <c r="AI91" i="57" s="1"/>
  <c r="CA90" i="57"/>
  <c r="CB90" i="57" s="1"/>
  <c r="CC90" i="57" s="1"/>
  <c r="CD90" i="57" s="1"/>
  <c r="CE90" i="57" s="1"/>
  <c r="CF90" i="57" s="1"/>
  <c r="CG90" i="57" s="1"/>
  <c r="BR239" i="57"/>
  <c r="BS239" i="57" s="1"/>
  <c r="BT239" i="57" s="1"/>
  <c r="BU239" i="57" s="1"/>
  <c r="BV239" i="57" s="1"/>
  <c r="BW239" i="57" s="1"/>
  <c r="BX239" i="57" s="1"/>
  <c r="BY239" i="57" s="1"/>
  <c r="AB236" i="57"/>
  <c r="AC236" i="57" s="1"/>
  <c r="AD236" i="57" s="1"/>
  <c r="AE236" i="57" s="1"/>
  <c r="AF236" i="57" s="1"/>
  <c r="AG236" i="57" s="1"/>
  <c r="AH236" i="57" s="1"/>
  <c r="AI236" i="57" s="1"/>
  <c r="BR200" i="57"/>
  <c r="BS200" i="57" s="1"/>
  <c r="BT200" i="57" s="1"/>
  <c r="BU200" i="57" s="1"/>
  <c r="BV200" i="57" s="1"/>
  <c r="BW200" i="57" s="1"/>
  <c r="BX200" i="57" s="1"/>
  <c r="BY200" i="57" s="1"/>
  <c r="BR74" i="57"/>
  <c r="BS74" i="57" s="1"/>
  <c r="BT74" i="57" s="1"/>
  <c r="BU74" i="57" s="1"/>
  <c r="BV74" i="57" s="1"/>
  <c r="BW74" i="57" s="1"/>
  <c r="BX74" i="57" s="1"/>
  <c r="BY74" i="57" s="1"/>
  <c r="BZ243" i="57"/>
  <c r="CA243" i="57" s="1"/>
  <c r="CB243" i="57" s="1"/>
  <c r="CC243" i="57" s="1"/>
  <c r="CD243" i="57" s="1"/>
  <c r="CE243" i="57" s="1"/>
  <c r="CF243" i="57" s="1"/>
  <c r="CG243" i="57" s="1"/>
  <c r="CH243" i="57" s="1"/>
  <c r="AJ148" i="57"/>
  <c r="AK148" i="57" s="1"/>
  <c r="AL148" i="57" s="1"/>
  <c r="AM148" i="57" s="1"/>
  <c r="AN148" i="57" s="1"/>
  <c r="AO148" i="57" s="1"/>
  <c r="AP148" i="57" s="1"/>
  <c r="AQ148" i="57" s="1"/>
  <c r="AJ225" i="57"/>
  <c r="AK225" i="57" s="1"/>
  <c r="AL225" i="57" s="1"/>
  <c r="AM225" i="57" s="1"/>
  <c r="AN225" i="57" s="1"/>
  <c r="AO225" i="57" s="1"/>
  <c r="AP225" i="57" s="1"/>
  <c r="AQ225" i="57" s="1"/>
  <c r="BZ142" i="57"/>
  <c r="BZ144" i="57"/>
  <c r="CA144" i="57" s="1"/>
  <c r="CB144" i="57" s="1"/>
  <c r="CC144" i="57" s="1"/>
  <c r="CD144" i="57" s="1"/>
  <c r="CE144" i="57" s="1"/>
  <c r="CF144" i="57" s="1"/>
  <c r="CG144" i="57" s="1"/>
  <c r="BZ172" i="57"/>
  <c r="CA172" i="57" s="1"/>
  <c r="CB172" i="57" s="1"/>
  <c r="CC172" i="57" s="1"/>
  <c r="CD172" i="57" s="1"/>
  <c r="CE172" i="57" s="1"/>
  <c r="CF172" i="57" s="1"/>
  <c r="CG172" i="57" s="1"/>
  <c r="BZ219" i="57"/>
  <c r="CA219" i="57" s="1"/>
  <c r="CB219" i="57" s="1"/>
  <c r="CC219" i="57" s="1"/>
  <c r="CD219" i="57" s="1"/>
  <c r="CE219" i="57" s="1"/>
  <c r="CF219" i="57" s="1"/>
  <c r="CG219" i="57" s="1"/>
  <c r="BZ188" i="57"/>
  <c r="CA188" i="57" s="1"/>
  <c r="CB188" i="57" s="1"/>
  <c r="CC188" i="57" s="1"/>
  <c r="CD188" i="57" s="1"/>
  <c r="CE188" i="57" s="1"/>
  <c r="CF188" i="57" s="1"/>
  <c r="CG188" i="57" s="1"/>
  <c r="AJ151" i="57"/>
  <c r="AJ114" i="57"/>
  <c r="AK114" i="57" s="1"/>
  <c r="AL114" i="57" s="1"/>
  <c r="AM114" i="57" s="1"/>
  <c r="AN114" i="57" s="1"/>
  <c r="AO114" i="57" s="1"/>
  <c r="AP114" i="57" s="1"/>
  <c r="AQ114" i="57" s="1"/>
  <c r="AJ100" i="57"/>
  <c r="BZ207" i="57"/>
  <c r="CA207" i="57" s="1"/>
  <c r="CB207" i="57" s="1"/>
  <c r="CC207" i="57" s="1"/>
  <c r="CD207" i="57" s="1"/>
  <c r="CE207" i="57" s="1"/>
  <c r="CF207" i="57" s="1"/>
  <c r="CG207" i="57" s="1"/>
  <c r="AJ202" i="57"/>
  <c r="AK202" i="57" s="1"/>
  <c r="AL202" i="57" s="1"/>
  <c r="AM202" i="57" s="1"/>
  <c r="AN202" i="57" s="1"/>
  <c r="AO202" i="57" s="1"/>
  <c r="AP202" i="57" s="1"/>
  <c r="AQ202" i="57" s="1"/>
  <c r="BZ57" i="57"/>
  <c r="CA57" i="57" s="1"/>
  <c r="CB57" i="57" s="1"/>
  <c r="CC57" i="57" s="1"/>
  <c r="CD57" i="57" s="1"/>
  <c r="CE57" i="57" s="1"/>
  <c r="CF57" i="57" s="1"/>
  <c r="CG57" i="57" s="1"/>
  <c r="AJ213" i="57"/>
  <c r="AJ235" i="57"/>
  <c r="AK235" i="57" s="1"/>
  <c r="AL235" i="57" s="1"/>
  <c r="AM235" i="57" s="1"/>
  <c r="AN235" i="57" s="1"/>
  <c r="AO235" i="57" s="1"/>
  <c r="AP235" i="57" s="1"/>
  <c r="AQ235" i="57" s="1"/>
  <c r="BZ130" i="57"/>
  <c r="BR209" i="57"/>
  <c r="BS209" i="57" s="1"/>
  <c r="BT209" i="57" s="1"/>
  <c r="BU209" i="57" s="1"/>
  <c r="BV209" i="57" s="1"/>
  <c r="BW209" i="57" s="1"/>
  <c r="BX209" i="57" s="1"/>
  <c r="BY209" i="57" s="1"/>
  <c r="BZ209" i="57" s="1"/>
  <c r="T207" i="57"/>
  <c r="U207" i="57" s="1"/>
  <c r="V207" i="57" s="1"/>
  <c r="W207" i="57" s="1"/>
  <c r="X207" i="57" s="1"/>
  <c r="Y207" i="57" s="1"/>
  <c r="Z207" i="57" s="1"/>
  <c r="AA207" i="57" s="1"/>
  <c r="AB207" i="57" s="1"/>
  <c r="AC207" i="57" s="1"/>
  <c r="AD207" i="57" s="1"/>
  <c r="AE207" i="57" s="1"/>
  <c r="AF207" i="57" s="1"/>
  <c r="AG207" i="57" s="1"/>
  <c r="AH207" i="57" s="1"/>
  <c r="AI207" i="57" s="1"/>
  <c r="AB112" i="57"/>
  <c r="AC112" i="57" s="1"/>
  <c r="AD112" i="57" s="1"/>
  <c r="AE112" i="57" s="1"/>
  <c r="AF112" i="57" s="1"/>
  <c r="AG112" i="57" s="1"/>
  <c r="AH112" i="57" s="1"/>
  <c r="AI112" i="57" s="1"/>
  <c r="T250" i="57"/>
  <c r="U250" i="57" s="1"/>
  <c r="V250" i="57" s="1"/>
  <c r="W250" i="57" s="1"/>
  <c r="X250" i="57" s="1"/>
  <c r="Y250" i="57" s="1"/>
  <c r="Z250" i="57" s="1"/>
  <c r="AA250" i="57" s="1"/>
  <c r="AB250" i="57" s="1"/>
  <c r="AC250" i="57" s="1"/>
  <c r="AD250" i="57" s="1"/>
  <c r="AE250" i="57" s="1"/>
  <c r="AF250" i="57" s="1"/>
  <c r="AG250" i="57" s="1"/>
  <c r="AH250" i="57" s="1"/>
  <c r="AI250" i="57" s="1"/>
  <c r="BR75" i="57"/>
  <c r="BS75" i="57" s="1"/>
  <c r="BT75" i="57" s="1"/>
  <c r="BU75" i="57" s="1"/>
  <c r="BV75" i="57" s="1"/>
  <c r="BW75" i="57" s="1"/>
  <c r="BX75" i="57" s="1"/>
  <c r="BY75" i="57" s="1"/>
  <c r="BR46" i="57"/>
  <c r="BS46" i="57" s="1"/>
  <c r="BT46" i="57" s="1"/>
  <c r="BU46" i="57" s="1"/>
  <c r="BV46" i="57" s="1"/>
  <c r="BW46" i="57" s="1"/>
  <c r="BX46" i="57" s="1"/>
  <c r="BY46" i="57" s="1"/>
  <c r="BR146" i="57"/>
  <c r="BS146" i="57" s="1"/>
  <c r="BT146" i="57" s="1"/>
  <c r="BU146" i="57" s="1"/>
  <c r="BV146" i="57" s="1"/>
  <c r="BW146" i="57" s="1"/>
  <c r="BX146" i="57" s="1"/>
  <c r="BY146" i="57" s="1"/>
  <c r="BR47" i="57"/>
  <c r="BS47" i="57" s="1"/>
  <c r="BT47" i="57" s="1"/>
  <c r="BU47" i="57" s="1"/>
  <c r="BV47" i="57" s="1"/>
  <c r="BW47" i="57" s="1"/>
  <c r="BX47" i="57" s="1"/>
  <c r="BY47" i="57" s="1"/>
  <c r="AB205" i="57"/>
  <c r="AC205" i="57" s="1"/>
  <c r="AD205" i="57" s="1"/>
  <c r="AE205" i="57" s="1"/>
  <c r="AF205" i="57" s="1"/>
  <c r="AG205" i="57" s="1"/>
  <c r="AH205" i="57" s="1"/>
  <c r="AI205" i="57" s="1"/>
  <c r="T127" i="57"/>
  <c r="U127" i="57" s="1"/>
  <c r="V127" i="57" s="1"/>
  <c r="W127" i="57" s="1"/>
  <c r="X127" i="57" s="1"/>
  <c r="Y127" i="57" s="1"/>
  <c r="Z127" i="57" s="1"/>
  <c r="AA127" i="57" s="1"/>
  <c r="AB127" i="57" s="1"/>
  <c r="AC127" i="57" s="1"/>
  <c r="AD127" i="57" s="1"/>
  <c r="AE127" i="57" s="1"/>
  <c r="AF127" i="57" s="1"/>
  <c r="AG127" i="57" s="1"/>
  <c r="AH127" i="57" s="1"/>
  <c r="AI127" i="57" s="1"/>
  <c r="BR83" i="57"/>
  <c r="BS83" i="57" s="1"/>
  <c r="BT83" i="57" s="1"/>
  <c r="BU83" i="57" s="1"/>
  <c r="BV83" i="57" s="1"/>
  <c r="BW83" i="57" s="1"/>
  <c r="BX83" i="57" s="1"/>
  <c r="BY83" i="57" s="1"/>
  <c r="BV140" i="57"/>
  <c r="BW140" i="57" s="1"/>
  <c r="BX140" i="57" s="1"/>
  <c r="BY140" i="57" s="1"/>
  <c r="T55" i="57"/>
  <c r="U55" i="57" s="1"/>
  <c r="V55" i="57" s="1"/>
  <c r="W55" i="57" s="1"/>
  <c r="X55" i="57" s="1"/>
  <c r="Y55" i="57" s="1"/>
  <c r="Z55" i="57" s="1"/>
  <c r="AA55" i="57" s="1"/>
  <c r="AB55" i="57" s="1"/>
  <c r="AC55" i="57" s="1"/>
  <c r="AD55" i="57" s="1"/>
  <c r="AE55" i="57" s="1"/>
  <c r="AF55" i="57" s="1"/>
  <c r="AG55" i="57" s="1"/>
  <c r="AH55" i="57" s="1"/>
  <c r="AI55" i="57" s="1"/>
  <c r="T53" i="57"/>
  <c r="U53" i="57" s="1"/>
  <c r="V53" i="57" s="1"/>
  <c r="W53" i="57" s="1"/>
  <c r="X53" i="57" s="1"/>
  <c r="Y53" i="57" s="1"/>
  <c r="Z53" i="57" s="1"/>
  <c r="AA53" i="57" s="1"/>
  <c r="AB53" i="57" s="1"/>
  <c r="AC53" i="57" s="1"/>
  <c r="AD53" i="57" s="1"/>
  <c r="AE53" i="57" s="1"/>
  <c r="AF53" i="57" s="1"/>
  <c r="AG53" i="57" s="1"/>
  <c r="AH53" i="57" s="1"/>
  <c r="AI53" i="57" s="1"/>
  <c r="T16" i="57"/>
  <c r="U16" i="57" s="1"/>
  <c r="V16" i="57" s="1"/>
  <c r="W16" i="57" s="1"/>
  <c r="X16" i="57" s="1"/>
  <c r="Y16" i="57" s="1"/>
  <c r="Z16" i="57" s="1"/>
  <c r="AA16" i="57" s="1"/>
  <c r="AB16" i="57" s="1"/>
  <c r="AC16" i="57" s="1"/>
  <c r="AD16" i="57" s="1"/>
  <c r="AE16" i="57" s="1"/>
  <c r="AF16" i="57" s="1"/>
  <c r="AG16" i="57" s="1"/>
  <c r="AH16" i="57" s="1"/>
  <c r="AI16" i="57" s="1"/>
  <c r="T20" i="57"/>
  <c r="U20" i="57" s="1"/>
  <c r="V20" i="57" s="1"/>
  <c r="W20" i="57" s="1"/>
  <c r="X20" i="57" s="1"/>
  <c r="Y20" i="57" s="1"/>
  <c r="Z20" i="57" s="1"/>
  <c r="AA20" i="57" s="1"/>
  <c r="AB20" i="57" s="1"/>
  <c r="AC20" i="57" s="1"/>
  <c r="AD20" i="57" s="1"/>
  <c r="AE20" i="57" s="1"/>
  <c r="AF20" i="57" s="1"/>
  <c r="AG20" i="57" s="1"/>
  <c r="AH20" i="57" s="1"/>
  <c r="AI20" i="57" s="1"/>
  <c r="T17" i="57"/>
  <c r="U17" i="57" s="1"/>
  <c r="V17" i="57" s="1"/>
  <c r="W17" i="57" s="1"/>
  <c r="X17" i="57" s="1"/>
  <c r="Y17" i="57" s="1"/>
  <c r="Z17" i="57" s="1"/>
  <c r="AA17" i="57" s="1"/>
  <c r="AB17" i="57" s="1"/>
  <c r="AC17" i="57" s="1"/>
  <c r="AD17" i="57" s="1"/>
  <c r="AE17" i="57" s="1"/>
  <c r="AF17" i="57" s="1"/>
  <c r="AG17" i="57" s="1"/>
  <c r="AH17" i="57" s="1"/>
  <c r="AI17" i="57" s="1"/>
  <c r="AJ72" i="57"/>
  <c r="BZ26" i="57"/>
  <c r="BZ108" i="57"/>
  <c r="T63" i="57"/>
  <c r="U63" i="57" s="1"/>
  <c r="V63" i="57" s="1"/>
  <c r="W63" i="57" s="1"/>
  <c r="X63" i="57" s="1"/>
  <c r="Y63" i="57" s="1"/>
  <c r="Z63" i="57" s="1"/>
  <c r="AA63" i="57" s="1"/>
  <c r="AB63" i="57" s="1"/>
  <c r="AC63" i="57" s="1"/>
  <c r="AD63" i="57" s="1"/>
  <c r="AE63" i="57" s="1"/>
  <c r="AF63" i="57" s="1"/>
  <c r="AG63" i="57" s="1"/>
  <c r="AH63" i="57" s="1"/>
  <c r="AI63" i="57" s="1"/>
  <c r="T11" i="57"/>
  <c r="U11" i="57" s="1"/>
  <c r="V11" i="57" s="1"/>
  <c r="W11" i="57" s="1"/>
  <c r="X11" i="57" s="1"/>
  <c r="Y11" i="57" s="1"/>
  <c r="Z11" i="57" s="1"/>
  <c r="AA11" i="57" s="1"/>
  <c r="AB11" i="57" s="1"/>
  <c r="AC11" i="57" s="1"/>
  <c r="AD11" i="57" s="1"/>
  <c r="AE11" i="57" s="1"/>
  <c r="AF11" i="57" s="1"/>
  <c r="AG11" i="57" s="1"/>
  <c r="AH11" i="57" s="1"/>
  <c r="AI11" i="57" s="1"/>
  <c r="T71" i="57"/>
  <c r="U71" i="57" s="1"/>
  <c r="V71" i="57" s="1"/>
  <c r="W71" i="57" s="1"/>
  <c r="X71" i="57" s="1"/>
  <c r="Y71" i="57" s="1"/>
  <c r="Z71" i="57" s="1"/>
  <c r="AA71" i="57" s="1"/>
  <c r="AB71" i="57" s="1"/>
  <c r="AC71" i="57" s="1"/>
  <c r="AD71" i="57" s="1"/>
  <c r="AE71" i="57" s="1"/>
  <c r="AF71" i="57" s="1"/>
  <c r="AG71" i="57" s="1"/>
  <c r="AH71" i="57" s="1"/>
  <c r="AI71" i="57" s="1"/>
  <c r="T48" i="57"/>
  <c r="U48" i="57" s="1"/>
  <c r="V48" i="57" s="1"/>
  <c r="W48" i="57" s="1"/>
  <c r="X48" i="57" s="1"/>
  <c r="Y48" i="57" s="1"/>
  <c r="Z48" i="57" s="1"/>
  <c r="AA48" i="57" s="1"/>
  <c r="AB48" i="57" s="1"/>
  <c r="AC48" i="57" s="1"/>
  <c r="AD48" i="57" s="1"/>
  <c r="AE48" i="57" s="1"/>
  <c r="AF48" i="57" s="1"/>
  <c r="AG48" i="57" s="1"/>
  <c r="AH48" i="57" s="1"/>
  <c r="AI48" i="57" s="1"/>
  <c r="T36" i="57"/>
  <c r="U36" i="57" s="1"/>
  <c r="V36" i="57" s="1"/>
  <c r="W36" i="57" s="1"/>
  <c r="X36" i="57" s="1"/>
  <c r="Y36" i="57" s="1"/>
  <c r="Z36" i="57" s="1"/>
  <c r="AA36" i="57" s="1"/>
  <c r="AB36" i="57" s="1"/>
  <c r="AC36" i="57" s="1"/>
  <c r="AD36" i="57" s="1"/>
  <c r="AE36" i="57" s="1"/>
  <c r="AF36" i="57" s="1"/>
  <c r="AG36" i="57" s="1"/>
  <c r="AH36" i="57" s="1"/>
  <c r="AI36" i="57" s="1"/>
  <c r="BJ185" i="57"/>
  <c r="BK185" i="57" s="1"/>
  <c r="BL185" i="57" s="1"/>
  <c r="BM185" i="57" s="1"/>
  <c r="BN185" i="57" s="1"/>
  <c r="BO185" i="57" s="1"/>
  <c r="BP185" i="57" s="1"/>
  <c r="BQ185" i="57" s="1"/>
  <c r="BR185" i="57" s="1"/>
  <c r="BS185" i="57" s="1"/>
  <c r="BT185" i="57" s="1"/>
  <c r="BU185" i="57" s="1"/>
  <c r="BV185" i="57" s="1"/>
  <c r="BW185" i="57" s="1"/>
  <c r="BX185" i="57" s="1"/>
  <c r="BY185" i="57" s="1"/>
  <c r="T81" i="57"/>
  <c r="U81" i="57" s="1"/>
  <c r="V81" i="57" s="1"/>
  <c r="W81" i="57" s="1"/>
  <c r="X81" i="57" s="1"/>
  <c r="Y81" i="57" s="1"/>
  <c r="Z81" i="57" s="1"/>
  <c r="AA81" i="57" s="1"/>
  <c r="AB81" i="57" s="1"/>
  <c r="AC81" i="57" s="1"/>
  <c r="AD81" i="57" s="1"/>
  <c r="AE81" i="57" s="1"/>
  <c r="AF81" i="57" s="1"/>
  <c r="AG81" i="57" s="1"/>
  <c r="AH81" i="57" s="1"/>
  <c r="AI81" i="57" s="1"/>
  <c r="AJ231" i="57"/>
  <c r="BZ199" i="57"/>
  <c r="BJ205" i="57"/>
  <c r="BK205" i="57" s="1"/>
  <c r="BL205" i="57" s="1"/>
  <c r="BM205" i="57" s="1"/>
  <c r="BN205" i="57" s="1"/>
  <c r="BO205" i="57" s="1"/>
  <c r="BP205" i="57" s="1"/>
  <c r="BQ205" i="57" s="1"/>
  <c r="BR205" i="57" s="1"/>
  <c r="BS205" i="57" s="1"/>
  <c r="BT205" i="57" s="1"/>
  <c r="BU205" i="57" s="1"/>
  <c r="BV205" i="57" s="1"/>
  <c r="BW205" i="57" s="1"/>
  <c r="BX205" i="57" s="1"/>
  <c r="BY205" i="57" s="1"/>
  <c r="BZ95" i="57"/>
  <c r="AJ167" i="57"/>
  <c r="BZ64" i="57"/>
  <c r="AJ122" i="57"/>
  <c r="AK122" i="57" s="1"/>
  <c r="AL122" i="57" s="1"/>
  <c r="AM122" i="57" s="1"/>
  <c r="AN122" i="57" s="1"/>
  <c r="AO122" i="57" s="1"/>
  <c r="AP122" i="57" s="1"/>
  <c r="AQ122" i="57" s="1"/>
  <c r="BZ35" i="57"/>
  <c r="AJ125" i="57"/>
  <c r="AJ132" i="57"/>
  <c r="AK132" i="57" s="1"/>
  <c r="AL132" i="57" s="1"/>
  <c r="AM132" i="57" s="1"/>
  <c r="AN132" i="57" s="1"/>
  <c r="AO132" i="57" s="1"/>
  <c r="AP132" i="57" s="1"/>
  <c r="AQ132" i="57" s="1"/>
  <c r="BJ113" i="57"/>
  <c r="BK113" i="57" s="1"/>
  <c r="BL113" i="57" s="1"/>
  <c r="BM113" i="57" s="1"/>
  <c r="BN113" i="57" s="1"/>
  <c r="BO113" i="57" s="1"/>
  <c r="BP113" i="57" s="1"/>
  <c r="BQ113" i="57" s="1"/>
  <c r="BR113" i="57" s="1"/>
  <c r="BS113" i="57" s="1"/>
  <c r="BT113" i="57" s="1"/>
  <c r="BU113" i="57" s="1"/>
  <c r="BV113" i="57" s="1"/>
  <c r="BW113" i="57" s="1"/>
  <c r="BX113" i="57" s="1"/>
  <c r="BY113" i="57" s="1"/>
  <c r="BJ201" i="57"/>
  <c r="BK201" i="57" s="1"/>
  <c r="BL201" i="57" s="1"/>
  <c r="BM201" i="57" s="1"/>
  <c r="BN201" i="57" s="1"/>
  <c r="BO201" i="57" s="1"/>
  <c r="BP201" i="57" s="1"/>
  <c r="BQ201" i="57" s="1"/>
  <c r="BR201" i="57" s="1"/>
  <c r="BS201" i="57" s="1"/>
  <c r="BT201" i="57" s="1"/>
  <c r="BU201" i="57" s="1"/>
  <c r="BV201" i="57" s="1"/>
  <c r="BW201" i="57" s="1"/>
  <c r="BX201" i="57" s="1"/>
  <c r="BY201" i="57" s="1"/>
  <c r="BJ38" i="57"/>
  <c r="BK38" i="57" s="1"/>
  <c r="BL38" i="57" s="1"/>
  <c r="BM38" i="57" s="1"/>
  <c r="BN38" i="57" s="1"/>
  <c r="BO38" i="57" s="1"/>
  <c r="BP38" i="57" s="1"/>
  <c r="BQ38" i="57" s="1"/>
  <c r="BR38" i="57" s="1"/>
  <c r="BS38" i="57" s="1"/>
  <c r="BT38" i="57" s="1"/>
  <c r="BU38" i="57" s="1"/>
  <c r="BV38" i="57" s="1"/>
  <c r="BW38" i="57" s="1"/>
  <c r="BX38" i="57" s="1"/>
  <c r="BY38" i="57" s="1"/>
  <c r="AJ172" i="57"/>
  <c r="BZ141" i="57"/>
  <c r="AJ78" i="57"/>
  <c r="BZ71" i="57"/>
  <c r="AR173" i="57"/>
  <c r="BZ28" i="57"/>
  <c r="BZ247" i="57"/>
  <c r="BZ42" i="57"/>
  <c r="T31" i="57"/>
  <c r="U31" i="57" s="1"/>
  <c r="V31" i="57" s="1"/>
  <c r="W31" i="57" s="1"/>
  <c r="X31" i="57" s="1"/>
  <c r="Y31" i="57" s="1"/>
  <c r="Z31" i="57" s="1"/>
  <c r="AA31" i="57" s="1"/>
  <c r="AB31" i="57" s="1"/>
  <c r="AC31" i="57" s="1"/>
  <c r="AD31" i="57" s="1"/>
  <c r="AE31" i="57" s="1"/>
  <c r="AF31" i="57" s="1"/>
  <c r="AG31" i="57" s="1"/>
  <c r="AH31" i="57" s="1"/>
  <c r="AI31" i="57" s="1"/>
  <c r="AJ144" i="57"/>
  <c r="T57" i="57"/>
  <c r="U57" i="57" s="1"/>
  <c r="V57" i="57" s="1"/>
  <c r="W57" i="57" s="1"/>
  <c r="X57" i="57" s="1"/>
  <c r="Y57" i="57" s="1"/>
  <c r="Z57" i="57" s="1"/>
  <c r="AA57" i="57" s="1"/>
  <c r="AB57" i="57" s="1"/>
  <c r="AC57" i="57" s="1"/>
  <c r="AD57" i="57" s="1"/>
  <c r="AE57" i="57" s="1"/>
  <c r="AF57" i="57" s="1"/>
  <c r="AG57" i="57" s="1"/>
  <c r="AH57" i="57" s="1"/>
  <c r="AI57" i="57" s="1"/>
  <c r="T35" i="57"/>
  <c r="U35" i="57" s="1"/>
  <c r="V35" i="57" s="1"/>
  <c r="W35" i="57" s="1"/>
  <c r="X35" i="57" s="1"/>
  <c r="Y35" i="57" s="1"/>
  <c r="Z35" i="57" s="1"/>
  <c r="AA35" i="57" s="1"/>
  <c r="AB35" i="57" s="1"/>
  <c r="AC35" i="57" s="1"/>
  <c r="AD35" i="57" s="1"/>
  <c r="AE35" i="57" s="1"/>
  <c r="AF35" i="57" s="1"/>
  <c r="AG35" i="57" s="1"/>
  <c r="AH35" i="57" s="1"/>
  <c r="AI35" i="57" s="1"/>
  <c r="AJ193" i="57"/>
  <c r="BZ230" i="57"/>
  <c r="T74" i="57"/>
  <c r="U74" i="57" s="1"/>
  <c r="V74" i="57" s="1"/>
  <c r="W74" i="57" s="1"/>
  <c r="X74" i="57" s="1"/>
  <c r="Y74" i="57" s="1"/>
  <c r="Z74" i="57" s="1"/>
  <c r="AA74" i="57" s="1"/>
  <c r="AB74" i="57" s="1"/>
  <c r="AC74" i="57" s="1"/>
  <c r="AD74" i="57" s="1"/>
  <c r="AE74" i="57" s="1"/>
  <c r="AF74" i="57" s="1"/>
  <c r="AG74" i="57" s="1"/>
  <c r="AH74" i="57" s="1"/>
  <c r="AI74" i="57" s="1"/>
  <c r="BZ150" i="57"/>
  <c r="AJ203" i="57"/>
  <c r="BZ132" i="57"/>
  <c r="AJ222" i="57"/>
  <c r="BZ240" i="57"/>
  <c r="BZ53" i="57"/>
  <c r="AJ238" i="57"/>
  <c r="AJ182" i="57"/>
  <c r="AJ98" i="57"/>
  <c r="T52" i="57"/>
  <c r="U52" i="57" s="1"/>
  <c r="V52" i="57" s="1"/>
  <c r="W52" i="57" s="1"/>
  <c r="X52" i="57" s="1"/>
  <c r="Y52" i="57" s="1"/>
  <c r="Z52" i="57" s="1"/>
  <c r="AA52" i="57" s="1"/>
  <c r="AB52" i="57" s="1"/>
  <c r="AC52" i="57" s="1"/>
  <c r="AD52" i="57" s="1"/>
  <c r="AE52" i="57" s="1"/>
  <c r="AF52" i="57" s="1"/>
  <c r="AG52" i="57" s="1"/>
  <c r="AH52" i="57" s="1"/>
  <c r="AI52" i="57" s="1"/>
  <c r="AJ41" i="57"/>
  <c r="AJ50" i="57"/>
  <c r="AJ227" i="57"/>
  <c r="BZ174" i="57"/>
  <c r="AJ42" i="57"/>
  <c r="BJ106" i="57"/>
  <c r="BK106" i="57" s="1"/>
  <c r="BL106" i="57" s="1"/>
  <c r="BM106" i="57" s="1"/>
  <c r="BN106" i="57" s="1"/>
  <c r="BO106" i="57" s="1"/>
  <c r="BP106" i="57" s="1"/>
  <c r="BQ106" i="57" s="1"/>
  <c r="BR106" i="57" s="1"/>
  <c r="BS106" i="57" s="1"/>
  <c r="BT106" i="57" s="1"/>
  <c r="BU106" i="57" s="1"/>
  <c r="BV106" i="57" s="1"/>
  <c r="BW106" i="57" s="1"/>
  <c r="BX106" i="57" s="1"/>
  <c r="BY106" i="57" s="1"/>
  <c r="BZ167" i="57"/>
  <c r="AJ196" i="57"/>
  <c r="BZ66" i="57"/>
  <c r="BZ171" i="57"/>
  <c r="AJ141" i="57"/>
  <c r="BZ73" i="57"/>
  <c r="BZ54" i="57"/>
  <c r="BZ183" i="57"/>
  <c r="BJ100" i="57"/>
  <c r="BK100" i="57" s="1"/>
  <c r="BL100" i="57" s="1"/>
  <c r="BM100" i="57" s="1"/>
  <c r="BN100" i="57" s="1"/>
  <c r="BO100" i="57" s="1"/>
  <c r="BP100" i="57" s="1"/>
  <c r="BQ100" i="57" s="1"/>
  <c r="BR100" i="57" s="1"/>
  <c r="BS100" i="57" s="1"/>
  <c r="BT100" i="57" s="1"/>
  <c r="BU100" i="57" s="1"/>
  <c r="BV100" i="57" s="1"/>
  <c r="BW100" i="57" s="1"/>
  <c r="BX100" i="57" s="1"/>
  <c r="BY100" i="57" s="1"/>
  <c r="BZ22" i="57"/>
  <c r="BZ27" i="57"/>
  <c r="AJ208" i="57"/>
  <c r="AJ253" i="57"/>
  <c r="AJ176" i="57"/>
  <c r="AK176" i="57" s="1"/>
  <c r="AL176" i="57" s="1"/>
  <c r="AM176" i="57" s="1"/>
  <c r="AN176" i="57" s="1"/>
  <c r="AO176" i="57" s="1"/>
  <c r="AP176" i="57" s="1"/>
  <c r="AQ176" i="57" s="1"/>
  <c r="AJ216" i="57"/>
  <c r="T230" i="57"/>
  <c r="U230" i="57" s="1"/>
  <c r="V230" i="57" s="1"/>
  <c r="W230" i="57" s="1"/>
  <c r="X230" i="57" s="1"/>
  <c r="Y230" i="57" s="1"/>
  <c r="Z230" i="57" s="1"/>
  <c r="AA230" i="57" s="1"/>
  <c r="AB230" i="57" s="1"/>
  <c r="AC230" i="57" s="1"/>
  <c r="AD230" i="57" s="1"/>
  <c r="AE230" i="57" s="1"/>
  <c r="AF230" i="57" s="1"/>
  <c r="AG230" i="57" s="1"/>
  <c r="AH230" i="57" s="1"/>
  <c r="AI230" i="57" s="1"/>
  <c r="BZ123" i="57"/>
  <c r="AJ153" i="57"/>
  <c r="BJ67" i="57"/>
  <c r="BK67" i="57" s="1"/>
  <c r="BL67" i="57" s="1"/>
  <c r="BM67" i="57" s="1"/>
  <c r="BN67" i="57" s="1"/>
  <c r="BO67" i="57" s="1"/>
  <c r="BP67" i="57" s="1"/>
  <c r="BQ67" i="57" s="1"/>
  <c r="BR67" i="57" s="1"/>
  <c r="BS67" i="57" s="1"/>
  <c r="BT67" i="57" s="1"/>
  <c r="BU67" i="57" s="1"/>
  <c r="BV67" i="57" s="1"/>
  <c r="BW67" i="57" s="1"/>
  <c r="BX67" i="57" s="1"/>
  <c r="BY67" i="57" s="1"/>
  <c r="BZ30" i="57"/>
  <c r="T7" i="57"/>
  <c r="U7" i="57" s="1"/>
  <c r="V7" i="57" s="1"/>
  <c r="W7" i="57" s="1"/>
  <c r="X7" i="57" s="1"/>
  <c r="Y7" i="57" s="1"/>
  <c r="Z7" i="57" s="1"/>
  <c r="AA7" i="57" s="1"/>
  <c r="AB7" i="57" s="1"/>
  <c r="AC7" i="57" s="1"/>
  <c r="AD7" i="57" s="1"/>
  <c r="AE7" i="57" s="1"/>
  <c r="AF7" i="57" s="1"/>
  <c r="AG7" i="57" s="1"/>
  <c r="AH7" i="57" s="1"/>
  <c r="AI7" i="57" s="1"/>
  <c r="AJ7" i="57"/>
  <c r="AJ133" i="57"/>
  <c r="BZ216" i="57"/>
  <c r="T51" i="57"/>
  <c r="U51" i="57" s="1"/>
  <c r="V51" i="57" s="1"/>
  <c r="W51" i="57" s="1"/>
  <c r="X51" i="57" s="1"/>
  <c r="Y51" i="57" s="1"/>
  <c r="Z51" i="57" s="1"/>
  <c r="AA51" i="57" s="1"/>
  <c r="AB51" i="57" s="1"/>
  <c r="AC51" i="57" s="1"/>
  <c r="AD51" i="57" s="1"/>
  <c r="AE51" i="57" s="1"/>
  <c r="AF51" i="57" s="1"/>
  <c r="AG51" i="57" s="1"/>
  <c r="AH51" i="57" s="1"/>
  <c r="AI51" i="57" s="1"/>
  <c r="AJ190" i="57"/>
  <c r="AK190" i="57" s="1"/>
  <c r="AL190" i="57" s="1"/>
  <c r="AM190" i="57" s="1"/>
  <c r="AN190" i="57" s="1"/>
  <c r="AO190" i="57" s="1"/>
  <c r="AP190" i="57" s="1"/>
  <c r="AQ190" i="57" s="1"/>
  <c r="AR109" i="57"/>
  <c r="CH103" i="57"/>
  <c r="AR135" i="57"/>
  <c r="AR28" i="57"/>
  <c r="BZ14" i="57"/>
  <c r="AR136" i="57"/>
  <c r="AR40" i="57"/>
  <c r="AR198" i="57"/>
  <c r="AR94" i="57"/>
  <c r="AR200" i="57"/>
  <c r="CH235" i="57"/>
  <c r="AR188" i="57"/>
  <c r="BZ197" i="57"/>
  <c r="CA93" i="57"/>
  <c r="CB93" i="57" s="1"/>
  <c r="CC93" i="57" s="1"/>
  <c r="CD93" i="57" s="1"/>
  <c r="CE93" i="57" s="1"/>
  <c r="CF93" i="57" s="1"/>
  <c r="CG93" i="57" s="1"/>
  <c r="CA58" i="57"/>
  <c r="CB58" i="57" s="1"/>
  <c r="CC58" i="57" s="1"/>
  <c r="CD58" i="57" s="1"/>
  <c r="CE58" i="57" s="1"/>
  <c r="CF58" i="57" s="1"/>
  <c r="CG58" i="57" s="1"/>
  <c r="AK155" i="57"/>
  <c r="AL155" i="57" s="1"/>
  <c r="AM155" i="57" s="1"/>
  <c r="AN155" i="57" s="1"/>
  <c r="AO155" i="57" s="1"/>
  <c r="AP155" i="57" s="1"/>
  <c r="AQ155" i="57" s="1"/>
  <c r="AK182" i="62"/>
  <c r="AI182" i="62"/>
  <c r="AG182" i="62"/>
  <c r="AC182" i="62"/>
  <c r="AA182" i="62"/>
  <c r="AE182" i="62"/>
  <c r="CH127" i="57"/>
  <c r="CH88" i="57"/>
  <c r="CH114" i="57"/>
  <c r="CH39" i="57"/>
  <c r="CH225" i="57"/>
  <c r="CH118" i="57"/>
  <c r="AR168" i="57"/>
  <c r="AR152" i="57"/>
  <c r="AR120" i="57"/>
  <c r="CH115" i="57"/>
  <c r="CH55" i="57"/>
  <c r="AK29" i="57"/>
  <c r="AL29" i="57" s="1"/>
  <c r="AM29" i="57" s="1"/>
  <c r="AN29" i="57" s="1"/>
  <c r="AO29" i="57" s="1"/>
  <c r="AP29" i="57" s="1"/>
  <c r="AQ29" i="57" s="1"/>
  <c r="CH76" i="57"/>
  <c r="CH60" i="57"/>
  <c r="AR183" i="62"/>
  <c r="G182" i="62"/>
  <c r="C185" i="62"/>
  <c r="B186" i="62"/>
  <c r="AR186" i="62" s="1"/>
  <c r="A187" i="62"/>
  <c r="A188" i="62"/>
  <c r="A186" i="67"/>
  <c r="A187" i="67"/>
  <c r="F186" i="62"/>
  <c r="D186" i="62"/>
  <c r="C184" i="62"/>
  <c r="B185" i="62"/>
  <c r="E186" i="62"/>
  <c r="BZ25" i="57" l="1"/>
  <c r="CA25" i="57" s="1"/>
  <c r="CB25" i="57" s="1"/>
  <c r="CC25" i="57" s="1"/>
  <c r="CD25" i="57" s="1"/>
  <c r="CE25" i="57" s="1"/>
  <c r="CF25" i="57" s="1"/>
  <c r="CG25" i="57" s="1"/>
  <c r="CH24" i="57"/>
  <c r="BZ23" i="57"/>
  <c r="CA23" i="57" s="1"/>
  <c r="CB23" i="57" s="1"/>
  <c r="CC23" i="57" s="1"/>
  <c r="CD23" i="57" s="1"/>
  <c r="CE23" i="57" s="1"/>
  <c r="CF23" i="57" s="1"/>
  <c r="CG23" i="57" s="1"/>
  <c r="BZ19" i="57"/>
  <c r="AR143" i="57"/>
  <c r="BZ17" i="57"/>
  <c r="CA17" i="57" s="1"/>
  <c r="CB17" i="57" s="1"/>
  <c r="CC17" i="57" s="1"/>
  <c r="CD17" i="57" s="1"/>
  <c r="CE17" i="57" s="1"/>
  <c r="CF17" i="57" s="1"/>
  <c r="CG17" i="57" s="1"/>
  <c r="CH15" i="57"/>
  <c r="CH16" i="57"/>
  <c r="CH237" i="57"/>
  <c r="AR49" i="57"/>
  <c r="AR128" i="57"/>
  <c r="AR105" i="57"/>
  <c r="BR20" i="57"/>
  <c r="BS20" i="57" s="1"/>
  <c r="BT20" i="57" s="1"/>
  <c r="BU20" i="57" s="1"/>
  <c r="BV20" i="57" s="1"/>
  <c r="BW20" i="57" s="1"/>
  <c r="BX20" i="57" s="1"/>
  <c r="BY20" i="57" s="1"/>
  <c r="BZ20" i="57" s="1"/>
  <c r="CH111" i="57"/>
  <c r="AR66" i="57"/>
  <c r="AR73" i="57"/>
  <c r="CH190" i="57"/>
  <c r="AR191" i="57"/>
  <c r="CH126" i="57"/>
  <c r="CH48" i="57"/>
  <c r="AR247" i="57"/>
  <c r="AR174" i="57"/>
  <c r="AR76" i="57"/>
  <c r="AR39" i="57"/>
  <c r="AR146" i="57"/>
  <c r="AR210" i="57"/>
  <c r="AR147" i="57"/>
  <c r="CH56" i="57"/>
  <c r="AR38" i="57"/>
  <c r="CH80" i="57"/>
  <c r="AR111" i="57"/>
  <c r="AR27" i="57"/>
  <c r="CH191" i="57"/>
  <c r="AR8" i="57"/>
  <c r="AR206" i="57"/>
  <c r="CH49" i="57"/>
  <c r="AR179" i="57"/>
  <c r="AR185" i="57"/>
  <c r="CH79" i="57"/>
  <c r="CH221" i="57"/>
  <c r="AR246" i="57"/>
  <c r="AR58" i="57"/>
  <c r="AR23" i="57"/>
  <c r="AR183" i="57"/>
  <c r="AR199" i="57"/>
  <c r="AR75" i="57"/>
  <c r="AR84" i="57"/>
  <c r="CH189" i="57"/>
  <c r="CH155" i="57"/>
  <c r="AR221" i="57"/>
  <c r="AR67" i="57"/>
  <c r="AR192" i="57"/>
  <c r="CH50" i="57"/>
  <c r="CH92" i="57"/>
  <c r="AR187" i="57"/>
  <c r="CH65" i="57"/>
  <c r="CH204" i="57"/>
  <c r="AR140" i="57"/>
  <c r="AR85" i="57"/>
  <c r="CH194" i="57"/>
  <c r="AR77" i="57"/>
  <c r="CH162" i="57"/>
  <c r="AR160" i="57"/>
  <c r="AR30" i="57"/>
  <c r="AR110" i="57"/>
  <c r="CH101" i="57"/>
  <c r="CH180" i="57"/>
  <c r="AR197" i="57"/>
  <c r="AR47" i="57"/>
  <c r="CH169" i="57"/>
  <c r="CH233" i="57"/>
  <c r="CH40" i="57"/>
  <c r="AR163" i="57"/>
  <c r="AR170" i="57"/>
  <c r="AR175" i="57"/>
  <c r="CH232" i="57"/>
  <c r="AR181" i="57"/>
  <c r="CH96" i="57"/>
  <c r="CH23" i="57"/>
  <c r="AR19" i="57"/>
  <c r="CH177" i="57"/>
  <c r="AR171" i="57"/>
  <c r="CH85" i="57"/>
  <c r="AR234" i="57"/>
  <c r="CH78" i="57"/>
  <c r="AR64" i="57"/>
  <c r="CH213" i="57"/>
  <c r="CH105" i="57"/>
  <c r="AR145" i="57"/>
  <c r="AR121" i="57"/>
  <c r="AR69" i="57"/>
  <c r="AR242" i="57"/>
  <c r="AR244" i="57"/>
  <c r="AR90" i="57"/>
  <c r="AR224" i="57"/>
  <c r="CH195" i="57"/>
  <c r="AR184" i="57"/>
  <c r="CH153" i="57"/>
  <c r="AR249" i="57"/>
  <c r="AR217" i="57"/>
  <c r="AR165" i="57"/>
  <c r="AR157" i="57"/>
  <c r="AR209" i="57"/>
  <c r="AR180" i="57"/>
  <c r="AR62" i="57"/>
  <c r="AR212" i="57"/>
  <c r="AR219" i="57"/>
  <c r="AR214" i="57"/>
  <c r="AR239" i="57"/>
  <c r="AR229" i="57"/>
  <c r="BZ13" i="57"/>
  <c r="CA13" i="57" s="1"/>
  <c r="CB13" i="57" s="1"/>
  <c r="CC13" i="57" s="1"/>
  <c r="CD13" i="57" s="1"/>
  <c r="CE13" i="57" s="1"/>
  <c r="CF13" i="57" s="1"/>
  <c r="CG13" i="57" s="1"/>
  <c r="CH236" i="57"/>
  <c r="CH181" i="57"/>
  <c r="CH62" i="57"/>
  <c r="AR9" i="57"/>
  <c r="CH138" i="57"/>
  <c r="AK131" i="57"/>
  <c r="AL131" i="57" s="1"/>
  <c r="AM131" i="57" s="1"/>
  <c r="AN131" i="57" s="1"/>
  <c r="AO131" i="57" s="1"/>
  <c r="AP131" i="57" s="1"/>
  <c r="AQ131" i="57" s="1"/>
  <c r="AR104" i="57"/>
  <c r="CH68" i="57"/>
  <c r="AR43" i="57"/>
  <c r="AR159" i="57"/>
  <c r="AR138" i="57"/>
  <c r="CH193" i="57"/>
  <c r="AR45" i="57"/>
  <c r="AR60" i="57"/>
  <c r="AR83" i="57"/>
  <c r="AR233" i="57"/>
  <c r="AK68" i="57"/>
  <c r="AL68" i="57" s="1"/>
  <c r="AM68" i="57" s="1"/>
  <c r="AN68" i="57" s="1"/>
  <c r="AO68" i="57" s="1"/>
  <c r="AP68" i="57" s="1"/>
  <c r="AQ68" i="57" s="1"/>
  <c r="CA102" i="57"/>
  <c r="CB102" i="57" s="1"/>
  <c r="CC102" i="57" s="1"/>
  <c r="CD102" i="57" s="1"/>
  <c r="CE102" i="57" s="1"/>
  <c r="CF102" i="57" s="1"/>
  <c r="CG102" i="57" s="1"/>
  <c r="CH145" i="57"/>
  <c r="AR177" i="57"/>
  <c r="AR99" i="57"/>
  <c r="CH51" i="57"/>
  <c r="AR22" i="57"/>
  <c r="AR194" i="57"/>
  <c r="CH222" i="57"/>
  <c r="CA151" i="57"/>
  <c r="CB151" i="57" s="1"/>
  <c r="CC151" i="57" s="1"/>
  <c r="CD151" i="57" s="1"/>
  <c r="CE151" i="57" s="1"/>
  <c r="CF151" i="57" s="1"/>
  <c r="CG151" i="57" s="1"/>
  <c r="BZ9" i="57"/>
  <c r="CA9" i="57" s="1"/>
  <c r="CB9" i="57" s="1"/>
  <c r="CC9" i="57" s="1"/>
  <c r="CD9" i="57" s="1"/>
  <c r="CE9" i="57" s="1"/>
  <c r="CF9" i="57" s="1"/>
  <c r="CG9" i="57" s="1"/>
  <c r="AR189" i="57"/>
  <c r="AR101" i="57"/>
  <c r="AK241" i="57"/>
  <c r="AL241" i="57" s="1"/>
  <c r="AM241" i="57" s="1"/>
  <c r="AN241" i="57" s="1"/>
  <c r="AO241" i="57" s="1"/>
  <c r="AP241" i="57" s="1"/>
  <c r="AQ241" i="57" s="1"/>
  <c r="CH228" i="57"/>
  <c r="AR10" i="57"/>
  <c r="AR59" i="57"/>
  <c r="AR102" i="57"/>
  <c r="AR5" i="57"/>
  <c r="AR33" i="57"/>
  <c r="AR87" i="57"/>
  <c r="CH227" i="57"/>
  <c r="CH170" i="57"/>
  <c r="AR228" i="57"/>
  <c r="CH241" i="57"/>
  <c r="CH69" i="57"/>
  <c r="CH41" i="57"/>
  <c r="AR97" i="57"/>
  <c r="AR44" i="57"/>
  <c r="BZ91" i="57"/>
  <c r="CA91" i="57" s="1"/>
  <c r="CB91" i="57" s="1"/>
  <c r="CC91" i="57" s="1"/>
  <c r="CD91" i="57" s="1"/>
  <c r="CE91" i="57" s="1"/>
  <c r="CF91" i="57" s="1"/>
  <c r="CG91" i="57" s="1"/>
  <c r="AR129" i="57"/>
  <c r="AR166" i="57"/>
  <c r="CH139" i="57"/>
  <c r="CH137" i="57"/>
  <c r="AR137" i="57"/>
  <c r="CH109" i="57"/>
  <c r="CH18" i="57"/>
  <c r="CH182" i="57"/>
  <c r="CH87" i="57"/>
  <c r="AR248" i="57"/>
  <c r="AR201" i="57"/>
  <c r="AR13" i="57"/>
  <c r="CH25" i="57"/>
  <c r="AR88" i="57"/>
  <c r="AR240" i="57"/>
  <c r="CH152" i="57"/>
  <c r="AR116" i="57"/>
  <c r="AR124" i="57"/>
  <c r="BZ8" i="57"/>
  <c r="CA8" i="57" s="1"/>
  <c r="CB8" i="57" s="1"/>
  <c r="CC8" i="57" s="1"/>
  <c r="CD8" i="57" s="1"/>
  <c r="CE8" i="57" s="1"/>
  <c r="CF8" i="57" s="1"/>
  <c r="CG8" i="57" s="1"/>
  <c r="AR232" i="57"/>
  <c r="CH43" i="57"/>
  <c r="CH98" i="57"/>
  <c r="CA161" i="57"/>
  <c r="CB161" i="57" s="1"/>
  <c r="CC161" i="57" s="1"/>
  <c r="CD161" i="57" s="1"/>
  <c r="CE161" i="57" s="1"/>
  <c r="CF161" i="57" s="1"/>
  <c r="CG161" i="57" s="1"/>
  <c r="AR103" i="57"/>
  <c r="BZ7" i="57"/>
  <c r="CA7" i="57" s="1"/>
  <c r="CB7" i="57" s="1"/>
  <c r="CC7" i="57" s="1"/>
  <c r="CD7" i="57" s="1"/>
  <c r="CE7" i="57" s="1"/>
  <c r="CF7" i="57" s="1"/>
  <c r="CG7" i="57" s="1"/>
  <c r="AR107" i="57"/>
  <c r="CH70" i="57"/>
  <c r="AR86" i="57"/>
  <c r="BZ12" i="57"/>
  <c r="CA12" i="57" s="1"/>
  <c r="CB12" i="57" s="1"/>
  <c r="CC12" i="57" s="1"/>
  <c r="CD12" i="57" s="1"/>
  <c r="CE12" i="57" s="1"/>
  <c r="CF12" i="57" s="1"/>
  <c r="CG12" i="57" s="1"/>
  <c r="CH59" i="57"/>
  <c r="AR223" i="57"/>
  <c r="AR21" i="57"/>
  <c r="CH10" i="57"/>
  <c r="AK211" i="57"/>
  <c r="AL211" i="57" s="1"/>
  <c r="AM211" i="57" s="1"/>
  <c r="AN211" i="57" s="1"/>
  <c r="AO211" i="57" s="1"/>
  <c r="AP211" i="57" s="1"/>
  <c r="AQ211" i="57" s="1"/>
  <c r="AK118" i="57"/>
  <c r="AL118" i="57" s="1"/>
  <c r="AM118" i="57" s="1"/>
  <c r="AN118" i="57" s="1"/>
  <c r="AO118" i="57" s="1"/>
  <c r="AP118" i="57" s="1"/>
  <c r="AQ118" i="57" s="1"/>
  <c r="AR18" i="57"/>
  <c r="AJ61" i="57"/>
  <c r="AR190" i="57"/>
  <c r="CH229" i="57"/>
  <c r="AR25" i="57"/>
  <c r="BZ5" i="57"/>
  <c r="CA5" i="57" s="1"/>
  <c r="CB5" i="57" s="1"/>
  <c r="CC5" i="57" s="1"/>
  <c r="CD5" i="57" s="1"/>
  <c r="CE5" i="57" s="1"/>
  <c r="CF5" i="57" s="1"/>
  <c r="CG5" i="57" s="1"/>
  <c r="BZ11" i="57"/>
  <c r="CA11" i="57" s="1"/>
  <c r="CB11" i="57" s="1"/>
  <c r="CC11" i="57" s="1"/>
  <c r="CD11" i="57" s="1"/>
  <c r="CE11" i="57" s="1"/>
  <c r="CF11" i="57" s="1"/>
  <c r="CG11" i="57" s="1"/>
  <c r="AR122" i="57"/>
  <c r="AK139" i="57"/>
  <c r="AL139" i="57" s="1"/>
  <c r="AM139" i="57" s="1"/>
  <c r="AN139" i="57" s="1"/>
  <c r="AO139" i="57" s="1"/>
  <c r="AP139" i="57" s="1"/>
  <c r="AQ139" i="57" s="1"/>
  <c r="BZ6" i="57"/>
  <c r="AJ164" i="57"/>
  <c r="CA19" i="57"/>
  <c r="CB19" i="57" s="1"/>
  <c r="CC19" i="57" s="1"/>
  <c r="CD19" i="57" s="1"/>
  <c r="CE19" i="57" s="1"/>
  <c r="CF19" i="57" s="1"/>
  <c r="CG19" i="57" s="1"/>
  <c r="AR132" i="57"/>
  <c r="AR176" i="57"/>
  <c r="BZ205" i="57"/>
  <c r="CA205" i="57" s="1"/>
  <c r="CB205" i="57" s="1"/>
  <c r="CC205" i="57" s="1"/>
  <c r="CD205" i="57" s="1"/>
  <c r="CE205" i="57" s="1"/>
  <c r="CF205" i="57" s="1"/>
  <c r="CG205" i="57" s="1"/>
  <c r="CH57" i="57"/>
  <c r="AJ74" i="57"/>
  <c r="AK74" i="57" s="1"/>
  <c r="AL74" i="57" s="1"/>
  <c r="AM74" i="57" s="1"/>
  <c r="AN74" i="57" s="1"/>
  <c r="AO74" i="57" s="1"/>
  <c r="AP74" i="57" s="1"/>
  <c r="AQ74" i="57" s="1"/>
  <c r="AJ35" i="57"/>
  <c r="AK35" i="57" s="1"/>
  <c r="AL35" i="57" s="1"/>
  <c r="AM35" i="57" s="1"/>
  <c r="AN35" i="57" s="1"/>
  <c r="AO35" i="57" s="1"/>
  <c r="AP35" i="57" s="1"/>
  <c r="AQ35" i="57" s="1"/>
  <c r="BZ185" i="57"/>
  <c r="AJ63" i="57"/>
  <c r="AK63" i="57" s="1"/>
  <c r="AL63" i="57" s="1"/>
  <c r="AM63" i="57" s="1"/>
  <c r="AN63" i="57" s="1"/>
  <c r="AO63" i="57" s="1"/>
  <c r="AP63" i="57" s="1"/>
  <c r="AQ63" i="57" s="1"/>
  <c r="CA134" i="57"/>
  <c r="CB134" i="57" s="1"/>
  <c r="CC134" i="57" s="1"/>
  <c r="CD134" i="57" s="1"/>
  <c r="CE134" i="57" s="1"/>
  <c r="CF134" i="57" s="1"/>
  <c r="CG134" i="57" s="1"/>
  <c r="CH219" i="57"/>
  <c r="AJ162" i="57"/>
  <c r="CH63" i="57"/>
  <c r="AJ11" i="57"/>
  <c r="AK11" i="57" s="1"/>
  <c r="AL11" i="57" s="1"/>
  <c r="AM11" i="57" s="1"/>
  <c r="AN11" i="57" s="1"/>
  <c r="AO11" i="57" s="1"/>
  <c r="AP11" i="57" s="1"/>
  <c r="AQ11" i="57" s="1"/>
  <c r="AR106" i="57"/>
  <c r="CH168" i="57"/>
  <c r="CH144" i="57"/>
  <c r="AK96" i="57"/>
  <c r="AL96" i="57" s="1"/>
  <c r="AM96" i="57" s="1"/>
  <c r="AN96" i="57" s="1"/>
  <c r="AO96" i="57" s="1"/>
  <c r="AP96" i="57" s="1"/>
  <c r="AQ96" i="57" s="1"/>
  <c r="CA136" i="57"/>
  <c r="CB136" i="57" s="1"/>
  <c r="CC136" i="57" s="1"/>
  <c r="CD136" i="57" s="1"/>
  <c r="CE136" i="57" s="1"/>
  <c r="CF136" i="57" s="1"/>
  <c r="CG136" i="57" s="1"/>
  <c r="AJ71" i="57"/>
  <c r="AK71" i="57" s="1"/>
  <c r="AL71" i="57" s="1"/>
  <c r="AM71" i="57" s="1"/>
  <c r="AN71" i="57" s="1"/>
  <c r="AO71" i="57" s="1"/>
  <c r="AP71" i="57" s="1"/>
  <c r="AQ71" i="57" s="1"/>
  <c r="CH172" i="57"/>
  <c r="AK126" i="57"/>
  <c r="AL126" i="57" s="1"/>
  <c r="AM126" i="57" s="1"/>
  <c r="AN126" i="57" s="1"/>
  <c r="AO126" i="57" s="1"/>
  <c r="AP126" i="57" s="1"/>
  <c r="AQ126" i="57" s="1"/>
  <c r="CH207" i="57"/>
  <c r="BZ200" i="57"/>
  <c r="BZ239" i="57"/>
  <c r="AJ91" i="57"/>
  <c r="AJ57" i="57"/>
  <c r="AK57" i="57" s="1"/>
  <c r="AL57" i="57" s="1"/>
  <c r="AM57" i="57" s="1"/>
  <c r="AN57" i="57" s="1"/>
  <c r="AO57" i="57" s="1"/>
  <c r="AP57" i="57" s="1"/>
  <c r="AQ57" i="57" s="1"/>
  <c r="AJ81" i="57"/>
  <c r="AK81" i="57" s="1"/>
  <c r="AL81" i="57" s="1"/>
  <c r="AM81" i="57" s="1"/>
  <c r="AN81" i="57" s="1"/>
  <c r="AO81" i="57" s="1"/>
  <c r="AP81" i="57" s="1"/>
  <c r="AQ81" i="57" s="1"/>
  <c r="AR235" i="57"/>
  <c r="AJ36" i="57"/>
  <c r="AK36" i="57" s="1"/>
  <c r="AL36" i="57" s="1"/>
  <c r="AM36" i="57" s="1"/>
  <c r="AN36" i="57" s="1"/>
  <c r="AO36" i="57" s="1"/>
  <c r="AP36" i="57" s="1"/>
  <c r="AQ36" i="57" s="1"/>
  <c r="AJ48" i="57"/>
  <c r="AK48" i="57" s="1"/>
  <c r="AL48" i="57" s="1"/>
  <c r="AM48" i="57" s="1"/>
  <c r="AN48" i="57" s="1"/>
  <c r="AO48" i="57" s="1"/>
  <c r="AP48" i="57" s="1"/>
  <c r="AQ48" i="57" s="1"/>
  <c r="CA130" i="57"/>
  <c r="CB130" i="57" s="1"/>
  <c r="CC130" i="57" s="1"/>
  <c r="CD130" i="57" s="1"/>
  <c r="CE130" i="57" s="1"/>
  <c r="CF130" i="57" s="1"/>
  <c r="CG130" i="57" s="1"/>
  <c r="AK151" i="57"/>
  <c r="AL151" i="57" s="1"/>
  <c r="AM151" i="57" s="1"/>
  <c r="AN151" i="57" s="1"/>
  <c r="AO151" i="57" s="1"/>
  <c r="AP151" i="57" s="1"/>
  <c r="AQ151" i="57" s="1"/>
  <c r="BZ106" i="57"/>
  <c r="CA106" i="57" s="1"/>
  <c r="CB106" i="57" s="1"/>
  <c r="CC106" i="57" s="1"/>
  <c r="CD106" i="57" s="1"/>
  <c r="CE106" i="57" s="1"/>
  <c r="CF106" i="57" s="1"/>
  <c r="CG106" i="57" s="1"/>
  <c r="AR202" i="57"/>
  <c r="CA142" i="57"/>
  <c r="CB142" i="57" s="1"/>
  <c r="CC142" i="57" s="1"/>
  <c r="CD142" i="57" s="1"/>
  <c r="CE142" i="57" s="1"/>
  <c r="CF142" i="57" s="1"/>
  <c r="CG142" i="57" s="1"/>
  <c r="BZ74" i="57"/>
  <c r="AJ236" i="57"/>
  <c r="CH90" i="57"/>
  <c r="AJ150" i="57"/>
  <c r="AK213" i="57"/>
  <c r="AL213" i="57" s="1"/>
  <c r="AM213" i="57" s="1"/>
  <c r="AN213" i="57" s="1"/>
  <c r="AO213" i="57" s="1"/>
  <c r="AP213" i="57" s="1"/>
  <c r="AQ213" i="57" s="1"/>
  <c r="AK100" i="57"/>
  <c r="AL100" i="57" s="1"/>
  <c r="AM100" i="57" s="1"/>
  <c r="AN100" i="57" s="1"/>
  <c r="AO100" i="57" s="1"/>
  <c r="AP100" i="57" s="1"/>
  <c r="AQ100" i="57" s="1"/>
  <c r="CA209" i="57"/>
  <c r="CB209" i="57" s="1"/>
  <c r="CC209" i="57" s="1"/>
  <c r="CD209" i="57" s="1"/>
  <c r="CE209" i="57" s="1"/>
  <c r="CF209" i="57" s="1"/>
  <c r="CG209" i="57" s="1"/>
  <c r="AJ51" i="57"/>
  <c r="CA216" i="57"/>
  <c r="CB216" i="57" s="1"/>
  <c r="CC216" i="57" s="1"/>
  <c r="CD216" i="57" s="1"/>
  <c r="CE216" i="57" s="1"/>
  <c r="CF216" i="57" s="1"/>
  <c r="CG216" i="57" s="1"/>
  <c r="CH216" i="57" s="1"/>
  <c r="CA30" i="57"/>
  <c r="CB30" i="57" s="1"/>
  <c r="CC30" i="57" s="1"/>
  <c r="CD30" i="57" s="1"/>
  <c r="CE30" i="57" s="1"/>
  <c r="CF30" i="57" s="1"/>
  <c r="CG30" i="57" s="1"/>
  <c r="CA123" i="57"/>
  <c r="CB123" i="57" s="1"/>
  <c r="CC123" i="57" s="1"/>
  <c r="CD123" i="57" s="1"/>
  <c r="CE123" i="57" s="1"/>
  <c r="CF123" i="57" s="1"/>
  <c r="CG123" i="57" s="1"/>
  <c r="CA22" i="57"/>
  <c r="CB22" i="57" s="1"/>
  <c r="CC22" i="57" s="1"/>
  <c r="CD22" i="57" s="1"/>
  <c r="CE22" i="57" s="1"/>
  <c r="CF22" i="57" s="1"/>
  <c r="CG22" i="57" s="1"/>
  <c r="CA54" i="57"/>
  <c r="CB54" i="57" s="1"/>
  <c r="CC54" i="57" s="1"/>
  <c r="CD54" i="57" s="1"/>
  <c r="CE54" i="57" s="1"/>
  <c r="CF54" i="57" s="1"/>
  <c r="CG54" i="57" s="1"/>
  <c r="CA66" i="57"/>
  <c r="CB66" i="57" s="1"/>
  <c r="CC66" i="57" s="1"/>
  <c r="CD66" i="57" s="1"/>
  <c r="CE66" i="57" s="1"/>
  <c r="CF66" i="57" s="1"/>
  <c r="CG66" i="57" s="1"/>
  <c r="AK50" i="57"/>
  <c r="AL50" i="57" s="1"/>
  <c r="AM50" i="57" s="1"/>
  <c r="AN50" i="57" s="1"/>
  <c r="AO50" i="57" s="1"/>
  <c r="AP50" i="57" s="1"/>
  <c r="AQ50" i="57" s="1"/>
  <c r="AK98" i="57"/>
  <c r="AL98" i="57" s="1"/>
  <c r="AM98" i="57" s="1"/>
  <c r="AN98" i="57" s="1"/>
  <c r="AO98" i="57" s="1"/>
  <c r="AP98" i="57" s="1"/>
  <c r="AQ98" i="57" s="1"/>
  <c r="CA240" i="57"/>
  <c r="CB240" i="57" s="1"/>
  <c r="CC240" i="57" s="1"/>
  <c r="CD240" i="57" s="1"/>
  <c r="CE240" i="57" s="1"/>
  <c r="CF240" i="57" s="1"/>
  <c r="CG240" i="57" s="1"/>
  <c r="CA150" i="57"/>
  <c r="CB150" i="57" s="1"/>
  <c r="CC150" i="57" s="1"/>
  <c r="CD150" i="57" s="1"/>
  <c r="CE150" i="57" s="1"/>
  <c r="CF150" i="57" s="1"/>
  <c r="CG150" i="57" s="1"/>
  <c r="AK193" i="57"/>
  <c r="AL193" i="57" s="1"/>
  <c r="AM193" i="57" s="1"/>
  <c r="AN193" i="57" s="1"/>
  <c r="AO193" i="57" s="1"/>
  <c r="AP193" i="57" s="1"/>
  <c r="AQ193" i="57" s="1"/>
  <c r="CA42" i="57"/>
  <c r="CB42" i="57" s="1"/>
  <c r="CC42" i="57" s="1"/>
  <c r="CD42" i="57" s="1"/>
  <c r="CE42" i="57" s="1"/>
  <c r="CF42" i="57" s="1"/>
  <c r="CG42" i="57" s="1"/>
  <c r="CA71" i="57"/>
  <c r="CB71" i="57" s="1"/>
  <c r="CC71" i="57" s="1"/>
  <c r="CD71" i="57" s="1"/>
  <c r="CE71" i="57" s="1"/>
  <c r="CF71" i="57" s="1"/>
  <c r="CG71" i="57" s="1"/>
  <c r="CA141" i="57"/>
  <c r="CB141" i="57" s="1"/>
  <c r="CC141" i="57" s="1"/>
  <c r="CD141" i="57" s="1"/>
  <c r="CE141" i="57" s="1"/>
  <c r="CF141" i="57" s="1"/>
  <c r="CG141" i="57" s="1"/>
  <c r="BZ201" i="57"/>
  <c r="CA64" i="57"/>
  <c r="CB64" i="57" s="1"/>
  <c r="CC64" i="57" s="1"/>
  <c r="CD64" i="57" s="1"/>
  <c r="CE64" i="57" s="1"/>
  <c r="CF64" i="57" s="1"/>
  <c r="CG64" i="57" s="1"/>
  <c r="AK231" i="57"/>
  <c r="AL231" i="57" s="1"/>
  <c r="AM231" i="57" s="1"/>
  <c r="AN231" i="57" s="1"/>
  <c r="AO231" i="57" s="1"/>
  <c r="AP231" i="57" s="1"/>
  <c r="AQ231" i="57" s="1"/>
  <c r="CA26" i="57"/>
  <c r="CB26" i="57" s="1"/>
  <c r="CC26" i="57" s="1"/>
  <c r="CD26" i="57" s="1"/>
  <c r="CE26" i="57" s="1"/>
  <c r="CF26" i="57" s="1"/>
  <c r="CG26" i="57" s="1"/>
  <c r="AJ17" i="57"/>
  <c r="AR225" i="57"/>
  <c r="AR148" i="57"/>
  <c r="AJ16" i="57"/>
  <c r="AJ55" i="57"/>
  <c r="BZ140" i="57"/>
  <c r="AJ127" i="57"/>
  <c r="BZ47" i="57"/>
  <c r="BZ46" i="57"/>
  <c r="AJ250" i="57"/>
  <c r="AJ207" i="57"/>
  <c r="CH188" i="57"/>
  <c r="AK133" i="57"/>
  <c r="AL133" i="57" s="1"/>
  <c r="AM133" i="57" s="1"/>
  <c r="AN133" i="57" s="1"/>
  <c r="AO133" i="57" s="1"/>
  <c r="AP133" i="57" s="1"/>
  <c r="AQ133" i="57" s="1"/>
  <c r="BZ67" i="57"/>
  <c r="AJ230" i="57"/>
  <c r="AK253" i="57"/>
  <c r="AL253" i="57" s="1"/>
  <c r="AM253" i="57" s="1"/>
  <c r="AN253" i="57" s="1"/>
  <c r="AO253" i="57" s="1"/>
  <c r="AP253" i="57" s="1"/>
  <c r="AQ253" i="57" s="1"/>
  <c r="BZ100" i="57"/>
  <c r="CA73" i="57"/>
  <c r="CB73" i="57" s="1"/>
  <c r="CC73" i="57" s="1"/>
  <c r="CD73" i="57" s="1"/>
  <c r="CE73" i="57" s="1"/>
  <c r="CF73" i="57" s="1"/>
  <c r="CG73" i="57" s="1"/>
  <c r="AK196" i="57"/>
  <c r="AL196" i="57" s="1"/>
  <c r="AM196" i="57" s="1"/>
  <c r="AN196" i="57" s="1"/>
  <c r="AO196" i="57" s="1"/>
  <c r="AP196" i="57" s="1"/>
  <c r="AQ196" i="57" s="1"/>
  <c r="AK42" i="57"/>
  <c r="AL42" i="57" s="1"/>
  <c r="AM42" i="57" s="1"/>
  <c r="AN42" i="57" s="1"/>
  <c r="AO42" i="57" s="1"/>
  <c r="AP42" i="57" s="1"/>
  <c r="AQ42" i="57" s="1"/>
  <c r="AK41" i="57"/>
  <c r="AL41" i="57" s="1"/>
  <c r="AM41" i="57" s="1"/>
  <c r="AN41" i="57" s="1"/>
  <c r="AO41" i="57" s="1"/>
  <c r="AP41" i="57" s="1"/>
  <c r="AQ41" i="57" s="1"/>
  <c r="AK182" i="57"/>
  <c r="AL182" i="57" s="1"/>
  <c r="AM182" i="57" s="1"/>
  <c r="AN182" i="57" s="1"/>
  <c r="AO182" i="57" s="1"/>
  <c r="AP182" i="57" s="1"/>
  <c r="AQ182" i="57" s="1"/>
  <c r="AK222" i="57"/>
  <c r="AL222" i="57" s="1"/>
  <c r="AM222" i="57" s="1"/>
  <c r="AN222" i="57" s="1"/>
  <c r="AO222" i="57" s="1"/>
  <c r="AP222" i="57" s="1"/>
  <c r="AQ222" i="57" s="1"/>
  <c r="AK144" i="57"/>
  <c r="AL144" i="57" s="1"/>
  <c r="AM144" i="57" s="1"/>
  <c r="AN144" i="57" s="1"/>
  <c r="AO144" i="57" s="1"/>
  <c r="AP144" i="57" s="1"/>
  <c r="AQ144" i="57" s="1"/>
  <c r="CA247" i="57"/>
  <c r="CB247" i="57" s="1"/>
  <c r="CC247" i="57" s="1"/>
  <c r="CD247" i="57" s="1"/>
  <c r="CE247" i="57" s="1"/>
  <c r="CF247" i="57" s="1"/>
  <c r="CG247" i="57" s="1"/>
  <c r="AK78" i="57"/>
  <c r="AL78" i="57" s="1"/>
  <c r="AM78" i="57" s="1"/>
  <c r="AN78" i="57" s="1"/>
  <c r="AO78" i="57" s="1"/>
  <c r="AP78" i="57" s="1"/>
  <c r="AQ78" i="57" s="1"/>
  <c r="AK172" i="57"/>
  <c r="AL172" i="57" s="1"/>
  <c r="AM172" i="57" s="1"/>
  <c r="AN172" i="57" s="1"/>
  <c r="AO172" i="57" s="1"/>
  <c r="AP172" i="57" s="1"/>
  <c r="AQ172" i="57" s="1"/>
  <c r="AK125" i="57"/>
  <c r="AL125" i="57" s="1"/>
  <c r="AM125" i="57" s="1"/>
  <c r="AN125" i="57" s="1"/>
  <c r="AO125" i="57" s="1"/>
  <c r="AP125" i="57" s="1"/>
  <c r="AQ125" i="57" s="1"/>
  <c r="AK167" i="57"/>
  <c r="AL167" i="57" s="1"/>
  <c r="AM167" i="57" s="1"/>
  <c r="AN167" i="57" s="1"/>
  <c r="AO167" i="57" s="1"/>
  <c r="AP167" i="57" s="1"/>
  <c r="AQ167" i="57" s="1"/>
  <c r="CA199" i="57"/>
  <c r="CB199" i="57" s="1"/>
  <c r="CC199" i="57" s="1"/>
  <c r="CD199" i="57" s="1"/>
  <c r="CE199" i="57" s="1"/>
  <c r="CF199" i="57" s="1"/>
  <c r="CG199" i="57" s="1"/>
  <c r="AK72" i="57"/>
  <c r="AL72" i="57" s="1"/>
  <c r="AM72" i="57" s="1"/>
  <c r="AN72" i="57" s="1"/>
  <c r="AO72" i="57" s="1"/>
  <c r="AP72" i="57" s="1"/>
  <c r="AQ72" i="57" s="1"/>
  <c r="AK7" i="57"/>
  <c r="AL7" i="57" s="1"/>
  <c r="AM7" i="57" s="1"/>
  <c r="AN7" i="57" s="1"/>
  <c r="AO7" i="57" s="1"/>
  <c r="AP7" i="57" s="1"/>
  <c r="AQ7" i="57" s="1"/>
  <c r="AK208" i="57"/>
  <c r="AL208" i="57" s="1"/>
  <c r="AM208" i="57" s="1"/>
  <c r="AN208" i="57" s="1"/>
  <c r="AO208" i="57" s="1"/>
  <c r="AP208" i="57" s="1"/>
  <c r="AQ208" i="57" s="1"/>
  <c r="AK141" i="57"/>
  <c r="AL141" i="57" s="1"/>
  <c r="AM141" i="57" s="1"/>
  <c r="AN141" i="57" s="1"/>
  <c r="AO141" i="57" s="1"/>
  <c r="AP141" i="57" s="1"/>
  <c r="AQ141" i="57" s="1"/>
  <c r="CA167" i="57"/>
  <c r="CB167" i="57" s="1"/>
  <c r="CC167" i="57" s="1"/>
  <c r="CD167" i="57" s="1"/>
  <c r="CE167" i="57" s="1"/>
  <c r="CF167" i="57" s="1"/>
  <c r="CG167" i="57" s="1"/>
  <c r="CA174" i="57"/>
  <c r="CB174" i="57" s="1"/>
  <c r="CC174" i="57" s="1"/>
  <c r="CD174" i="57" s="1"/>
  <c r="CE174" i="57" s="1"/>
  <c r="CF174" i="57" s="1"/>
  <c r="CG174" i="57" s="1"/>
  <c r="AJ52" i="57"/>
  <c r="AK238" i="57"/>
  <c r="AL238" i="57" s="1"/>
  <c r="AM238" i="57" s="1"/>
  <c r="AN238" i="57" s="1"/>
  <c r="AO238" i="57" s="1"/>
  <c r="AP238" i="57" s="1"/>
  <c r="AQ238" i="57" s="1"/>
  <c r="CA132" i="57"/>
  <c r="CB132" i="57" s="1"/>
  <c r="CC132" i="57" s="1"/>
  <c r="CD132" i="57" s="1"/>
  <c r="CE132" i="57" s="1"/>
  <c r="CF132" i="57" s="1"/>
  <c r="CG132" i="57" s="1"/>
  <c r="AJ31" i="57"/>
  <c r="CA28" i="57"/>
  <c r="CB28" i="57" s="1"/>
  <c r="CC28" i="57" s="1"/>
  <c r="CD28" i="57" s="1"/>
  <c r="CE28" i="57" s="1"/>
  <c r="CF28" i="57" s="1"/>
  <c r="CG28" i="57" s="1"/>
  <c r="CH81" i="57"/>
  <c r="BZ38" i="57"/>
  <c r="BZ113" i="57"/>
  <c r="CA35" i="57"/>
  <c r="CB35" i="57" s="1"/>
  <c r="CC35" i="57" s="1"/>
  <c r="CD35" i="57" s="1"/>
  <c r="CE35" i="57" s="1"/>
  <c r="CF35" i="57" s="1"/>
  <c r="CG35" i="57" s="1"/>
  <c r="CA95" i="57"/>
  <c r="CB95" i="57" s="1"/>
  <c r="CC95" i="57" s="1"/>
  <c r="CD95" i="57" s="1"/>
  <c r="CE95" i="57" s="1"/>
  <c r="CF95" i="57" s="1"/>
  <c r="CG95" i="57" s="1"/>
  <c r="CH33" i="57"/>
  <c r="CH176" i="57"/>
  <c r="AJ20" i="57"/>
  <c r="CH250" i="57"/>
  <c r="AJ53" i="57"/>
  <c r="AR114" i="57"/>
  <c r="BZ83" i="57"/>
  <c r="AJ205" i="57"/>
  <c r="BZ146" i="57"/>
  <c r="BZ75" i="57"/>
  <c r="AJ112" i="57"/>
  <c r="AK153" i="57"/>
  <c r="AL153" i="57" s="1"/>
  <c r="AM153" i="57" s="1"/>
  <c r="AN153" i="57" s="1"/>
  <c r="AO153" i="57" s="1"/>
  <c r="AP153" i="57" s="1"/>
  <c r="AQ153" i="57" s="1"/>
  <c r="AK216" i="57"/>
  <c r="AL216" i="57" s="1"/>
  <c r="AM216" i="57" s="1"/>
  <c r="AN216" i="57" s="1"/>
  <c r="AO216" i="57" s="1"/>
  <c r="AP216" i="57" s="1"/>
  <c r="AQ216" i="57" s="1"/>
  <c r="CA27" i="57"/>
  <c r="CB27" i="57" s="1"/>
  <c r="CC27" i="57" s="1"/>
  <c r="CD27" i="57" s="1"/>
  <c r="CE27" i="57" s="1"/>
  <c r="CF27" i="57" s="1"/>
  <c r="CG27" i="57" s="1"/>
  <c r="CA183" i="57"/>
  <c r="CB183" i="57" s="1"/>
  <c r="CC183" i="57" s="1"/>
  <c r="CD183" i="57" s="1"/>
  <c r="CE183" i="57" s="1"/>
  <c r="CF183" i="57" s="1"/>
  <c r="CG183" i="57" s="1"/>
  <c r="CA171" i="57"/>
  <c r="CB171" i="57" s="1"/>
  <c r="CC171" i="57" s="1"/>
  <c r="CD171" i="57" s="1"/>
  <c r="CE171" i="57" s="1"/>
  <c r="CF171" i="57" s="1"/>
  <c r="CG171" i="57" s="1"/>
  <c r="AK227" i="57"/>
  <c r="AL227" i="57" s="1"/>
  <c r="AM227" i="57" s="1"/>
  <c r="AN227" i="57" s="1"/>
  <c r="AO227" i="57" s="1"/>
  <c r="AP227" i="57" s="1"/>
  <c r="AQ227" i="57" s="1"/>
  <c r="CA53" i="57"/>
  <c r="CB53" i="57" s="1"/>
  <c r="CC53" i="57" s="1"/>
  <c r="CD53" i="57" s="1"/>
  <c r="CE53" i="57" s="1"/>
  <c r="CF53" i="57" s="1"/>
  <c r="CG53" i="57" s="1"/>
  <c r="AK203" i="57"/>
  <c r="AL203" i="57" s="1"/>
  <c r="AM203" i="57" s="1"/>
  <c r="AN203" i="57" s="1"/>
  <c r="AO203" i="57" s="1"/>
  <c r="AP203" i="57" s="1"/>
  <c r="AQ203" i="57" s="1"/>
  <c r="CA230" i="57"/>
  <c r="CB230" i="57" s="1"/>
  <c r="CC230" i="57" s="1"/>
  <c r="CD230" i="57" s="1"/>
  <c r="CE230" i="57" s="1"/>
  <c r="CF230" i="57" s="1"/>
  <c r="CG230" i="57" s="1"/>
  <c r="CA108" i="57"/>
  <c r="CB108" i="57" s="1"/>
  <c r="CC108" i="57" s="1"/>
  <c r="CD108" i="57" s="1"/>
  <c r="CE108" i="57" s="1"/>
  <c r="CF108" i="57" s="1"/>
  <c r="CG108" i="57" s="1"/>
  <c r="CA14" i="57"/>
  <c r="CB14" i="57" s="1"/>
  <c r="CC14" i="57" s="1"/>
  <c r="CD14" i="57" s="1"/>
  <c r="CE14" i="57" s="1"/>
  <c r="CF14" i="57" s="1"/>
  <c r="CG14" i="57" s="1"/>
  <c r="CA197" i="57"/>
  <c r="CB197" i="57" s="1"/>
  <c r="CC197" i="57" s="1"/>
  <c r="CD197" i="57" s="1"/>
  <c r="CE197" i="57" s="1"/>
  <c r="CF197" i="57" s="1"/>
  <c r="CG197" i="57" s="1"/>
  <c r="CH31" i="57"/>
  <c r="AR155" i="57"/>
  <c r="AR6" i="57"/>
  <c r="CH32" i="57"/>
  <c r="CH58" i="57"/>
  <c r="CH93" i="57"/>
  <c r="AK184" i="62"/>
  <c r="AG184" i="62"/>
  <c r="AI184" i="62"/>
  <c r="AE184" i="62"/>
  <c r="AC184" i="62"/>
  <c r="AA184" i="62"/>
  <c r="AR123" i="57"/>
  <c r="CH196" i="57"/>
  <c r="AR195" i="57"/>
  <c r="AR80" i="57"/>
  <c r="AR29" i="57"/>
  <c r="AR186" i="57"/>
  <c r="AR70" i="57"/>
  <c r="AR32" i="57"/>
  <c r="CH45" i="57"/>
  <c r="AR245" i="57"/>
  <c r="AR113" i="57"/>
  <c r="AR14" i="57"/>
  <c r="AR26" i="57"/>
  <c r="AR185" i="62"/>
  <c r="G184" i="62"/>
  <c r="B188" i="62"/>
  <c r="AR188" i="62" s="1"/>
  <c r="C187" i="62"/>
  <c r="A190" i="62"/>
  <c r="A189" i="62"/>
  <c r="AO26" i="62"/>
  <c r="AM26" i="62"/>
  <c r="A188" i="67"/>
  <c r="A189" i="67"/>
  <c r="AQ26" i="62"/>
  <c r="O26" i="62"/>
  <c r="S26" i="62"/>
  <c r="I26" i="62"/>
  <c r="Q26" i="62"/>
  <c r="K26" i="62"/>
  <c r="U26" i="62"/>
  <c r="Y26" i="62"/>
  <c r="W26" i="62"/>
  <c r="M26" i="62"/>
  <c r="C186" i="62"/>
  <c r="E188" i="62"/>
  <c r="D188" i="62"/>
  <c r="B187" i="62"/>
  <c r="F188" i="62"/>
  <c r="CH17" i="57" l="1"/>
  <c r="CA20" i="57"/>
  <c r="CB20" i="57" s="1"/>
  <c r="CC20" i="57" s="1"/>
  <c r="CD20" i="57" s="1"/>
  <c r="CE20" i="57" s="1"/>
  <c r="CF20" i="57" s="1"/>
  <c r="CG20" i="57" s="1"/>
  <c r="CH13" i="57"/>
  <c r="CH102" i="57"/>
  <c r="CH151" i="57"/>
  <c r="AR131" i="57"/>
  <c r="CH9" i="57"/>
  <c r="AR68" i="57"/>
  <c r="AR241" i="57"/>
  <c r="CH8" i="57"/>
  <c r="CH7" i="57"/>
  <c r="CH91" i="57"/>
  <c r="AR118" i="57"/>
  <c r="AR211" i="57"/>
  <c r="CH12" i="57"/>
  <c r="AR139" i="57"/>
  <c r="CH11" i="57"/>
  <c r="CH161" i="57"/>
  <c r="CA6" i="57"/>
  <c r="CB6" i="57" s="1"/>
  <c r="CC6" i="57" s="1"/>
  <c r="CD6" i="57" s="1"/>
  <c r="CE6" i="57" s="1"/>
  <c r="CF6" i="57" s="1"/>
  <c r="CG6" i="57" s="1"/>
  <c r="AK61" i="57"/>
  <c r="AL61" i="57" s="1"/>
  <c r="AM61" i="57" s="1"/>
  <c r="AN61" i="57" s="1"/>
  <c r="AO61" i="57" s="1"/>
  <c r="AP61" i="57" s="1"/>
  <c r="AQ61" i="57" s="1"/>
  <c r="CH5" i="57"/>
  <c r="CH64" i="57"/>
  <c r="CH19" i="57"/>
  <c r="AK164" i="57"/>
  <c r="AL164" i="57" s="1"/>
  <c r="AM164" i="57" s="1"/>
  <c r="AN164" i="57" s="1"/>
  <c r="AO164" i="57" s="1"/>
  <c r="AP164" i="57" s="1"/>
  <c r="AQ164" i="57" s="1"/>
  <c r="CH95" i="57"/>
  <c r="CH26" i="57"/>
  <c r="AK162" i="57"/>
  <c r="AL162" i="57" s="1"/>
  <c r="AM162" i="57" s="1"/>
  <c r="AN162" i="57" s="1"/>
  <c r="AO162" i="57" s="1"/>
  <c r="AP162" i="57" s="1"/>
  <c r="AQ162" i="57" s="1"/>
  <c r="CA185" i="57"/>
  <c r="CB185" i="57" s="1"/>
  <c r="CC185" i="57" s="1"/>
  <c r="CD185" i="57" s="1"/>
  <c r="CE185" i="57" s="1"/>
  <c r="CF185" i="57" s="1"/>
  <c r="CG185" i="57" s="1"/>
  <c r="CH134" i="57"/>
  <c r="AR96" i="57"/>
  <c r="AR253" i="57"/>
  <c r="AR133" i="57"/>
  <c r="AR231" i="57"/>
  <c r="AR126" i="57"/>
  <c r="CH136" i="57"/>
  <c r="CH35" i="57"/>
  <c r="AK91" i="57"/>
  <c r="AL91" i="57" s="1"/>
  <c r="AM91" i="57" s="1"/>
  <c r="AN91" i="57" s="1"/>
  <c r="AO91" i="57" s="1"/>
  <c r="AP91" i="57" s="1"/>
  <c r="AQ91" i="57" s="1"/>
  <c r="AR238" i="57"/>
  <c r="AR213" i="57"/>
  <c r="AK236" i="57"/>
  <c r="AL236" i="57" s="1"/>
  <c r="AM236" i="57" s="1"/>
  <c r="AN236" i="57" s="1"/>
  <c r="AO236" i="57" s="1"/>
  <c r="AP236" i="57" s="1"/>
  <c r="AQ236" i="57" s="1"/>
  <c r="CH130" i="57"/>
  <c r="CA239" i="57"/>
  <c r="CB239" i="57" s="1"/>
  <c r="CC239" i="57" s="1"/>
  <c r="CD239" i="57" s="1"/>
  <c r="CE239" i="57" s="1"/>
  <c r="CF239" i="57" s="1"/>
  <c r="CG239" i="57" s="1"/>
  <c r="CH239" i="57" s="1"/>
  <c r="CA74" i="57"/>
  <c r="CB74" i="57" s="1"/>
  <c r="CC74" i="57" s="1"/>
  <c r="CD74" i="57" s="1"/>
  <c r="CE74" i="57" s="1"/>
  <c r="CF74" i="57" s="1"/>
  <c r="CG74" i="57" s="1"/>
  <c r="CA200" i="57"/>
  <c r="CB200" i="57" s="1"/>
  <c r="CC200" i="57" s="1"/>
  <c r="CD200" i="57" s="1"/>
  <c r="CE200" i="57" s="1"/>
  <c r="CF200" i="57" s="1"/>
  <c r="CG200" i="57" s="1"/>
  <c r="CH132" i="57"/>
  <c r="AR100" i="57"/>
  <c r="AK150" i="57"/>
  <c r="AL150" i="57" s="1"/>
  <c r="AM150" i="57" s="1"/>
  <c r="AN150" i="57" s="1"/>
  <c r="AO150" i="57" s="1"/>
  <c r="AP150" i="57" s="1"/>
  <c r="AQ150" i="57" s="1"/>
  <c r="CH142" i="57"/>
  <c r="AR151" i="57"/>
  <c r="AK52" i="57"/>
  <c r="AL52" i="57" s="1"/>
  <c r="AM52" i="57" s="1"/>
  <c r="AN52" i="57" s="1"/>
  <c r="AO52" i="57" s="1"/>
  <c r="AP52" i="57" s="1"/>
  <c r="AQ52" i="57" s="1"/>
  <c r="AK250" i="57"/>
  <c r="AL250" i="57" s="1"/>
  <c r="AM250" i="57" s="1"/>
  <c r="AN250" i="57" s="1"/>
  <c r="AO250" i="57" s="1"/>
  <c r="AP250" i="57" s="1"/>
  <c r="AQ250" i="57" s="1"/>
  <c r="CA140" i="57"/>
  <c r="CB140" i="57" s="1"/>
  <c r="CC140" i="57" s="1"/>
  <c r="CD140" i="57" s="1"/>
  <c r="CE140" i="57" s="1"/>
  <c r="CF140" i="57" s="1"/>
  <c r="CG140" i="57" s="1"/>
  <c r="CA201" i="57"/>
  <c r="CB201" i="57" s="1"/>
  <c r="CC201" i="57" s="1"/>
  <c r="CD201" i="57" s="1"/>
  <c r="CE201" i="57" s="1"/>
  <c r="CF201" i="57" s="1"/>
  <c r="CG201" i="57" s="1"/>
  <c r="CA75" i="57"/>
  <c r="CB75" i="57" s="1"/>
  <c r="CC75" i="57" s="1"/>
  <c r="CD75" i="57" s="1"/>
  <c r="CE75" i="57" s="1"/>
  <c r="CF75" i="57" s="1"/>
  <c r="CG75" i="57" s="1"/>
  <c r="CH108" i="57"/>
  <c r="AR71" i="57"/>
  <c r="AR57" i="57"/>
  <c r="AR203" i="57"/>
  <c r="AR227" i="57"/>
  <c r="CH171" i="57"/>
  <c r="CH27" i="57"/>
  <c r="AR153" i="57"/>
  <c r="CA146" i="57"/>
  <c r="CB146" i="57" s="1"/>
  <c r="CC146" i="57" s="1"/>
  <c r="CD146" i="57" s="1"/>
  <c r="CE146" i="57" s="1"/>
  <c r="CF146" i="57" s="1"/>
  <c r="CG146" i="57" s="1"/>
  <c r="AK53" i="57"/>
  <c r="AL53" i="57" s="1"/>
  <c r="AM53" i="57" s="1"/>
  <c r="AN53" i="57" s="1"/>
  <c r="AO53" i="57" s="1"/>
  <c r="AP53" i="57" s="1"/>
  <c r="AQ53" i="57" s="1"/>
  <c r="CH28" i="57"/>
  <c r="CH174" i="57"/>
  <c r="AR141" i="57"/>
  <c r="AR7" i="57"/>
  <c r="AR11" i="57"/>
  <c r="AR36" i="57"/>
  <c r="CH199" i="57"/>
  <c r="AR125" i="57"/>
  <c r="AR78" i="57"/>
  <c r="AR144" i="57"/>
  <c r="AR74" i="57"/>
  <c r="AR182" i="57"/>
  <c r="AR42" i="57"/>
  <c r="CH73" i="57"/>
  <c r="CA46" i="57"/>
  <c r="CB46" i="57" s="1"/>
  <c r="CC46" i="57" s="1"/>
  <c r="CD46" i="57" s="1"/>
  <c r="CE46" i="57" s="1"/>
  <c r="CF46" i="57" s="1"/>
  <c r="CG46" i="57" s="1"/>
  <c r="AK55" i="57"/>
  <c r="AL55" i="57" s="1"/>
  <c r="AM55" i="57" s="1"/>
  <c r="AN55" i="57" s="1"/>
  <c r="AO55" i="57" s="1"/>
  <c r="AP55" i="57" s="1"/>
  <c r="AQ55" i="57" s="1"/>
  <c r="AK17" i="57"/>
  <c r="AL17" i="57" s="1"/>
  <c r="AM17" i="57" s="1"/>
  <c r="AN17" i="57" s="1"/>
  <c r="AO17" i="57" s="1"/>
  <c r="AP17" i="57" s="1"/>
  <c r="AQ17" i="57" s="1"/>
  <c r="CH141" i="57"/>
  <c r="CH42" i="57"/>
  <c r="CH150" i="57"/>
  <c r="AR98" i="57"/>
  <c r="CH66" i="57"/>
  <c r="CH22" i="57"/>
  <c r="CH30" i="57"/>
  <c r="AK51" i="57"/>
  <c r="AL51" i="57" s="1"/>
  <c r="AM51" i="57" s="1"/>
  <c r="AN51" i="57" s="1"/>
  <c r="AO51" i="57" s="1"/>
  <c r="AP51" i="57" s="1"/>
  <c r="AQ51" i="57" s="1"/>
  <c r="AK205" i="57"/>
  <c r="AL205" i="57" s="1"/>
  <c r="AM205" i="57" s="1"/>
  <c r="AN205" i="57" s="1"/>
  <c r="AO205" i="57" s="1"/>
  <c r="AP205" i="57" s="1"/>
  <c r="AQ205" i="57" s="1"/>
  <c r="CA113" i="57"/>
  <c r="CB113" i="57" s="1"/>
  <c r="CC113" i="57" s="1"/>
  <c r="CD113" i="57" s="1"/>
  <c r="CE113" i="57" s="1"/>
  <c r="CF113" i="57" s="1"/>
  <c r="CG113" i="57" s="1"/>
  <c r="AK230" i="57"/>
  <c r="AL230" i="57" s="1"/>
  <c r="AM230" i="57" s="1"/>
  <c r="AN230" i="57" s="1"/>
  <c r="AO230" i="57" s="1"/>
  <c r="AP230" i="57" s="1"/>
  <c r="AQ230" i="57" s="1"/>
  <c r="CA47" i="57"/>
  <c r="CB47" i="57" s="1"/>
  <c r="CC47" i="57" s="1"/>
  <c r="CD47" i="57" s="1"/>
  <c r="CE47" i="57" s="1"/>
  <c r="CF47" i="57" s="1"/>
  <c r="CG47" i="57" s="1"/>
  <c r="AK16" i="57"/>
  <c r="AL16" i="57" s="1"/>
  <c r="AM16" i="57" s="1"/>
  <c r="AN16" i="57" s="1"/>
  <c r="AO16" i="57" s="1"/>
  <c r="AP16" i="57" s="1"/>
  <c r="AQ16" i="57" s="1"/>
  <c r="CH209" i="57"/>
  <c r="AR63" i="57"/>
  <c r="CH205" i="57"/>
  <c r="CH230" i="57"/>
  <c r="CH53" i="57"/>
  <c r="CH106" i="57"/>
  <c r="CH183" i="57"/>
  <c r="AR216" i="57"/>
  <c r="AK112" i="57"/>
  <c r="AL112" i="57" s="1"/>
  <c r="AM112" i="57" s="1"/>
  <c r="AN112" i="57" s="1"/>
  <c r="AO112" i="57" s="1"/>
  <c r="AP112" i="57" s="1"/>
  <c r="AQ112" i="57" s="1"/>
  <c r="CA83" i="57"/>
  <c r="CB83" i="57" s="1"/>
  <c r="CC83" i="57" s="1"/>
  <c r="CD83" i="57" s="1"/>
  <c r="CE83" i="57" s="1"/>
  <c r="CF83" i="57" s="1"/>
  <c r="CG83" i="57" s="1"/>
  <c r="AK20" i="57"/>
  <c r="AL20" i="57" s="1"/>
  <c r="AM20" i="57" s="1"/>
  <c r="AN20" i="57" s="1"/>
  <c r="AO20" i="57" s="1"/>
  <c r="AP20" i="57" s="1"/>
  <c r="AQ20" i="57" s="1"/>
  <c r="CA38" i="57"/>
  <c r="CB38" i="57" s="1"/>
  <c r="CC38" i="57" s="1"/>
  <c r="CD38" i="57" s="1"/>
  <c r="CE38" i="57" s="1"/>
  <c r="CF38" i="57" s="1"/>
  <c r="CG38" i="57" s="1"/>
  <c r="AK31" i="57"/>
  <c r="AL31" i="57" s="1"/>
  <c r="AM31" i="57" s="1"/>
  <c r="AN31" i="57" s="1"/>
  <c r="AO31" i="57" s="1"/>
  <c r="AP31" i="57" s="1"/>
  <c r="AQ31" i="57" s="1"/>
  <c r="CH167" i="57"/>
  <c r="AR208" i="57"/>
  <c r="AR72" i="57"/>
  <c r="AR48" i="57"/>
  <c r="AR81" i="57"/>
  <c r="AR167" i="57"/>
  <c r="AR172" i="57"/>
  <c r="CH247" i="57"/>
  <c r="AR35" i="57"/>
  <c r="AR222" i="57"/>
  <c r="AR41" i="57"/>
  <c r="AR196" i="57"/>
  <c r="CA100" i="57"/>
  <c r="CB100" i="57" s="1"/>
  <c r="CC100" i="57" s="1"/>
  <c r="CD100" i="57" s="1"/>
  <c r="CE100" i="57" s="1"/>
  <c r="CF100" i="57" s="1"/>
  <c r="CG100" i="57" s="1"/>
  <c r="CA67" i="57"/>
  <c r="CB67" i="57" s="1"/>
  <c r="CC67" i="57" s="1"/>
  <c r="CD67" i="57" s="1"/>
  <c r="CE67" i="57" s="1"/>
  <c r="CF67" i="57" s="1"/>
  <c r="CG67" i="57" s="1"/>
  <c r="AK207" i="57"/>
  <c r="AL207" i="57" s="1"/>
  <c r="AM207" i="57" s="1"/>
  <c r="AN207" i="57" s="1"/>
  <c r="AO207" i="57" s="1"/>
  <c r="AP207" i="57" s="1"/>
  <c r="AQ207" i="57" s="1"/>
  <c r="AK127" i="57"/>
  <c r="AL127" i="57" s="1"/>
  <c r="AM127" i="57" s="1"/>
  <c r="AN127" i="57" s="1"/>
  <c r="AO127" i="57" s="1"/>
  <c r="AP127" i="57" s="1"/>
  <c r="AQ127" i="57" s="1"/>
  <c r="CH71" i="57"/>
  <c r="AR193" i="57"/>
  <c r="CH240" i="57"/>
  <c r="AR50" i="57"/>
  <c r="CH54" i="57"/>
  <c r="CH123" i="57"/>
  <c r="CH14" i="57"/>
  <c r="CH197" i="57"/>
  <c r="AG186" i="62"/>
  <c r="AI186" i="62"/>
  <c r="AK186" i="62"/>
  <c r="AE186" i="62"/>
  <c r="AC186" i="62"/>
  <c r="AA186" i="62"/>
  <c r="AR187" i="62"/>
  <c r="G186" i="62"/>
  <c r="C189" i="62"/>
  <c r="B190" i="62"/>
  <c r="AR190" i="62" s="1"/>
  <c r="A191" i="62"/>
  <c r="A192" i="62"/>
  <c r="AM30" i="62"/>
  <c r="AO30" i="62"/>
  <c r="AO28" i="62"/>
  <c r="AM28" i="62"/>
  <c r="A190" i="67"/>
  <c r="A191" i="67"/>
  <c r="I28" i="62"/>
  <c r="U30" i="62"/>
  <c r="Q30" i="62"/>
  <c r="O30" i="62"/>
  <c r="O28" i="62"/>
  <c r="AQ28" i="62"/>
  <c r="U28" i="62"/>
  <c r="S28" i="62"/>
  <c r="Y28" i="62"/>
  <c r="M28" i="62"/>
  <c r="K28" i="62"/>
  <c r="Q28" i="62"/>
  <c r="W28" i="62"/>
  <c r="I30" i="62"/>
  <c r="K30" i="62"/>
  <c r="M30" i="62"/>
  <c r="W30" i="62"/>
  <c r="AQ30" i="62"/>
  <c r="Y30" i="62"/>
  <c r="S30" i="62"/>
  <c r="F190" i="62"/>
  <c r="B189" i="62"/>
  <c r="E190" i="62"/>
  <c r="D190" i="62"/>
  <c r="C188" i="62"/>
  <c r="CH20" i="57" l="1"/>
  <c r="AR61" i="57"/>
  <c r="CH6" i="57"/>
  <c r="AR164" i="57"/>
  <c r="AR162" i="57"/>
  <c r="CH185" i="57"/>
  <c r="CH38" i="57"/>
  <c r="CH113" i="57"/>
  <c r="AR51" i="57"/>
  <c r="CH74" i="57"/>
  <c r="CH83" i="57"/>
  <c r="AR16" i="57"/>
  <c r="AR230" i="57"/>
  <c r="AR205" i="57"/>
  <c r="AR236" i="57"/>
  <c r="AR91" i="57"/>
  <c r="AR150" i="57"/>
  <c r="CH200" i="57"/>
  <c r="CH100" i="57"/>
  <c r="AR112" i="57"/>
  <c r="CH47" i="57"/>
  <c r="AR55" i="57"/>
  <c r="CH146" i="57"/>
  <c r="CH201" i="57"/>
  <c r="AR250" i="57"/>
  <c r="AR127" i="57"/>
  <c r="CH67" i="57"/>
  <c r="AR31" i="57"/>
  <c r="AR20" i="57"/>
  <c r="AR17" i="57"/>
  <c r="CH46" i="57"/>
  <c r="AR53" i="57"/>
  <c r="CH75" i="57"/>
  <c r="CH140" i="57"/>
  <c r="AR52" i="57"/>
  <c r="AR207" i="57"/>
  <c r="AI188" i="62"/>
  <c r="AG188" i="62"/>
  <c r="AK188" i="62"/>
  <c r="AA188" i="62"/>
  <c r="AE188" i="62"/>
  <c r="AC188" i="62"/>
  <c r="AR189" i="62"/>
  <c r="G188" i="62"/>
  <c r="B192" i="62"/>
  <c r="AR192" i="62" s="1"/>
  <c r="C191" i="62"/>
  <c r="A193" i="62"/>
  <c r="A194" i="62"/>
  <c r="A193" i="67"/>
  <c r="A192" i="67"/>
  <c r="E192" i="62"/>
  <c r="C190" i="62"/>
  <c r="F192" i="62"/>
  <c r="D192" i="62"/>
  <c r="B191" i="62"/>
  <c r="AK190" i="62" l="1"/>
  <c r="AI190" i="62"/>
  <c r="AG190" i="62"/>
  <c r="AC190" i="62"/>
  <c r="AA190" i="62"/>
  <c r="AE190" i="62"/>
  <c r="AR191" i="62"/>
  <c r="G190" i="62"/>
  <c r="B194" i="62"/>
  <c r="AR194" i="62" s="1"/>
  <c r="C193" i="62"/>
  <c r="A195" i="62"/>
  <c r="A196" i="62"/>
  <c r="AO32" i="62"/>
  <c r="AM32" i="62"/>
  <c r="A194" i="67"/>
  <c r="A195" i="67"/>
  <c r="O32" i="62"/>
  <c r="AQ32" i="62"/>
  <c r="S32" i="62"/>
  <c r="K32" i="62"/>
  <c r="I32" i="62"/>
  <c r="Y32" i="62"/>
  <c r="W32" i="62"/>
  <c r="U32" i="62"/>
  <c r="M32" i="62"/>
  <c r="Q32" i="62"/>
  <c r="D194" i="62"/>
  <c r="F194" i="62"/>
  <c r="C192" i="62"/>
  <c r="E194" i="62"/>
  <c r="B193" i="62"/>
  <c r="AK192" i="62" l="1"/>
  <c r="AG192" i="62"/>
  <c r="AI192" i="62"/>
  <c r="AE192" i="62"/>
  <c r="AC192" i="62"/>
  <c r="AA192" i="62"/>
  <c r="AR193" i="62"/>
  <c r="G192" i="62"/>
  <c r="B196" i="62"/>
  <c r="AR196" i="62" s="1"/>
  <c r="C195" i="62"/>
  <c r="A197" i="62"/>
  <c r="A198" i="62"/>
  <c r="AO34" i="62"/>
  <c r="AM34" i="62"/>
  <c r="AO36" i="62"/>
  <c r="AM36" i="62"/>
  <c r="A197" i="67"/>
  <c r="A196" i="67"/>
  <c r="U34" i="62"/>
  <c r="S36" i="62"/>
  <c r="I36" i="62"/>
  <c r="U36" i="62"/>
  <c r="Q36" i="62"/>
  <c r="M34" i="62"/>
  <c r="W34" i="62"/>
  <c r="O34" i="62"/>
  <c r="Q34" i="62"/>
  <c r="K34" i="62"/>
  <c r="S34" i="62"/>
  <c r="AQ34" i="62"/>
  <c r="I34" i="62"/>
  <c r="Y34" i="62"/>
  <c r="O36" i="62"/>
  <c r="M36" i="62"/>
  <c r="W36" i="62"/>
  <c r="AQ36" i="62"/>
  <c r="K36" i="62"/>
  <c r="Y36" i="62"/>
  <c r="B195" i="62"/>
  <c r="E196" i="62"/>
  <c r="C194" i="62"/>
  <c r="D196" i="62"/>
  <c r="F196" i="62"/>
  <c r="AG194" i="62" l="1"/>
  <c r="AI194" i="62"/>
  <c r="AK194" i="62"/>
  <c r="AE194" i="62"/>
  <c r="AC194" i="62"/>
  <c r="AA194" i="62"/>
  <c r="AR195" i="62"/>
  <c r="G194" i="62"/>
  <c r="B198" i="62"/>
  <c r="AR198" i="62" s="1"/>
  <c r="C197" i="62"/>
  <c r="A199" i="62"/>
  <c r="A200" i="62"/>
  <c r="A198" i="67"/>
  <c r="A199" i="67"/>
  <c r="F198" i="62"/>
  <c r="B197" i="62"/>
  <c r="E198" i="62"/>
  <c r="D198" i="62"/>
  <c r="C196" i="62"/>
  <c r="AI196" i="62" l="1"/>
  <c r="AG196" i="62"/>
  <c r="AK196" i="62"/>
  <c r="AA196" i="62"/>
  <c r="AE196" i="62"/>
  <c r="AC196" i="62"/>
  <c r="AR197" i="62"/>
  <c r="G196" i="62"/>
  <c r="B200" i="62"/>
  <c r="AR200" i="62" s="1"/>
  <c r="C199" i="62"/>
  <c r="A202" i="62"/>
  <c r="A201" i="62"/>
  <c r="AO38" i="62"/>
  <c r="AM38" i="62"/>
  <c r="A201" i="67"/>
  <c r="A200" i="67"/>
  <c r="Y38" i="62"/>
  <c r="M38" i="62"/>
  <c r="K38" i="62"/>
  <c r="U38" i="62"/>
  <c r="S38" i="62"/>
  <c r="O38" i="62"/>
  <c r="W38" i="62"/>
  <c r="AQ38" i="62"/>
  <c r="I38" i="62"/>
  <c r="Q38" i="62"/>
  <c r="E200" i="62"/>
  <c r="B199" i="62"/>
  <c r="C198" i="62"/>
  <c r="D200" i="62"/>
  <c r="F200" i="62"/>
  <c r="AK198" i="62" l="1"/>
  <c r="AI198" i="62"/>
  <c r="AG198" i="62"/>
  <c r="AC198" i="62"/>
  <c r="AA198" i="62"/>
  <c r="AE198" i="62"/>
  <c r="AR199" i="62"/>
  <c r="G198" i="62"/>
  <c r="C201" i="62"/>
  <c r="B202" i="62"/>
  <c r="AR202" i="62" s="1"/>
  <c r="A203" i="62"/>
  <c r="A204" i="62"/>
  <c r="W40" i="62"/>
  <c r="AO40" i="62"/>
  <c r="AM40" i="62"/>
  <c r="A202" i="67"/>
  <c r="A203" i="67"/>
  <c r="K40" i="62"/>
  <c r="AQ40" i="62"/>
  <c r="U40" i="62"/>
  <c r="Q40" i="62"/>
  <c r="I40" i="62"/>
  <c r="M40" i="62"/>
  <c r="Y40" i="62"/>
  <c r="S40" i="62"/>
  <c r="O40" i="62"/>
  <c r="C200" i="62"/>
  <c r="B201" i="62"/>
  <c r="D202" i="62"/>
  <c r="E202" i="62"/>
  <c r="F202" i="62"/>
  <c r="AK200" i="62" l="1"/>
  <c r="AG200" i="62"/>
  <c r="AI200" i="62"/>
  <c r="AE200" i="62"/>
  <c r="AC200" i="62"/>
  <c r="AA200" i="62"/>
  <c r="AR201" i="62"/>
  <c r="G200" i="62"/>
  <c r="B204" i="62"/>
  <c r="AR204" i="62" s="1"/>
  <c r="C203" i="62"/>
  <c r="A206" i="62"/>
  <c r="A205" i="62"/>
  <c r="AQ42" i="62"/>
  <c r="AO42" i="62"/>
  <c r="AM42" i="62"/>
  <c r="A205" i="67"/>
  <c r="A204" i="67"/>
  <c r="Y42" i="62"/>
  <c r="Q42" i="62"/>
  <c r="O42" i="62"/>
  <c r="S42" i="62"/>
  <c r="U42" i="62"/>
  <c r="M42" i="62"/>
  <c r="I42" i="62"/>
  <c r="W42" i="62"/>
  <c r="K42" i="62"/>
  <c r="C202" i="62"/>
  <c r="B203" i="62"/>
  <c r="F204" i="62"/>
  <c r="E204" i="62"/>
  <c r="D204" i="62"/>
  <c r="AG202" i="62" l="1"/>
  <c r="AI202" i="62"/>
  <c r="AK202" i="62"/>
  <c r="AE202" i="62"/>
  <c r="AC202" i="62"/>
  <c r="AA202" i="62"/>
  <c r="AR203" i="62"/>
  <c r="G202" i="62"/>
  <c r="C205" i="62"/>
  <c r="B206" i="62"/>
  <c r="AR206" i="62" s="1"/>
  <c r="A207" i="62"/>
  <c r="A208" i="62"/>
  <c r="W44" i="62"/>
  <c r="AO44" i="62"/>
  <c r="AM44" i="62"/>
  <c r="A207" i="67"/>
  <c r="A206" i="67"/>
  <c r="O44" i="62"/>
  <c r="K44" i="62"/>
  <c r="I44" i="62"/>
  <c r="U44" i="62"/>
  <c r="Y44" i="62"/>
  <c r="AQ44" i="62"/>
  <c r="Q44" i="62"/>
  <c r="S44" i="62"/>
  <c r="M44" i="62"/>
  <c r="C204" i="62"/>
  <c r="B205" i="62"/>
  <c r="D206" i="62"/>
  <c r="F206" i="62"/>
  <c r="E206" i="62"/>
  <c r="AI204" i="62" l="1"/>
  <c r="AG204" i="62"/>
  <c r="AK204" i="62"/>
  <c r="AA204" i="62"/>
  <c r="AE204" i="62"/>
  <c r="AC204" i="62"/>
  <c r="AR205" i="62"/>
  <c r="G204" i="62"/>
  <c r="B208" i="62"/>
  <c r="AR208" i="62" s="1"/>
  <c r="C207" i="62"/>
  <c r="A210" i="62"/>
  <c r="A209" i="62"/>
  <c r="A209" i="67"/>
  <c r="A208" i="67"/>
  <c r="W46" i="62"/>
  <c r="AM46" i="62"/>
  <c r="AO46" i="62"/>
  <c r="S46" i="62"/>
  <c r="Q46" i="62"/>
  <c r="K46" i="62"/>
  <c r="I46" i="62"/>
  <c r="AQ46" i="62"/>
  <c r="Y46" i="62"/>
  <c r="U46" i="62"/>
  <c r="M46" i="62"/>
  <c r="O46" i="62"/>
  <c r="D208" i="62"/>
  <c r="E208" i="62"/>
  <c r="C206" i="62"/>
  <c r="B207" i="62"/>
  <c r="F208" i="62"/>
  <c r="AK206" i="62" l="1"/>
  <c r="AI206" i="62"/>
  <c r="AG206" i="62"/>
  <c r="AC206" i="62"/>
  <c r="AA206" i="62"/>
  <c r="AE206" i="62"/>
  <c r="AR207" i="62"/>
  <c r="G206" i="62"/>
  <c r="B210" i="62"/>
  <c r="AR210" i="62" s="1"/>
  <c r="A211" i="62"/>
  <c r="A213" i="62" s="1"/>
  <c r="C209" i="62"/>
  <c r="A212" i="62"/>
  <c r="A211" i="67"/>
  <c r="A210" i="67"/>
  <c r="I48" i="62"/>
  <c r="AO48" i="62"/>
  <c r="AM48" i="62"/>
  <c r="Q48" i="62"/>
  <c r="M48" i="62"/>
  <c r="O48" i="62"/>
  <c r="K48" i="62"/>
  <c r="U48" i="62"/>
  <c r="W48" i="62"/>
  <c r="S48" i="62"/>
  <c r="Y48" i="62"/>
  <c r="AQ48" i="62"/>
  <c r="C208" i="62"/>
  <c r="D210" i="62"/>
  <c r="E210" i="62"/>
  <c r="B209" i="62"/>
  <c r="F210" i="62"/>
  <c r="AK208" i="62" l="1"/>
  <c r="AG208" i="62"/>
  <c r="AI208" i="62"/>
  <c r="AE208" i="62"/>
  <c r="AC208" i="62"/>
  <c r="AA208" i="62"/>
  <c r="AR209" i="62"/>
  <c r="G208" i="62"/>
  <c r="B212" i="62"/>
  <c r="AR212" i="62" s="1"/>
  <c r="C213" i="62"/>
  <c r="C211" i="62"/>
  <c r="A214" i="62"/>
  <c r="A213" i="67"/>
  <c r="A212" i="67"/>
  <c r="A215" i="62"/>
  <c r="I50" i="62"/>
  <c r="AO50" i="62"/>
  <c r="AM50" i="62"/>
  <c r="Y50" i="62"/>
  <c r="U50" i="62"/>
  <c r="Q50" i="62"/>
  <c r="O50" i="62"/>
  <c r="S50" i="62"/>
  <c r="W50" i="62"/>
  <c r="K50" i="62"/>
  <c r="AQ50" i="62"/>
  <c r="M50" i="62"/>
  <c r="D212" i="62"/>
  <c r="F212" i="62"/>
  <c r="B211" i="62"/>
  <c r="C210" i="62"/>
  <c r="E212" i="62"/>
  <c r="B213" i="62"/>
  <c r="AG210" i="62" l="1"/>
  <c r="AI210" i="62"/>
  <c r="AK210" i="62"/>
  <c r="AE210" i="62"/>
  <c r="AC210" i="62"/>
  <c r="AA210" i="62"/>
  <c r="A215" i="67"/>
  <c r="AR211" i="62"/>
  <c r="AR213" i="62"/>
  <c r="G210" i="62"/>
  <c r="B214" i="62"/>
  <c r="AR214" i="62" s="1"/>
  <c r="C215" i="62"/>
  <c r="A216" i="62"/>
  <c r="A214" i="67"/>
  <c r="A217" i="62"/>
  <c r="K52" i="62"/>
  <c r="AO52" i="62"/>
  <c r="AM52" i="62"/>
  <c r="AQ52" i="62"/>
  <c r="I52" i="62"/>
  <c r="Y52" i="62"/>
  <c r="M52" i="62"/>
  <c r="W52" i="62"/>
  <c r="S52" i="62"/>
  <c r="O52" i="62"/>
  <c r="Q52" i="62"/>
  <c r="U52" i="62"/>
  <c r="F214" i="62"/>
  <c r="D214" i="62"/>
  <c r="E214" i="62"/>
  <c r="C212" i="62"/>
  <c r="B215" i="62"/>
  <c r="AI212" i="62" l="1"/>
  <c r="AG212" i="62"/>
  <c r="AK212" i="62"/>
  <c r="AA212" i="62"/>
  <c r="AC212" i="62"/>
  <c r="AE212" i="62"/>
  <c r="A217" i="67"/>
  <c r="AR215" i="62"/>
  <c r="G212" i="62"/>
  <c r="B216" i="62"/>
  <c r="AR216" i="62" s="1"/>
  <c r="C217" i="62"/>
  <c r="A218" i="62"/>
  <c r="A216" i="67"/>
  <c r="A219" i="62"/>
  <c r="W54" i="62"/>
  <c r="AO54" i="62"/>
  <c r="AM54" i="62"/>
  <c r="U54" i="62"/>
  <c r="Q54" i="62"/>
  <c r="Y54" i="62"/>
  <c r="K54" i="62"/>
  <c r="AQ54" i="62"/>
  <c r="S54" i="62"/>
  <c r="I54" i="62"/>
  <c r="O54" i="62"/>
  <c r="M54" i="62"/>
  <c r="D216" i="62"/>
  <c r="C214" i="62"/>
  <c r="F216" i="62"/>
  <c r="B217" i="62"/>
  <c r="E216" i="62"/>
  <c r="AK214" i="62" l="1"/>
  <c r="AI214" i="62"/>
  <c r="AG214" i="62"/>
  <c r="AC214" i="62"/>
  <c r="AA214" i="62"/>
  <c r="AE214" i="62"/>
  <c r="A219" i="67"/>
  <c r="AR217" i="62"/>
  <c r="G214" i="62"/>
  <c r="B218" i="62"/>
  <c r="AR218" i="62" s="1"/>
  <c r="C219" i="62"/>
  <c r="A220" i="62"/>
  <c r="A218" i="67"/>
  <c r="A221" i="62"/>
  <c r="AQ56" i="62"/>
  <c r="AO56" i="62"/>
  <c r="AM56" i="62"/>
  <c r="I56" i="62"/>
  <c r="O56" i="62"/>
  <c r="Y56" i="62"/>
  <c r="S56" i="62"/>
  <c r="M56" i="62"/>
  <c r="U56" i="62"/>
  <c r="Q56" i="62"/>
  <c r="K56" i="62"/>
  <c r="W56" i="62"/>
  <c r="E218" i="62"/>
  <c r="F218" i="62"/>
  <c r="B219" i="62"/>
  <c r="C216" i="62"/>
  <c r="D218" i="62"/>
  <c r="AK216" i="62" l="1"/>
  <c r="AG216" i="62"/>
  <c r="AI216" i="62"/>
  <c r="AE216" i="62"/>
  <c r="AC216" i="62"/>
  <c r="AA216" i="62"/>
  <c r="A221" i="67"/>
  <c r="AR219" i="62"/>
  <c r="G216" i="62"/>
  <c r="B220" i="62"/>
  <c r="AR220" i="62" s="1"/>
  <c r="A222" i="62"/>
  <c r="C221" i="62"/>
  <c r="A220" i="67"/>
  <c r="A223" i="62"/>
  <c r="M58" i="62"/>
  <c r="AO58" i="62"/>
  <c r="AM58" i="62"/>
  <c r="W58" i="62"/>
  <c r="U58" i="62"/>
  <c r="S58" i="62"/>
  <c r="AQ58" i="62"/>
  <c r="Y58" i="62"/>
  <c r="I58" i="62"/>
  <c r="Q58" i="62"/>
  <c r="O58" i="62"/>
  <c r="K58" i="62"/>
  <c r="E220" i="62"/>
  <c r="F220" i="62"/>
  <c r="C218" i="62"/>
  <c r="B221" i="62"/>
  <c r="D220" i="62"/>
  <c r="AG218" i="62" l="1"/>
  <c r="AI218" i="62"/>
  <c r="AK218" i="62"/>
  <c r="AE218" i="62"/>
  <c r="AC218" i="62"/>
  <c r="AA218" i="62"/>
  <c r="A223" i="67"/>
  <c r="AR221" i="62"/>
  <c r="G218" i="62"/>
  <c r="B222" i="62"/>
  <c r="AR222" i="62" s="1"/>
  <c r="C223" i="62"/>
  <c r="A224" i="62"/>
  <c r="A226" i="62" s="1"/>
  <c r="A222" i="67"/>
  <c r="A225" i="62"/>
  <c r="I60" i="62"/>
  <c r="AO60" i="62"/>
  <c r="AM60" i="62"/>
  <c r="W60" i="62"/>
  <c r="S60" i="62"/>
  <c r="Y60" i="62"/>
  <c r="K60" i="62"/>
  <c r="Q60" i="62"/>
  <c r="O60" i="62"/>
  <c r="AQ60" i="62"/>
  <c r="U60" i="62"/>
  <c r="M60" i="62"/>
  <c r="D222" i="62"/>
  <c r="F222" i="62"/>
  <c r="C220" i="62"/>
  <c r="B223" i="62"/>
  <c r="E222" i="62"/>
  <c r="AI220" i="62" l="1"/>
  <c r="AG220" i="62"/>
  <c r="AK220" i="62"/>
  <c r="AA220" i="62"/>
  <c r="AE220" i="62"/>
  <c r="AC220" i="62"/>
  <c r="A225" i="67"/>
  <c r="AR223" i="62"/>
  <c r="G220" i="62"/>
  <c r="B226" i="62"/>
  <c r="AR226" i="62" s="1"/>
  <c r="B224" i="62"/>
  <c r="AR224" i="62" s="1"/>
  <c r="C225" i="62"/>
  <c r="A224" i="67"/>
  <c r="A228" i="62"/>
  <c r="A227" i="62"/>
  <c r="AM62" i="62"/>
  <c r="AO62" i="62"/>
  <c r="M62" i="62"/>
  <c r="W62" i="62"/>
  <c r="S62" i="62"/>
  <c r="K62" i="62"/>
  <c r="U62" i="62"/>
  <c r="AQ62" i="62"/>
  <c r="I62" i="62"/>
  <c r="O62" i="62"/>
  <c r="Y62" i="62"/>
  <c r="Q62" i="62"/>
  <c r="E226" i="62"/>
  <c r="F224" i="62"/>
  <c r="F226" i="62"/>
  <c r="D224" i="62"/>
  <c r="D226" i="62"/>
  <c r="B225" i="62"/>
  <c r="C222" i="62"/>
  <c r="E224" i="62"/>
  <c r="AK222" i="62" l="1"/>
  <c r="AI222" i="62"/>
  <c r="AG222" i="62"/>
  <c r="AC222" i="62"/>
  <c r="AA222" i="62"/>
  <c r="AE222" i="62"/>
  <c r="A227" i="67"/>
  <c r="AR225" i="62"/>
  <c r="G222" i="62"/>
  <c r="C227" i="62"/>
  <c r="B228" i="62"/>
  <c r="AR228" i="62" s="1"/>
  <c r="A226" i="67"/>
  <c r="A229" i="62"/>
  <c r="A230" i="62"/>
  <c r="W64" i="62"/>
  <c r="AO64" i="62"/>
  <c r="AM64" i="62"/>
  <c r="M64" i="62"/>
  <c r="Y64" i="62"/>
  <c r="U64" i="62"/>
  <c r="O64" i="62"/>
  <c r="Q64" i="62"/>
  <c r="I64" i="62"/>
  <c r="K64" i="62"/>
  <c r="AQ64" i="62"/>
  <c r="S64" i="62"/>
  <c r="C224" i="62"/>
  <c r="C226" i="62"/>
  <c r="B227" i="62"/>
  <c r="D228" i="62"/>
  <c r="F228" i="62"/>
  <c r="E228" i="62"/>
  <c r="AK224" i="62" l="1"/>
  <c r="AG224" i="62"/>
  <c r="AI224" i="62"/>
  <c r="AG226" i="62"/>
  <c r="AI226" i="62"/>
  <c r="AK226" i="62"/>
  <c r="AE224" i="62"/>
  <c r="AC224" i="62"/>
  <c r="AA224" i="62"/>
  <c r="AE226" i="62"/>
  <c r="AC226" i="62"/>
  <c r="AA226" i="62"/>
  <c r="A229" i="67"/>
  <c r="A231" i="67" s="1"/>
  <c r="AR227" i="62"/>
  <c r="G224" i="62"/>
  <c r="G226" i="62"/>
  <c r="C229" i="62"/>
  <c r="B230" i="62"/>
  <c r="AR230" i="62" s="1"/>
  <c r="A228" i="67"/>
  <c r="A231" i="62"/>
  <c r="A232" i="62"/>
  <c r="I66" i="62"/>
  <c r="AO66" i="62"/>
  <c r="AM66" i="62"/>
  <c r="W66" i="62"/>
  <c r="S66" i="62"/>
  <c r="Q66" i="62"/>
  <c r="K66" i="62"/>
  <c r="Y66" i="62"/>
  <c r="AQ66" i="62"/>
  <c r="U66" i="62"/>
  <c r="M66" i="62"/>
  <c r="O66" i="62"/>
  <c r="E230" i="62"/>
  <c r="D230" i="62"/>
  <c r="F230" i="62"/>
  <c r="C228" i="62"/>
  <c r="B229" i="62"/>
  <c r="AI228" i="62" l="1"/>
  <c r="AG228" i="62"/>
  <c r="AK228" i="62"/>
  <c r="AA228" i="62"/>
  <c r="AC228" i="62"/>
  <c r="AE228" i="62"/>
  <c r="AR229" i="62"/>
  <c r="G228" i="62"/>
  <c r="C231" i="62"/>
  <c r="B232" i="62"/>
  <c r="AR232" i="62" s="1"/>
  <c r="A230" i="67"/>
  <c r="A234" i="62"/>
  <c r="A233" i="62"/>
  <c r="Q68" i="62"/>
  <c r="AO68" i="62"/>
  <c r="AM68" i="62"/>
  <c r="A233" i="67"/>
  <c r="K68" i="62"/>
  <c r="S68" i="62"/>
  <c r="AQ68" i="62"/>
  <c r="Y68" i="62"/>
  <c r="W68" i="62"/>
  <c r="O68" i="62"/>
  <c r="U68" i="62"/>
  <c r="M68" i="62"/>
  <c r="I68" i="62"/>
  <c r="D232" i="62"/>
  <c r="C230" i="62"/>
  <c r="F232" i="62"/>
  <c r="E232" i="62"/>
  <c r="B231" i="62"/>
  <c r="AK230" i="62" l="1"/>
  <c r="AI230" i="62"/>
  <c r="AG230" i="62"/>
  <c r="AC230" i="62"/>
  <c r="AA230" i="62"/>
  <c r="AE230" i="62"/>
  <c r="A232" i="67"/>
  <c r="AR231" i="62"/>
  <c r="G230" i="62"/>
  <c r="B234" i="62"/>
  <c r="AR234" i="62" s="1"/>
  <c r="C233" i="62"/>
  <c r="A236" i="62"/>
  <c r="A235" i="62"/>
  <c r="I70" i="62"/>
  <c r="AO70" i="62"/>
  <c r="AM70" i="62"/>
  <c r="A235" i="67"/>
  <c r="AQ70" i="62"/>
  <c r="W70" i="62"/>
  <c r="S70" i="62"/>
  <c r="Q70" i="62"/>
  <c r="Y70" i="62"/>
  <c r="O70" i="62"/>
  <c r="M70" i="62"/>
  <c r="K70" i="62"/>
  <c r="U70" i="62"/>
  <c r="F234" i="62"/>
  <c r="E234" i="62"/>
  <c r="D234" i="62"/>
  <c r="C232" i="62"/>
  <c r="B233" i="62"/>
  <c r="AK232" i="62" l="1"/>
  <c r="AG232" i="62"/>
  <c r="AI232" i="62"/>
  <c r="AE232" i="62"/>
  <c r="AC232" i="62"/>
  <c r="AA232" i="62"/>
  <c r="A234" i="67"/>
  <c r="AR233" i="62"/>
  <c r="G232" i="62"/>
  <c r="C235" i="62"/>
  <c r="B236" i="62"/>
  <c r="AR236" i="62" s="1"/>
  <c r="A237" i="62"/>
  <c r="A238" i="62"/>
  <c r="O72" i="62"/>
  <c r="AO72" i="62"/>
  <c r="AM72" i="62"/>
  <c r="A237" i="67"/>
  <c r="Y72" i="62"/>
  <c r="I72" i="62"/>
  <c r="Q72" i="62"/>
  <c r="K72" i="62"/>
  <c r="W72" i="62"/>
  <c r="U72" i="62"/>
  <c r="M72" i="62"/>
  <c r="S72" i="62"/>
  <c r="AQ72" i="62"/>
  <c r="B235" i="62"/>
  <c r="F236" i="62"/>
  <c r="C234" i="62"/>
  <c r="E236" i="62"/>
  <c r="D236" i="62"/>
  <c r="AG234" i="62" l="1"/>
  <c r="AI234" i="62"/>
  <c r="AK234" i="62"/>
  <c r="AE234" i="62"/>
  <c r="AA234" i="62"/>
  <c r="AC234" i="62"/>
  <c r="A236" i="67"/>
  <c r="AR235" i="62"/>
  <c r="G234" i="62"/>
  <c r="B238" i="62"/>
  <c r="AR238" i="62" s="1"/>
  <c r="C237" i="62"/>
  <c r="A240" i="62"/>
  <c r="A239" i="62"/>
  <c r="I74" i="62"/>
  <c r="AO74" i="62"/>
  <c r="AM74" i="62"/>
  <c r="A239" i="67"/>
  <c r="S74" i="62"/>
  <c r="AQ74" i="62"/>
  <c r="U74" i="62"/>
  <c r="W74" i="62"/>
  <c r="K74" i="62"/>
  <c r="Y74" i="62"/>
  <c r="M74" i="62"/>
  <c r="O74" i="62"/>
  <c r="Q74" i="62"/>
  <c r="C236" i="62"/>
  <c r="D238" i="62"/>
  <c r="B237" i="62"/>
  <c r="F238" i="62"/>
  <c r="E238" i="62"/>
  <c r="AI236" i="62" l="1"/>
  <c r="AG236" i="62"/>
  <c r="AK236" i="62"/>
  <c r="AA236" i="62"/>
  <c r="AE236" i="62"/>
  <c r="AC236" i="62"/>
  <c r="A238" i="67"/>
  <c r="AR237" i="62"/>
  <c r="G236" i="62"/>
  <c r="C239" i="62"/>
  <c r="B240" i="62"/>
  <c r="AR240" i="62" s="1"/>
  <c r="A241" i="62"/>
  <c r="A242" i="62"/>
  <c r="K76" i="62"/>
  <c r="AO76" i="62"/>
  <c r="AM76" i="62"/>
  <c r="A241" i="67"/>
  <c r="I76" i="62"/>
  <c r="W76" i="62"/>
  <c r="Y76" i="62"/>
  <c r="M76" i="62"/>
  <c r="S76" i="62"/>
  <c r="Q76" i="62"/>
  <c r="U76" i="62"/>
  <c r="AQ76" i="62"/>
  <c r="O76" i="62"/>
  <c r="C238" i="62"/>
  <c r="E240" i="62"/>
  <c r="B239" i="62"/>
  <c r="F240" i="62"/>
  <c r="D240" i="62"/>
  <c r="AK238" i="62" l="1"/>
  <c r="AI238" i="62"/>
  <c r="AG238" i="62"/>
  <c r="AC238" i="62"/>
  <c r="AA238" i="62"/>
  <c r="AE238" i="62"/>
  <c r="A240" i="67"/>
  <c r="AR239" i="62"/>
  <c r="G238" i="62"/>
  <c r="B242" i="62"/>
  <c r="AR242" i="62" s="1"/>
  <c r="C241" i="62"/>
  <c r="A244" i="62"/>
  <c r="A243" i="62"/>
  <c r="AQ78" i="62"/>
  <c r="AM78" i="62"/>
  <c r="AO78" i="62"/>
  <c r="A243" i="67"/>
  <c r="I78" i="62"/>
  <c r="O78" i="62"/>
  <c r="K78" i="62"/>
  <c r="Q78" i="62"/>
  <c r="Y78" i="62"/>
  <c r="M78" i="62"/>
  <c r="S78" i="62"/>
  <c r="W78" i="62"/>
  <c r="U78" i="62"/>
  <c r="F242" i="62"/>
  <c r="B241" i="62"/>
  <c r="C240" i="62"/>
  <c r="E242" i="62"/>
  <c r="D242" i="62"/>
  <c r="AK240" i="62" l="1"/>
  <c r="AG240" i="62"/>
  <c r="AI240" i="62"/>
  <c r="AE240" i="62"/>
  <c r="AC240" i="62"/>
  <c r="AA240" i="62"/>
  <c r="A242" i="67"/>
  <c r="AR241" i="62"/>
  <c r="G240" i="62"/>
  <c r="C243" i="62"/>
  <c r="B244" i="62"/>
  <c r="AR244" i="62" s="1"/>
  <c r="A245" i="62"/>
  <c r="A246" i="62"/>
  <c r="AM80" i="62"/>
  <c r="AO80" i="62"/>
  <c r="A245" i="67"/>
  <c r="M80" i="62"/>
  <c r="U80" i="62"/>
  <c r="K80" i="62"/>
  <c r="Y80" i="62"/>
  <c r="S80" i="62"/>
  <c r="AQ80" i="62"/>
  <c r="Q80" i="62"/>
  <c r="W80" i="62"/>
  <c r="I80" i="62"/>
  <c r="O80" i="62"/>
  <c r="B243" i="62"/>
  <c r="D244" i="62"/>
  <c r="C242" i="62"/>
  <c r="E244" i="62"/>
  <c r="F244" i="62"/>
  <c r="AG242" i="62" l="1"/>
  <c r="AI242" i="62"/>
  <c r="AK242" i="62"/>
  <c r="AE242" i="62"/>
  <c r="AC242" i="62"/>
  <c r="AA242" i="62"/>
  <c r="A244" i="67"/>
  <c r="AR243" i="62"/>
  <c r="G242" i="62"/>
  <c r="B246" i="62"/>
  <c r="AR246" i="62" s="1"/>
  <c r="C245" i="62"/>
  <c r="A247" i="62"/>
  <c r="A248" i="62"/>
  <c r="S82" i="62"/>
  <c r="AO82" i="62"/>
  <c r="AM82" i="62"/>
  <c r="A247" i="67"/>
  <c r="Q82" i="62"/>
  <c r="AQ82" i="62"/>
  <c r="O82" i="62"/>
  <c r="M82" i="62"/>
  <c r="U82" i="62"/>
  <c r="Y82" i="62"/>
  <c r="K82" i="62"/>
  <c r="W82" i="62"/>
  <c r="I82" i="62"/>
  <c r="C244" i="62"/>
  <c r="E246" i="62"/>
  <c r="D246" i="62"/>
  <c r="F246" i="62"/>
  <c r="B245" i="62"/>
  <c r="AI244" i="62" l="1"/>
  <c r="AG244" i="62"/>
  <c r="AK244" i="62"/>
  <c r="AA244" i="62"/>
  <c r="AC244" i="62"/>
  <c r="AE244" i="62"/>
  <c r="A246" i="67"/>
  <c r="AR245" i="62"/>
  <c r="G244" i="62"/>
  <c r="B248" i="62"/>
  <c r="AR248" i="62" s="1"/>
  <c r="C247" i="62"/>
  <c r="A250" i="62"/>
  <c r="A249" i="62"/>
  <c r="Y84" i="62"/>
  <c r="AO84" i="62"/>
  <c r="AM84" i="62"/>
  <c r="A249" i="67"/>
  <c r="I84" i="62"/>
  <c r="S84" i="62"/>
  <c r="Q84" i="62"/>
  <c r="M84" i="62"/>
  <c r="K84" i="62"/>
  <c r="W84" i="62"/>
  <c r="AQ84" i="62"/>
  <c r="O84" i="62"/>
  <c r="U84" i="62"/>
  <c r="D248" i="62"/>
  <c r="E248" i="62"/>
  <c r="B247" i="62"/>
  <c r="F248" i="62"/>
  <c r="C246" i="62"/>
  <c r="AK246" i="62" l="1"/>
  <c r="AI246" i="62"/>
  <c r="AG246" i="62"/>
  <c r="AC246" i="62"/>
  <c r="AA246" i="62"/>
  <c r="AE246" i="62"/>
  <c r="A248" i="67"/>
  <c r="AR247" i="62"/>
  <c r="G246" i="62"/>
  <c r="C249" i="62"/>
  <c r="B250" i="62"/>
  <c r="AR250" i="62" s="1"/>
  <c r="A251" i="62"/>
  <c r="A252" i="62"/>
  <c r="AO86" i="62"/>
  <c r="AM86" i="62"/>
  <c r="A251" i="67"/>
  <c r="Q86" i="62"/>
  <c r="M86" i="62"/>
  <c r="S86" i="62"/>
  <c r="U86" i="62"/>
  <c r="K86" i="62"/>
  <c r="O86" i="62"/>
  <c r="I86" i="62"/>
  <c r="AQ86" i="62"/>
  <c r="W86" i="62"/>
  <c r="Y86" i="62"/>
  <c r="E250" i="62"/>
  <c r="D250" i="62"/>
  <c r="B249" i="62"/>
  <c r="C248" i="62"/>
  <c r="F250" i="62"/>
  <c r="AK248" i="62" l="1"/>
  <c r="AG248" i="62"/>
  <c r="AI248" i="62"/>
  <c r="AE248" i="62"/>
  <c r="AC248" i="62"/>
  <c r="AA248" i="62"/>
  <c r="A250" i="67"/>
  <c r="AR249" i="62"/>
  <c r="G248" i="62"/>
  <c r="B252" i="62"/>
  <c r="AR252" i="62" s="1"/>
  <c r="C251" i="62"/>
  <c r="A254" i="62"/>
  <c r="A253" i="62"/>
  <c r="O88" i="62"/>
  <c r="AO88" i="62"/>
  <c r="AM88" i="62"/>
  <c r="A253" i="67"/>
  <c r="W88" i="62"/>
  <c r="K88" i="62"/>
  <c r="Y88" i="62"/>
  <c r="I88" i="62"/>
  <c r="U88" i="62"/>
  <c r="Q88" i="62"/>
  <c r="S88" i="62"/>
  <c r="M88" i="62"/>
  <c r="AQ88" i="62"/>
  <c r="C250" i="62"/>
  <c r="F252" i="62"/>
  <c r="B251" i="62"/>
  <c r="D252" i="62"/>
  <c r="E252" i="62"/>
  <c r="AG250" i="62" l="1"/>
  <c r="AI250" i="62"/>
  <c r="AK250" i="62"/>
  <c r="AE250" i="62"/>
  <c r="AA250" i="62"/>
  <c r="AC250" i="62"/>
  <c r="A252" i="67"/>
  <c r="AR251" i="62"/>
  <c r="G250" i="62"/>
  <c r="C253" i="62"/>
  <c r="B254" i="62"/>
  <c r="AR254" i="62" s="1"/>
  <c r="A256" i="62"/>
  <c r="A255" i="62"/>
  <c r="O90" i="62"/>
  <c r="AO90" i="62"/>
  <c r="AM90" i="62"/>
  <c r="A255" i="67"/>
  <c r="U90" i="62"/>
  <c r="AQ90" i="62"/>
  <c r="K90" i="62"/>
  <c r="I90" i="62"/>
  <c r="M90" i="62"/>
  <c r="Y90" i="62"/>
  <c r="S90" i="62"/>
  <c r="W90" i="62"/>
  <c r="Q90" i="62"/>
  <c r="B253" i="62"/>
  <c r="C252" i="62"/>
  <c r="D254" i="62"/>
  <c r="E254" i="62"/>
  <c r="F254" i="62"/>
  <c r="AI252" i="62" l="1"/>
  <c r="AG252" i="62"/>
  <c r="AK252" i="62"/>
  <c r="AA252" i="62"/>
  <c r="AE252" i="62"/>
  <c r="AC252" i="62"/>
  <c r="A254" i="67"/>
  <c r="AR253" i="62"/>
  <c r="G252" i="62"/>
  <c r="C255" i="62"/>
  <c r="B256" i="62"/>
  <c r="AR256" i="62" s="1"/>
  <c r="A258" i="62"/>
  <c r="A257" i="62"/>
  <c r="AO92" i="62"/>
  <c r="AM92" i="62"/>
  <c r="A257" i="67"/>
  <c r="K92" i="62"/>
  <c r="Q92" i="62"/>
  <c r="S92" i="62"/>
  <c r="M92" i="62"/>
  <c r="AQ92" i="62"/>
  <c r="Y92" i="62"/>
  <c r="U92" i="62"/>
  <c r="I92" i="62"/>
  <c r="W92" i="62"/>
  <c r="O92" i="62"/>
  <c r="C254" i="62"/>
  <c r="D256" i="62"/>
  <c r="F256" i="62"/>
  <c r="B255" i="62"/>
  <c r="E256" i="62"/>
  <c r="AK254" i="62" l="1"/>
  <c r="AI254" i="62"/>
  <c r="AG254" i="62"/>
  <c r="AC254" i="62"/>
  <c r="AA254" i="62"/>
  <c r="AE254" i="62"/>
  <c r="A256" i="67"/>
  <c r="A258" i="67" s="1"/>
  <c r="AR255" i="62"/>
  <c r="G254" i="62"/>
  <c r="C257" i="62"/>
  <c r="B258" i="62"/>
  <c r="AR258" i="62" s="1"/>
  <c r="A259" i="62"/>
  <c r="A260" i="62"/>
  <c r="AO94" i="62"/>
  <c r="AM94" i="62"/>
  <c r="A259" i="67"/>
  <c r="Y94" i="62"/>
  <c r="W94" i="62"/>
  <c r="AQ94" i="62"/>
  <c r="S94" i="62"/>
  <c r="K94" i="62"/>
  <c r="M94" i="62"/>
  <c r="Q94" i="62"/>
  <c r="U94" i="62"/>
  <c r="I94" i="62"/>
  <c r="O94" i="62"/>
  <c r="F258" i="62"/>
  <c r="B257" i="62"/>
  <c r="D258" i="62"/>
  <c r="E258" i="62"/>
  <c r="C256" i="62"/>
  <c r="AK256" i="62" l="1"/>
  <c r="AG256" i="62"/>
  <c r="AI256" i="62"/>
  <c r="AE256" i="62"/>
  <c r="AC256" i="62"/>
  <c r="AA256" i="62"/>
  <c r="AR257" i="62"/>
  <c r="G256" i="62"/>
  <c r="B260" i="62"/>
  <c r="AR260" i="62" s="1"/>
  <c r="C259" i="62"/>
  <c r="A261" i="62"/>
  <c r="A262" i="62"/>
  <c r="AQ96" i="62"/>
  <c r="AO96" i="62"/>
  <c r="AM96" i="62"/>
  <c r="A260" i="67"/>
  <c r="A261" i="67"/>
  <c r="I96" i="62"/>
  <c r="Y96" i="62"/>
  <c r="W96" i="62"/>
  <c r="S96" i="62"/>
  <c r="O96" i="62"/>
  <c r="U96" i="62"/>
  <c r="K96" i="62"/>
  <c r="M96" i="62"/>
  <c r="Q96" i="62"/>
  <c r="D260" i="62"/>
  <c r="E260" i="62"/>
  <c r="F260" i="62"/>
  <c r="C258" i="62"/>
  <c r="B259" i="62"/>
  <c r="AG258" i="62" l="1"/>
  <c r="AI258" i="62"/>
  <c r="AK258" i="62"/>
  <c r="AE258" i="62"/>
  <c r="AC258" i="62"/>
  <c r="AA258" i="62"/>
  <c r="AR259" i="62"/>
  <c r="G258" i="62"/>
  <c r="B262" i="62"/>
  <c r="AR262" i="62" s="1"/>
  <c r="C261" i="62"/>
  <c r="A263" i="62"/>
  <c r="A264" i="62"/>
  <c r="I98" i="62"/>
  <c r="AO98" i="62"/>
  <c r="AM98" i="62"/>
  <c r="A262" i="67"/>
  <c r="A263" i="67"/>
  <c r="K98" i="62"/>
  <c r="M98" i="62"/>
  <c r="W98" i="62"/>
  <c r="Q98" i="62"/>
  <c r="S98" i="62"/>
  <c r="U98" i="62"/>
  <c r="AQ98" i="62"/>
  <c r="Y98" i="62"/>
  <c r="O98" i="62"/>
  <c r="E262" i="62"/>
  <c r="C260" i="62"/>
  <c r="F262" i="62"/>
  <c r="D262" i="62"/>
  <c r="B261" i="62"/>
  <c r="AI260" i="62" l="1"/>
  <c r="AG260" i="62"/>
  <c r="AK260" i="62"/>
  <c r="AA260" i="62"/>
  <c r="AC260" i="62"/>
  <c r="AE260" i="62"/>
  <c r="AR261" i="62"/>
  <c r="G260" i="62"/>
  <c r="B264" i="62"/>
  <c r="AR264" i="62" s="1"/>
  <c r="C263" i="62"/>
  <c r="A266" i="62"/>
  <c r="A265" i="62"/>
  <c r="O100" i="62"/>
  <c r="AO100" i="62"/>
  <c r="AM100" i="62"/>
  <c r="A265" i="67"/>
  <c r="A264" i="67"/>
  <c r="Q100" i="62"/>
  <c r="AQ100" i="62"/>
  <c r="S100" i="62"/>
  <c r="I100" i="62"/>
  <c r="Y100" i="62"/>
  <c r="M100" i="62"/>
  <c r="U100" i="62"/>
  <c r="K100" i="62"/>
  <c r="W100" i="62"/>
  <c r="E264" i="62"/>
  <c r="F264" i="62"/>
  <c r="B263" i="62"/>
  <c r="D264" i="62"/>
  <c r="C262" i="62"/>
  <c r="AK262" i="62" l="1"/>
  <c r="AI262" i="62"/>
  <c r="AG262" i="62"/>
  <c r="AC262" i="62"/>
  <c r="AA262" i="62"/>
  <c r="AE262" i="62"/>
  <c r="AR263" i="62"/>
  <c r="G262" i="62"/>
  <c r="C265" i="62"/>
  <c r="B266" i="62"/>
  <c r="AR266" i="62" s="1"/>
  <c r="A267" i="62"/>
  <c r="A268" i="62"/>
  <c r="M102" i="62"/>
  <c r="AO102" i="62"/>
  <c r="AM102" i="62"/>
  <c r="A267" i="67"/>
  <c r="A266" i="67"/>
  <c r="K102" i="62"/>
  <c r="O102" i="62"/>
  <c r="U102" i="62"/>
  <c r="Y102" i="62"/>
  <c r="S102" i="62"/>
  <c r="Q102" i="62"/>
  <c r="I102" i="62"/>
  <c r="AQ102" i="62"/>
  <c r="W102" i="62"/>
  <c r="E266" i="62"/>
  <c r="B265" i="62"/>
  <c r="D266" i="62"/>
  <c r="C264" i="62"/>
  <c r="F266" i="62"/>
  <c r="AK264" i="62" l="1"/>
  <c r="AG264" i="62"/>
  <c r="AI264" i="62"/>
  <c r="AE264" i="62"/>
  <c r="AC264" i="62"/>
  <c r="AA264" i="62"/>
  <c r="AR265" i="62"/>
  <c r="G264" i="62"/>
  <c r="B268" i="62"/>
  <c r="AR268" i="62" s="1"/>
  <c r="C267" i="62"/>
  <c r="A270" i="62"/>
  <c r="A269" i="62"/>
  <c r="AO106" i="62"/>
  <c r="AM106" i="62"/>
  <c r="Y104" i="62"/>
  <c r="AO104" i="62"/>
  <c r="AM104" i="62"/>
  <c r="A269" i="67"/>
  <c r="A268" i="67"/>
  <c r="S104" i="62"/>
  <c r="W104" i="62"/>
  <c r="K104" i="62"/>
  <c r="Q104" i="62"/>
  <c r="U104" i="62"/>
  <c r="I104" i="62"/>
  <c r="AQ104" i="62"/>
  <c r="M104" i="62"/>
  <c r="O104" i="62"/>
  <c r="U106" i="62"/>
  <c r="I106" i="62"/>
  <c r="K106" i="62"/>
  <c r="S106" i="62"/>
  <c r="Y106" i="62"/>
  <c r="AQ106" i="62"/>
  <c r="Q106" i="62"/>
  <c r="O106" i="62"/>
  <c r="M106" i="62"/>
  <c r="W106" i="62"/>
  <c r="B267" i="62"/>
  <c r="E268" i="62"/>
  <c r="D268" i="62"/>
  <c r="F268" i="62"/>
  <c r="C266" i="62"/>
  <c r="AG266" i="62" l="1"/>
  <c r="AI266" i="62"/>
  <c r="AK266" i="62"/>
  <c r="AE266" i="62"/>
  <c r="AA266" i="62"/>
  <c r="AC266" i="62"/>
  <c r="AR267" i="62"/>
  <c r="G266" i="62"/>
  <c r="C269" i="62"/>
  <c r="B270" i="62"/>
  <c r="AR270" i="62" s="1"/>
  <c r="A271" i="62"/>
  <c r="A272" i="62"/>
  <c r="A270" i="67"/>
  <c r="A271" i="67"/>
  <c r="B269" i="62"/>
  <c r="F270" i="62"/>
  <c r="C268" i="62"/>
  <c r="E270" i="62"/>
  <c r="D270" i="62"/>
  <c r="AI268" i="62" l="1"/>
  <c r="AG268" i="62"/>
  <c r="AK268" i="62"/>
  <c r="AA268" i="62"/>
  <c r="AE268" i="62"/>
  <c r="AC268" i="62"/>
  <c r="AR269" i="62"/>
  <c r="G268" i="62"/>
  <c r="B272" i="62"/>
  <c r="AR272" i="62" s="1"/>
  <c r="C271" i="62"/>
  <c r="A274" i="62"/>
  <c r="A273" i="62"/>
  <c r="AO108" i="62"/>
  <c r="AM108" i="62"/>
  <c r="A273" i="67"/>
  <c r="A272" i="67"/>
  <c r="Y108" i="62"/>
  <c r="U108" i="62"/>
  <c r="M108" i="62"/>
  <c r="W108" i="62"/>
  <c r="I108" i="62"/>
  <c r="K108" i="62"/>
  <c r="O108" i="62"/>
  <c r="S108" i="62"/>
  <c r="Q108" i="62"/>
  <c r="AQ108" i="62"/>
  <c r="F272" i="62"/>
  <c r="D272" i="62"/>
  <c r="E272" i="62"/>
  <c r="C270" i="62"/>
  <c r="B271" i="62"/>
  <c r="AK270" i="62" l="1"/>
  <c r="AI270" i="62"/>
  <c r="AG270" i="62"/>
  <c r="AC270" i="62"/>
  <c r="AA270" i="62"/>
  <c r="AE270" i="62"/>
  <c r="AR271" i="62"/>
  <c r="G270" i="62"/>
  <c r="C273" i="62"/>
  <c r="B274" i="62"/>
  <c r="AR274" i="62" s="1"/>
  <c r="A275" i="62"/>
  <c r="A276" i="62"/>
  <c r="I110" i="62"/>
  <c r="AM110" i="62"/>
  <c r="AO110" i="62"/>
  <c r="A275" i="67"/>
  <c r="A274" i="67"/>
  <c r="Q110" i="62"/>
  <c r="M110" i="62"/>
  <c r="U110" i="62"/>
  <c r="W110" i="62"/>
  <c r="S110" i="62"/>
  <c r="Y110" i="62"/>
  <c r="O110" i="62"/>
  <c r="AQ110" i="62"/>
  <c r="K110" i="62"/>
  <c r="E274" i="62"/>
  <c r="D274" i="62"/>
  <c r="C272" i="62"/>
  <c r="F274" i="62"/>
  <c r="B273" i="62"/>
  <c r="AK272" i="62" l="1"/>
  <c r="AG272" i="62"/>
  <c r="AI272" i="62"/>
  <c r="AE272" i="62"/>
  <c r="AC272" i="62"/>
  <c r="AA272" i="62"/>
  <c r="AR273" i="62"/>
  <c r="G272" i="62"/>
  <c r="B276" i="62"/>
  <c r="AR276" i="62" s="1"/>
  <c r="C275" i="62"/>
  <c r="A278" i="62"/>
  <c r="A277" i="62"/>
  <c r="AM112" i="62"/>
  <c r="AO112" i="62"/>
  <c r="A276" i="67"/>
  <c r="A277" i="67"/>
  <c r="Y112" i="62"/>
  <c r="I112" i="62"/>
  <c r="U112" i="62"/>
  <c r="S112" i="62"/>
  <c r="O112" i="62"/>
  <c r="AQ112" i="62"/>
  <c r="Q112" i="62"/>
  <c r="K112" i="62"/>
  <c r="M112" i="62"/>
  <c r="W112" i="62"/>
  <c r="C274" i="62"/>
  <c r="B275" i="62"/>
  <c r="F276" i="62"/>
  <c r="D276" i="62"/>
  <c r="E276" i="62"/>
  <c r="AG274" i="62" l="1"/>
  <c r="AI274" i="62"/>
  <c r="AK274" i="62"/>
  <c r="AE274" i="62"/>
  <c r="AC274" i="62"/>
  <c r="AA274" i="62"/>
  <c r="AR275" i="62"/>
  <c r="G274" i="62"/>
  <c r="C277" i="62"/>
  <c r="B278" i="62"/>
  <c r="AR278" i="62" s="1"/>
  <c r="A279" i="62"/>
  <c r="A280" i="62"/>
  <c r="K114" i="62"/>
  <c r="AO114" i="62"/>
  <c r="AM114" i="62"/>
  <c r="A279" i="67"/>
  <c r="A278" i="67"/>
  <c r="W114" i="62"/>
  <c r="Y114" i="62"/>
  <c r="M114" i="62"/>
  <c r="Q114" i="62"/>
  <c r="S114" i="62"/>
  <c r="I114" i="62"/>
  <c r="O114" i="62"/>
  <c r="AQ114" i="62"/>
  <c r="U114" i="62"/>
  <c r="AL105" i="4"/>
  <c r="D278" i="62"/>
  <c r="B277" i="62"/>
  <c r="F278" i="62"/>
  <c r="E278" i="62"/>
  <c r="C276" i="62"/>
  <c r="AI276" i="62" l="1"/>
  <c r="AG276" i="62"/>
  <c r="AK276" i="62"/>
  <c r="AA276" i="62"/>
  <c r="AC276" i="62"/>
  <c r="AE276" i="62"/>
  <c r="AR277" i="62"/>
  <c r="G276" i="62"/>
  <c r="B280" i="62"/>
  <c r="AR280" i="62" s="1"/>
  <c r="C279" i="62"/>
  <c r="A282" i="62"/>
  <c r="A281" i="62"/>
  <c r="Y116" i="62"/>
  <c r="AO116" i="62"/>
  <c r="AM116" i="62"/>
  <c r="A280" i="67"/>
  <c r="A281" i="67"/>
  <c r="AQ116" i="62"/>
  <c r="U116" i="62"/>
  <c r="S116" i="62"/>
  <c r="W116" i="62"/>
  <c r="K116" i="62"/>
  <c r="Q116" i="62"/>
  <c r="I116" i="62"/>
  <c r="M116" i="62"/>
  <c r="O116" i="62"/>
  <c r="B279" i="62"/>
  <c r="F280" i="62"/>
  <c r="E280" i="62"/>
  <c r="C278" i="62"/>
  <c r="D280" i="62"/>
  <c r="AK278" i="62" l="1"/>
  <c r="AI278" i="62"/>
  <c r="AG278" i="62"/>
  <c r="AC278" i="62"/>
  <c r="AA278" i="62"/>
  <c r="AE278" i="62"/>
  <c r="AR279" i="62"/>
  <c r="G278" i="62"/>
  <c r="C281" i="62"/>
  <c r="B282" i="62"/>
  <c r="AR282" i="62" s="1"/>
  <c r="A283" i="62"/>
  <c r="A284" i="62"/>
  <c r="AO118" i="62"/>
  <c r="AM118" i="62"/>
  <c r="A283" i="67"/>
  <c r="A282" i="67"/>
  <c r="I118" i="62"/>
  <c r="AQ118" i="62"/>
  <c r="W118" i="62"/>
  <c r="Q118" i="62"/>
  <c r="S118" i="62"/>
  <c r="U118" i="62"/>
  <c r="K118" i="62"/>
  <c r="Y118" i="62"/>
  <c r="M118" i="62"/>
  <c r="O118" i="62"/>
  <c r="F282" i="62"/>
  <c r="C280" i="62"/>
  <c r="E282" i="62"/>
  <c r="B281" i="62"/>
  <c r="D282" i="62"/>
  <c r="AK280" i="62" l="1"/>
  <c r="AG280" i="62"/>
  <c r="AI280" i="62"/>
  <c r="AE280" i="62"/>
  <c r="AC280" i="62"/>
  <c r="AA280" i="62"/>
  <c r="AR281" i="62"/>
  <c r="G280" i="62"/>
  <c r="B284" i="62"/>
  <c r="AR284" i="62" s="1"/>
  <c r="C283" i="62"/>
  <c r="A286" i="62"/>
  <c r="A285" i="62"/>
  <c r="I120" i="62"/>
  <c r="AO120" i="62"/>
  <c r="AM120" i="62"/>
  <c r="A285" i="67"/>
  <c r="A284" i="67"/>
  <c r="O120" i="62"/>
  <c r="K120" i="62"/>
  <c r="M120" i="62"/>
  <c r="AQ120" i="62"/>
  <c r="U120" i="62"/>
  <c r="S120" i="62"/>
  <c r="W120" i="62"/>
  <c r="Q120" i="62"/>
  <c r="Y120" i="62"/>
  <c r="AL108" i="4"/>
  <c r="E284" i="62"/>
  <c r="B283" i="62"/>
  <c r="D284" i="62"/>
  <c r="C282" i="62"/>
  <c r="F284" i="62"/>
  <c r="AK282" i="62" l="1"/>
  <c r="AG282" i="62"/>
  <c r="AI282" i="62"/>
  <c r="AE282" i="62"/>
  <c r="AA282" i="62"/>
  <c r="AC282" i="62"/>
  <c r="AR283" i="62"/>
  <c r="G282" i="62"/>
  <c r="B286" i="62"/>
  <c r="AR286" i="62" s="1"/>
  <c r="C285" i="62"/>
  <c r="A287" i="62"/>
  <c r="A288" i="62"/>
  <c r="AO122" i="62"/>
  <c r="AM122" i="62"/>
  <c r="A287" i="67"/>
  <c r="A286" i="67"/>
  <c r="K122" i="62"/>
  <c r="Q122" i="62"/>
  <c r="M122" i="62"/>
  <c r="Y122" i="62"/>
  <c r="AQ122" i="62"/>
  <c r="W122" i="62"/>
  <c r="S122" i="62"/>
  <c r="I122" i="62"/>
  <c r="U122" i="62"/>
  <c r="O122" i="62"/>
  <c r="F286" i="62"/>
  <c r="D286" i="62"/>
  <c r="E286" i="62"/>
  <c r="C284" i="62"/>
  <c r="B285" i="62"/>
  <c r="AK284" i="62" l="1"/>
  <c r="AI284" i="62"/>
  <c r="AG284" i="62"/>
  <c r="AE284" i="62"/>
  <c r="AC284" i="62"/>
  <c r="AA284" i="62"/>
  <c r="AR285" i="62"/>
  <c r="G284" i="62"/>
  <c r="C287" i="62"/>
  <c r="B288" i="62"/>
  <c r="AR288" i="62" s="1"/>
  <c r="A290" i="62"/>
  <c r="A289" i="62"/>
  <c r="S124" i="62"/>
  <c r="AO124" i="62"/>
  <c r="AM124" i="62"/>
  <c r="A288" i="67"/>
  <c r="A289" i="67"/>
  <c r="I124" i="62"/>
  <c r="W124" i="62"/>
  <c r="AQ124" i="62"/>
  <c r="U124" i="62"/>
  <c r="K124" i="62"/>
  <c r="O124" i="62"/>
  <c r="Y124" i="62"/>
  <c r="Q124" i="62"/>
  <c r="M124" i="62"/>
  <c r="AL110" i="4"/>
  <c r="D288" i="62"/>
  <c r="E288" i="62"/>
  <c r="C286" i="62"/>
  <c r="F288" i="62"/>
  <c r="B287" i="62"/>
  <c r="AG286" i="62" l="1"/>
  <c r="AI286" i="62"/>
  <c r="AK286" i="62"/>
  <c r="AE286" i="62"/>
  <c r="AC286" i="62"/>
  <c r="AA286" i="62"/>
  <c r="AR287" i="62"/>
  <c r="G286" i="62"/>
  <c r="C289" i="62"/>
  <c r="B290" i="62"/>
  <c r="AR290" i="62" s="1"/>
  <c r="A291" i="62"/>
  <c r="A292" i="62"/>
  <c r="Q126" i="62"/>
  <c r="AO126" i="62"/>
  <c r="AM126" i="62"/>
  <c r="A291" i="67"/>
  <c r="A290" i="67"/>
  <c r="O126" i="62"/>
  <c r="AQ126" i="62"/>
  <c r="W126" i="62"/>
  <c r="I126" i="62"/>
  <c r="S126" i="62"/>
  <c r="U126" i="62"/>
  <c r="Y126" i="62"/>
  <c r="K126" i="62"/>
  <c r="M126" i="62"/>
  <c r="AL111" i="4"/>
  <c r="B289" i="62"/>
  <c r="F290" i="62"/>
  <c r="D290" i="62"/>
  <c r="E290" i="62"/>
  <c r="C288" i="62"/>
  <c r="AI288" i="62" l="1"/>
  <c r="AK288" i="62"/>
  <c r="AG288" i="62"/>
  <c r="AA288" i="62"/>
  <c r="AE288" i="62"/>
  <c r="AC288" i="62"/>
  <c r="AR289" i="62"/>
  <c r="G288" i="62"/>
  <c r="B292" i="62"/>
  <c r="AR292" i="62" s="1"/>
  <c r="C291" i="62"/>
  <c r="A294" i="62"/>
  <c r="A293" i="62"/>
  <c r="AO128" i="62"/>
  <c r="AM128" i="62"/>
  <c r="A293" i="67"/>
  <c r="A292" i="67"/>
  <c r="K128" i="62"/>
  <c r="M128" i="62"/>
  <c r="AQ128" i="62"/>
  <c r="Q128" i="62"/>
  <c r="O128" i="62"/>
  <c r="Y128" i="62"/>
  <c r="I128" i="62"/>
  <c r="U128" i="62"/>
  <c r="S128" i="62"/>
  <c r="W128" i="62"/>
  <c r="AL113" i="4"/>
  <c r="AL112" i="4"/>
  <c r="D292" i="62"/>
  <c r="B291" i="62"/>
  <c r="E292" i="62"/>
  <c r="F292" i="62"/>
  <c r="C290" i="62"/>
  <c r="AK290" i="62" l="1"/>
  <c r="AG290" i="62"/>
  <c r="AI290" i="62"/>
  <c r="AC290" i="62"/>
  <c r="AA290" i="62"/>
  <c r="AE290" i="62"/>
  <c r="AR291" i="62"/>
  <c r="G290" i="62"/>
  <c r="B294" i="62"/>
  <c r="AR294" i="62" s="1"/>
  <c r="C293" i="62"/>
  <c r="A295" i="62"/>
  <c r="A296" i="62"/>
  <c r="Y130" i="62"/>
  <c r="AO130" i="62"/>
  <c r="AM130" i="62"/>
  <c r="A295" i="67"/>
  <c r="A294" i="67"/>
  <c r="M130" i="62"/>
  <c r="AQ130" i="62"/>
  <c r="S130" i="62"/>
  <c r="K130" i="62"/>
  <c r="U130" i="62"/>
  <c r="Q130" i="62"/>
  <c r="O130" i="62"/>
  <c r="W130" i="62"/>
  <c r="I130" i="62"/>
  <c r="AL114" i="4"/>
  <c r="F294" i="62"/>
  <c r="C292" i="62"/>
  <c r="B293" i="62"/>
  <c r="D294" i="62"/>
  <c r="E294" i="62"/>
  <c r="AK292" i="62" l="1"/>
  <c r="AI292" i="62"/>
  <c r="AG292" i="62"/>
  <c r="AE292" i="62"/>
  <c r="AC292" i="62"/>
  <c r="AA292" i="62"/>
  <c r="AR293" i="62"/>
  <c r="G292" i="62"/>
  <c r="B296" i="62"/>
  <c r="AR296" i="62" s="1"/>
  <c r="C295" i="62"/>
  <c r="A298" i="62"/>
  <c r="A297" i="62"/>
  <c r="AO132" i="62"/>
  <c r="AM132" i="62"/>
  <c r="A296" i="67"/>
  <c r="A297" i="67"/>
  <c r="S132" i="62"/>
  <c r="K132" i="62"/>
  <c r="U132" i="62"/>
  <c r="O132" i="62"/>
  <c r="W132" i="62"/>
  <c r="AQ132" i="62"/>
  <c r="I132" i="62"/>
  <c r="Q132" i="62"/>
  <c r="M132" i="62"/>
  <c r="Y132" i="62"/>
  <c r="F296" i="62"/>
  <c r="E296" i="62"/>
  <c r="C294" i="62"/>
  <c r="D296" i="62"/>
  <c r="B295" i="62"/>
  <c r="AK294" i="62" l="1"/>
  <c r="AG294" i="62"/>
  <c r="AI294" i="62"/>
  <c r="AE294" i="62"/>
  <c r="AC294" i="62"/>
  <c r="AA294" i="62"/>
  <c r="AR295" i="62"/>
  <c r="G294" i="62"/>
  <c r="C297" i="62"/>
  <c r="B298" i="62"/>
  <c r="AR298" i="62" s="1"/>
  <c r="A299" i="62"/>
  <c r="A300" i="62"/>
  <c r="AQ134" i="62"/>
  <c r="AO134" i="62"/>
  <c r="AM134" i="62"/>
  <c r="A298" i="67"/>
  <c r="A299" i="67"/>
  <c r="U134" i="62"/>
  <c r="M134" i="62"/>
  <c r="Q134" i="62"/>
  <c r="I134" i="62"/>
  <c r="S134" i="62"/>
  <c r="K134" i="62"/>
  <c r="Y134" i="62"/>
  <c r="W134" i="62"/>
  <c r="O134" i="62"/>
  <c r="F298" i="62"/>
  <c r="C296" i="62"/>
  <c r="E298" i="62"/>
  <c r="B297" i="62"/>
  <c r="D298" i="62"/>
  <c r="AG296" i="62" l="1"/>
  <c r="AI296" i="62"/>
  <c r="AK296" i="62"/>
  <c r="AA296" i="62"/>
  <c r="AE296" i="62"/>
  <c r="AC296" i="62"/>
  <c r="AR297" i="62"/>
  <c r="G296" i="62"/>
  <c r="B300" i="62"/>
  <c r="AR300" i="62" s="1"/>
  <c r="C299" i="62"/>
  <c r="A302" i="62"/>
  <c r="A301" i="62"/>
  <c r="AO136" i="62"/>
  <c r="AM136" i="62"/>
  <c r="A301" i="67"/>
  <c r="A300" i="67"/>
  <c r="K136" i="62"/>
  <c r="M136" i="62"/>
  <c r="Y136" i="62"/>
  <c r="AQ136" i="62"/>
  <c r="S136" i="62"/>
  <c r="O136" i="62"/>
  <c r="W136" i="62"/>
  <c r="I136" i="62"/>
  <c r="Q136" i="62"/>
  <c r="U136" i="62"/>
  <c r="AL117" i="4"/>
  <c r="B299" i="62"/>
  <c r="C298" i="62"/>
  <c r="D300" i="62"/>
  <c r="E300" i="62"/>
  <c r="F300" i="62"/>
  <c r="AI298" i="62" l="1"/>
  <c r="AG298" i="62"/>
  <c r="AK298" i="62"/>
  <c r="AC298" i="62"/>
  <c r="AA298" i="62"/>
  <c r="AE298" i="62"/>
  <c r="AR299" i="62"/>
  <c r="G298" i="62"/>
  <c r="C301" i="62"/>
  <c r="B302" i="62"/>
  <c r="AR302" i="62" s="1"/>
  <c r="A303" i="62"/>
  <c r="A304" i="62"/>
  <c r="AO138" i="62"/>
  <c r="AM138" i="62"/>
  <c r="A303" i="67"/>
  <c r="A302" i="67"/>
  <c r="I138" i="62"/>
  <c r="Q138" i="62"/>
  <c r="M138" i="62"/>
  <c r="K138" i="62"/>
  <c r="O138" i="62"/>
  <c r="U138" i="62"/>
  <c r="Y138" i="62"/>
  <c r="AQ138" i="62"/>
  <c r="W138" i="62"/>
  <c r="S138" i="62"/>
  <c r="AL118" i="4"/>
  <c r="B301" i="62"/>
  <c r="E302" i="62"/>
  <c r="D302" i="62"/>
  <c r="C300" i="62"/>
  <c r="F302" i="62"/>
  <c r="AK300" i="62" l="1"/>
  <c r="AI300" i="62"/>
  <c r="AG300" i="62"/>
  <c r="AE300" i="62"/>
  <c r="AC300" i="62"/>
  <c r="AA300" i="62"/>
  <c r="AR301" i="62"/>
  <c r="G300" i="62"/>
  <c r="B304" i="62"/>
  <c r="AR304" i="62" s="1"/>
  <c r="C303" i="62"/>
  <c r="A306" i="62"/>
  <c r="A305" i="62"/>
  <c r="Y140" i="62"/>
  <c r="AO140" i="62"/>
  <c r="AM140" i="62"/>
  <c r="A304" i="67"/>
  <c r="A305" i="67"/>
  <c r="S140" i="62"/>
  <c r="Q140" i="62"/>
  <c r="I140" i="62"/>
  <c r="U140" i="62"/>
  <c r="K140" i="62"/>
  <c r="W140" i="62"/>
  <c r="AQ140" i="62"/>
  <c r="M140" i="62"/>
  <c r="O140" i="62"/>
  <c r="F304" i="62"/>
  <c r="B303" i="62"/>
  <c r="D304" i="62"/>
  <c r="E304" i="62"/>
  <c r="C302" i="62"/>
  <c r="AK302" i="62" l="1"/>
  <c r="AG302" i="62"/>
  <c r="AI302" i="62"/>
  <c r="AE302" i="62"/>
  <c r="AA302" i="62"/>
  <c r="AC302" i="62"/>
  <c r="AR303" i="62"/>
  <c r="G302" i="62"/>
  <c r="C305" i="62"/>
  <c r="B306" i="62"/>
  <c r="AR306" i="62" s="1"/>
  <c r="A307" i="62"/>
  <c r="A308" i="62"/>
  <c r="W142" i="62"/>
  <c r="AO142" i="62"/>
  <c r="AM142" i="62"/>
  <c r="A307" i="67"/>
  <c r="A306" i="67"/>
  <c r="K142" i="62"/>
  <c r="I142" i="62"/>
  <c r="Y142" i="62"/>
  <c r="M142" i="62"/>
  <c r="Q142" i="62"/>
  <c r="AQ142" i="62"/>
  <c r="S142" i="62"/>
  <c r="O142" i="62"/>
  <c r="U142" i="62"/>
  <c r="AL120" i="4"/>
  <c r="AL56" i="4"/>
  <c r="F306" i="62"/>
  <c r="C304" i="62"/>
  <c r="E306" i="62"/>
  <c r="D306" i="62"/>
  <c r="B305" i="62"/>
  <c r="AG304" i="62" l="1"/>
  <c r="AI304" i="62"/>
  <c r="AK304" i="62"/>
  <c r="AA304" i="62"/>
  <c r="AE304" i="62"/>
  <c r="AC304" i="62"/>
  <c r="AR305" i="62"/>
  <c r="G304" i="62"/>
  <c r="A310" i="62"/>
  <c r="A312" i="62" s="1"/>
  <c r="B308" i="62"/>
  <c r="AR308" i="62" s="1"/>
  <c r="A309" i="62"/>
  <c r="A311" i="62" s="1"/>
  <c r="C307" i="62"/>
  <c r="Y144" i="62"/>
  <c r="AM144" i="62"/>
  <c r="AO144" i="62"/>
  <c r="A308" i="67"/>
  <c r="A309" i="67"/>
  <c r="S144" i="62"/>
  <c r="U144" i="62"/>
  <c r="W144" i="62"/>
  <c r="Q144" i="62"/>
  <c r="I144" i="62"/>
  <c r="AQ144" i="62"/>
  <c r="M144" i="62"/>
  <c r="K144" i="62"/>
  <c r="O144" i="62"/>
  <c r="AL57" i="4"/>
  <c r="C306" i="62"/>
  <c r="E308" i="62"/>
  <c r="B307" i="62"/>
  <c r="D308" i="62"/>
  <c r="F308" i="62"/>
  <c r="AI306" i="62" l="1"/>
  <c r="AG306" i="62"/>
  <c r="AK306" i="62"/>
  <c r="AC306" i="62"/>
  <c r="AA306" i="62"/>
  <c r="AE306" i="62"/>
  <c r="AR307" i="62"/>
  <c r="G306" i="62"/>
  <c r="C311" i="62"/>
  <c r="C309" i="62"/>
  <c r="B310" i="62"/>
  <c r="AR310" i="62" s="1"/>
  <c r="B312" i="62"/>
  <c r="AR312" i="62" s="1"/>
  <c r="A314" i="62"/>
  <c r="A313" i="62"/>
  <c r="O146" i="62"/>
  <c r="AO146" i="62"/>
  <c r="AM146" i="62"/>
  <c r="A310" i="67"/>
  <c r="A311" i="67"/>
  <c r="K146" i="62"/>
  <c r="Y146" i="62"/>
  <c r="U146" i="62"/>
  <c r="W146" i="62"/>
  <c r="M146" i="62"/>
  <c r="AQ146" i="62"/>
  <c r="I146" i="62"/>
  <c r="Q146" i="62"/>
  <c r="S146" i="62"/>
  <c r="AL58" i="4"/>
  <c r="B311" i="62"/>
  <c r="E312" i="62"/>
  <c r="D310" i="62"/>
  <c r="E310" i="62"/>
  <c r="C308" i="62"/>
  <c r="D312" i="62"/>
  <c r="F312" i="62"/>
  <c r="B309" i="62"/>
  <c r="F310" i="62"/>
  <c r="AK308" i="62" l="1"/>
  <c r="AI308" i="62"/>
  <c r="AG308" i="62"/>
  <c r="AE308" i="62"/>
  <c r="AC308" i="62"/>
  <c r="AA308" i="62"/>
  <c r="AR309" i="62"/>
  <c r="AR311" i="62"/>
  <c r="G308" i="62"/>
  <c r="B314" i="62"/>
  <c r="AR314" i="62" s="1"/>
  <c r="C313" i="62"/>
  <c r="A315" i="62"/>
  <c r="A316" i="62"/>
  <c r="Y148" i="62"/>
  <c r="AO148" i="62"/>
  <c r="AM148" i="62"/>
  <c r="A313" i="67"/>
  <c r="A312" i="67"/>
  <c r="O148" i="62"/>
  <c r="U148" i="62"/>
  <c r="M148" i="62"/>
  <c r="K148" i="62"/>
  <c r="Q148" i="62"/>
  <c r="W148" i="62"/>
  <c r="AQ148" i="62"/>
  <c r="S148" i="62"/>
  <c r="I148" i="62"/>
  <c r="AL59" i="4"/>
  <c r="C312" i="62"/>
  <c r="E314" i="62"/>
  <c r="B313" i="62"/>
  <c r="C310" i="62"/>
  <c r="D314" i="62"/>
  <c r="F314" i="62"/>
  <c r="AG312" i="62" l="1"/>
  <c r="AI312" i="62"/>
  <c r="AK312" i="62"/>
  <c r="AK310" i="62"/>
  <c r="AG310" i="62"/>
  <c r="AI310" i="62"/>
  <c r="AA312" i="62"/>
  <c r="AC312" i="62"/>
  <c r="AE312" i="62"/>
  <c r="AE310" i="62"/>
  <c r="AC310" i="62"/>
  <c r="AA310" i="62"/>
  <c r="AR313" i="62"/>
  <c r="G310" i="62"/>
  <c r="G312" i="62"/>
  <c r="B316" i="62"/>
  <c r="AR316" i="62" s="1"/>
  <c r="C315" i="62"/>
  <c r="A318" i="62"/>
  <c r="A317" i="62"/>
  <c r="U150" i="62"/>
  <c r="AO150" i="62"/>
  <c r="AM150" i="62"/>
  <c r="A315" i="67"/>
  <c r="A314" i="67"/>
  <c r="AQ150" i="62"/>
  <c r="W150" i="62"/>
  <c r="I150" i="62"/>
  <c r="Y150" i="62"/>
  <c r="Q150" i="62"/>
  <c r="O150" i="62"/>
  <c r="K150" i="62"/>
  <c r="S150" i="62"/>
  <c r="M150" i="62"/>
  <c r="AL60" i="4"/>
  <c r="B315" i="62"/>
  <c r="E316" i="62"/>
  <c r="C314" i="62"/>
  <c r="F316" i="62"/>
  <c r="D316" i="62"/>
  <c r="AI314" i="62" l="1"/>
  <c r="AG314" i="62"/>
  <c r="AK314" i="62"/>
  <c r="AC314" i="62"/>
  <c r="AA314" i="62"/>
  <c r="AE314" i="62"/>
  <c r="AR315" i="62"/>
  <c r="G314" i="62"/>
  <c r="C317" i="62"/>
  <c r="B318" i="62"/>
  <c r="AR318" i="62" s="1"/>
  <c r="A319" i="62"/>
  <c r="A320" i="62"/>
  <c r="I152" i="62"/>
  <c r="AO152" i="62"/>
  <c r="AM152" i="62"/>
  <c r="A316" i="67"/>
  <c r="A317" i="67"/>
  <c r="M152" i="62"/>
  <c r="Q152" i="62"/>
  <c r="Y152" i="62"/>
  <c r="K152" i="62"/>
  <c r="O152" i="62"/>
  <c r="W152" i="62"/>
  <c r="S152" i="62"/>
  <c r="AQ152" i="62"/>
  <c r="U152" i="62"/>
  <c r="AL61" i="4"/>
  <c r="C316" i="62"/>
  <c r="F318" i="62"/>
  <c r="B317" i="62"/>
  <c r="E318" i="62"/>
  <c r="D318" i="62"/>
  <c r="AK316" i="62" l="1"/>
  <c r="AI316" i="62"/>
  <c r="AG316" i="62"/>
  <c r="AE316" i="62"/>
  <c r="AC316" i="62"/>
  <c r="AA316" i="62"/>
  <c r="AR317" i="62"/>
  <c r="G316" i="62"/>
  <c r="C319" i="62"/>
  <c r="B320" i="62"/>
  <c r="AR320" i="62" s="1"/>
  <c r="A322" i="62"/>
  <c r="A321" i="62"/>
  <c r="AQ154" i="62"/>
  <c r="AO154" i="62"/>
  <c r="AM154" i="62"/>
  <c r="A318" i="67"/>
  <c r="A319" i="67"/>
  <c r="I154" i="62"/>
  <c r="O154" i="62"/>
  <c r="Q154" i="62"/>
  <c r="K154" i="62"/>
  <c r="S154" i="62"/>
  <c r="M154" i="62"/>
  <c r="U154" i="62"/>
  <c r="Y154" i="62"/>
  <c r="W154" i="62"/>
  <c r="AL62" i="4"/>
  <c r="D320" i="62"/>
  <c r="B319" i="62"/>
  <c r="F320" i="62"/>
  <c r="E320" i="62"/>
  <c r="C318" i="62"/>
  <c r="AK318" i="62" l="1"/>
  <c r="AG318" i="62"/>
  <c r="AI318" i="62"/>
  <c r="AE318" i="62"/>
  <c r="AC318" i="62"/>
  <c r="AA318" i="62"/>
  <c r="AR319" i="62"/>
  <c r="G318" i="62"/>
  <c r="C321" i="62"/>
  <c r="B322" i="62"/>
  <c r="AR322" i="62" s="1"/>
  <c r="A323" i="62"/>
  <c r="A324" i="62"/>
  <c r="Q156" i="62"/>
  <c r="AO156" i="62"/>
  <c r="AM156" i="62"/>
  <c r="A320" i="67"/>
  <c r="A321" i="67"/>
  <c r="Y156" i="62"/>
  <c r="AQ156" i="62"/>
  <c r="U156" i="62"/>
  <c r="O156" i="62"/>
  <c r="K156" i="62"/>
  <c r="I156" i="62"/>
  <c r="W156" i="62"/>
  <c r="S156" i="62"/>
  <c r="M156" i="62"/>
  <c r="AL63" i="4"/>
  <c r="D322" i="62"/>
  <c r="B321" i="62"/>
  <c r="C320" i="62"/>
  <c r="E322" i="62"/>
  <c r="F322" i="62"/>
  <c r="AG320" i="62" l="1"/>
  <c r="AI320" i="62"/>
  <c r="AK320" i="62"/>
  <c r="AA320" i="62"/>
  <c r="AE320" i="62"/>
  <c r="AC320" i="62"/>
  <c r="AR321" i="62"/>
  <c r="G320" i="62"/>
  <c r="C323" i="62"/>
  <c r="B324" i="62"/>
  <c r="AR324" i="62" s="1"/>
  <c r="A326" i="62"/>
  <c r="A325" i="62"/>
  <c r="O158" i="62"/>
  <c r="AO158" i="62"/>
  <c r="AM158" i="62"/>
  <c r="A323" i="67"/>
  <c r="A322" i="67"/>
  <c r="Y158" i="62"/>
  <c r="AQ158" i="62"/>
  <c r="I158" i="62"/>
  <c r="S158" i="62"/>
  <c r="U158" i="62"/>
  <c r="Q158" i="62"/>
  <c r="M158" i="62"/>
  <c r="K158" i="62"/>
  <c r="W158" i="62"/>
  <c r="AL64" i="4"/>
  <c r="F324" i="62"/>
  <c r="D324" i="62"/>
  <c r="C322" i="62"/>
  <c r="B323" i="62"/>
  <c r="E324" i="62"/>
  <c r="AI322" i="62" l="1"/>
  <c r="AG322" i="62"/>
  <c r="AK322" i="62"/>
  <c r="AC322" i="62"/>
  <c r="AA322" i="62"/>
  <c r="AE322" i="62"/>
  <c r="AR323" i="62"/>
  <c r="G322" i="62"/>
  <c r="C325" i="62"/>
  <c r="B326" i="62"/>
  <c r="AR326" i="62" s="1"/>
  <c r="A327" i="62"/>
  <c r="A328" i="62"/>
  <c r="Q160" i="62"/>
  <c r="AO160" i="62"/>
  <c r="AM160" i="62"/>
  <c r="A324" i="67"/>
  <c r="A325" i="67"/>
  <c r="AQ160" i="62"/>
  <c r="I160" i="62"/>
  <c r="U160" i="62"/>
  <c r="S160" i="62"/>
  <c r="Y160" i="62"/>
  <c r="M160" i="62"/>
  <c r="K160" i="62"/>
  <c r="W160" i="62"/>
  <c r="O160" i="62"/>
  <c r="AL129" i="4"/>
  <c r="AL65" i="4"/>
  <c r="C324" i="62"/>
  <c r="F326" i="62"/>
  <c r="D326" i="62"/>
  <c r="B325" i="62"/>
  <c r="E326" i="62"/>
  <c r="AK324" i="62" l="1"/>
  <c r="AI324" i="62"/>
  <c r="AG324" i="62"/>
  <c r="AE324" i="62"/>
  <c r="AC324" i="62"/>
  <c r="AA324" i="62"/>
  <c r="AR325" i="62"/>
  <c r="G324" i="62"/>
  <c r="B328" i="62"/>
  <c r="AR328" i="62" s="1"/>
  <c r="C327" i="62"/>
  <c r="A330" i="62"/>
  <c r="A329" i="62"/>
  <c r="AQ162" i="62"/>
  <c r="AO162" i="62"/>
  <c r="AM162" i="62"/>
  <c r="A326" i="67"/>
  <c r="A327" i="67"/>
  <c r="U162" i="62"/>
  <c r="I162" i="62"/>
  <c r="Y162" i="62"/>
  <c r="O162" i="62"/>
  <c r="S162" i="62"/>
  <c r="K162" i="62"/>
  <c r="Q162" i="62"/>
  <c r="M162" i="62"/>
  <c r="W162" i="62"/>
  <c r="AL66" i="4"/>
  <c r="D328" i="62"/>
  <c r="E328" i="62"/>
  <c r="B327" i="62"/>
  <c r="F328" i="62"/>
  <c r="C326" i="62"/>
  <c r="AK326" i="62" l="1"/>
  <c r="AG326" i="62"/>
  <c r="AI326" i="62"/>
  <c r="AE326" i="62"/>
  <c r="AC326" i="62"/>
  <c r="AA326" i="62"/>
  <c r="AR327" i="62"/>
  <c r="G326" i="62"/>
  <c r="C329" i="62"/>
  <c r="B330" i="62"/>
  <c r="AR330" i="62" s="1"/>
  <c r="A331" i="62"/>
  <c r="A332" i="62"/>
  <c r="AQ164" i="62"/>
  <c r="AO164" i="62"/>
  <c r="AM164" i="62"/>
  <c r="A329" i="67"/>
  <c r="A328" i="67"/>
  <c r="I164" i="62"/>
  <c r="K164" i="62"/>
  <c r="M164" i="62"/>
  <c r="Y164" i="62"/>
  <c r="U164" i="62"/>
  <c r="Q164" i="62"/>
  <c r="S164" i="62"/>
  <c r="W164" i="62"/>
  <c r="O164" i="62"/>
  <c r="AL67" i="4"/>
  <c r="D330" i="62"/>
  <c r="F330" i="62"/>
  <c r="B329" i="62"/>
  <c r="E330" i="62"/>
  <c r="C328" i="62"/>
  <c r="AG328" i="62" l="1"/>
  <c r="AI328" i="62"/>
  <c r="AK328" i="62"/>
  <c r="AA328" i="62"/>
  <c r="AE328" i="62"/>
  <c r="AC328" i="62"/>
  <c r="AR329" i="62"/>
  <c r="G328" i="62"/>
  <c r="B332" i="62"/>
  <c r="AR332" i="62" s="1"/>
  <c r="C331" i="62"/>
  <c r="A334" i="62"/>
  <c r="A333" i="62"/>
  <c r="O166" i="62"/>
  <c r="AO166" i="62"/>
  <c r="AM166" i="62"/>
  <c r="A330" i="67"/>
  <c r="A331" i="67"/>
  <c r="I166" i="62"/>
  <c r="M166" i="62"/>
  <c r="Q166" i="62"/>
  <c r="S166" i="62"/>
  <c r="W166" i="62"/>
  <c r="K166" i="62"/>
  <c r="AQ166" i="62"/>
  <c r="Y166" i="62"/>
  <c r="U166" i="62"/>
  <c r="AL68" i="4"/>
  <c r="C330" i="62"/>
  <c r="D332" i="62"/>
  <c r="B331" i="62"/>
  <c r="F332" i="62"/>
  <c r="E332" i="62"/>
  <c r="AI330" i="62" l="1"/>
  <c r="AG330" i="62"/>
  <c r="AK330" i="62"/>
  <c r="AC330" i="62"/>
  <c r="AA330" i="62"/>
  <c r="AE330" i="62"/>
  <c r="AR331" i="62"/>
  <c r="G330" i="62"/>
  <c r="C333" i="62"/>
  <c r="B334" i="62"/>
  <c r="AR334" i="62" s="1"/>
  <c r="A335" i="62"/>
  <c r="A336" i="62"/>
  <c r="AQ168" i="62"/>
  <c r="AO168" i="62"/>
  <c r="AM168" i="62"/>
  <c r="A333" i="67"/>
  <c r="A332" i="67"/>
  <c r="Q168" i="62"/>
  <c r="M168" i="62"/>
  <c r="I168" i="62"/>
  <c r="Y168" i="62"/>
  <c r="W168" i="62"/>
  <c r="O168" i="62"/>
  <c r="K168" i="62"/>
  <c r="S168" i="62"/>
  <c r="U168" i="62"/>
  <c r="AL69" i="4"/>
  <c r="B333" i="62"/>
  <c r="D334" i="62"/>
  <c r="F334" i="62"/>
  <c r="C332" i="62"/>
  <c r="E334" i="62"/>
  <c r="AK332" i="62" l="1"/>
  <c r="AI332" i="62"/>
  <c r="AG332" i="62"/>
  <c r="AE332" i="62"/>
  <c r="AC332" i="62"/>
  <c r="AA332" i="62"/>
  <c r="AR333" i="62"/>
  <c r="G332" i="62"/>
  <c r="B336" i="62"/>
  <c r="AR336" i="62" s="1"/>
  <c r="C335" i="62"/>
  <c r="A338" i="62"/>
  <c r="A337" i="62"/>
  <c r="U170" i="62"/>
  <c r="AO170" i="62"/>
  <c r="AM170" i="62"/>
  <c r="A334" i="67"/>
  <c r="A335" i="67"/>
  <c r="K170" i="62"/>
  <c r="M170" i="62"/>
  <c r="Q170" i="62"/>
  <c r="S170" i="62"/>
  <c r="AQ170" i="62"/>
  <c r="O170" i="62"/>
  <c r="I170" i="62"/>
  <c r="Y170" i="62"/>
  <c r="W170" i="62"/>
  <c r="AL70" i="4"/>
  <c r="D336" i="62"/>
  <c r="F336" i="62"/>
  <c r="B335" i="62"/>
  <c r="C334" i="62"/>
  <c r="E336" i="62"/>
  <c r="AK334" i="62" l="1"/>
  <c r="AG334" i="62"/>
  <c r="AI334" i="62"/>
  <c r="AE334" i="62"/>
  <c r="AC334" i="62"/>
  <c r="AA334" i="62"/>
  <c r="AR335" i="62"/>
  <c r="G334" i="62"/>
  <c r="C337" i="62"/>
  <c r="B338" i="62"/>
  <c r="AR338" i="62" s="1"/>
  <c r="A339" i="62"/>
  <c r="A340" i="62"/>
  <c r="M172" i="62"/>
  <c r="AO172" i="62"/>
  <c r="AM172" i="62"/>
  <c r="A336" i="67"/>
  <c r="A337" i="67"/>
  <c r="O172" i="62"/>
  <c r="Y172" i="62"/>
  <c r="W172" i="62"/>
  <c r="K172" i="62"/>
  <c r="I172" i="62"/>
  <c r="U172" i="62"/>
  <c r="Q172" i="62"/>
  <c r="AQ172" i="62"/>
  <c r="S172" i="62"/>
  <c r="AL71" i="4"/>
  <c r="C336" i="62"/>
  <c r="E338" i="62"/>
  <c r="D338" i="62"/>
  <c r="F338" i="62"/>
  <c r="B337" i="62"/>
  <c r="AG336" i="62" l="1"/>
  <c r="AI336" i="62"/>
  <c r="AK336" i="62"/>
  <c r="AA336" i="62"/>
  <c r="AE336" i="62"/>
  <c r="AC336" i="62"/>
  <c r="AR337" i="62"/>
  <c r="G336" i="62"/>
  <c r="B340" i="62"/>
  <c r="AR340" i="62" s="1"/>
  <c r="C339" i="62"/>
  <c r="A342" i="62"/>
  <c r="A341" i="62"/>
  <c r="AQ174" i="62"/>
  <c r="AM174" i="62"/>
  <c r="AO174" i="62"/>
  <c r="A338" i="67"/>
  <c r="A339" i="67"/>
  <c r="K174" i="62"/>
  <c r="I174" i="62"/>
  <c r="W174" i="62"/>
  <c r="M174" i="62"/>
  <c r="U174" i="62"/>
  <c r="S174" i="62"/>
  <c r="O174" i="62"/>
  <c r="Y174" i="62"/>
  <c r="Q174" i="62"/>
  <c r="AL72" i="4"/>
  <c r="B339" i="62"/>
  <c r="F340" i="62"/>
  <c r="C338" i="62"/>
  <c r="E340" i="62"/>
  <c r="D340" i="62"/>
  <c r="AI338" i="62" l="1"/>
  <c r="AG338" i="62"/>
  <c r="AK338" i="62"/>
  <c r="AC338" i="62"/>
  <c r="AA338" i="62"/>
  <c r="AE338" i="62"/>
  <c r="AR339" i="62"/>
  <c r="G338" i="62"/>
  <c r="C341" i="62"/>
  <c r="B342" i="62"/>
  <c r="AR342" i="62" s="1"/>
  <c r="A343" i="62"/>
  <c r="A344" i="62"/>
  <c r="O176" i="62"/>
  <c r="AM176" i="62"/>
  <c r="AO176" i="62"/>
  <c r="A340" i="67"/>
  <c r="A341" i="67"/>
  <c r="W176" i="62"/>
  <c r="I176" i="62"/>
  <c r="U176" i="62"/>
  <c r="S176" i="62"/>
  <c r="AQ176" i="62"/>
  <c r="Y176" i="62"/>
  <c r="K176" i="62"/>
  <c r="M176" i="62"/>
  <c r="Q176" i="62"/>
  <c r="AL74" i="4"/>
  <c r="C340" i="62"/>
  <c r="E342" i="62"/>
  <c r="F342" i="62"/>
  <c r="D342" i="62"/>
  <c r="B341" i="62"/>
  <c r="AK340" i="62" l="1"/>
  <c r="AI340" i="62"/>
  <c r="AG340" i="62"/>
  <c r="AE340" i="62"/>
  <c r="AC340" i="62"/>
  <c r="AA340" i="62"/>
  <c r="AR341" i="62"/>
  <c r="G340" i="62"/>
  <c r="B344" i="62"/>
  <c r="AR344" i="62" s="1"/>
  <c r="C343" i="62"/>
  <c r="A346" i="62"/>
  <c r="A345" i="62"/>
  <c r="I178" i="62"/>
  <c r="AO178" i="62"/>
  <c r="AM178" i="62"/>
  <c r="A343" i="67"/>
  <c r="A342" i="67"/>
  <c r="Q178" i="62"/>
  <c r="S178" i="62"/>
  <c r="AQ178" i="62"/>
  <c r="K178" i="62"/>
  <c r="Y178" i="62"/>
  <c r="M178" i="62"/>
  <c r="U178" i="62"/>
  <c r="O178" i="62"/>
  <c r="W178" i="62"/>
  <c r="AL138" i="4"/>
  <c r="AL75" i="4"/>
  <c r="F344" i="62"/>
  <c r="D344" i="62"/>
  <c r="E344" i="62"/>
  <c r="C342" i="62"/>
  <c r="B343" i="62"/>
  <c r="AK342" i="62" l="1"/>
  <c r="AG342" i="62"/>
  <c r="AI342" i="62"/>
  <c r="AE342" i="62"/>
  <c r="AC342" i="62"/>
  <c r="AA342" i="62"/>
  <c r="AR343" i="62"/>
  <c r="G342" i="62"/>
  <c r="C345" i="62"/>
  <c r="B346" i="62"/>
  <c r="AR346" i="62" s="1"/>
  <c r="A348" i="62"/>
  <c r="A347" i="62"/>
  <c r="M180" i="62"/>
  <c r="AO180" i="62"/>
  <c r="AM180" i="62"/>
  <c r="A345" i="67"/>
  <c r="A344" i="67"/>
  <c r="O180" i="62"/>
  <c r="Y180" i="62"/>
  <c r="S180" i="62"/>
  <c r="K180" i="62"/>
  <c r="AQ180" i="62"/>
  <c r="Q180" i="62"/>
  <c r="W180" i="62"/>
  <c r="I180" i="62"/>
  <c r="U180" i="62"/>
  <c r="AL76" i="4"/>
  <c r="C344" i="62"/>
  <c r="F346" i="62"/>
  <c r="E346" i="62"/>
  <c r="D346" i="62"/>
  <c r="B345" i="62"/>
  <c r="AG344" i="62" l="1"/>
  <c r="AI344" i="62"/>
  <c r="AK344" i="62"/>
  <c r="AA344" i="62"/>
  <c r="AE344" i="62"/>
  <c r="AC344" i="62"/>
  <c r="AR345" i="62"/>
  <c r="G344" i="62"/>
  <c r="C347" i="62"/>
  <c r="B348" i="62"/>
  <c r="AR348" i="62" s="1"/>
  <c r="A350" i="62"/>
  <c r="A349" i="62"/>
  <c r="Q182" i="62"/>
  <c r="AO182" i="62"/>
  <c r="AM182" i="62"/>
  <c r="A347" i="67"/>
  <c r="A346" i="67"/>
  <c r="Y182" i="62"/>
  <c r="S182" i="62"/>
  <c r="U182" i="62"/>
  <c r="I182" i="62"/>
  <c r="M182" i="62"/>
  <c r="W182" i="62"/>
  <c r="O182" i="62"/>
  <c r="K182" i="62"/>
  <c r="AQ182" i="62"/>
  <c r="AL79" i="4"/>
  <c r="F348" i="62"/>
  <c r="C346" i="62"/>
  <c r="B347" i="62"/>
  <c r="E348" i="62"/>
  <c r="D348" i="62"/>
  <c r="AI346" i="62" l="1"/>
  <c r="AG346" i="62"/>
  <c r="AK346" i="62"/>
  <c r="AC346" i="62"/>
  <c r="AA346" i="62"/>
  <c r="AE346" i="62"/>
  <c r="AR347" i="62"/>
  <c r="G346" i="62"/>
  <c r="C349" i="62"/>
  <c r="B350" i="62"/>
  <c r="AR350" i="62" s="1"/>
  <c r="A351" i="62"/>
  <c r="A352" i="62"/>
  <c r="Q184" i="62"/>
  <c r="AO184" i="62"/>
  <c r="AM184" i="62"/>
  <c r="A348" i="67"/>
  <c r="A349" i="67"/>
  <c r="K184" i="62"/>
  <c r="AQ184" i="62"/>
  <c r="S184" i="62"/>
  <c r="U184" i="62"/>
  <c r="I184" i="62"/>
  <c r="Y184" i="62"/>
  <c r="O184" i="62"/>
  <c r="M184" i="62"/>
  <c r="W184" i="62"/>
  <c r="AL141" i="4"/>
  <c r="AL80" i="4"/>
  <c r="C348" i="62"/>
  <c r="F350" i="62"/>
  <c r="E350" i="62"/>
  <c r="B349" i="62"/>
  <c r="D350" i="62"/>
  <c r="AK348" i="62" l="1"/>
  <c r="AI348" i="62"/>
  <c r="AG348" i="62"/>
  <c r="AE348" i="62"/>
  <c r="AC348" i="62"/>
  <c r="AA348" i="62"/>
  <c r="AR349" i="62"/>
  <c r="G348" i="62"/>
  <c r="B352" i="62"/>
  <c r="AR352" i="62" s="1"/>
  <c r="C351" i="62"/>
  <c r="A354" i="62"/>
  <c r="A353" i="62"/>
  <c r="W186" i="62"/>
  <c r="AO186" i="62"/>
  <c r="AM186" i="62"/>
  <c r="A350" i="67"/>
  <c r="A351" i="67"/>
  <c r="K186" i="62"/>
  <c r="Y186" i="62"/>
  <c r="U186" i="62"/>
  <c r="I186" i="62"/>
  <c r="Q186" i="62"/>
  <c r="M186" i="62"/>
  <c r="O186" i="62"/>
  <c r="AQ186" i="62"/>
  <c r="S186" i="62"/>
  <c r="AL81" i="4"/>
  <c r="D352" i="62"/>
  <c r="F352" i="62"/>
  <c r="C350" i="62"/>
  <c r="B351" i="62"/>
  <c r="E352" i="62"/>
  <c r="AK350" i="62" l="1"/>
  <c r="AG350" i="62"/>
  <c r="AI350" i="62"/>
  <c r="AE350" i="62"/>
  <c r="AC350" i="62"/>
  <c r="AA350" i="62"/>
  <c r="AR351" i="62"/>
  <c r="G350" i="62"/>
  <c r="B354" i="62"/>
  <c r="AR354" i="62" s="1"/>
  <c r="C353" i="62"/>
  <c r="A355" i="62"/>
  <c r="A356" i="62"/>
  <c r="Y188" i="62"/>
  <c r="AO188" i="62"/>
  <c r="AM188" i="62"/>
  <c r="A352" i="67"/>
  <c r="A353" i="67"/>
  <c r="AQ188" i="62"/>
  <c r="I188" i="62"/>
  <c r="Q188" i="62"/>
  <c r="O188" i="62"/>
  <c r="K188" i="62"/>
  <c r="U188" i="62"/>
  <c r="M188" i="62"/>
  <c r="W188" i="62"/>
  <c r="S188" i="62"/>
  <c r="AL82" i="4"/>
  <c r="C352" i="62"/>
  <c r="B353" i="62"/>
  <c r="D354" i="62"/>
  <c r="E354" i="62"/>
  <c r="F354" i="62"/>
  <c r="AG352" i="62" l="1"/>
  <c r="AI352" i="62"/>
  <c r="AK352" i="62"/>
  <c r="AA352" i="62"/>
  <c r="AE352" i="62"/>
  <c r="AC352" i="62"/>
  <c r="AR353" i="62"/>
  <c r="G352" i="62"/>
  <c r="B356" i="62"/>
  <c r="AR356" i="62" s="1"/>
  <c r="C355" i="62"/>
  <c r="A358" i="62"/>
  <c r="A357" i="62"/>
  <c r="U190" i="62"/>
  <c r="AO190" i="62"/>
  <c r="AM190" i="62"/>
  <c r="A355" i="67"/>
  <c r="A354" i="67"/>
  <c r="AQ190" i="62"/>
  <c r="S190" i="62"/>
  <c r="M190" i="62"/>
  <c r="K190" i="62"/>
  <c r="O190" i="62"/>
  <c r="I190" i="62"/>
  <c r="Y190" i="62"/>
  <c r="W190" i="62"/>
  <c r="Q190" i="62"/>
  <c r="AL83" i="4"/>
  <c r="E356" i="62"/>
  <c r="F356" i="62"/>
  <c r="B355" i="62"/>
  <c r="C354" i="62"/>
  <c r="D356" i="62"/>
  <c r="AI354" i="62" l="1"/>
  <c r="AG354" i="62"/>
  <c r="AK354" i="62"/>
  <c r="AC354" i="62"/>
  <c r="AA354" i="62"/>
  <c r="AE354" i="62"/>
  <c r="AR355" i="62"/>
  <c r="G354" i="62"/>
  <c r="C357" i="62"/>
  <c r="B358" i="62"/>
  <c r="AR358" i="62" s="1"/>
  <c r="A359" i="62"/>
  <c r="A360" i="62"/>
  <c r="U192" i="62"/>
  <c r="AO192" i="62"/>
  <c r="AM192" i="62"/>
  <c r="A356" i="67"/>
  <c r="A357" i="67"/>
  <c r="O192" i="62"/>
  <c r="W192" i="62"/>
  <c r="Q192" i="62"/>
  <c r="I192" i="62"/>
  <c r="AQ192" i="62"/>
  <c r="Y192" i="62"/>
  <c r="M192" i="62"/>
  <c r="S192" i="62"/>
  <c r="K192" i="62"/>
  <c r="AL85" i="4"/>
  <c r="C356" i="62"/>
  <c r="E358" i="62"/>
  <c r="D358" i="62"/>
  <c r="B357" i="62"/>
  <c r="F358" i="62"/>
  <c r="AK356" i="62" l="1"/>
  <c r="AI356" i="62"/>
  <c r="AG356" i="62"/>
  <c r="AE356" i="62"/>
  <c r="AC356" i="62"/>
  <c r="AA356" i="62"/>
  <c r="AR357" i="62"/>
  <c r="G356" i="62"/>
  <c r="C359" i="62"/>
  <c r="B360" i="62"/>
  <c r="AR360" i="62" s="1"/>
  <c r="A362" i="62"/>
  <c r="A361" i="62"/>
  <c r="I194" i="62"/>
  <c r="AO194" i="62"/>
  <c r="AM194" i="62"/>
  <c r="A359" i="67"/>
  <c r="A358" i="67"/>
  <c r="AQ194" i="62"/>
  <c r="M194" i="62"/>
  <c r="Q194" i="62"/>
  <c r="K194" i="62"/>
  <c r="W194" i="62"/>
  <c r="S194" i="62"/>
  <c r="Y194" i="62"/>
  <c r="U194" i="62"/>
  <c r="O194" i="62"/>
  <c r="AL86" i="4"/>
  <c r="B359" i="62"/>
  <c r="D360" i="62"/>
  <c r="C358" i="62"/>
  <c r="E360" i="62"/>
  <c r="F360" i="62"/>
  <c r="AK358" i="62" l="1"/>
  <c r="AG358" i="62"/>
  <c r="AI358" i="62"/>
  <c r="AE358" i="62"/>
  <c r="AC358" i="62"/>
  <c r="AA358" i="62"/>
  <c r="AR359" i="62"/>
  <c r="G358" i="62"/>
  <c r="B362" i="62"/>
  <c r="AR362" i="62" s="1"/>
  <c r="C361" i="62"/>
  <c r="A363" i="62"/>
  <c r="A364" i="62"/>
  <c r="AO196" i="62"/>
  <c r="AM196" i="62"/>
  <c r="A360" i="67"/>
  <c r="A361" i="67"/>
  <c r="U196" i="62"/>
  <c r="K196" i="62"/>
  <c r="M196" i="62"/>
  <c r="AQ196" i="62"/>
  <c r="O196" i="62"/>
  <c r="I196" i="62"/>
  <c r="S196" i="62"/>
  <c r="Y196" i="62"/>
  <c r="W196" i="62"/>
  <c r="Q196" i="62"/>
  <c r="AL87" i="4"/>
  <c r="B361" i="62"/>
  <c r="D362" i="62"/>
  <c r="F362" i="62"/>
  <c r="C360" i="62"/>
  <c r="E362" i="62"/>
  <c r="AG360" i="62" l="1"/>
  <c r="AI360" i="62"/>
  <c r="AK360" i="62"/>
  <c r="AA360" i="62"/>
  <c r="AE360" i="62"/>
  <c r="AC360" i="62"/>
  <c r="AR361" i="62"/>
  <c r="G360" i="62"/>
  <c r="C363" i="62"/>
  <c r="B364" i="62"/>
  <c r="AR364" i="62" s="1"/>
  <c r="A366" i="62"/>
  <c r="A365" i="62"/>
  <c r="Y198" i="62"/>
  <c r="AO198" i="62"/>
  <c r="AM198" i="62"/>
  <c r="A363" i="67"/>
  <c r="A362" i="67"/>
  <c r="W198" i="62"/>
  <c r="M198" i="62"/>
  <c r="K198" i="62"/>
  <c r="O198" i="62"/>
  <c r="Q198" i="62"/>
  <c r="S198" i="62"/>
  <c r="U198" i="62"/>
  <c r="AQ198" i="62"/>
  <c r="I198" i="62"/>
  <c r="AL88" i="4"/>
  <c r="F364" i="62"/>
  <c r="E364" i="62"/>
  <c r="D364" i="62"/>
  <c r="C362" i="62"/>
  <c r="B363" i="62"/>
  <c r="AI362" i="62" l="1"/>
  <c r="AG362" i="62"/>
  <c r="AK362" i="62"/>
  <c r="AC362" i="62"/>
  <c r="AA362" i="62"/>
  <c r="AE362" i="62"/>
  <c r="AR363" i="62"/>
  <c r="G362" i="62"/>
  <c r="B366" i="62"/>
  <c r="AR366" i="62" s="1"/>
  <c r="C365" i="62"/>
  <c r="A367" i="62"/>
  <c r="A368" i="62"/>
  <c r="K200" i="62"/>
  <c r="AO200" i="62"/>
  <c r="AM200" i="62"/>
  <c r="A364" i="67"/>
  <c r="A365" i="67"/>
  <c r="U200" i="62"/>
  <c r="Y200" i="62"/>
  <c r="M200" i="62"/>
  <c r="O200" i="62"/>
  <c r="AQ200" i="62"/>
  <c r="Q200" i="62"/>
  <c r="I200" i="62"/>
  <c r="W200" i="62"/>
  <c r="S200" i="62"/>
  <c r="AL89" i="4"/>
  <c r="F366" i="62"/>
  <c r="B365" i="62"/>
  <c r="D366" i="62"/>
  <c r="E366" i="62"/>
  <c r="C364" i="62"/>
  <c r="AK364" i="62" l="1"/>
  <c r="AI364" i="62"/>
  <c r="AG364" i="62"/>
  <c r="AE364" i="62"/>
  <c r="AC364" i="62"/>
  <c r="AA364" i="62"/>
  <c r="AR365" i="62"/>
  <c r="G364" i="62"/>
  <c r="B368" i="62"/>
  <c r="AR368" i="62" s="1"/>
  <c r="C367" i="62"/>
  <c r="A370" i="62"/>
  <c r="A369" i="62"/>
  <c r="Y202" i="62"/>
  <c r="AO202" i="62"/>
  <c r="AM202" i="62"/>
  <c r="A367" i="67"/>
  <c r="A366" i="67"/>
  <c r="Q202" i="62"/>
  <c r="S202" i="62"/>
  <c r="U202" i="62"/>
  <c r="K202" i="62"/>
  <c r="AQ202" i="62"/>
  <c r="W202" i="62"/>
  <c r="I202" i="62"/>
  <c r="M202" i="62"/>
  <c r="O202" i="62"/>
  <c r="AL90" i="4"/>
  <c r="C366" i="62"/>
  <c r="F368" i="62"/>
  <c r="D368" i="62"/>
  <c r="B367" i="62"/>
  <c r="E368" i="62"/>
  <c r="AK366" i="62" l="1"/>
  <c r="AG366" i="62"/>
  <c r="AI366" i="62"/>
  <c r="AE366" i="62"/>
  <c r="AC366" i="62"/>
  <c r="AA366" i="62"/>
  <c r="AR367" i="62"/>
  <c r="G366" i="62"/>
  <c r="B370" i="62"/>
  <c r="AR370" i="62" s="1"/>
  <c r="C369" i="62"/>
  <c r="A371" i="62"/>
  <c r="A372" i="62"/>
  <c r="I204" i="62"/>
  <c r="AO204" i="62"/>
  <c r="AM204" i="62"/>
  <c r="A368" i="67"/>
  <c r="A369" i="67"/>
  <c r="Y204" i="62"/>
  <c r="O204" i="62"/>
  <c r="AQ204" i="62"/>
  <c r="M204" i="62"/>
  <c r="U204" i="62"/>
  <c r="W204" i="62"/>
  <c r="K204" i="62"/>
  <c r="S204" i="62"/>
  <c r="Q204" i="62"/>
  <c r="AL91" i="4"/>
  <c r="D370" i="62"/>
  <c r="F370" i="62"/>
  <c r="E370" i="62"/>
  <c r="B369" i="62"/>
  <c r="C368" i="62"/>
  <c r="AG368" i="62" l="1"/>
  <c r="AI368" i="62"/>
  <c r="AK368" i="62"/>
  <c r="AA368" i="62"/>
  <c r="AE368" i="62"/>
  <c r="AC368" i="62"/>
  <c r="AR369" i="62"/>
  <c r="G368" i="62"/>
  <c r="B372" i="62"/>
  <c r="AR372" i="62" s="1"/>
  <c r="C371" i="62"/>
  <c r="A374" i="62"/>
  <c r="A373" i="62"/>
  <c r="I206" i="62"/>
  <c r="AO206" i="62"/>
  <c r="AM206" i="62"/>
  <c r="A370" i="67"/>
  <c r="A371" i="67"/>
  <c r="O206" i="62"/>
  <c r="M206" i="62"/>
  <c r="K206" i="62"/>
  <c r="W206" i="62"/>
  <c r="Q206" i="62"/>
  <c r="Y206" i="62"/>
  <c r="U206" i="62"/>
  <c r="AQ206" i="62"/>
  <c r="S206" i="62"/>
  <c r="AL92" i="4"/>
  <c r="F372" i="62"/>
  <c r="C370" i="62"/>
  <c r="D372" i="62"/>
  <c r="B371" i="62"/>
  <c r="E372" i="62"/>
  <c r="AI370" i="62" l="1"/>
  <c r="AG370" i="62"/>
  <c r="AK370" i="62"/>
  <c r="AC370" i="62"/>
  <c r="AA370" i="62"/>
  <c r="AE370" i="62"/>
  <c r="AR371" i="62"/>
  <c r="G370" i="62"/>
  <c r="B374" i="62"/>
  <c r="AR374" i="62" s="1"/>
  <c r="C373" i="62"/>
  <c r="A375" i="62"/>
  <c r="A376" i="62"/>
  <c r="I208" i="62"/>
  <c r="AM208" i="62"/>
  <c r="AO208" i="62"/>
  <c r="A372" i="67"/>
  <c r="A373" i="67"/>
  <c r="K208" i="62"/>
  <c r="S208" i="62"/>
  <c r="W208" i="62"/>
  <c r="Y208" i="62"/>
  <c r="U208" i="62"/>
  <c r="Q208" i="62"/>
  <c r="O208" i="62"/>
  <c r="M208" i="62"/>
  <c r="AQ208" i="62"/>
  <c r="AL93" i="4"/>
  <c r="E374" i="62"/>
  <c r="D374" i="62"/>
  <c r="F374" i="62"/>
  <c r="B373" i="62"/>
  <c r="C372" i="62"/>
  <c r="AK372" i="62" l="1"/>
  <c r="AI372" i="62"/>
  <c r="AG372" i="62"/>
  <c r="AE372" i="62"/>
  <c r="AC372" i="62"/>
  <c r="AA372" i="62"/>
  <c r="AR373" i="62"/>
  <c r="G372" i="62"/>
  <c r="B376" i="62"/>
  <c r="AR376" i="62" s="1"/>
  <c r="C375" i="62"/>
  <c r="A378" i="62"/>
  <c r="A377" i="62"/>
  <c r="O210" i="62"/>
  <c r="AO210" i="62"/>
  <c r="AM210" i="62"/>
  <c r="A375" i="67"/>
  <c r="A374" i="67"/>
  <c r="W210" i="62"/>
  <c r="Y210" i="62"/>
  <c r="S210" i="62"/>
  <c r="I210" i="62"/>
  <c r="AQ210" i="62"/>
  <c r="M210" i="62"/>
  <c r="U210" i="62"/>
  <c r="K210" i="62"/>
  <c r="Q210" i="62"/>
  <c r="AL94" i="4"/>
  <c r="D376" i="62"/>
  <c r="C374" i="62"/>
  <c r="F376" i="62"/>
  <c r="B375" i="62"/>
  <c r="E376" i="62"/>
  <c r="AK374" i="62" l="1"/>
  <c r="AG374" i="62"/>
  <c r="AI374" i="62"/>
  <c r="AE374" i="62"/>
  <c r="AC374" i="62"/>
  <c r="AA374" i="62"/>
  <c r="AR375" i="62"/>
  <c r="G374" i="62"/>
  <c r="C377" i="62"/>
  <c r="B378" i="62"/>
  <c r="AR378" i="62" s="1"/>
  <c r="A379" i="62"/>
  <c r="A380" i="62"/>
  <c r="AO212" i="62"/>
  <c r="AM212" i="62"/>
  <c r="A376" i="67"/>
  <c r="A377" i="67"/>
  <c r="O212" i="62"/>
  <c r="I212" i="62"/>
  <c r="M212" i="62"/>
  <c r="S212" i="62"/>
  <c r="Y212" i="62"/>
  <c r="W212" i="62"/>
  <c r="AQ212" i="62"/>
  <c r="U212" i="62"/>
  <c r="K212" i="62"/>
  <c r="Q212" i="62"/>
  <c r="AL155" i="4"/>
  <c r="E378" i="62"/>
  <c r="F378" i="62"/>
  <c r="C376" i="62"/>
  <c r="D378" i="62"/>
  <c r="B377" i="62"/>
  <c r="AG376" i="62" l="1"/>
  <c r="AI376" i="62"/>
  <c r="AK376" i="62"/>
  <c r="AA376" i="62"/>
  <c r="AE376" i="62"/>
  <c r="AC376" i="62"/>
  <c r="AR377" i="62"/>
  <c r="G376" i="62"/>
  <c r="B380" i="62"/>
  <c r="AR380" i="62" s="1"/>
  <c r="C379" i="62"/>
  <c r="A382" i="62"/>
  <c r="A381" i="62"/>
  <c r="I214" i="62"/>
  <c r="AO214" i="62"/>
  <c r="AM214" i="62"/>
  <c r="A379" i="67"/>
  <c r="A378" i="67"/>
  <c r="M214" i="62"/>
  <c r="Q214" i="62"/>
  <c r="Y214" i="62"/>
  <c r="K214" i="62"/>
  <c r="O214" i="62"/>
  <c r="U214" i="62"/>
  <c r="S214" i="62"/>
  <c r="W214" i="62"/>
  <c r="AQ214" i="62"/>
  <c r="AL156" i="4"/>
  <c r="E380" i="62"/>
  <c r="B379" i="62"/>
  <c r="C378" i="62"/>
  <c r="D380" i="62"/>
  <c r="F380" i="62"/>
  <c r="AI378" i="62" l="1"/>
  <c r="AG378" i="62"/>
  <c r="AK378" i="62"/>
  <c r="AC378" i="62"/>
  <c r="AA378" i="62"/>
  <c r="AE378" i="62"/>
  <c r="AR379" i="62"/>
  <c r="G378" i="62"/>
  <c r="C381" i="62"/>
  <c r="B382" i="62"/>
  <c r="AR382" i="62" s="1"/>
  <c r="A383" i="62"/>
  <c r="A384" i="62"/>
  <c r="Y216" i="62"/>
  <c r="AO216" i="62"/>
  <c r="AM216" i="62"/>
  <c r="A380" i="67"/>
  <c r="A381" i="67"/>
  <c r="AQ216" i="62"/>
  <c r="I216" i="62"/>
  <c r="U216" i="62"/>
  <c r="K216" i="62"/>
  <c r="W216" i="62"/>
  <c r="S216" i="62"/>
  <c r="O216" i="62"/>
  <c r="M216" i="62"/>
  <c r="Q216" i="62"/>
  <c r="AL157" i="4"/>
  <c r="B381" i="62"/>
  <c r="D382" i="62"/>
  <c r="E382" i="62"/>
  <c r="C380" i="62"/>
  <c r="F382" i="62"/>
  <c r="AK380" i="62" l="1"/>
  <c r="AI380" i="62"/>
  <c r="AG380" i="62"/>
  <c r="AE380" i="62"/>
  <c r="AC380" i="62"/>
  <c r="AA380" i="62"/>
  <c r="AR381" i="62"/>
  <c r="G380" i="62"/>
  <c r="C383" i="62"/>
  <c r="B384" i="62"/>
  <c r="AR384" i="62" s="1"/>
  <c r="A386" i="62"/>
  <c r="A385" i="62"/>
  <c r="O218" i="62"/>
  <c r="AO218" i="62"/>
  <c r="AM218" i="62"/>
  <c r="A382" i="67"/>
  <c r="A383" i="67"/>
  <c r="Q218" i="62"/>
  <c r="AQ218" i="62"/>
  <c r="I218" i="62"/>
  <c r="K218" i="62"/>
  <c r="U218" i="62"/>
  <c r="W218" i="62"/>
  <c r="Y218" i="62"/>
  <c r="S218" i="62"/>
  <c r="M218" i="62"/>
  <c r="AL158" i="4"/>
  <c r="B383" i="62"/>
  <c r="E384" i="62"/>
  <c r="F384" i="62"/>
  <c r="C382" i="62"/>
  <c r="D384" i="62"/>
  <c r="AK382" i="62" l="1"/>
  <c r="AG382" i="62"/>
  <c r="AI382" i="62"/>
  <c r="AE382" i="62"/>
  <c r="AC382" i="62"/>
  <c r="AA382" i="62"/>
  <c r="AR383" i="62"/>
  <c r="G382" i="62"/>
  <c r="B386" i="62"/>
  <c r="AR386" i="62" s="1"/>
  <c r="C385" i="62"/>
  <c r="A387" i="62"/>
  <c r="A388" i="62"/>
  <c r="AO220" i="62"/>
  <c r="AM220" i="62"/>
  <c r="A384" i="67"/>
  <c r="A385" i="67"/>
  <c r="AQ220" i="62"/>
  <c r="Y220" i="62"/>
  <c r="M220" i="62"/>
  <c r="O220" i="62"/>
  <c r="Q220" i="62"/>
  <c r="I220" i="62"/>
  <c r="S220" i="62"/>
  <c r="K220" i="62"/>
  <c r="U220" i="62"/>
  <c r="W220" i="62"/>
  <c r="AL159" i="4"/>
  <c r="D386" i="62"/>
  <c r="C384" i="62"/>
  <c r="F386" i="62"/>
  <c r="B385" i="62"/>
  <c r="E386" i="62"/>
  <c r="AG384" i="62" l="1"/>
  <c r="AI384" i="62"/>
  <c r="AK384" i="62"/>
  <c r="AA384" i="62"/>
  <c r="AE384" i="62"/>
  <c r="AC384" i="62"/>
  <c r="AR385" i="62"/>
  <c r="G384" i="62"/>
  <c r="B388" i="62"/>
  <c r="AR388" i="62" s="1"/>
  <c r="C387" i="62"/>
  <c r="A390" i="62"/>
  <c r="A389" i="62"/>
  <c r="U222" i="62"/>
  <c r="AO222" i="62"/>
  <c r="AM222" i="62"/>
  <c r="A386" i="67"/>
  <c r="A387" i="67"/>
  <c r="M222" i="62"/>
  <c r="O222" i="62"/>
  <c r="K222" i="62"/>
  <c r="AQ222" i="62"/>
  <c r="I222" i="62"/>
  <c r="S222" i="62"/>
  <c r="Y222" i="62"/>
  <c r="W222" i="62"/>
  <c r="Q222" i="62"/>
  <c r="AL160" i="4"/>
  <c r="D388" i="62"/>
  <c r="F388" i="62"/>
  <c r="C386" i="62"/>
  <c r="B387" i="62"/>
  <c r="E388" i="62"/>
  <c r="AI386" i="62" l="1"/>
  <c r="AG386" i="62"/>
  <c r="AK386" i="62"/>
  <c r="AC386" i="62"/>
  <c r="AA386" i="62"/>
  <c r="AE386" i="62"/>
  <c r="AR387" i="62"/>
  <c r="G386" i="62"/>
  <c r="C389" i="62"/>
  <c r="B390" i="62"/>
  <c r="AR390" i="62" s="1"/>
  <c r="A391" i="62"/>
  <c r="A392" i="62"/>
  <c r="Y224" i="62"/>
  <c r="AO224" i="62"/>
  <c r="AM224" i="62"/>
  <c r="A388" i="67"/>
  <c r="A389" i="67"/>
  <c r="Q224" i="62"/>
  <c r="M224" i="62"/>
  <c r="U224" i="62"/>
  <c r="O224" i="62"/>
  <c r="W224" i="62"/>
  <c r="S224" i="62"/>
  <c r="AQ224" i="62"/>
  <c r="I224" i="62"/>
  <c r="K224" i="62"/>
  <c r="AL161" i="4"/>
  <c r="C388" i="62"/>
  <c r="B389" i="62"/>
  <c r="D390" i="62"/>
  <c r="E390" i="62"/>
  <c r="F390" i="62"/>
  <c r="AK388" i="62" l="1"/>
  <c r="AI388" i="62"/>
  <c r="AG388" i="62"/>
  <c r="AE388" i="62"/>
  <c r="AC388" i="62"/>
  <c r="AA388" i="62"/>
  <c r="AR389" i="62"/>
  <c r="G388" i="62"/>
  <c r="B392" i="62"/>
  <c r="AR392" i="62" s="1"/>
  <c r="C391" i="62"/>
  <c r="A394" i="62"/>
  <c r="A393" i="62"/>
  <c r="O226" i="62"/>
  <c r="AO226" i="62"/>
  <c r="AM226" i="62"/>
  <c r="A390" i="67"/>
  <c r="A391" i="67"/>
  <c r="I226" i="62"/>
  <c r="W226" i="62"/>
  <c r="S226" i="62"/>
  <c r="Q226" i="62"/>
  <c r="K226" i="62"/>
  <c r="Y226" i="62"/>
  <c r="U226" i="62"/>
  <c r="M226" i="62"/>
  <c r="AQ226" i="62"/>
  <c r="AL162" i="4"/>
  <c r="F392" i="62"/>
  <c r="E392" i="62"/>
  <c r="D392" i="62"/>
  <c r="B391" i="62"/>
  <c r="C390" i="62"/>
  <c r="AK390" i="62" l="1"/>
  <c r="AG390" i="62"/>
  <c r="AI390" i="62"/>
  <c r="AE390" i="62"/>
  <c r="AC390" i="62"/>
  <c r="AA390" i="62"/>
  <c r="AR391" i="62"/>
  <c r="G390" i="62"/>
  <c r="C393" i="62"/>
  <c r="B394" i="62"/>
  <c r="AR394" i="62" s="1"/>
  <c r="A395" i="62"/>
  <c r="A396" i="62"/>
  <c r="K228" i="62"/>
  <c r="AO228" i="62"/>
  <c r="AM228" i="62"/>
  <c r="A392" i="67"/>
  <c r="A393" i="67"/>
  <c r="S228" i="62"/>
  <c r="Y228" i="62"/>
  <c r="I228" i="62"/>
  <c r="M228" i="62"/>
  <c r="AQ228" i="62"/>
  <c r="Q228" i="62"/>
  <c r="O228" i="62"/>
  <c r="U228" i="62"/>
  <c r="W228" i="62"/>
  <c r="AL163" i="4"/>
  <c r="B393" i="62"/>
  <c r="E394" i="62"/>
  <c r="C392" i="62"/>
  <c r="F394" i="62"/>
  <c r="D394" i="62"/>
  <c r="AG392" i="62" l="1"/>
  <c r="AI392" i="62"/>
  <c r="AK392" i="62"/>
  <c r="AA392" i="62"/>
  <c r="AE392" i="62"/>
  <c r="AC392" i="62"/>
  <c r="AR393" i="62"/>
  <c r="G392" i="62"/>
  <c r="B396" i="62"/>
  <c r="AR396" i="62" s="1"/>
  <c r="C395" i="62"/>
  <c r="A398" i="62"/>
  <c r="A397" i="62"/>
  <c r="S230" i="62"/>
  <c r="AO230" i="62"/>
  <c r="AM230" i="62"/>
  <c r="A394" i="67"/>
  <c r="A395" i="67"/>
  <c r="K230" i="62"/>
  <c r="AQ230" i="62"/>
  <c r="W230" i="62"/>
  <c r="I230" i="62"/>
  <c r="Y230" i="62"/>
  <c r="M230" i="62"/>
  <c r="Q230" i="62"/>
  <c r="O230" i="62"/>
  <c r="U230" i="62"/>
  <c r="AL164" i="4"/>
  <c r="F396" i="62"/>
  <c r="E396" i="62"/>
  <c r="B395" i="62"/>
  <c r="C394" i="62"/>
  <c r="D396" i="62"/>
  <c r="AI394" i="62" l="1"/>
  <c r="AG394" i="62"/>
  <c r="AK394" i="62"/>
  <c r="AC394" i="62"/>
  <c r="AA394" i="62"/>
  <c r="AE394" i="62"/>
  <c r="AR395" i="62"/>
  <c r="G394" i="62"/>
  <c r="C397" i="62"/>
  <c r="B398" i="62"/>
  <c r="AR398" i="62" s="1"/>
  <c r="A399" i="62"/>
  <c r="A400" i="62"/>
  <c r="AO232" i="62"/>
  <c r="AM232" i="62"/>
  <c r="A396" i="67"/>
  <c r="A397" i="67"/>
  <c r="S232" i="62"/>
  <c r="W232" i="62"/>
  <c r="I232" i="62"/>
  <c r="AQ232" i="62"/>
  <c r="O232" i="62"/>
  <c r="Q232" i="62"/>
  <c r="Y232" i="62"/>
  <c r="K232" i="62"/>
  <c r="M232" i="62"/>
  <c r="U232" i="62"/>
  <c r="AL165" i="4"/>
  <c r="D398" i="62"/>
  <c r="B397" i="62"/>
  <c r="E398" i="62"/>
  <c r="F398" i="62"/>
  <c r="C396" i="62"/>
  <c r="AK396" i="62" l="1"/>
  <c r="AI396" i="62"/>
  <c r="AG396" i="62"/>
  <c r="AE396" i="62"/>
  <c r="AC396" i="62"/>
  <c r="AA396" i="62"/>
  <c r="AR397" i="62"/>
  <c r="G396" i="62"/>
  <c r="B400" i="62"/>
  <c r="AR400" i="62" s="1"/>
  <c r="C399" i="62"/>
  <c r="A402" i="62"/>
  <c r="A401" i="62"/>
  <c r="U234" i="62"/>
  <c r="AO234" i="62"/>
  <c r="AM234" i="62"/>
  <c r="A398" i="67"/>
  <c r="A399" i="67"/>
  <c r="W234" i="62"/>
  <c r="Y234" i="62"/>
  <c r="O234" i="62"/>
  <c r="Q234" i="62"/>
  <c r="I234" i="62"/>
  <c r="M234" i="62"/>
  <c r="S234" i="62"/>
  <c r="AQ234" i="62"/>
  <c r="K234" i="62"/>
  <c r="AL166" i="4"/>
  <c r="D400" i="62"/>
  <c r="F400" i="62"/>
  <c r="B399" i="62"/>
  <c r="C398" i="62"/>
  <c r="E400" i="62"/>
  <c r="AK398" i="62" l="1"/>
  <c r="AG398" i="62"/>
  <c r="AI398" i="62"/>
  <c r="AE398" i="62"/>
  <c r="AC398" i="62"/>
  <c r="AA398" i="62"/>
  <c r="AR399" i="62"/>
  <c r="G398" i="62"/>
  <c r="C401" i="62"/>
  <c r="B402" i="62"/>
  <c r="AR402" i="62" s="1"/>
  <c r="A403" i="62"/>
  <c r="A404" i="62"/>
  <c r="K236" i="62"/>
  <c r="AO236" i="62"/>
  <c r="AM236" i="62"/>
  <c r="A400" i="67"/>
  <c r="A401" i="67"/>
  <c r="Y236" i="62"/>
  <c r="AQ236" i="62"/>
  <c r="M236" i="62"/>
  <c r="S236" i="62"/>
  <c r="W236" i="62"/>
  <c r="I236" i="62"/>
  <c r="O236" i="62"/>
  <c r="U236" i="62"/>
  <c r="Q236" i="62"/>
  <c r="AL167" i="4"/>
  <c r="E402" i="62"/>
  <c r="F402" i="62"/>
  <c r="B401" i="62"/>
  <c r="D402" i="62"/>
  <c r="C400" i="62"/>
  <c r="AG400" i="62" l="1"/>
  <c r="AI400" i="62"/>
  <c r="AK400" i="62"/>
  <c r="AA400" i="62"/>
  <c r="AE400" i="62"/>
  <c r="AC400" i="62"/>
  <c r="AR401" i="62"/>
  <c r="G400" i="62"/>
  <c r="C403" i="62"/>
  <c r="B404" i="62"/>
  <c r="AR404" i="62" s="1"/>
  <c r="A406" i="62"/>
  <c r="A405" i="62"/>
  <c r="I238" i="62"/>
  <c r="AM238" i="62"/>
  <c r="AO238" i="62"/>
  <c r="A402" i="67"/>
  <c r="A403" i="67"/>
  <c r="Q238" i="62"/>
  <c r="K238" i="62"/>
  <c r="S238" i="62"/>
  <c r="AQ238" i="62"/>
  <c r="W238" i="62"/>
  <c r="M238" i="62"/>
  <c r="Y238" i="62"/>
  <c r="U238" i="62"/>
  <c r="O238" i="62"/>
  <c r="AL168" i="4"/>
  <c r="E404" i="62"/>
  <c r="F404" i="62"/>
  <c r="D404" i="62"/>
  <c r="B403" i="62"/>
  <c r="C402" i="62"/>
  <c r="AI402" i="62" l="1"/>
  <c r="AG402" i="62"/>
  <c r="AK402" i="62"/>
  <c r="AC402" i="62"/>
  <c r="AA402" i="62"/>
  <c r="AE402" i="62"/>
  <c r="AR403" i="62"/>
  <c r="G402" i="62"/>
  <c r="C405" i="62"/>
  <c r="B406" i="62"/>
  <c r="AR406" i="62" s="1"/>
  <c r="A407" i="62"/>
  <c r="A408" i="62"/>
  <c r="S240" i="62"/>
  <c r="AM240" i="62"/>
  <c r="AO240" i="62"/>
  <c r="A404" i="67"/>
  <c r="A405" i="67"/>
  <c r="O240" i="62"/>
  <c r="Y240" i="62"/>
  <c r="K240" i="62"/>
  <c r="M240" i="62"/>
  <c r="U240" i="62"/>
  <c r="Q240" i="62"/>
  <c r="AQ240" i="62"/>
  <c r="W240" i="62"/>
  <c r="I240" i="62"/>
  <c r="AL170" i="4"/>
  <c r="D406" i="62"/>
  <c r="C404" i="62"/>
  <c r="F406" i="62"/>
  <c r="B405" i="62"/>
  <c r="E406" i="62"/>
  <c r="AK404" i="62" l="1"/>
  <c r="AI404" i="62"/>
  <c r="AG404" i="62"/>
  <c r="AE404" i="62"/>
  <c r="AC404" i="62"/>
  <c r="AA404" i="62"/>
  <c r="AR405" i="62"/>
  <c r="G404" i="62"/>
  <c r="A409" i="62"/>
  <c r="A411" i="62" s="1"/>
  <c r="C407" i="62"/>
  <c r="A410" i="62"/>
  <c r="B408" i="62"/>
  <c r="AR408" i="62" s="1"/>
  <c r="AO242" i="62"/>
  <c r="AM242" i="62"/>
  <c r="A406" i="67"/>
  <c r="A407" i="67"/>
  <c r="Y242" i="62"/>
  <c r="K242" i="62"/>
  <c r="AQ242" i="62"/>
  <c r="Q242" i="62"/>
  <c r="U242" i="62"/>
  <c r="M242" i="62"/>
  <c r="W242" i="62"/>
  <c r="I242" i="62"/>
  <c r="S242" i="62"/>
  <c r="O242" i="62"/>
  <c r="AL172" i="4"/>
  <c r="D408" i="62"/>
  <c r="E408" i="62"/>
  <c r="B407" i="62"/>
  <c r="F408" i="62"/>
  <c r="C406" i="62"/>
  <c r="AK406" i="62" l="1"/>
  <c r="AG406" i="62"/>
  <c r="AI406" i="62"/>
  <c r="AE406" i="62"/>
  <c r="AC406" i="62"/>
  <c r="AA406" i="62"/>
  <c r="AR407" i="62"/>
  <c r="G406" i="62"/>
  <c r="B410" i="62"/>
  <c r="AR410" i="62" s="1"/>
  <c r="A412" i="62"/>
  <c r="A414" i="62" s="1"/>
  <c r="C409" i="62"/>
  <c r="C411" i="62"/>
  <c r="A409" i="67"/>
  <c r="A408" i="67"/>
  <c r="A413" i="62"/>
  <c r="Y244" i="62"/>
  <c r="AO244" i="62"/>
  <c r="AM244" i="62"/>
  <c r="O244" i="62"/>
  <c r="K244" i="62"/>
  <c r="M244" i="62"/>
  <c r="AQ244" i="62"/>
  <c r="W244" i="62"/>
  <c r="Q244" i="62"/>
  <c r="U244" i="62"/>
  <c r="S244" i="62"/>
  <c r="I244" i="62"/>
  <c r="AL173" i="4"/>
  <c r="F410" i="62"/>
  <c r="C408" i="62"/>
  <c r="B409" i="62"/>
  <c r="B411" i="62"/>
  <c r="D410" i="62"/>
  <c r="E410" i="62"/>
  <c r="AG408" i="62" l="1"/>
  <c r="AI408" i="62"/>
  <c r="AK408" i="62"/>
  <c r="AA408" i="62"/>
  <c r="AE408" i="62"/>
  <c r="AC408" i="62"/>
  <c r="AR411" i="62"/>
  <c r="AR409" i="62"/>
  <c r="G408" i="62"/>
  <c r="B412" i="62"/>
  <c r="AR412" i="62" s="1"/>
  <c r="B414" i="62"/>
  <c r="AR414" i="62" s="1"/>
  <c r="C413" i="62"/>
  <c r="A411" i="67"/>
  <c r="A410" i="67"/>
  <c r="A415" i="62"/>
  <c r="A416" i="62"/>
  <c r="AQ246" i="62"/>
  <c r="AO246" i="62"/>
  <c r="AM246" i="62"/>
  <c r="U246" i="62"/>
  <c r="K246" i="62"/>
  <c r="M246" i="62"/>
  <c r="I246" i="62"/>
  <c r="Y246" i="62"/>
  <c r="Q246" i="62"/>
  <c r="W246" i="62"/>
  <c r="S246" i="62"/>
  <c r="O246" i="62"/>
  <c r="AL176" i="4"/>
  <c r="F412" i="62"/>
  <c r="E412" i="62"/>
  <c r="E414" i="62"/>
  <c r="B413" i="62"/>
  <c r="C410" i="62"/>
  <c r="D414" i="62"/>
  <c r="F414" i="62"/>
  <c r="D412" i="62"/>
  <c r="AI410" i="62" l="1"/>
  <c r="AG410" i="62"/>
  <c r="AK410" i="62"/>
  <c r="AC410" i="62"/>
  <c r="AA410" i="62"/>
  <c r="AE410" i="62"/>
  <c r="AR413" i="62"/>
  <c r="G410" i="62"/>
  <c r="B416" i="62"/>
  <c r="AR416" i="62" s="1"/>
  <c r="C415" i="62"/>
  <c r="A413" i="67"/>
  <c r="A412" i="67"/>
  <c r="A417" i="62"/>
  <c r="A418" i="62"/>
  <c r="O248" i="62"/>
  <c r="AO248" i="62"/>
  <c r="AM248" i="62"/>
  <c r="Y248" i="62"/>
  <c r="K248" i="62"/>
  <c r="U248" i="62"/>
  <c r="I248" i="62"/>
  <c r="AQ248" i="62"/>
  <c r="S248" i="62"/>
  <c r="W248" i="62"/>
  <c r="M248" i="62"/>
  <c r="Q248" i="62"/>
  <c r="AL177" i="4"/>
  <c r="D416" i="62"/>
  <c r="B415" i="62"/>
  <c r="C412" i="62"/>
  <c r="F416" i="62"/>
  <c r="C414" i="62"/>
  <c r="E416" i="62"/>
  <c r="AK412" i="62" l="1"/>
  <c r="AI412" i="62"/>
  <c r="AG412" i="62"/>
  <c r="AK414" i="62"/>
  <c r="AG414" i="62"/>
  <c r="AI414" i="62"/>
  <c r="AE412" i="62"/>
  <c r="AC412" i="62"/>
  <c r="AA412" i="62"/>
  <c r="AE414" i="62"/>
  <c r="AC414" i="62"/>
  <c r="AA414" i="62"/>
  <c r="AR415" i="62"/>
  <c r="G414" i="62"/>
  <c r="G412" i="62"/>
  <c r="C417" i="62"/>
  <c r="B418" i="62"/>
  <c r="AR418" i="62" s="1"/>
  <c r="A414" i="67"/>
  <c r="A415" i="67"/>
  <c r="A420" i="62"/>
  <c r="A419" i="62"/>
  <c r="I250" i="62"/>
  <c r="AO250" i="62"/>
  <c r="AM250" i="62"/>
  <c r="M250" i="62"/>
  <c r="S250" i="62"/>
  <c r="Y250" i="62"/>
  <c r="K250" i="62"/>
  <c r="Q250" i="62"/>
  <c r="AQ250" i="62"/>
  <c r="U250" i="62"/>
  <c r="W250" i="62"/>
  <c r="O250" i="62"/>
  <c r="AL178" i="4"/>
  <c r="D418" i="62"/>
  <c r="F418" i="62"/>
  <c r="B417" i="62"/>
  <c r="C416" i="62"/>
  <c r="E418" i="62"/>
  <c r="AG416" i="62" l="1"/>
  <c r="AI416" i="62"/>
  <c r="AK416" i="62"/>
  <c r="AA416" i="62"/>
  <c r="AE416" i="62"/>
  <c r="AC416" i="62"/>
  <c r="A416" i="67"/>
  <c r="A417" i="67"/>
  <c r="AR417" i="62"/>
  <c r="G416" i="62"/>
  <c r="C419" i="62"/>
  <c r="B420" i="62"/>
  <c r="AR420" i="62" s="1"/>
  <c r="A421" i="62"/>
  <c r="A422" i="62"/>
  <c r="I252" i="62"/>
  <c r="AO252" i="62"/>
  <c r="AM252" i="62"/>
  <c r="Q252" i="62"/>
  <c r="Y252" i="62"/>
  <c r="M252" i="62"/>
  <c r="AQ252" i="62"/>
  <c r="O252" i="62"/>
  <c r="K252" i="62"/>
  <c r="W252" i="62"/>
  <c r="S252" i="62"/>
  <c r="U252" i="62"/>
  <c r="AL179" i="4"/>
  <c r="D420" i="62"/>
  <c r="F420" i="62"/>
  <c r="B419" i="62"/>
  <c r="C418" i="62"/>
  <c r="E420" i="62"/>
  <c r="AI418" i="62" l="1"/>
  <c r="AG418" i="62"/>
  <c r="AK418" i="62"/>
  <c r="AC418" i="62"/>
  <c r="AA418" i="62"/>
  <c r="AE418" i="62"/>
  <c r="A418" i="67"/>
  <c r="A419" i="67"/>
  <c r="AR419" i="62"/>
  <c r="G418" i="62"/>
  <c r="C421" i="62"/>
  <c r="B422" i="62"/>
  <c r="AR422" i="62" s="1"/>
  <c r="A424" i="62"/>
  <c r="A423" i="62"/>
  <c r="Q254" i="62"/>
  <c r="AO254" i="62"/>
  <c r="AM254" i="62"/>
  <c r="W254" i="62"/>
  <c r="AQ254" i="62"/>
  <c r="K254" i="62"/>
  <c r="M254" i="62"/>
  <c r="O254" i="62"/>
  <c r="Y254" i="62"/>
  <c r="I254" i="62"/>
  <c r="S254" i="62"/>
  <c r="U254" i="62"/>
  <c r="AL180" i="4"/>
  <c r="F422" i="62"/>
  <c r="B421" i="62"/>
  <c r="E422" i="62"/>
  <c r="C420" i="62"/>
  <c r="D422" i="62"/>
  <c r="AK420" i="62" l="1"/>
  <c r="AI420" i="62"/>
  <c r="AG420" i="62"/>
  <c r="AE420" i="62"/>
  <c r="AC420" i="62"/>
  <c r="AA420" i="62"/>
  <c r="A420" i="67"/>
  <c r="A421" i="67"/>
  <c r="AR421" i="62"/>
  <c r="G420" i="62"/>
  <c r="C423" i="62"/>
  <c r="B424" i="62"/>
  <c r="AR424" i="62" s="1"/>
  <c r="A425" i="62"/>
  <c r="A426" i="62"/>
  <c r="AO256" i="62"/>
  <c r="AM256" i="62"/>
  <c r="Y256" i="62"/>
  <c r="O256" i="62"/>
  <c r="U256" i="62"/>
  <c r="S256" i="62"/>
  <c r="W256" i="62"/>
  <c r="M256" i="62"/>
  <c r="K256" i="62"/>
  <c r="Q256" i="62"/>
  <c r="AQ256" i="62"/>
  <c r="I256" i="62"/>
  <c r="AL181" i="4"/>
  <c r="B423" i="62"/>
  <c r="E424" i="62"/>
  <c r="C422" i="62"/>
  <c r="D424" i="62"/>
  <c r="F424" i="62"/>
  <c r="AK422" i="62" l="1"/>
  <c r="AG422" i="62"/>
  <c r="AI422" i="62"/>
  <c r="AE422" i="62"/>
  <c r="AC422" i="62"/>
  <c r="AA422" i="62"/>
  <c r="A422" i="67"/>
  <c r="A423" i="67"/>
  <c r="AR423" i="62"/>
  <c r="G422" i="62"/>
  <c r="B426" i="62"/>
  <c r="AR426" i="62" s="1"/>
  <c r="C425" i="62"/>
  <c r="A428" i="62"/>
  <c r="A427" i="62"/>
  <c r="AO258" i="62"/>
  <c r="AM258" i="62"/>
  <c r="M258" i="62"/>
  <c r="O258" i="62"/>
  <c r="S258" i="62"/>
  <c r="Q258" i="62"/>
  <c r="I258" i="62"/>
  <c r="Y258" i="62"/>
  <c r="W258" i="62"/>
  <c r="K258" i="62"/>
  <c r="U258" i="62"/>
  <c r="AQ258" i="62"/>
  <c r="AL182" i="4"/>
  <c r="C424" i="62"/>
  <c r="E426" i="62"/>
  <c r="D426" i="62"/>
  <c r="F426" i="62"/>
  <c r="B425" i="62"/>
  <c r="AG424" i="62" l="1"/>
  <c r="AI424" i="62"/>
  <c r="AK424" i="62"/>
  <c r="AA424" i="62"/>
  <c r="AE424" i="62"/>
  <c r="AC424" i="62"/>
  <c r="A424" i="67"/>
  <c r="A425" i="67"/>
  <c r="AR425" i="62"/>
  <c r="G424" i="62"/>
  <c r="C427" i="62"/>
  <c r="B428" i="62"/>
  <c r="AR428" i="62" s="1"/>
  <c r="A429" i="62"/>
  <c r="A430" i="62"/>
  <c r="I260" i="62"/>
  <c r="AO260" i="62"/>
  <c r="AM260" i="62"/>
  <c r="U260" i="62"/>
  <c r="W260" i="62"/>
  <c r="M260" i="62"/>
  <c r="K260" i="62"/>
  <c r="AQ260" i="62"/>
  <c r="Q260" i="62"/>
  <c r="Y260" i="62"/>
  <c r="S260" i="62"/>
  <c r="O260" i="62"/>
  <c r="AL183" i="4"/>
  <c r="B427" i="62"/>
  <c r="E428" i="62"/>
  <c r="D428" i="62"/>
  <c r="F428" i="62"/>
  <c r="C426" i="62"/>
  <c r="AI426" i="62" l="1"/>
  <c r="AG426" i="62"/>
  <c r="AK426" i="62"/>
  <c r="AC426" i="62"/>
  <c r="AA426" i="62"/>
  <c r="AE426" i="62"/>
  <c r="A426" i="67"/>
  <c r="A427" i="67"/>
  <c r="AR427" i="62"/>
  <c r="G426" i="62"/>
  <c r="B430" i="62"/>
  <c r="AR430" i="62" s="1"/>
  <c r="C429" i="62"/>
  <c r="A432" i="62"/>
  <c r="A431" i="62"/>
  <c r="AO262" i="62"/>
  <c r="AM262" i="62"/>
  <c r="Y262" i="62"/>
  <c r="I262" i="62"/>
  <c r="Q262" i="62"/>
  <c r="M262" i="62"/>
  <c r="K262" i="62"/>
  <c r="U262" i="62"/>
  <c r="O262" i="62"/>
  <c r="S262" i="62"/>
  <c r="AQ262" i="62"/>
  <c r="W262" i="62"/>
  <c r="AL184" i="4"/>
  <c r="B429" i="62"/>
  <c r="E430" i="62"/>
  <c r="F430" i="62"/>
  <c r="D430" i="62"/>
  <c r="C428" i="62"/>
  <c r="AK428" i="62" l="1"/>
  <c r="AI428" i="62"/>
  <c r="AG428" i="62"/>
  <c r="AE428" i="62"/>
  <c r="AC428" i="62"/>
  <c r="AA428" i="62"/>
  <c r="A428" i="67"/>
  <c r="A430" i="67" s="1"/>
  <c r="A429" i="67"/>
  <c r="A431" i="67" s="1"/>
  <c r="AR429" i="62"/>
  <c r="G428" i="62"/>
  <c r="C431" i="62"/>
  <c r="B432" i="62"/>
  <c r="AR432" i="62" s="1"/>
  <c r="A433" i="62"/>
  <c r="A434" i="62"/>
  <c r="I264" i="62"/>
  <c r="AO264" i="62"/>
  <c r="AM264" i="62"/>
  <c r="O264" i="62"/>
  <c r="Y264" i="62"/>
  <c r="S264" i="62"/>
  <c r="M264" i="62"/>
  <c r="K264" i="62"/>
  <c r="AQ264" i="62"/>
  <c r="Q264" i="62"/>
  <c r="W264" i="62"/>
  <c r="U264" i="62"/>
  <c r="AL185" i="4"/>
  <c r="F432" i="62"/>
  <c r="C430" i="62"/>
  <c r="E432" i="62"/>
  <c r="B431" i="62"/>
  <c r="D432" i="62"/>
  <c r="AK430" i="62" l="1"/>
  <c r="AG430" i="62"/>
  <c r="AI430" i="62"/>
  <c r="AE430" i="62"/>
  <c r="AC430" i="62"/>
  <c r="AA430" i="62"/>
  <c r="AR431" i="62"/>
  <c r="G430" i="62"/>
  <c r="B434" i="62"/>
  <c r="AR434" i="62" s="1"/>
  <c r="C433" i="62"/>
  <c r="A436" i="62"/>
  <c r="A435" i="62"/>
  <c r="K266" i="62"/>
  <c r="AO266" i="62"/>
  <c r="AM266" i="62"/>
  <c r="A432" i="67"/>
  <c r="A433" i="67"/>
  <c r="Q266" i="62"/>
  <c r="S266" i="62"/>
  <c r="U266" i="62"/>
  <c r="O266" i="62"/>
  <c r="I266" i="62"/>
  <c r="M266" i="62"/>
  <c r="AQ266" i="62"/>
  <c r="W266" i="62"/>
  <c r="Y266" i="62"/>
  <c r="AL186" i="4"/>
  <c r="D434" i="62"/>
  <c r="B433" i="62"/>
  <c r="E434" i="62"/>
  <c r="C432" i="62"/>
  <c r="F434" i="62"/>
  <c r="AG432" i="62" l="1"/>
  <c r="AI432" i="62"/>
  <c r="AK432" i="62"/>
  <c r="AA432" i="62"/>
  <c r="AE432" i="62"/>
  <c r="AC432" i="62"/>
  <c r="AR433" i="62"/>
  <c r="G432" i="62"/>
  <c r="C435" i="62"/>
  <c r="B436" i="62"/>
  <c r="AR436" i="62" s="1"/>
  <c r="A437" i="62"/>
  <c r="A438" i="62"/>
  <c r="AO268" i="62"/>
  <c r="AM268" i="62"/>
  <c r="A435" i="67"/>
  <c r="A434" i="67"/>
  <c r="K268" i="62"/>
  <c r="Q268" i="62"/>
  <c r="O268" i="62"/>
  <c r="I268" i="62"/>
  <c r="W268" i="62"/>
  <c r="M268" i="62"/>
  <c r="Y268" i="62"/>
  <c r="S268" i="62"/>
  <c r="AQ268" i="62"/>
  <c r="U268" i="62"/>
  <c r="AL187" i="4"/>
  <c r="F436" i="62"/>
  <c r="C434" i="62"/>
  <c r="E436" i="62"/>
  <c r="D436" i="62"/>
  <c r="B435" i="62"/>
  <c r="AI434" i="62" l="1"/>
  <c r="AG434" i="62"/>
  <c r="AK434" i="62"/>
  <c r="AC434" i="62"/>
  <c r="AA434" i="62"/>
  <c r="AE434" i="62"/>
  <c r="AR435" i="62"/>
  <c r="G434" i="62"/>
  <c r="B438" i="62"/>
  <c r="AR438" i="62" s="1"/>
  <c r="C437" i="62"/>
  <c r="A440" i="62"/>
  <c r="A439" i="62"/>
  <c r="AQ270" i="62"/>
  <c r="AO270" i="62"/>
  <c r="AM270" i="62"/>
  <c r="A437" i="67"/>
  <c r="A436" i="67"/>
  <c r="M270" i="62"/>
  <c r="K270" i="62"/>
  <c r="W270" i="62"/>
  <c r="Y270" i="62"/>
  <c r="I270" i="62"/>
  <c r="O270" i="62"/>
  <c r="Q270" i="62"/>
  <c r="U270" i="62"/>
  <c r="S270" i="62"/>
  <c r="AL188" i="4"/>
  <c r="B437" i="62"/>
  <c r="E438" i="62"/>
  <c r="C436" i="62"/>
  <c r="F438" i="62"/>
  <c r="D438" i="62"/>
  <c r="AK436" i="62" l="1"/>
  <c r="AI436" i="62"/>
  <c r="AG436" i="62"/>
  <c r="AE436" i="62"/>
  <c r="AC436" i="62"/>
  <c r="AA436" i="62"/>
  <c r="AR437" i="62"/>
  <c r="G436" i="62"/>
  <c r="C439" i="62"/>
  <c r="B440" i="62"/>
  <c r="AR440" i="62" s="1"/>
  <c r="A441" i="62"/>
  <c r="A442" i="62"/>
  <c r="I272" i="62"/>
  <c r="AM272" i="62"/>
  <c r="AO272" i="62"/>
  <c r="A438" i="67"/>
  <c r="A439" i="67"/>
  <c r="U272" i="62"/>
  <c r="W272" i="62"/>
  <c r="Q272" i="62"/>
  <c r="S272" i="62"/>
  <c r="M272" i="62"/>
  <c r="AQ272" i="62"/>
  <c r="Y272" i="62"/>
  <c r="K272" i="62"/>
  <c r="O272" i="62"/>
  <c r="AL189" i="4"/>
  <c r="D440" i="62"/>
  <c r="C438" i="62"/>
  <c r="E440" i="62"/>
  <c r="B439" i="62"/>
  <c r="F440" i="62"/>
  <c r="AK438" i="62" l="1"/>
  <c r="AG438" i="62"/>
  <c r="AI438" i="62"/>
  <c r="AE438" i="62"/>
  <c r="AC438" i="62"/>
  <c r="AA438" i="62"/>
  <c r="AR439" i="62"/>
  <c r="G438" i="62"/>
  <c r="B442" i="62"/>
  <c r="AR442" i="62" s="1"/>
  <c r="C441" i="62"/>
  <c r="A444" i="62"/>
  <c r="A443" i="62"/>
  <c r="AO274" i="62"/>
  <c r="AM274" i="62"/>
  <c r="A440" i="67"/>
  <c r="A441" i="67"/>
  <c r="K274" i="62"/>
  <c r="S274" i="62"/>
  <c r="O274" i="62"/>
  <c r="I274" i="62"/>
  <c r="U274" i="62"/>
  <c r="Q274" i="62"/>
  <c r="W274" i="62"/>
  <c r="M274" i="62"/>
  <c r="Y274" i="62"/>
  <c r="AQ274" i="62"/>
  <c r="AL190" i="4"/>
  <c r="B441" i="62"/>
  <c r="E442" i="62"/>
  <c r="F442" i="62"/>
  <c r="C440" i="62"/>
  <c r="D442" i="62"/>
  <c r="AG440" i="62" l="1"/>
  <c r="AI440" i="62"/>
  <c r="AK440" i="62"/>
  <c r="AA440" i="62"/>
  <c r="AE440" i="62"/>
  <c r="AC440" i="62"/>
  <c r="AR441" i="62"/>
  <c r="G440" i="62"/>
  <c r="C443" i="62"/>
  <c r="B444" i="62"/>
  <c r="AR444" i="62" s="1"/>
  <c r="A446" i="62"/>
  <c r="A445" i="62"/>
  <c r="AO276" i="62"/>
  <c r="AM276" i="62"/>
  <c r="A443" i="67"/>
  <c r="A442" i="67"/>
  <c r="I276" i="62"/>
  <c r="O276" i="62"/>
  <c r="S276" i="62"/>
  <c r="M276" i="62"/>
  <c r="U276" i="62"/>
  <c r="W276" i="62"/>
  <c r="Q276" i="62"/>
  <c r="K276" i="62"/>
  <c r="AQ276" i="62"/>
  <c r="Y276" i="62"/>
  <c r="AL191" i="4"/>
  <c r="C442" i="62"/>
  <c r="F444" i="62"/>
  <c r="D444" i="62"/>
  <c r="E444" i="62"/>
  <c r="B443" i="62"/>
  <c r="AI442" i="62" l="1"/>
  <c r="AG442" i="62"/>
  <c r="AK442" i="62"/>
  <c r="AC442" i="62"/>
  <c r="AA442" i="62"/>
  <c r="AE442" i="62"/>
  <c r="AR443" i="62"/>
  <c r="G442" i="62"/>
  <c r="C445" i="62"/>
  <c r="B446" i="62"/>
  <c r="AR446" i="62" s="1"/>
  <c r="A447" i="62"/>
  <c r="A448" i="62"/>
  <c r="K278" i="62"/>
  <c r="AO278" i="62"/>
  <c r="AM278" i="62"/>
  <c r="A444" i="67"/>
  <c r="A445" i="67"/>
  <c r="S278" i="62"/>
  <c r="U278" i="62"/>
  <c r="AQ278" i="62"/>
  <c r="Q278" i="62"/>
  <c r="O278" i="62"/>
  <c r="M278" i="62"/>
  <c r="I278" i="62"/>
  <c r="W278" i="62"/>
  <c r="Y278" i="62"/>
  <c r="AL192" i="4"/>
  <c r="D446" i="62"/>
  <c r="C444" i="62"/>
  <c r="E446" i="62"/>
  <c r="F446" i="62"/>
  <c r="B445" i="62"/>
  <c r="AK444" i="62" l="1"/>
  <c r="AI444" i="62"/>
  <c r="AG444" i="62"/>
  <c r="AE444" i="62"/>
  <c r="AC444" i="62"/>
  <c r="AA444" i="62"/>
  <c r="AR445" i="62"/>
  <c r="G444" i="62"/>
  <c r="B448" i="62"/>
  <c r="AR448" i="62" s="1"/>
  <c r="C447" i="62"/>
  <c r="A450" i="62"/>
  <c r="A449" i="62"/>
  <c r="W280" i="62"/>
  <c r="AO280" i="62"/>
  <c r="AM280" i="62"/>
  <c r="A447" i="67"/>
  <c r="A446" i="67"/>
  <c r="K280" i="62"/>
  <c r="M280" i="62"/>
  <c r="Q280" i="62"/>
  <c r="Y280" i="62"/>
  <c r="AQ280" i="62"/>
  <c r="O280" i="62"/>
  <c r="S280" i="62"/>
  <c r="I280" i="62"/>
  <c r="U280" i="62"/>
  <c r="AL193" i="4"/>
  <c r="C446" i="62"/>
  <c r="B447" i="62"/>
  <c r="F448" i="62"/>
  <c r="D448" i="62"/>
  <c r="E448" i="62"/>
  <c r="AK446" i="62" l="1"/>
  <c r="AG446" i="62"/>
  <c r="AI446" i="62"/>
  <c r="AE446" i="62"/>
  <c r="AC446" i="62"/>
  <c r="AA446" i="62"/>
  <c r="AR447" i="62"/>
  <c r="G446" i="62"/>
  <c r="C449" i="62"/>
  <c r="B450" i="62"/>
  <c r="AR450" i="62" s="1"/>
  <c r="A451" i="62"/>
  <c r="A452" i="62"/>
  <c r="I282" i="62"/>
  <c r="AO282" i="62"/>
  <c r="AM282" i="62"/>
  <c r="A448" i="67"/>
  <c r="A449" i="67"/>
  <c r="Y282" i="62"/>
  <c r="M282" i="62"/>
  <c r="Q282" i="62"/>
  <c r="S282" i="62"/>
  <c r="W282" i="62"/>
  <c r="O282" i="62"/>
  <c r="K282" i="62"/>
  <c r="AQ282" i="62"/>
  <c r="U282" i="62"/>
  <c r="AL194" i="4"/>
  <c r="C448" i="62"/>
  <c r="B449" i="62"/>
  <c r="D450" i="62"/>
  <c r="F450" i="62"/>
  <c r="E450" i="62"/>
  <c r="AG448" i="62" l="1"/>
  <c r="AI448" i="62"/>
  <c r="AK448" i="62"/>
  <c r="AA448" i="62"/>
  <c r="AE448" i="62"/>
  <c r="AC448" i="62"/>
  <c r="AR449" i="62"/>
  <c r="G448" i="62"/>
  <c r="B452" i="62"/>
  <c r="AR452" i="62" s="1"/>
  <c r="C451" i="62"/>
  <c r="A453" i="62"/>
  <c r="A454" i="62"/>
  <c r="K284" i="62"/>
  <c r="AO284" i="62"/>
  <c r="AM284" i="62"/>
  <c r="A451" i="67"/>
  <c r="A450" i="67"/>
  <c r="U284" i="62"/>
  <c r="O284" i="62"/>
  <c r="M284" i="62"/>
  <c r="Q284" i="62"/>
  <c r="Y284" i="62"/>
  <c r="S284" i="62"/>
  <c r="AQ284" i="62"/>
  <c r="W284" i="62"/>
  <c r="I284" i="62"/>
  <c r="AL196" i="4"/>
  <c r="D452" i="62"/>
  <c r="B451" i="62"/>
  <c r="F452" i="62"/>
  <c r="E452" i="62"/>
  <c r="C450" i="62"/>
  <c r="AI450" i="62" l="1"/>
  <c r="AG450" i="62"/>
  <c r="AK450" i="62"/>
  <c r="AC450" i="62"/>
  <c r="AA450" i="62"/>
  <c r="AE450" i="62"/>
  <c r="AR451" i="62"/>
  <c r="G450" i="62"/>
  <c r="B454" i="62"/>
  <c r="AR454" i="62" s="1"/>
  <c r="C453" i="62"/>
  <c r="A456" i="62"/>
  <c r="A455" i="62"/>
  <c r="S286" i="62"/>
  <c r="AO286" i="62"/>
  <c r="AM286" i="62"/>
  <c r="A452" i="67"/>
  <c r="A453" i="67"/>
  <c r="AQ286" i="62"/>
  <c r="U286" i="62"/>
  <c r="I286" i="62"/>
  <c r="Q286" i="62"/>
  <c r="Y286" i="62"/>
  <c r="K286" i="62"/>
  <c r="M286" i="62"/>
  <c r="W286" i="62"/>
  <c r="O286" i="62"/>
  <c r="AL197" i="4"/>
  <c r="B453" i="62"/>
  <c r="C452" i="62"/>
  <c r="E454" i="62"/>
  <c r="D454" i="62"/>
  <c r="F454" i="62"/>
  <c r="AK452" i="62" l="1"/>
  <c r="AI452" i="62"/>
  <c r="AG452" i="62"/>
  <c r="AE452" i="62"/>
  <c r="AC452" i="62"/>
  <c r="AA452" i="62"/>
  <c r="AR453" i="62"/>
  <c r="G452" i="62"/>
  <c r="C455" i="62"/>
  <c r="B456" i="62"/>
  <c r="AR456" i="62" s="1"/>
  <c r="A457" i="62"/>
  <c r="A458" i="62"/>
  <c r="S288" i="62"/>
  <c r="AO288" i="62"/>
  <c r="AM288" i="62"/>
  <c r="A455" i="67"/>
  <c r="A454" i="67"/>
  <c r="U288" i="62"/>
  <c r="O288" i="62"/>
  <c r="M288" i="62"/>
  <c r="K288" i="62"/>
  <c r="Q288" i="62"/>
  <c r="Y288" i="62"/>
  <c r="I288" i="62"/>
  <c r="W288" i="62"/>
  <c r="AQ288" i="62"/>
  <c r="AL198" i="4"/>
  <c r="C454" i="62"/>
  <c r="E456" i="62"/>
  <c r="B455" i="62"/>
  <c r="F456" i="62"/>
  <c r="D456" i="62"/>
  <c r="AK454" i="62" l="1"/>
  <c r="AG454" i="62"/>
  <c r="AI454" i="62"/>
  <c r="AE454" i="62"/>
  <c r="AC454" i="62"/>
  <c r="AA454" i="62"/>
  <c r="AR455" i="62"/>
  <c r="G454" i="62"/>
  <c r="B458" i="62"/>
  <c r="AR458" i="62" s="1"/>
  <c r="C457" i="62"/>
  <c r="A460" i="62"/>
  <c r="A459" i="62"/>
  <c r="M290" i="62"/>
  <c r="AO290" i="62"/>
  <c r="AM290" i="62"/>
  <c r="A456" i="67"/>
  <c r="A457" i="67"/>
  <c r="S290" i="62"/>
  <c r="U290" i="62"/>
  <c r="Y290" i="62"/>
  <c r="O290" i="62"/>
  <c r="K290" i="62"/>
  <c r="W290" i="62"/>
  <c r="AQ290" i="62"/>
  <c r="I290" i="62"/>
  <c r="Q290" i="62"/>
  <c r="AL199" i="4"/>
  <c r="D458" i="62"/>
  <c r="B457" i="62"/>
  <c r="E458" i="62"/>
  <c r="F458" i="62"/>
  <c r="C456" i="62"/>
  <c r="AG456" i="62" l="1"/>
  <c r="AI456" i="62"/>
  <c r="AK456" i="62"/>
  <c r="AA456" i="62"/>
  <c r="AE456" i="62"/>
  <c r="AC456" i="62"/>
  <c r="AR457" i="62"/>
  <c r="G456" i="62"/>
  <c r="C459" i="62"/>
  <c r="B460" i="62"/>
  <c r="AR460" i="62" s="1"/>
  <c r="A462" i="62"/>
  <c r="A461" i="62"/>
  <c r="AO292" i="62"/>
  <c r="AM292" i="62"/>
  <c r="A458" i="67"/>
  <c r="A459" i="67"/>
  <c r="S292" i="62"/>
  <c r="AQ292" i="62"/>
  <c r="Q292" i="62"/>
  <c r="Y292" i="62"/>
  <c r="U292" i="62"/>
  <c r="K292" i="62"/>
  <c r="I292" i="62"/>
  <c r="M292" i="62"/>
  <c r="O292" i="62"/>
  <c r="W292" i="62"/>
  <c r="AL200" i="4"/>
  <c r="E460" i="62"/>
  <c r="B459" i="62"/>
  <c r="F460" i="62"/>
  <c r="C458" i="62"/>
  <c r="D460" i="62"/>
  <c r="AI458" i="62" l="1"/>
  <c r="AG458" i="62"/>
  <c r="AK458" i="62"/>
  <c r="AC458" i="62"/>
  <c r="AA458" i="62"/>
  <c r="AE458" i="62"/>
  <c r="AR459" i="62"/>
  <c r="G458" i="62"/>
  <c r="C461" i="62"/>
  <c r="B462" i="62"/>
  <c r="AR462" i="62" s="1"/>
  <c r="A463" i="62"/>
  <c r="A464" i="62"/>
  <c r="I294" i="62"/>
  <c r="AO294" i="62"/>
  <c r="AM294" i="62"/>
  <c r="A461" i="67"/>
  <c r="A460" i="67"/>
  <c r="M294" i="62"/>
  <c r="W294" i="62"/>
  <c r="K294" i="62"/>
  <c r="O294" i="62"/>
  <c r="Y294" i="62"/>
  <c r="S294" i="62"/>
  <c r="AQ294" i="62"/>
  <c r="U294" i="62"/>
  <c r="Q294" i="62"/>
  <c r="AL201" i="4"/>
  <c r="B461" i="62"/>
  <c r="C460" i="62"/>
  <c r="D462" i="62"/>
  <c r="F462" i="62"/>
  <c r="E462" i="62"/>
  <c r="AK460" i="62" l="1"/>
  <c r="AI460" i="62"/>
  <c r="AG460" i="62"/>
  <c r="AE460" i="62"/>
  <c r="AC460" i="62"/>
  <c r="AA460" i="62"/>
  <c r="AR461" i="62"/>
  <c r="G460" i="62"/>
  <c r="B464" i="62"/>
  <c r="AR464" i="62" s="1"/>
  <c r="C463" i="62"/>
  <c r="A466" i="62"/>
  <c r="A465" i="62"/>
  <c r="AO296" i="62"/>
  <c r="AM296" i="62"/>
  <c r="A463" i="67"/>
  <c r="A462" i="67"/>
  <c r="S296" i="62"/>
  <c r="AQ296" i="62"/>
  <c r="K296" i="62"/>
  <c r="W296" i="62"/>
  <c r="I296" i="62"/>
  <c r="Y296" i="62"/>
  <c r="U296" i="62"/>
  <c r="O296" i="62"/>
  <c r="Q296" i="62"/>
  <c r="M296" i="62"/>
  <c r="AL202" i="4"/>
  <c r="C462" i="62"/>
  <c r="E464" i="62"/>
  <c r="F464" i="62"/>
  <c r="B463" i="62"/>
  <c r="D464" i="62"/>
  <c r="AK462" i="62" l="1"/>
  <c r="AG462" i="62"/>
  <c r="AI462" i="62"/>
  <c r="AE462" i="62"/>
  <c r="AC462" i="62"/>
  <c r="AA462" i="62"/>
  <c r="AR463" i="62"/>
  <c r="G462" i="62"/>
  <c r="C465" i="62"/>
  <c r="B466" i="62"/>
  <c r="AR466" i="62" s="1"/>
  <c r="A467" i="62"/>
  <c r="A468" i="62"/>
  <c r="Q298" i="62"/>
  <c r="AO298" i="62"/>
  <c r="AM298" i="62"/>
  <c r="A465" i="67"/>
  <c r="A464" i="67"/>
  <c r="I298" i="62"/>
  <c r="K298" i="62"/>
  <c r="Y298" i="62"/>
  <c r="U298" i="62"/>
  <c r="M298" i="62"/>
  <c r="W298" i="62"/>
  <c r="O298" i="62"/>
  <c r="AQ298" i="62"/>
  <c r="S298" i="62"/>
  <c r="AL203" i="4"/>
  <c r="D466" i="62"/>
  <c r="B465" i="62"/>
  <c r="E466" i="62"/>
  <c r="F466" i="62"/>
  <c r="C464" i="62"/>
  <c r="AG464" i="62" l="1"/>
  <c r="AI464" i="62"/>
  <c r="AK464" i="62"/>
  <c r="AA464" i="62"/>
  <c r="AE464" i="62"/>
  <c r="AC464" i="62"/>
  <c r="AR465" i="62"/>
  <c r="G464" i="62"/>
  <c r="B468" i="62"/>
  <c r="AR468" i="62" s="1"/>
  <c r="C467" i="62"/>
  <c r="A470" i="62"/>
  <c r="A469" i="62"/>
  <c r="Y300" i="62"/>
  <c r="AO300" i="62"/>
  <c r="AM300" i="62"/>
  <c r="A466" i="67"/>
  <c r="A467" i="67"/>
  <c r="I300" i="62"/>
  <c r="S300" i="62"/>
  <c r="O300" i="62"/>
  <c r="W300" i="62"/>
  <c r="AQ300" i="62"/>
  <c r="U300" i="62"/>
  <c r="M300" i="62"/>
  <c r="Q300" i="62"/>
  <c r="K300" i="62"/>
  <c r="AL204" i="4"/>
  <c r="C466" i="62"/>
  <c r="D468" i="62"/>
  <c r="F468" i="62"/>
  <c r="B467" i="62"/>
  <c r="E468" i="62"/>
  <c r="AI466" i="62" l="1"/>
  <c r="AG466" i="62"/>
  <c r="AK466" i="62"/>
  <c r="AC466" i="62"/>
  <c r="AA466" i="62"/>
  <c r="AE466" i="62"/>
  <c r="AR467" i="62"/>
  <c r="G466" i="62"/>
  <c r="C469" i="62"/>
  <c r="B470" i="62"/>
  <c r="AR470" i="62" s="1"/>
  <c r="A471" i="62"/>
  <c r="A472" i="62"/>
  <c r="Q302" i="62"/>
  <c r="AM302" i="62"/>
  <c r="AO302" i="62"/>
  <c r="A468" i="67"/>
  <c r="A469" i="67"/>
  <c r="M302" i="62"/>
  <c r="Y302" i="62"/>
  <c r="O302" i="62"/>
  <c r="W302" i="62"/>
  <c r="I302" i="62"/>
  <c r="S302" i="62"/>
  <c r="AQ302" i="62"/>
  <c r="U302" i="62"/>
  <c r="K302" i="62"/>
  <c r="AL205" i="4"/>
  <c r="F470" i="62"/>
  <c r="B469" i="62"/>
  <c r="C468" i="62"/>
  <c r="E470" i="62"/>
  <c r="D470" i="62"/>
  <c r="AK468" i="62" l="1"/>
  <c r="AI468" i="62"/>
  <c r="AG468" i="62"/>
  <c r="AE468" i="62"/>
  <c r="AC468" i="62"/>
  <c r="AA468" i="62"/>
  <c r="AR469" i="62"/>
  <c r="G468" i="62"/>
  <c r="B472" i="62"/>
  <c r="AR472" i="62" s="1"/>
  <c r="C471" i="62"/>
  <c r="A474" i="62"/>
  <c r="A473" i="62"/>
  <c r="W304" i="62"/>
  <c r="AM304" i="62"/>
  <c r="AO304" i="62"/>
  <c r="A471" i="67"/>
  <c r="A470" i="67"/>
  <c r="O304" i="62"/>
  <c r="U304" i="62"/>
  <c r="Q304" i="62"/>
  <c r="I304" i="62"/>
  <c r="S304" i="62"/>
  <c r="M304" i="62"/>
  <c r="Y304" i="62"/>
  <c r="K304" i="62"/>
  <c r="AQ304" i="62"/>
  <c r="AL206" i="4"/>
  <c r="C470" i="62"/>
  <c r="E472" i="62"/>
  <c r="F472" i="62"/>
  <c r="B471" i="62"/>
  <c r="D472" i="62"/>
  <c r="AK470" i="62" l="1"/>
  <c r="AG470" i="62"/>
  <c r="AI470" i="62"/>
  <c r="AE470" i="62"/>
  <c r="AC470" i="62"/>
  <c r="AA470" i="62"/>
  <c r="AR471" i="62"/>
  <c r="G470" i="62"/>
  <c r="C473" i="62"/>
  <c r="B474" i="62"/>
  <c r="AR474" i="62" s="1"/>
  <c r="A475" i="62"/>
  <c r="A476" i="62"/>
  <c r="M306" i="62"/>
  <c r="AO306" i="62"/>
  <c r="AM306" i="62"/>
  <c r="A472" i="67"/>
  <c r="A473" i="67"/>
  <c r="I306" i="62"/>
  <c r="W306" i="62"/>
  <c r="Y306" i="62"/>
  <c r="AQ306" i="62"/>
  <c r="S306" i="62"/>
  <c r="K306" i="62"/>
  <c r="O306" i="62"/>
  <c r="Q306" i="62"/>
  <c r="U306" i="62"/>
  <c r="AL207" i="4"/>
  <c r="F474" i="62"/>
  <c r="E474" i="62"/>
  <c r="C472" i="62"/>
  <c r="B473" i="62"/>
  <c r="D474" i="62"/>
  <c r="AG472" i="62" l="1"/>
  <c r="AI472" i="62"/>
  <c r="AK472" i="62"/>
  <c r="AA472" i="62"/>
  <c r="AE472" i="62"/>
  <c r="AC472" i="62"/>
  <c r="AR473" i="62"/>
  <c r="G472" i="62"/>
  <c r="B476" i="62"/>
  <c r="AR476" i="62" s="1"/>
  <c r="C475" i="62"/>
  <c r="A478" i="62"/>
  <c r="A477" i="62"/>
  <c r="Q308" i="62"/>
  <c r="AO308" i="62"/>
  <c r="AM308" i="62"/>
  <c r="A474" i="67"/>
  <c r="A475" i="67"/>
  <c r="U308" i="62"/>
  <c r="AQ308" i="62"/>
  <c r="M308" i="62"/>
  <c r="S308" i="62"/>
  <c r="K308" i="62"/>
  <c r="O308" i="62"/>
  <c r="Y308" i="62"/>
  <c r="W308" i="62"/>
  <c r="I308" i="62"/>
  <c r="AL208" i="4"/>
  <c r="F476" i="62"/>
  <c r="D476" i="62"/>
  <c r="B475" i="62"/>
  <c r="C474" i="62"/>
  <c r="E476" i="62"/>
  <c r="AI474" i="62" l="1"/>
  <c r="AG474" i="62"/>
  <c r="AK474" i="62"/>
  <c r="AC474" i="62"/>
  <c r="AA474" i="62"/>
  <c r="AE474" i="62"/>
  <c r="AR475" i="62"/>
  <c r="G474" i="62"/>
  <c r="C477" i="62"/>
  <c r="B478" i="62"/>
  <c r="AR478" i="62" s="1"/>
  <c r="A479" i="62"/>
  <c r="A480" i="62"/>
  <c r="S310" i="62"/>
  <c r="AO310" i="62"/>
  <c r="AM310" i="62"/>
  <c r="A476" i="67"/>
  <c r="A477" i="67"/>
  <c r="K310" i="62"/>
  <c r="AQ310" i="62"/>
  <c r="W310" i="62"/>
  <c r="Y310" i="62"/>
  <c r="M310" i="62"/>
  <c r="O310" i="62"/>
  <c r="I310" i="62"/>
  <c r="Q310" i="62"/>
  <c r="U310" i="62"/>
  <c r="AL209" i="4"/>
  <c r="F478" i="62"/>
  <c r="D478" i="62"/>
  <c r="B477" i="62"/>
  <c r="E478" i="62"/>
  <c r="C476" i="62"/>
  <c r="AK476" i="62" l="1"/>
  <c r="AI476" i="62"/>
  <c r="AG476" i="62"/>
  <c r="AE476" i="62"/>
  <c r="AC476" i="62"/>
  <c r="AA476" i="62"/>
  <c r="AR477" i="62"/>
  <c r="G476" i="62"/>
  <c r="C479" i="62"/>
  <c r="B480" i="62"/>
  <c r="AR480" i="62" s="1"/>
  <c r="A482" i="62"/>
  <c r="A481" i="62"/>
  <c r="U312" i="62"/>
  <c r="AO312" i="62"/>
  <c r="AM312" i="62"/>
  <c r="A479" i="67"/>
  <c r="A478" i="67"/>
  <c r="K312" i="62"/>
  <c r="W312" i="62"/>
  <c r="O312" i="62"/>
  <c r="M312" i="62"/>
  <c r="Y312" i="62"/>
  <c r="S312" i="62"/>
  <c r="AQ312" i="62"/>
  <c r="Q312" i="62"/>
  <c r="I312" i="62"/>
  <c r="AL210" i="4"/>
  <c r="D480" i="62"/>
  <c r="B479" i="62"/>
  <c r="E480" i="62"/>
  <c r="C478" i="62"/>
  <c r="F480" i="62"/>
  <c r="AK478" i="62" l="1"/>
  <c r="AG478" i="62"/>
  <c r="AI478" i="62"/>
  <c r="AE478" i="62"/>
  <c r="AC478" i="62"/>
  <c r="AA478" i="62"/>
  <c r="AR479" i="62"/>
  <c r="G478" i="62"/>
  <c r="C481" i="62"/>
  <c r="B482" i="62"/>
  <c r="AR482" i="62" s="1"/>
  <c r="A483" i="62"/>
  <c r="A484" i="62"/>
  <c r="AO314" i="62"/>
  <c r="AM314" i="62"/>
  <c r="A480" i="67"/>
  <c r="A481" i="67"/>
  <c r="Q314" i="62"/>
  <c r="U314" i="62"/>
  <c r="M314" i="62"/>
  <c r="AQ314" i="62"/>
  <c r="K314" i="62"/>
  <c r="W314" i="62"/>
  <c r="O314" i="62"/>
  <c r="S314" i="62"/>
  <c r="I314" i="62"/>
  <c r="Y314" i="62"/>
  <c r="AL211" i="4"/>
  <c r="F482" i="62"/>
  <c r="C480" i="62"/>
  <c r="D482" i="62"/>
  <c r="B481" i="62"/>
  <c r="E482" i="62"/>
  <c r="AG480" i="62" l="1"/>
  <c r="AI480" i="62"/>
  <c r="AK480" i="62"/>
  <c r="AA480" i="62"/>
  <c r="AE480" i="62"/>
  <c r="AC480" i="62"/>
  <c r="AR481" i="62"/>
  <c r="G480" i="62"/>
  <c r="B484" i="62"/>
  <c r="AR484" i="62" s="1"/>
  <c r="C483" i="62"/>
  <c r="A486" i="62"/>
  <c r="A485" i="62"/>
  <c r="K316" i="62"/>
  <c r="AO316" i="62"/>
  <c r="AM316" i="62"/>
  <c r="A483" i="67"/>
  <c r="A482" i="67"/>
  <c r="O316" i="62"/>
  <c r="Y316" i="62"/>
  <c r="W316" i="62"/>
  <c r="AQ316" i="62"/>
  <c r="Q316" i="62"/>
  <c r="S316" i="62"/>
  <c r="U316" i="62"/>
  <c r="I316" i="62"/>
  <c r="M316" i="62"/>
  <c r="AL212" i="4"/>
  <c r="B483" i="62"/>
  <c r="E484" i="62"/>
  <c r="F484" i="62"/>
  <c r="D484" i="62"/>
  <c r="C482" i="62"/>
  <c r="AI482" i="62" l="1"/>
  <c r="AG482" i="62"/>
  <c r="AK482" i="62"/>
  <c r="AC482" i="62"/>
  <c r="AA482" i="62"/>
  <c r="AE482" i="62"/>
  <c r="AR483" i="62"/>
  <c r="G482" i="62"/>
  <c r="C485" i="62"/>
  <c r="B486" i="62"/>
  <c r="AR486" i="62" s="1"/>
  <c r="A487" i="62"/>
  <c r="A488" i="62"/>
  <c r="O318" i="62"/>
  <c r="AO318" i="62"/>
  <c r="AM318" i="62"/>
  <c r="A485" i="67"/>
  <c r="A484" i="67"/>
  <c r="I318" i="62"/>
  <c r="M318" i="62"/>
  <c r="W318" i="62"/>
  <c r="Q318" i="62"/>
  <c r="AQ318" i="62"/>
  <c r="S318" i="62"/>
  <c r="Y318" i="62"/>
  <c r="U318" i="62"/>
  <c r="K318" i="62"/>
  <c r="AL213" i="4"/>
  <c r="C484" i="62"/>
  <c r="F486" i="62"/>
  <c r="E486" i="62"/>
  <c r="B485" i="62"/>
  <c r="D486" i="62"/>
  <c r="AK484" i="62" l="1"/>
  <c r="AI484" i="62"/>
  <c r="AG484" i="62"/>
  <c r="AE484" i="62"/>
  <c r="AC484" i="62"/>
  <c r="AA484" i="62"/>
  <c r="AR485" i="62"/>
  <c r="G484" i="62"/>
  <c r="B488" i="62"/>
  <c r="AR488" i="62" s="1"/>
  <c r="C487" i="62"/>
  <c r="A490" i="62"/>
  <c r="A489" i="62"/>
  <c r="AO320" i="62"/>
  <c r="AM320" i="62"/>
  <c r="A486" i="67"/>
  <c r="A487" i="67"/>
  <c r="S320" i="62"/>
  <c r="O320" i="62"/>
  <c r="Q320" i="62"/>
  <c r="W320" i="62"/>
  <c r="AQ320" i="62"/>
  <c r="I320" i="62"/>
  <c r="U320" i="62"/>
  <c r="Y320" i="62"/>
  <c r="M320" i="62"/>
  <c r="K320" i="62"/>
  <c r="AL214" i="4"/>
  <c r="E488" i="62"/>
  <c r="B487" i="62"/>
  <c r="C486" i="62"/>
  <c r="D488" i="62"/>
  <c r="F488" i="62"/>
  <c r="AK486" i="62" l="1"/>
  <c r="AG486" i="62"/>
  <c r="AI486" i="62"/>
  <c r="AE486" i="62"/>
  <c r="AC486" i="62"/>
  <c r="AA486" i="62"/>
  <c r="AR487" i="62"/>
  <c r="G486" i="62"/>
  <c r="B490" i="62"/>
  <c r="AR490" i="62" s="1"/>
  <c r="C489" i="62"/>
  <c r="A489" i="67"/>
  <c r="A488" i="67"/>
  <c r="A491" i="62"/>
  <c r="A492" i="62"/>
  <c r="O322" i="62"/>
  <c r="AO322" i="62"/>
  <c r="AM322" i="62"/>
  <c r="S322" i="62"/>
  <c r="Q322" i="62"/>
  <c r="W322" i="62"/>
  <c r="Y322" i="62"/>
  <c r="I322" i="62"/>
  <c r="AQ322" i="62"/>
  <c r="K322" i="62"/>
  <c r="U322" i="62"/>
  <c r="M322" i="62"/>
  <c r="AL215" i="4"/>
  <c r="E490" i="62"/>
  <c r="D490" i="62"/>
  <c r="B489" i="62"/>
  <c r="C488" i="62"/>
  <c r="F490" i="62"/>
  <c r="AG488" i="62" l="1"/>
  <c r="AI488" i="62"/>
  <c r="AK488" i="62"/>
  <c r="AA488" i="62"/>
  <c r="AE488" i="62"/>
  <c r="AC488" i="62"/>
  <c r="AR489" i="62"/>
  <c r="G488" i="62"/>
  <c r="C491" i="62"/>
  <c r="B492" i="62"/>
  <c r="AR492" i="62" s="1"/>
  <c r="A491" i="67"/>
  <c r="A490" i="67"/>
  <c r="A494" i="62"/>
  <c r="A493" i="62"/>
  <c r="O324" i="62"/>
  <c r="AO324" i="62"/>
  <c r="AM324" i="62"/>
  <c r="S324" i="62"/>
  <c r="W324" i="62"/>
  <c r="Q324" i="62"/>
  <c r="U324" i="62"/>
  <c r="M324" i="62"/>
  <c r="I324" i="62"/>
  <c r="K324" i="62"/>
  <c r="Y324" i="62"/>
  <c r="AQ324" i="62"/>
  <c r="AL216" i="4"/>
  <c r="B491" i="62"/>
  <c r="D492" i="62"/>
  <c r="C490" i="62"/>
  <c r="E492" i="62"/>
  <c r="F492" i="62"/>
  <c r="AI490" i="62" l="1"/>
  <c r="AG490" i="62"/>
  <c r="AK490" i="62"/>
  <c r="AC490" i="62"/>
  <c r="AA490" i="62"/>
  <c r="AE490" i="62"/>
  <c r="A493" i="67"/>
  <c r="AR491" i="62"/>
  <c r="G490" i="62"/>
  <c r="C493" i="62"/>
  <c r="B494" i="62"/>
  <c r="AR494" i="62" s="1"/>
  <c r="A492" i="67"/>
  <c r="A495" i="62"/>
  <c r="A496" i="62"/>
  <c r="Q326" i="62"/>
  <c r="AO326" i="62"/>
  <c r="AM326" i="62"/>
  <c r="S326" i="62"/>
  <c r="Y326" i="62"/>
  <c r="K326" i="62"/>
  <c r="O326" i="62"/>
  <c r="M326" i="62"/>
  <c r="W326" i="62"/>
  <c r="AQ326" i="62"/>
  <c r="I326" i="62"/>
  <c r="U326" i="62"/>
  <c r="AL217" i="4"/>
  <c r="E494" i="62"/>
  <c r="F494" i="62"/>
  <c r="B493" i="62"/>
  <c r="D494" i="62"/>
  <c r="C492" i="62"/>
  <c r="AK492" i="62" l="1"/>
  <c r="AI492" i="62"/>
  <c r="AG492" i="62"/>
  <c r="AE492" i="62"/>
  <c r="AC492" i="62"/>
  <c r="AA492" i="62"/>
  <c r="A495" i="67"/>
  <c r="AR493" i="62"/>
  <c r="G492" i="62"/>
  <c r="C495" i="62"/>
  <c r="B496" i="62"/>
  <c r="AR496" i="62" s="1"/>
  <c r="A494" i="67"/>
  <c r="A498" i="62"/>
  <c r="A497" i="62"/>
  <c r="K328" i="62"/>
  <c r="AO328" i="62"/>
  <c r="AM328" i="62"/>
  <c r="O328" i="62"/>
  <c r="W328" i="62"/>
  <c r="M328" i="62"/>
  <c r="S328" i="62"/>
  <c r="AQ328" i="62"/>
  <c r="U328" i="62"/>
  <c r="I328" i="62"/>
  <c r="Y328" i="62"/>
  <c r="Q328" i="62"/>
  <c r="AL218" i="4"/>
  <c r="C494" i="62"/>
  <c r="D496" i="62"/>
  <c r="F496" i="62"/>
  <c r="E496" i="62"/>
  <c r="B495" i="62"/>
  <c r="AK494" i="62" l="1"/>
  <c r="AG494" i="62"/>
  <c r="AI494" i="62"/>
  <c r="AE494" i="62"/>
  <c r="AC494" i="62"/>
  <c r="AA494" i="62"/>
  <c r="A497" i="67"/>
  <c r="A496" i="67"/>
  <c r="AR495" i="62"/>
  <c r="G494" i="62"/>
  <c r="B498" i="62"/>
  <c r="AR498" i="62" s="1"/>
  <c r="C497" i="62"/>
  <c r="A499" i="62"/>
  <c r="A500" i="62"/>
  <c r="S330" i="62"/>
  <c r="AO330" i="62"/>
  <c r="AM330" i="62"/>
  <c r="M330" i="62"/>
  <c r="AQ330" i="62"/>
  <c r="W330" i="62"/>
  <c r="Y330" i="62"/>
  <c r="Q330" i="62"/>
  <c r="O330" i="62"/>
  <c r="U330" i="62"/>
  <c r="I330" i="62"/>
  <c r="K330" i="62"/>
  <c r="AL219" i="4"/>
  <c r="D498" i="62"/>
  <c r="C496" i="62"/>
  <c r="E498" i="62"/>
  <c r="F498" i="62"/>
  <c r="B497" i="62"/>
  <c r="AG496" i="62" l="1"/>
  <c r="AI496" i="62"/>
  <c r="AK496" i="62"/>
  <c r="AA496" i="62"/>
  <c r="AE496" i="62"/>
  <c r="AC496" i="62"/>
  <c r="A499" i="67"/>
  <c r="A501" i="67" s="1"/>
  <c r="A498" i="67"/>
  <c r="AR497" i="62"/>
  <c r="G496" i="62"/>
  <c r="C499" i="62"/>
  <c r="B500" i="62"/>
  <c r="AR500" i="62" s="1"/>
  <c r="A502" i="62"/>
  <c r="A501" i="62"/>
  <c r="AO332" i="62"/>
  <c r="AM332" i="62"/>
  <c r="W332" i="62"/>
  <c r="M332" i="62"/>
  <c r="S332" i="62"/>
  <c r="O332" i="62"/>
  <c r="AQ332" i="62"/>
  <c r="Q332" i="62"/>
  <c r="K332" i="62"/>
  <c r="U332" i="62"/>
  <c r="Y332" i="62"/>
  <c r="I332" i="62"/>
  <c r="AL220" i="4"/>
  <c r="F500" i="62"/>
  <c r="C498" i="62"/>
  <c r="D500" i="62"/>
  <c r="E500" i="62"/>
  <c r="B499" i="62"/>
  <c r="AI498" i="62" l="1"/>
  <c r="AG498" i="62"/>
  <c r="AK498" i="62"/>
  <c r="AC498" i="62"/>
  <c r="AA498" i="62"/>
  <c r="AE498" i="62"/>
  <c r="A500" i="67"/>
  <c r="AR499" i="62"/>
  <c r="G498" i="62"/>
  <c r="C501" i="62"/>
  <c r="B502" i="62"/>
  <c r="AR502" i="62" s="1"/>
  <c r="A503" i="62"/>
  <c r="A504" i="62"/>
  <c r="A503" i="67"/>
  <c r="U334" i="62"/>
  <c r="AM334" i="62"/>
  <c r="AO334" i="62"/>
  <c r="Y334" i="62"/>
  <c r="AQ334" i="62"/>
  <c r="S334" i="62"/>
  <c r="K334" i="62"/>
  <c r="W334" i="62"/>
  <c r="Q334" i="62"/>
  <c r="M334" i="62"/>
  <c r="I334" i="62"/>
  <c r="O334" i="62"/>
  <c r="AL221" i="4"/>
  <c r="E502" i="62"/>
  <c r="C500" i="62"/>
  <c r="B501" i="62"/>
  <c r="F502" i="62"/>
  <c r="D502" i="62"/>
  <c r="AK500" i="62" l="1"/>
  <c r="AI500" i="62"/>
  <c r="AG500" i="62"/>
  <c r="AE500" i="62"/>
  <c r="AC500" i="62"/>
  <c r="AA500" i="62"/>
  <c r="A502" i="67"/>
  <c r="AR501" i="62"/>
  <c r="G500" i="62"/>
  <c r="C503" i="62"/>
  <c r="B504" i="62"/>
  <c r="AR504" i="62" s="1"/>
  <c r="A506" i="62"/>
  <c r="A505" i="62"/>
  <c r="A505" i="67"/>
  <c r="AM336" i="62"/>
  <c r="AO336" i="62"/>
  <c r="Y336" i="62"/>
  <c r="O336" i="62"/>
  <c r="S336" i="62"/>
  <c r="W336" i="62"/>
  <c r="K336" i="62"/>
  <c r="Q336" i="62"/>
  <c r="M336" i="62"/>
  <c r="U336" i="62"/>
  <c r="AQ336" i="62"/>
  <c r="I336" i="62"/>
  <c r="AL222" i="4"/>
  <c r="F504" i="62"/>
  <c r="E504" i="62"/>
  <c r="D504" i="62"/>
  <c r="B503" i="62"/>
  <c r="C502" i="62"/>
  <c r="AK502" i="62" l="1"/>
  <c r="AG502" i="62"/>
  <c r="AI502" i="62"/>
  <c r="AE502" i="62"/>
  <c r="AC502" i="62"/>
  <c r="AA502" i="62"/>
  <c r="A504" i="67"/>
  <c r="AR503" i="62"/>
  <c r="G502" i="62"/>
  <c r="C505" i="62"/>
  <c r="B506" i="62"/>
  <c r="AR506" i="62" s="1"/>
  <c r="A507" i="62"/>
  <c r="A508" i="62"/>
  <c r="A507" i="67"/>
  <c r="S338" i="62"/>
  <c r="AO338" i="62"/>
  <c r="AM338" i="62"/>
  <c r="U338" i="62"/>
  <c r="Y338" i="62"/>
  <c r="O338" i="62"/>
  <c r="Q338" i="62"/>
  <c r="AQ338" i="62"/>
  <c r="I338" i="62"/>
  <c r="K338" i="62"/>
  <c r="W338" i="62"/>
  <c r="M338" i="62"/>
  <c r="AL223" i="4"/>
  <c r="E506" i="62"/>
  <c r="D506" i="62"/>
  <c r="C504" i="62"/>
  <c r="B505" i="62"/>
  <c r="F506" i="62"/>
  <c r="AG504" i="62" l="1"/>
  <c r="AI504" i="62"/>
  <c r="AK504" i="62"/>
  <c r="AA504" i="62"/>
  <c r="AE504" i="62"/>
  <c r="AC504" i="62"/>
  <c r="A506" i="67"/>
  <c r="AR505" i="62"/>
  <c r="G504" i="62"/>
  <c r="B508" i="62"/>
  <c r="AR508" i="62" s="1"/>
  <c r="C507" i="62"/>
  <c r="W340" i="62"/>
  <c r="AO340" i="62"/>
  <c r="AM340" i="62"/>
  <c r="AQ340" i="62"/>
  <c r="U340" i="62"/>
  <c r="I340" i="62"/>
  <c r="O340" i="62"/>
  <c r="K340" i="62"/>
  <c r="Y340" i="62"/>
  <c r="Q340" i="62"/>
  <c r="M340" i="62"/>
  <c r="S340" i="62"/>
  <c r="AL224" i="4"/>
  <c r="B507" i="62"/>
  <c r="F508" i="62"/>
  <c r="E508" i="62"/>
  <c r="D508" i="62"/>
  <c r="C506" i="62"/>
  <c r="AI506" i="62" l="1"/>
  <c r="AG506" i="62"/>
  <c r="AK506" i="62"/>
  <c r="AC506" i="62"/>
  <c r="AA506" i="62"/>
  <c r="AE506" i="62"/>
  <c r="B1" i="67"/>
  <c r="AR507" i="62"/>
  <c r="G506" i="62"/>
  <c r="M342" i="62"/>
  <c r="AO342" i="62"/>
  <c r="AM342" i="62"/>
  <c r="W342" i="62"/>
  <c r="Y342" i="62"/>
  <c r="Q342" i="62"/>
  <c r="O342" i="62"/>
  <c r="I342" i="62"/>
  <c r="K342" i="62"/>
  <c r="U342" i="62"/>
  <c r="AQ342" i="62"/>
  <c r="S342" i="62"/>
  <c r="AL225" i="4"/>
  <c r="C508" i="62"/>
  <c r="AK508" i="62" l="1"/>
  <c r="AI508" i="62"/>
  <c r="AG508" i="62"/>
  <c r="AE508" i="62"/>
  <c r="AC508" i="62"/>
  <c r="AA508" i="62"/>
  <c r="G508" i="62"/>
  <c r="AQ344" i="62"/>
  <c r="AO344" i="62"/>
  <c r="AM344" i="62"/>
  <c r="U344" i="62"/>
  <c r="K344" i="62"/>
  <c r="W344" i="62"/>
  <c r="Q344" i="62"/>
  <c r="M344" i="62"/>
  <c r="O344" i="62"/>
  <c r="S344" i="62"/>
  <c r="I344" i="62"/>
  <c r="Y344" i="62"/>
  <c r="AL226" i="4"/>
  <c r="S346" i="62" l="1"/>
  <c r="AO346" i="62"/>
  <c r="AM346" i="62"/>
  <c r="I346" i="62"/>
  <c r="O346" i="62"/>
  <c r="M346" i="62"/>
  <c r="W346" i="62"/>
  <c r="Y346" i="62"/>
  <c r="AQ346" i="62"/>
  <c r="U346" i="62"/>
  <c r="Q346" i="62"/>
  <c r="K346" i="62"/>
  <c r="AL227" i="4"/>
  <c r="Q348" i="62" l="1"/>
  <c r="AO348" i="62"/>
  <c r="AM348" i="62"/>
  <c r="S348" i="62"/>
  <c r="U348" i="62"/>
  <c r="K348" i="62"/>
  <c r="Y348" i="62"/>
  <c r="AQ348" i="62"/>
  <c r="M348" i="62"/>
  <c r="W348" i="62"/>
  <c r="I348" i="62"/>
  <c r="O348" i="62"/>
  <c r="AL228" i="4"/>
  <c r="W350" i="62" l="1"/>
  <c r="AO350" i="62"/>
  <c r="AM350" i="62"/>
  <c r="S350" i="62"/>
  <c r="K350" i="62"/>
  <c r="O350" i="62"/>
  <c r="M350" i="62"/>
  <c r="I350" i="62"/>
  <c r="AQ350" i="62"/>
  <c r="U350" i="62"/>
  <c r="Q350" i="62"/>
  <c r="Y350" i="62"/>
  <c r="AL229" i="4"/>
  <c r="S352" i="62" l="1"/>
  <c r="AO352" i="62"/>
  <c r="AM352" i="62"/>
  <c r="W352" i="62"/>
  <c r="M352" i="62"/>
  <c r="AQ352" i="62"/>
  <c r="Q352" i="62"/>
  <c r="Y352" i="62"/>
  <c r="U352" i="62"/>
  <c r="O352" i="62"/>
  <c r="K352" i="62"/>
  <c r="I352" i="62"/>
  <c r="AL230" i="4"/>
  <c r="Q354" i="62" l="1"/>
  <c r="AO354" i="62"/>
  <c r="AM354" i="62"/>
  <c r="S354" i="62"/>
  <c r="Y354" i="62"/>
  <c r="M354" i="62"/>
  <c r="W354" i="62"/>
  <c r="AQ354" i="62"/>
  <c r="O354" i="62"/>
  <c r="U354" i="62"/>
  <c r="K354" i="62"/>
  <c r="I354" i="62"/>
  <c r="AL231" i="4"/>
  <c r="S356" i="62" l="1"/>
  <c r="AO356" i="62"/>
  <c r="AM356" i="62"/>
  <c r="AQ356" i="62"/>
  <c r="U356" i="62"/>
  <c r="M356" i="62"/>
  <c r="K356" i="62"/>
  <c r="I356" i="62"/>
  <c r="Q356" i="62"/>
  <c r="O356" i="62"/>
  <c r="W356" i="62"/>
  <c r="Y356" i="62"/>
  <c r="AL232" i="4"/>
  <c r="S358" i="62" l="1"/>
  <c r="AO358" i="62"/>
  <c r="AM358" i="62"/>
  <c r="M358" i="62"/>
  <c r="AQ358" i="62"/>
  <c r="U358" i="62"/>
  <c r="W358" i="62"/>
  <c r="I358" i="62"/>
  <c r="K358" i="62"/>
  <c r="O358" i="62"/>
  <c r="Q358" i="62"/>
  <c r="Y358" i="62"/>
  <c r="AL233" i="4"/>
  <c r="AQ360" i="62" l="1"/>
  <c r="AO360" i="62"/>
  <c r="AM360" i="62"/>
  <c r="M360" i="62"/>
  <c r="K360" i="62"/>
  <c r="Q360" i="62"/>
  <c r="U360" i="62"/>
  <c r="I360" i="62"/>
  <c r="O360" i="62"/>
  <c r="Y360" i="62"/>
  <c r="W360" i="62"/>
  <c r="S360" i="62"/>
  <c r="AL234" i="4"/>
  <c r="AQ362" i="62" l="1"/>
  <c r="AO362" i="62"/>
  <c r="AM362" i="62"/>
  <c r="W362" i="62"/>
  <c r="Q362" i="62"/>
  <c r="U362" i="62"/>
  <c r="M362" i="62"/>
  <c r="K362" i="62"/>
  <c r="S362" i="62"/>
  <c r="O362" i="62"/>
  <c r="Y362" i="62"/>
  <c r="I362" i="62"/>
  <c r="AL235" i="4"/>
  <c r="O364" i="62" l="1"/>
  <c r="AO364" i="62"/>
  <c r="AM364" i="62"/>
  <c r="AQ364" i="62"/>
  <c r="U364" i="62"/>
  <c r="M364" i="62"/>
  <c r="S364" i="62"/>
  <c r="I364" i="62"/>
  <c r="K364" i="62"/>
  <c r="Q364" i="62"/>
  <c r="W364" i="62"/>
  <c r="Y364" i="62"/>
  <c r="AL236" i="4"/>
  <c r="AM366" i="62" l="1"/>
  <c r="AO366" i="62"/>
  <c r="W366" i="62"/>
  <c r="M366" i="62"/>
  <c r="U366" i="62"/>
  <c r="O366" i="62"/>
  <c r="K366" i="62"/>
  <c r="Y366" i="62"/>
  <c r="I366" i="62"/>
  <c r="Q366" i="62"/>
  <c r="AQ366" i="62"/>
  <c r="S366" i="62"/>
  <c r="AL237" i="4"/>
  <c r="W368" i="62" l="1"/>
  <c r="AM368" i="62"/>
  <c r="AO368" i="62"/>
  <c r="S368" i="62"/>
  <c r="K368" i="62"/>
  <c r="O368" i="62"/>
  <c r="Y368" i="62"/>
  <c r="AQ368" i="62"/>
  <c r="U368" i="62"/>
  <c r="Q368" i="62"/>
  <c r="M368" i="62"/>
  <c r="I368" i="62"/>
  <c r="AL238" i="4"/>
  <c r="AO370" i="62" l="1"/>
  <c r="AM370" i="62"/>
  <c r="AQ370" i="62"/>
  <c r="Q370" i="62"/>
  <c r="I370" i="62"/>
  <c r="U370" i="62"/>
  <c r="M370" i="62"/>
  <c r="S370" i="62"/>
  <c r="K370" i="62"/>
  <c r="O370" i="62"/>
  <c r="W370" i="62"/>
  <c r="Y370" i="62"/>
  <c r="AL239" i="4"/>
  <c r="S372" i="62" l="1"/>
  <c r="AO372" i="62"/>
  <c r="AM372" i="62"/>
  <c r="W372" i="62"/>
  <c r="O372" i="62"/>
  <c r="U372" i="62"/>
  <c r="I372" i="62"/>
  <c r="AQ372" i="62"/>
  <c r="K372" i="62"/>
  <c r="Q372" i="62"/>
  <c r="Y372" i="62"/>
  <c r="M372" i="62"/>
  <c r="AL240" i="4"/>
  <c r="O374" i="62" l="1"/>
  <c r="AM374" i="62"/>
  <c r="AO374" i="62"/>
  <c r="Y374" i="62"/>
  <c r="Q374" i="62"/>
  <c r="K374" i="62"/>
  <c r="U374" i="62"/>
  <c r="AQ374" i="62"/>
  <c r="M374" i="62"/>
  <c r="W374" i="62"/>
  <c r="S374" i="62"/>
  <c r="I374" i="62"/>
  <c r="AL241" i="4"/>
  <c r="AM376" i="62" l="1"/>
  <c r="AO376" i="62"/>
  <c r="S376" i="62"/>
  <c r="O376" i="62"/>
  <c r="M376" i="62"/>
  <c r="I376" i="62"/>
  <c r="W376" i="62"/>
  <c r="AQ376" i="62"/>
  <c r="K376" i="62"/>
  <c r="Y376" i="62"/>
  <c r="Q376" i="62"/>
  <c r="U376" i="62"/>
  <c r="AL242" i="4"/>
  <c r="Q378" i="62" l="1"/>
  <c r="AO378" i="62"/>
  <c r="AM378" i="62"/>
  <c r="I378" i="62"/>
  <c r="U378" i="62"/>
  <c r="AQ378" i="62"/>
  <c r="O378" i="62"/>
  <c r="Y378" i="62"/>
  <c r="K378" i="62"/>
  <c r="W378" i="62"/>
  <c r="M378" i="62"/>
  <c r="S378" i="62"/>
  <c r="AL243" i="4"/>
  <c r="AO380" i="62" l="1"/>
  <c r="AM380" i="62"/>
  <c r="M380" i="62"/>
  <c r="I380" i="62"/>
  <c r="O380" i="62"/>
  <c r="Q380" i="62"/>
  <c r="U380" i="62"/>
  <c r="W380" i="62"/>
  <c r="S380" i="62"/>
  <c r="K380" i="62"/>
  <c r="Y380" i="62"/>
  <c r="AQ380" i="62"/>
  <c r="AL244" i="4"/>
  <c r="AM382" i="62" l="1"/>
  <c r="AO382" i="62"/>
  <c r="Y382" i="62"/>
  <c r="K382" i="62"/>
  <c r="S382" i="62"/>
  <c r="O382" i="62"/>
  <c r="W382" i="62"/>
  <c r="M382" i="62"/>
  <c r="Q382" i="62"/>
  <c r="AQ382" i="62"/>
  <c r="I382" i="62"/>
  <c r="U382" i="62"/>
  <c r="AL245" i="4"/>
  <c r="AM384" i="62" l="1"/>
  <c r="AO384" i="62"/>
  <c r="Y384" i="62"/>
  <c r="M384" i="62"/>
  <c r="Q384" i="62"/>
  <c r="AQ384" i="62"/>
  <c r="U384" i="62"/>
  <c r="S384" i="62"/>
  <c r="O384" i="62"/>
  <c r="W384" i="62"/>
  <c r="K384" i="62"/>
  <c r="I384" i="62"/>
  <c r="AL246" i="4"/>
  <c r="AO386" i="62" l="1"/>
  <c r="AM386" i="62"/>
  <c r="K386" i="62"/>
  <c r="W386" i="62"/>
  <c r="AQ386" i="62"/>
  <c r="S386" i="62"/>
  <c r="U386" i="62"/>
  <c r="Q386" i="62"/>
  <c r="M386" i="62"/>
  <c r="O386" i="62"/>
  <c r="Y386" i="62"/>
  <c r="I386" i="62"/>
  <c r="AL247" i="4"/>
  <c r="Q388" i="62" l="1"/>
  <c r="AO388" i="62"/>
  <c r="AM388" i="62"/>
  <c r="O388" i="62"/>
  <c r="M388" i="62"/>
  <c r="S388" i="62"/>
  <c r="Y388" i="62"/>
  <c r="W388" i="62"/>
  <c r="K388" i="62"/>
  <c r="U388" i="62"/>
  <c r="I388" i="62"/>
  <c r="AQ388" i="62"/>
  <c r="AL248" i="4"/>
  <c r="AO390" i="62" l="1"/>
  <c r="AM390" i="62"/>
  <c r="W390" i="62"/>
  <c r="O390" i="62"/>
  <c r="Q390" i="62"/>
  <c r="S390" i="62"/>
  <c r="U390" i="62"/>
  <c r="K390" i="62"/>
  <c r="I390" i="62"/>
  <c r="AQ390" i="62"/>
  <c r="Y390" i="62"/>
  <c r="M390" i="62"/>
  <c r="AL249" i="4"/>
  <c r="AQ392" i="62" l="1"/>
  <c r="AM392" i="62"/>
  <c r="AO392" i="62"/>
  <c r="Q392" i="62"/>
  <c r="S392" i="62"/>
  <c r="I392" i="62"/>
  <c r="U392" i="62"/>
  <c r="K392" i="62"/>
  <c r="M392" i="62"/>
  <c r="W392" i="62"/>
  <c r="Y392" i="62"/>
  <c r="O392" i="62"/>
  <c r="AL250" i="4"/>
  <c r="U394" i="62" l="1"/>
  <c r="AO394" i="62"/>
  <c r="AM394" i="62"/>
  <c r="K394" i="62"/>
  <c r="Y394" i="62"/>
  <c r="I394" i="62"/>
  <c r="M394" i="62"/>
  <c r="W394" i="62"/>
  <c r="Q394" i="62"/>
  <c r="AQ394" i="62"/>
  <c r="S394" i="62"/>
  <c r="O394" i="62"/>
  <c r="AL251" i="4"/>
  <c r="W396" i="62" l="1"/>
  <c r="AO396" i="62"/>
  <c r="AM396" i="62"/>
  <c r="Q396" i="62"/>
  <c r="S396" i="62"/>
  <c r="I396" i="62"/>
  <c r="O396" i="62"/>
  <c r="U396" i="62"/>
  <c r="Y396" i="62"/>
  <c r="M396" i="62"/>
  <c r="K396" i="62"/>
  <c r="AQ396" i="62"/>
  <c r="AL252" i="4"/>
  <c r="AQ398" i="62" l="1"/>
  <c r="AO398" i="62"/>
  <c r="AM398" i="62"/>
  <c r="O398" i="62"/>
  <c r="U398" i="62"/>
  <c r="M398" i="62"/>
  <c r="Q398" i="62"/>
  <c r="Y398" i="62"/>
  <c r="I398" i="62"/>
  <c r="W398" i="62"/>
  <c r="K398" i="62"/>
  <c r="S398" i="62"/>
  <c r="AL253" i="4"/>
  <c r="K400" i="62" l="1"/>
  <c r="AM400" i="62"/>
  <c r="AO400" i="62"/>
  <c r="M400" i="62"/>
  <c r="U400" i="62"/>
  <c r="I400" i="62"/>
  <c r="Q400" i="62"/>
  <c r="Y400" i="62"/>
  <c r="AQ400" i="62"/>
  <c r="S400" i="62"/>
  <c r="O400" i="62"/>
  <c r="W400" i="62"/>
  <c r="AL254" i="4"/>
  <c r="Q402" i="62" l="1"/>
  <c r="AO402" i="62"/>
  <c r="AM402" i="62"/>
  <c r="S402" i="62"/>
  <c r="M402" i="62"/>
  <c r="K402" i="62"/>
  <c r="O402" i="62"/>
  <c r="I402" i="62"/>
  <c r="W402" i="62"/>
  <c r="U402" i="62"/>
  <c r="Y402" i="62"/>
  <c r="AQ402" i="62"/>
  <c r="AL255" i="4"/>
  <c r="K404" i="62" l="1"/>
  <c r="AO404" i="62"/>
  <c r="AM404" i="62"/>
  <c r="O404" i="62"/>
  <c r="W404" i="62"/>
  <c r="Y404" i="62"/>
  <c r="S404" i="62"/>
  <c r="Q404" i="62"/>
  <c r="U404" i="62"/>
  <c r="M404" i="62"/>
  <c r="I404" i="62"/>
  <c r="AQ404" i="62"/>
  <c r="AL256" i="4"/>
  <c r="AM406" i="62" l="1"/>
  <c r="AO406" i="62"/>
  <c r="K406" i="62"/>
  <c r="M406" i="62"/>
  <c r="O406" i="62"/>
  <c r="Y406" i="62"/>
  <c r="I406" i="62"/>
  <c r="AQ406" i="62"/>
  <c r="U406" i="62"/>
  <c r="W406" i="62"/>
  <c r="S406" i="62"/>
  <c r="Q406" i="62"/>
  <c r="AL257" i="4"/>
  <c r="Y408" i="62" l="1"/>
  <c r="AM408" i="62"/>
  <c r="AO408" i="62"/>
  <c r="W408" i="62"/>
  <c r="M408" i="62"/>
  <c r="U408" i="62"/>
  <c r="I408" i="62"/>
  <c r="AQ408" i="62"/>
  <c r="Q408" i="62"/>
  <c r="S408" i="62"/>
  <c r="K408" i="62"/>
  <c r="O408" i="62"/>
  <c r="AL258" i="4"/>
  <c r="W410" i="62" l="1"/>
  <c r="AO410" i="62"/>
  <c r="AM410" i="62"/>
  <c r="Q410" i="62"/>
  <c r="M410" i="62"/>
  <c r="I410" i="62"/>
  <c r="AQ410" i="62"/>
  <c r="K410" i="62"/>
  <c r="S410" i="62"/>
  <c r="O410" i="62"/>
  <c r="U410" i="62"/>
  <c r="Y410" i="62"/>
  <c r="AL259" i="4"/>
  <c r="O412" i="62" l="1"/>
  <c r="AO412" i="62"/>
  <c r="AM412" i="62"/>
  <c r="Y412" i="62"/>
  <c r="U412" i="62"/>
  <c r="S412" i="62"/>
  <c r="Q412" i="62"/>
  <c r="K412" i="62"/>
  <c r="W412" i="62"/>
  <c r="I412" i="62"/>
  <c r="M412" i="62"/>
  <c r="AQ412" i="62"/>
  <c r="AL260" i="4"/>
  <c r="M414" i="62" l="1"/>
  <c r="AM414" i="62"/>
  <c r="AO414" i="62"/>
  <c r="U414" i="62"/>
  <c r="W414" i="62"/>
  <c r="O414" i="62"/>
  <c r="S414" i="62"/>
  <c r="I414" i="62"/>
  <c r="K414" i="62"/>
  <c r="AQ414" i="62"/>
  <c r="Y414" i="62"/>
  <c r="Q414" i="62"/>
  <c r="AL262" i="4"/>
  <c r="Q416" i="62" l="1"/>
  <c r="AM416" i="62"/>
  <c r="AO416" i="62"/>
  <c r="W416" i="62"/>
  <c r="U416" i="62"/>
  <c r="M416" i="62"/>
  <c r="AQ416" i="62"/>
  <c r="S416" i="62"/>
  <c r="O416" i="62"/>
  <c r="I416" i="62"/>
  <c r="K416" i="62"/>
  <c r="Y416" i="62"/>
  <c r="AL263" i="4"/>
  <c r="I418" i="62" l="1"/>
  <c r="AO418" i="62"/>
  <c r="AM418" i="62"/>
  <c r="Y418" i="62"/>
  <c r="W418" i="62"/>
  <c r="U418" i="62"/>
  <c r="AQ418" i="62"/>
  <c r="M418" i="62"/>
  <c r="K418" i="62"/>
  <c r="S418" i="62"/>
  <c r="O418" i="62"/>
  <c r="Q418" i="62"/>
  <c r="O420" i="62" l="1"/>
  <c r="AO420" i="62"/>
  <c r="AM420" i="62"/>
  <c r="U420" i="62"/>
  <c r="Q420" i="62"/>
  <c r="AQ420" i="62"/>
  <c r="Y420" i="62"/>
  <c r="W420" i="62"/>
  <c r="S420" i="62"/>
  <c r="M420" i="62"/>
  <c r="I420" i="62"/>
  <c r="K420" i="62"/>
  <c r="AL55" i="4"/>
  <c r="Y422" i="62" l="1"/>
  <c r="AO422" i="62"/>
  <c r="AM422" i="62"/>
  <c r="W422" i="62"/>
  <c r="Q422" i="62"/>
  <c r="S422" i="62"/>
  <c r="U422" i="62"/>
  <c r="O422" i="62"/>
  <c r="AQ422" i="62"/>
  <c r="I422" i="62"/>
  <c r="K422" i="62"/>
  <c r="M422" i="62"/>
  <c r="Y424" i="62" l="1"/>
  <c r="AM424" i="62"/>
  <c r="AO424" i="62"/>
  <c r="W424" i="62"/>
  <c r="K424" i="62"/>
  <c r="AQ424" i="62"/>
  <c r="O424" i="62"/>
  <c r="M424" i="62"/>
  <c r="S424" i="62"/>
  <c r="U424" i="62"/>
  <c r="Q424" i="62"/>
  <c r="I424" i="62"/>
  <c r="K426" i="62" l="1"/>
  <c r="AO426" i="62"/>
  <c r="AM426" i="62"/>
  <c r="Y426" i="62"/>
  <c r="O426" i="62"/>
  <c r="Q426" i="62"/>
  <c r="M426" i="62"/>
  <c r="W426" i="62"/>
  <c r="AQ426" i="62"/>
  <c r="S426" i="62"/>
  <c r="I426" i="62"/>
  <c r="U426" i="62"/>
  <c r="AO428" i="62" l="1"/>
  <c r="AM428" i="62"/>
  <c r="W428" i="62"/>
  <c r="Y428" i="62"/>
  <c r="K428" i="62"/>
  <c r="Q428" i="62"/>
  <c r="M428" i="62"/>
  <c r="O428" i="62"/>
  <c r="AQ428" i="62"/>
  <c r="I428" i="62"/>
  <c r="U428" i="62"/>
  <c r="S428" i="62"/>
  <c r="AM430" i="62" l="1"/>
  <c r="AO430" i="62"/>
  <c r="O430" i="62"/>
  <c r="Y430" i="62"/>
  <c r="AQ430" i="62"/>
  <c r="U430" i="62"/>
  <c r="W430" i="62"/>
  <c r="I430" i="62"/>
  <c r="Q430" i="62"/>
  <c r="K430" i="62"/>
  <c r="M430" i="62"/>
  <c r="S430" i="62"/>
  <c r="Y432" i="62" l="1"/>
  <c r="AM432" i="62"/>
  <c r="AO432" i="62"/>
  <c r="U432" i="62"/>
  <c r="K432" i="62"/>
  <c r="Q432" i="62"/>
  <c r="W432" i="62"/>
  <c r="S432" i="62"/>
  <c r="AQ432" i="62"/>
  <c r="M432" i="62"/>
  <c r="I432" i="62"/>
  <c r="O432" i="62"/>
  <c r="I434" i="62" l="1"/>
  <c r="AO434" i="62"/>
  <c r="AM434" i="62"/>
  <c r="K434" i="62"/>
  <c r="Q434" i="62"/>
  <c r="O434" i="62"/>
  <c r="S434" i="62"/>
  <c r="M434" i="62"/>
  <c r="U434" i="62"/>
  <c r="W434" i="62"/>
  <c r="AQ434" i="62"/>
  <c r="Y434" i="62"/>
  <c r="AQ436" i="62" l="1"/>
  <c r="AO436" i="62"/>
  <c r="AM436" i="62"/>
  <c r="U436" i="62"/>
  <c r="M436" i="62"/>
  <c r="I436" i="62"/>
  <c r="Y436" i="62"/>
  <c r="O436" i="62"/>
  <c r="S436" i="62"/>
  <c r="K436" i="62"/>
  <c r="W436" i="62"/>
  <c r="Q436" i="62"/>
  <c r="AM438" i="62" l="1"/>
  <c r="AO438" i="62"/>
  <c r="O438" i="62"/>
  <c r="I438" i="62"/>
  <c r="K438" i="62"/>
  <c r="U438" i="62"/>
  <c r="M438" i="62"/>
  <c r="Q438" i="62"/>
  <c r="W438" i="62"/>
  <c r="AQ438" i="62"/>
  <c r="S438" i="62"/>
  <c r="Y438" i="62"/>
  <c r="U440" i="62" l="1"/>
  <c r="AM440" i="62"/>
  <c r="AO440" i="62"/>
  <c r="Q440" i="62"/>
  <c r="AQ440" i="62"/>
  <c r="Y440" i="62"/>
  <c r="M440" i="62"/>
  <c r="O440" i="62"/>
  <c r="S440" i="62"/>
  <c r="I440" i="62"/>
  <c r="K440" i="62"/>
  <c r="W440" i="62"/>
  <c r="AO442" i="62" l="1"/>
  <c r="AM442" i="62"/>
  <c r="K442" i="62"/>
  <c r="W442" i="62"/>
  <c r="Y442" i="62"/>
  <c r="I442" i="62"/>
  <c r="S442" i="62"/>
  <c r="AQ442" i="62"/>
  <c r="M442" i="62"/>
  <c r="O442" i="62"/>
  <c r="U442" i="62"/>
  <c r="Q442" i="62"/>
  <c r="Q444" i="62" l="1"/>
  <c r="AO444" i="62"/>
  <c r="AM444" i="62"/>
  <c r="K444" i="62"/>
  <c r="U444" i="62"/>
  <c r="I444" i="62"/>
  <c r="Y444" i="62"/>
  <c r="S444" i="62"/>
  <c r="O444" i="62"/>
  <c r="AQ444" i="62"/>
  <c r="M444" i="62"/>
  <c r="W444" i="62"/>
  <c r="U446" i="62" l="1"/>
  <c r="AM446" i="62"/>
  <c r="AO446" i="62"/>
  <c r="S446" i="62"/>
  <c r="W446" i="62"/>
  <c r="I446" i="62"/>
  <c r="Q446" i="62"/>
  <c r="Y446" i="62"/>
  <c r="K446" i="62"/>
  <c r="AQ446" i="62"/>
  <c r="M446" i="62"/>
  <c r="O446" i="62"/>
  <c r="W448" i="62" l="1"/>
  <c r="AM448" i="62"/>
  <c r="AO448" i="62"/>
  <c r="U448" i="62"/>
  <c r="K448" i="62"/>
  <c r="Q448" i="62"/>
  <c r="Y448" i="62"/>
  <c r="I448" i="62"/>
  <c r="O448" i="62"/>
  <c r="S448" i="62"/>
  <c r="AQ448" i="62"/>
  <c r="M448" i="62"/>
  <c r="O450" i="62" l="1"/>
  <c r="AO450" i="62"/>
  <c r="AM450" i="62"/>
  <c r="W450" i="62"/>
  <c r="Y450" i="62"/>
  <c r="Q450" i="62"/>
  <c r="I450" i="62"/>
  <c r="S450" i="62"/>
  <c r="K450" i="62"/>
  <c r="U450" i="62"/>
  <c r="AQ450" i="62"/>
  <c r="M450" i="62"/>
  <c r="AO452" i="62" l="1"/>
  <c r="AM452" i="62"/>
  <c r="O452" i="62"/>
  <c r="I452" i="62"/>
  <c r="Q452" i="62"/>
  <c r="AQ452" i="62"/>
  <c r="U452" i="62"/>
  <c r="W452" i="62"/>
  <c r="K452" i="62"/>
  <c r="Y452" i="62"/>
  <c r="M452" i="62"/>
  <c r="S452" i="62"/>
  <c r="AQ454" i="62" l="1"/>
  <c r="AO454" i="62"/>
  <c r="AM454" i="62"/>
  <c r="K454" i="62"/>
  <c r="O454" i="62"/>
  <c r="Q454" i="62"/>
  <c r="W454" i="62"/>
  <c r="M454" i="62"/>
  <c r="I454" i="62"/>
  <c r="S454" i="62"/>
  <c r="Y454" i="62"/>
  <c r="U454" i="62"/>
  <c r="AM456" i="62" l="1"/>
  <c r="AO456" i="62"/>
  <c r="K456" i="62"/>
  <c r="I456" i="62"/>
  <c r="Q456" i="62"/>
  <c r="U456" i="62"/>
  <c r="W456" i="62"/>
  <c r="Y456" i="62"/>
  <c r="O456" i="62"/>
  <c r="AQ456" i="62"/>
  <c r="M456" i="62"/>
  <c r="S456" i="62"/>
  <c r="Q458" i="62" l="1"/>
  <c r="AO458" i="62"/>
  <c r="AM458" i="62"/>
  <c r="I458" i="62"/>
  <c r="M458" i="62"/>
  <c r="U458" i="62"/>
  <c r="K458" i="62"/>
  <c r="AQ458" i="62"/>
  <c r="W458" i="62"/>
  <c r="S458" i="62"/>
  <c r="Y458" i="62"/>
  <c r="O458" i="62"/>
  <c r="M460" i="62" l="1"/>
  <c r="AO460" i="62"/>
  <c r="AM460" i="62"/>
  <c r="W460" i="62"/>
  <c r="O460" i="62"/>
  <c r="S460" i="62"/>
  <c r="K460" i="62"/>
  <c r="I460" i="62"/>
  <c r="U460" i="62"/>
  <c r="AQ460" i="62"/>
  <c r="Y460" i="62"/>
  <c r="Q460" i="62"/>
  <c r="AM462" i="62" l="1"/>
  <c r="AO462" i="62"/>
  <c r="AQ462" i="62"/>
  <c r="Y462" i="62"/>
  <c r="Q462" i="62"/>
  <c r="S462" i="62"/>
  <c r="M462" i="62"/>
  <c r="I462" i="62"/>
  <c r="K462" i="62"/>
  <c r="U462" i="62"/>
  <c r="W462" i="62"/>
  <c r="O462" i="62"/>
  <c r="U464" i="62" l="1"/>
  <c r="AM464" i="62"/>
  <c r="AO464" i="62"/>
  <c r="W464" i="62"/>
  <c r="M464" i="62"/>
  <c r="I464" i="62"/>
  <c r="Q464" i="62"/>
  <c r="O464" i="62"/>
  <c r="K464" i="62"/>
  <c r="S464" i="62"/>
  <c r="AQ464" i="62"/>
  <c r="Y464" i="62"/>
  <c r="S466" i="62" l="1"/>
  <c r="AO466" i="62"/>
  <c r="AM466" i="62"/>
  <c r="M466" i="62"/>
  <c r="U466" i="62"/>
  <c r="O466" i="62"/>
  <c r="K466" i="62"/>
  <c r="Y466" i="62"/>
  <c r="Q466" i="62"/>
  <c r="W466" i="62"/>
  <c r="AQ466" i="62"/>
  <c r="I466" i="62"/>
  <c r="K468" i="62" l="1"/>
  <c r="AO468" i="62"/>
  <c r="AM468" i="62"/>
  <c r="I468" i="62"/>
  <c r="Q468" i="62"/>
  <c r="S468" i="62"/>
  <c r="AQ468" i="62"/>
  <c r="Y468" i="62"/>
  <c r="U468" i="62"/>
  <c r="M468" i="62"/>
  <c r="W468" i="62"/>
  <c r="O468" i="62"/>
  <c r="AM470" i="62" l="1"/>
  <c r="AO470" i="62"/>
  <c r="I470" i="62"/>
  <c r="Y470" i="62"/>
  <c r="S470" i="62"/>
  <c r="U470" i="62"/>
  <c r="W470" i="62"/>
  <c r="M470" i="62"/>
  <c r="K470" i="62"/>
  <c r="AQ470" i="62"/>
  <c r="Q470" i="62"/>
  <c r="O470" i="62"/>
  <c r="AM472" i="62" l="1"/>
  <c r="AO472" i="62"/>
  <c r="S472" i="62"/>
  <c r="W472" i="62"/>
  <c r="I472" i="62"/>
  <c r="Q472" i="62"/>
  <c r="M472" i="62"/>
  <c r="K472" i="62"/>
  <c r="AQ472" i="62"/>
  <c r="Y472" i="62"/>
  <c r="U472" i="62"/>
  <c r="O472" i="62"/>
  <c r="AO474" i="62" l="1"/>
  <c r="AM474" i="62"/>
  <c r="K474" i="62"/>
  <c r="S474" i="62"/>
  <c r="W474" i="62"/>
  <c r="AQ474" i="62"/>
  <c r="U474" i="62"/>
  <c r="Y474" i="62"/>
  <c r="M474" i="62"/>
  <c r="I474" i="62"/>
  <c r="O474" i="62"/>
  <c r="Q474" i="62"/>
  <c r="AO476" i="62" l="1"/>
  <c r="AM476" i="62"/>
  <c r="S476" i="62"/>
  <c r="O476" i="62"/>
  <c r="Y476" i="62"/>
  <c r="W476" i="62"/>
  <c r="AQ476" i="62"/>
  <c r="K476" i="62"/>
  <c r="Q476" i="62"/>
  <c r="U476" i="62"/>
  <c r="I476" i="62"/>
  <c r="M476" i="62"/>
  <c r="AL33" i="4"/>
  <c r="AM478" i="62" l="1"/>
  <c r="AO478" i="62"/>
  <c r="Y478" i="62"/>
  <c r="M478" i="62"/>
  <c r="I478" i="62"/>
  <c r="U478" i="62"/>
  <c r="K478" i="62"/>
  <c r="Q478" i="62"/>
  <c r="S478" i="62"/>
  <c r="W478" i="62"/>
  <c r="O478" i="62"/>
  <c r="AQ478" i="62"/>
  <c r="AM480" i="62" l="1"/>
  <c r="AO480" i="62"/>
  <c r="I480" i="62"/>
  <c r="W480" i="62"/>
  <c r="K480" i="62"/>
  <c r="Y480" i="62"/>
  <c r="M480" i="62"/>
  <c r="O480" i="62"/>
  <c r="S480" i="62"/>
  <c r="AQ480" i="62"/>
  <c r="U480" i="62"/>
  <c r="Q480" i="62"/>
  <c r="O482" i="62" l="1"/>
  <c r="AO482" i="62"/>
  <c r="AM482" i="62"/>
  <c r="AQ482" i="62"/>
  <c r="Y482" i="62"/>
  <c r="U482" i="62"/>
  <c r="M482" i="62"/>
  <c r="K482" i="62"/>
  <c r="I482" i="62"/>
  <c r="Q482" i="62"/>
  <c r="W482" i="62"/>
  <c r="S482" i="62"/>
  <c r="AO484" i="62" l="1"/>
  <c r="AM484" i="62"/>
  <c r="W484" i="62"/>
  <c r="I484" i="62"/>
  <c r="U484" i="62"/>
  <c r="K484" i="62"/>
  <c r="Q484" i="62"/>
  <c r="S484" i="62"/>
  <c r="M484" i="62"/>
  <c r="Y484" i="62"/>
  <c r="AQ484" i="62"/>
  <c r="O484" i="62"/>
  <c r="O486" i="62" l="1"/>
  <c r="AO486" i="62"/>
  <c r="AM486" i="62"/>
  <c r="Q486" i="62"/>
  <c r="K486" i="62"/>
  <c r="Y486" i="62"/>
  <c r="U486" i="62"/>
  <c r="AQ486" i="62"/>
  <c r="W486" i="62"/>
  <c r="I486" i="62"/>
  <c r="S486" i="62"/>
  <c r="M486" i="62"/>
  <c r="AL38" i="4"/>
  <c r="W488" i="62" l="1"/>
  <c r="AM488" i="62"/>
  <c r="AO488" i="62"/>
  <c r="Q488" i="62"/>
  <c r="S488" i="62"/>
  <c r="I488" i="62"/>
  <c r="U488" i="62"/>
  <c r="M488" i="62"/>
  <c r="Y488" i="62"/>
  <c r="K488" i="62"/>
  <c r="AQ488" i="62"/>
  <c r="O488" i="62"/>
  <c r="AL39" i="4"/>
  <c r="K490" i="62" l="1"/>
  <c r="AO490" i="62"/>
  <c r="AM490" i="62"/>
  <c r="O490" i="62"/>
  <c r="AQ490" i="62"/>
  <c r="I490" i="62"/>
  <c r="Q490" i="62"/>
  <c r="U490" i="62"/>
  <c r="W490" i="62"/>
  <c r="Y490" i="62"/>
  <c r="M490" i="62"/>
  <c r="S490" i="62"/>
  <c r="AL40" i="4"/>
  <c r="AQ492" i="62" l="1"/>
  <c r="AO492" i="62"/>
  <c r="AM492" i="62"/>
  <c r="W492" i="62"/>
  <c r="K492" i="62"/>
  <c r="Q492" i="62"/>
  <c r="U492" i="62"/>
  <c r="M492" i="62"/>
  <c r="S492" i="62"/>
  <c r="I492" i="62"/>
  <c r="O492" i="62"/>
  <c r="Y492" i="62"/>
  <c r="AL41" i="4"/>
  <c r="I494" i="62" l="1"/>
  <c r="AO494" i="62"/>
  <c r="AM494" i="62"/>
  <c r="S494" i="62"/>
  <c r="U494" i="62"/>
  <c r="O494" i="62"/>
  <c r="Y494" i="62"/>
  <c r="W494" i="62"/>
  <c r="M494" i="62"/>
  <c r="AQ494" i="62"/>
  <c r="Q494" i="62"/>
  <c r="K494" i="62"/>
  <c r="AL42" i="4"/>
  <c r="O496" i="62" l="1"/>
  <c r="AM496" i="62"/>
  <c r="AO496" i="62"/>
  <c r="U496" i="62"/>
  <c r="Q496" i="62"/>
  <c r="AQ496" i="62"/>
  <c r="W496" i="62"/>
  <c r="Y496" i="62"/>
  <c r="I496" i="62"/>
  <c r="K496" i="62"/>
  <c r="M496" i="62"/>
  <c r="S496" i="62"/>
  <c r="AL43" i="4"/>
  <c r="M498" i="62" l="1"/>
  <c r="AO498" i="62"/>
  <c r="AM498" i="62"/>
  <c r="I498" i="62"/>
  <c r="W498" i="62"/>
  <c r="Y498" i="62"/>
  <c r="AQ498" i="62"/>
  <c r="O498" i="62"/>
  <c r="S498" i="62"/>
  <c r="U498" i="62"/>
  <c r="Q498" i="62"/>
  <c r="K498" i="62"/>
  <c r="F38" i="66"/>
  <c r="F42" i="66" s="1"/>
  <c r="AL44" i="4"/>
  <c r="G3" i="62"/>
  <c r="K500" i="62" l="1"/>
  <c r="AO500" i="62"/>
  <c r="AM500" i="62"/>
  <c r="AM502" i="62"/>
  <c r="AO502" i="62"/>
  <c r="U500" i="62"/>
  <c r="W500" i="62"/>
  <c r="Y500" i="62"/>
  <c r="O500" i="62"/>
  <c r="S500" i="62"/>
  <c r="Q500" i="62"/>
  <c r="M500" i="62"/>
  <c r="I500" i="62"/>
  <c r="AQ500" i="62"/>
  <c r="AQ502" i="62"/>
  <c r="M502" i="62"/>
  <c r="K502" i="62"/>
  <c r="I502" i="62"/>
  <c r="U502" i="62"/>
  <c r="Y502" i="62"/>
  <c r="W502" i="62"/>
  <c r="O502" i="62"/>
  <c r="S502" i="62"/>
  <c r="Q502" i="62"/>
  <c r="AL45" i="4"/>
  <c r="AM504" i="62" l="1"/>
  <c r="AO504" i="62"/>
  <c r="Q504" i="62"/>
  <c r="I504" i="62"/>
  <c r="W504" i="62"/>
  <c r="O504" i="62"/>
  <c r="AQ504" i="62"/>
  <c r="U504" i="62"/>
  <c r="S504" i="62"/>
  <c r="Y504" i="62"/>
  <c r="M504" i="62"/>
  <c r="K504" i="62"/>
  <c r="AL46" i="4"/>
  <c r="AO506" i="62" l="1"/>
  <c r="AM506" i="62"/>
  <c r="S506" i="62"/>
  <c r="AQ506" i="62"/>
  <c r="W506" i="62"/>
  <c r="Y506" i="62"/>
  <c r="M506" i="62"/>
  <c r="U506" i="62"/>
  <c r="K506" i="62"/>
  <c r="Q506" i="62"/>
  <c r="I506" i="62"/>
  <c r="O506" i="62"/>
  <c r="AL47" i="4"/>
  <c r="AO508" i="62" l="1"/>
  <c r="AM508" i="62"/>
  <c r="U508" i="62"/>
  <c r="I508" i="62"/>
  <c r="M508" i="62"/>
  <c r="O508" i="62"/>
  <c r="AQ508" i="62"/>
  <c r="Y508" i="62"/>
  <c r="S508" i="62"/>
  <c r="Q508" i="62"/>
  <c r="K508" i="62"/>
  <c r="W508" i="62"/>
  <c r="AL48" i="4"/>
  <c r="AL49" i="4" l="1"/>
  <c r="AL50" i="4" l="1"/>
  <c r="AL51" i="4" l="1"/>
  <c r="AL52" i="4" l="1"/>
  <c r="AL53" i="4" l="1"/>
  <c r="AL54" i="4" l="1"/>
  <c r="AL171" i="4" l="1"/>
  <c r="AL123" i="4"/>
  <c r="AL109" i="4"/>
  <c r="AL195" i="4"/>
  <c r="AL169" i="4"/>
  <c r="AL174" i="4"/>
  <c r="AL131" i="4"/>
  <c r="AL175" i="4"/>
  <c r="AL101" i="4"/>
  <c r="AL261" i="4"/>
  <c r="B1" i="62" l="1"/>
  <c r="AL154" i="4" l="1"/>
  <c r="AL153" i="4"/>
  <c r="AL152" i="4"/>
  <c r="AL151" i="4"/>
  <c r="AL150" i="4"/>
  <c r="AL149" i="4"/>
  <c r="AL148" i="4"/>
  <c r="AL147" i="4"/>
  <c r="AL146" i="4"/>
  <c r="AL145" i="4"/>
  <c r="AL144" i="4"/>
  <c r="AL143" i="4"/>
  <c r="AL142" i="4"/>
  <c r="AL140" i="4"/>
  <c r="AL139" i="4"/>
  <c r="AL137" i="4"/>
  <c r="AL136" i="4"/>
  <c r="AL135" i="4"/>
  <c r="AL134" i="4"/>
  <c r="AL133" i="4"/>
  <c r="AL132" i="4"/>
  <c r="AL130" i="4"/>
  <c r="AL128" i="4"/>
  <c r="AL127" i="4"/>
  <c r="AL126" i="4"/>
  <c r="AL125" i="4"/>
  <c r="AL124" i="4"/>
  <c r="AL122" i="4"/>
  <c r="AL121" i="4"/>
  <c r="AL119" i="4"/>
  <c r="AL116" i="4"/>
  <c r="AL115" i="4"/>
  <c r="AL268" i="4"/>
  <c r="AL107" i="4"/>
  <c r="AL106" i="4"/>
  <c r="AL104" i="4"/>
  <c r="AL103" i="4"/>
  <c r="AL102" i="4"/>
  <c r="AL100" i="4"/>
  <c r="AL99" i="4"/>
  <c r="AL98" i="4"/>
  <c r="AL97" i="4"/>
  <c r="AL96" i="4"/>
  <c r="AL95" i="4"/>
  <c r="AL84" i="4"/>
  <c r="AL78" i="4"/>
  <c r="AL77" i="4"/>
  <c r="AL73" i="4"/>
  <c r="AJ5" i="4"/>
  <c r="AJ12" i="4"/>
  <c r="AJ9" i="4"/>
  <c r="AJ13" i="4"/>
  <c r="AJ11" i="4"/>
  <c r="AJ6" i="4"/>
  <c r="AJ10" i="4"/>
  <c r="AJ7" i="4"/>
  <c r="AJ14" i="4"/>
  <c r="AJ266" i="4"/>
  <c r="AJ8" i="4"/>
  <c r="AJ286" i="4" l="1"/>
  <c r="AF3" i="4" s="1"/>
  <c r="AL266" i="4" l="1"/>
  <c r="AL9" i="4" l="1"/>
  <c r="AL16" i="4" l="1"/>
  <c r="AL17" i="4" l="1"/>
  <c r="D171" i="67"/>
  <c r="E133" i="67"/>
  <c r="E299" i="67"/>
  <c r="B213" i="67"/>
  <c r="D219" i="67"/>
  <c r="E323" i="67"/>
  <c r="E437" i="67"/>
  <c r="D487" i="67"/>
  <c r="B343" i="67"/>
  <c r="B328" i="67"/>
  <c r="E275" i="67"/>
  <c r="D175" i="67"/>
  <c r="C122" i="67"/>
  <c r="D443" i="67"/>
  <c r="E33" i="67"/>
  <c r="C272" i="67"/>
  <c r="D351" i="67"/>
  <c r="C142" i="67"/>
  <c r="D223" i="67"/>
  <c r="D493" i="67"/>
  <c r="B262" i="67"/>
  <c r="C338" i="67"/>
  <c r="D195" i="67"/>
  <c r="E463" i="67"/>
  <c r="B298" i="67"/>
  <c r="C120" i="67"/>
  <c r="C24" i="67"/>
  <c r="I174" i="67"/>
  <c r="B162" i="67"/>
  <c r="B372" i="67"/>
  <c r="B167" i="67"/>
  <c r="B126" i="67"/>
  <c r="C252" i="67"/>
  <c r="B393" i="67"/>
  <c r="B233" i="67"/>
  <c r="E169" i="67"/>
  <c r="E225" i="67"/>
  <c r="E153" i="67"/>
  <c r="E27" i="67"/>
  <c r="B192" i="67"/>
  <c r="B357" i="67"/>
  <c r="E109" i="67"/>
  <c r="B348" i="67"/>
  <c r="B134" i="67"/>
  <c r="C268" i="67"/>
  <c r="D51" i="67"/>
  <c r="B330" i="67"/>
  <c r="B72" i="67"/>
  <c r="B186" i="67"/>
  <c r="D159" i="67"/>
  <c r="B49" i="67"/>
  <c r="E315" i="67"/>
  <c r="E219" i="67"/>
  <c r="D407" i="67"/>
  <c r="L170" i="67"/>
  <c r="E83" i="67"/>
  <c r="C254" i="67"/>
  <c r="D73" i="67"/>
  <c r="B503" i="67"/>
  <c r="B498" i="67"/>
  <c r="E157" i="67"/>
  <c r="D107" i="67"/>
  <c r="D395" i="67"/>
  <c r="C294" i="67"/>
  <c r="C312" i="67"/>
  <c r="E313" i="67"/>
  <c r="D139" i="67"/>
  <c r="B217" i="67"/>
  <c r="I486" i="67"/>
  <c r="B289" i="67"/>
  <c r="C108" i="67"/>
  <c r="E79" i="67"/>
  <c r="B87" i="67"/>
  <c r="B102" i="67"/>
  <c r="D325" i="67"/>
  <c r="C414" i="67"/>
  <c r="E305" i="67"/>
  <c r="B422" i="67"/>
  <c r="B365" i="67"/>
  <c r="B338" i="67"/>
  <c r="C48" i="67"/>
  <c r="D193" i="67"/>
  <c r="D49" i="67"/>
  <c r="B403" i="67"/>
  <c r="B387" i="67"/>
  <c r="L324" i="67"/>
  <c r="B259" i="67"/>
  <c r="M394" i="67"/>
  <c r="N48" i="67"/>
  <c r="E425" i="67"/>
  <c r="C388" i="67"/>
  <c r="E481" i="67"/>
  <c r="C280" i="67"/>
  <c r="E89" i="67"/>
  <c r="B435" i="67"/>
  <c r="E173" i="67"/>
  <c r="C186" i="67"/>
  <c r="N192" i="67"/>
  <c r="B149" i="67"/>
  <c r="D481" i="67"/>
  <c r="E319" i="67"/>
  <c r="B83" i="67"/>
  <c r="E231" i="67"/>
  <c r="D129" i="67"/>
  <c r="B488" i="67"/>
  <c r="D21" i="67"/>
  <c r="B395" i="67"/>
  <c r="B146" i="67"/>
  <c r="B99" i="67"/>
  <c r="B159" i="67"/>
  <c r="D433" i="67"/>
  <c r="B261" i="67"/>
  <c r="D179" i="67"/>
  <c r="B287" i="67"/>
  <c r="B306" i="67"/>
  <c r="I158" i="67"/>
  <c r="B197" i="67"/>
  <c r="E379" i="67"/>
  <c r="C20" i="67"/>
  <c r="C100" i="67"/>
  <c r="B356" i="67"/>
  <c r="C182" i="67"/>
  <c r="D35" i="67"/>
  <c r="B92" i="67"/>
  <c r="E43" i="67"/>
  <c r="B173" i="67"/>
  <c r="D483" i="67"/>
  <c r="M194" i="67"/>
  <c r="B94" i="67"/>
  <c r="E375" i="67"/>
  <c r="B253" i="67"/>
  <c r="C64" i="67"/>
  <c r="B255" i="67"/>
  <c r="E99" i="67"/>
  <c r="D191" i="67"/>
  <c r="B430" i="67"/>
  <c r="B148" i="67"/>
  <c r="D405" i="67"/>
  <c r="K174" i="67"/>
  <c r="B23" i="67"/>
  <c r="E25" i="67"/>
  <c r="E413" i="67"/>
  <c r="E493" i="67"/>
  <c r="M170" i="67"/>
  <c r="D335" i="67"/>
  <c r="C322" i="67"/>
  <c r="C290" i="67"/>
  <c r="B412" i="67"/>
  <c r="E261" i="67"/>
  <c r="M178" i="67"/>
  <c r="O394" i="67"/>
  <c r="M324" i="67"/>
  <c r="J48" i="67"/>
  <c r="D449" i="67"/>
  <c r="B425" i="67"/>
  <c r="B55" i="67"/>
  <c r="B191" i="67"/>
  <c r="B492" i="67"/>
  <c r="E459" i="67"/>
  <c r="I178" i="67"/>
  <c r="E301" i="67"/>
  <c r="B180" i="67"/>
  <c r="E13" i="67"/>
  <c r="B496" i="67"/>
  <c r="B333" i="67"/>
  <c r="C320" i="67"/>
  <c r="C490" i="67"/>
  <c r="B309" i="67"/>
  <c r="D79" i="67"/>
  <c r="D263" i="67"/>
  <c r="E37" i="67"/>
  <c r="B182" i="67"/>
  <c r="B168" i="67"/>
  <c r="B375" i="67"/>
  <c r="B316" i="67"/>
  <c r="C400" i="67"/>
  <c r="B91" i="67"/>
  <c r="D143" i="67"/>
  <c r="N218" i="67"/>
  <c r="B465" i="67"/>
  <c r="B423" i="67"/>
  <c r="C110" i="67"/>
  <c r="C106" i="67"/>
  <c r="B188" i="67"/>
  <c r="D209" i="67"/>
  <c r="E341" i="67"/>
  <c r="B104" i="67"/>
  <c r="O78" i="67"/>
  <c r="K78" i="67"/>
  <c r="E77" i="67"/>
  <c r="C410" i="67"/>
  <c r="B416" i="67"/>
  <c r="C230" i="67"/>
  <c r="E465" i="67"/>
  <c r="O482" i="67"/>
  <c r="D273" i="67"/>
  <c r="E269" i="67"/>
  <c r="E491" i="67"/>
  <c r="E129" i="67"/>
  <c r="K272" i="67"/>
  <c r="E451" i="67"/>
  <c r="C366" i="67"/>
  <c r="J170" i="67"/>
  <c r="M482" i="67"/>
  <c r="D17" i="67"/>
  <c r="D63" i="67"/>
  <c r="I404" i="67"/>
  <c r="J178" i="67"/>
  <c r="O324" i="67"/>
  <c r="I272" i="67"/>
  <c r="M48" i="67"/>
  <c r="N16" i="67"/>
  <c r="B500" i="67"/>
  <c r="B50" i="67"/>
  <c r="B361" i="67"/>
  <c r="C480" i="67"/>
  <c r="B105" i="67"/>
  <c r="E23" i="67"/>
  <c r="N486" i="67"/>
  <c r="B137" i="67"/>
  <c r="C10" i="67"/>
  <c r="C136" i="67"/>
  <c r="C262" i="67"/>
  <c r="B239" i="67"/>
  <c r="B362" i="67"/>
  <c r="C416" i="67"/>
  <c r="M158" i="67"/>
  <c r="D45" i="67"/>
  <c r="E101" i="67"/>
  <c r="E221" i="67"/>
  <c r="B269" i="67"/>
  <c r="D165" i="67"/>
  <c r="C148" i="67"/>
  <c r="C484" i="67"/>
  <c r="B491" i="67"/>
  <c r="D257" i="67"/>
  <c r="E191" i="67"/>
  <c r="D477" i="67"/>
  <c r="D169" i="67"/>
  <c r="C236" i="67"/>
  <c r="D77" i="67"/>
  <c r="B236" i="67"/>
  <c r="D467" i="67"/>
  <c r="E475" i="67"/>
  <c r="D289" i="67"/>
  <c r="B265" i="67"/>
  <c r="B96" i="67"/>
  <c r="I164" i="67"/>
  <c r="D485" i="67"/>
  <c r="B364" i="67"/>
  <c r="C454" i="67"/>
  <c r="N78" i="67"/>
  <c r="E279" i="67"/>
  <c r="B376" i="67"/>
  <c r="C340" i="67"/>
  <c r="B208" i="67"/>
  <c r="C368" i="67"/>
  <c r="D429" i="67"/>
  <c r="C144" i="67"/>
  <c r="E397" i="67"/>
  <c r="E55" i="67"/>
  <c r="C26" i="67"/>
  <c r="C248" i="67"/>
  <c r="B360" i="67"/>
  <c r="B183" i="67"/>
  <c r="C346" i="67"/>
  <c r="D125" i="67"/>
  <c r="N170" i="67"/>
  <c r="O256" i="67"/>
  <c r="O178" i="67"/>
  <c r="M466" i="67"/>
  <c r="I324" i="67"/>
  <c r="N272" i="67"/>
  <c r="O48" i="67"/>
  <c r="M16" i="67"/>
  <c r="L48" i="67"/>
  <c r="L16" i="67"/>
  <c r="D339" i="67"/>
  <c r="D377" i="67"/>
  <c r="E339" i="67"/>
  <c r="C206" i="67"/>
  <c r="C424" i="67"/>
  <c r="C432" i="67"/>
  <c r="B327" i="67"/>
  <c r="I168" i="67"/>
  <c r="N428" i="67"/>
  <c r="O16" i="67"/>
  <c r="E257" i="67"/>
  <c r="J16" i="67"/>
  <c r="D345" i="67"/>
  <c r="B95" i="67"/>
  <c r="C196" i="67"/>
  <c r="D295" i="67"/>
  <c r="C286" i="67"/>
  <c r="E329" i="67"/>
  <c r="B138" i="67"/>
  <c r="M262" i="67"/>
  <c r="B415" i="67"/>
  <c r="D489" i="67"/>
  <c r="B210" i="67"/>
  <c r="E29" i="67"/>
  <c r="E435" i="67"/>
  <c r="B28" i="67"/>
  <c r="E67" i="67"/>
  <c r="D387" i="67"/>
  <c r="C364" i="67"/>
  <c r="E253" i="67"/>
  <c r="B317" i="67"/>
  <c r="B184" i="67"/>
  <c r="D461" i="67"/>
  <c r="C146" i="67"/>
  <c r="B45" i="67"/>
  <c r="D403" i="67"/>
  <c r="N288" i="67"/>
  <c r="B145" i="67"/>
  <c r="B196" i="67"/>
  <c r="K448" i="67"/>
  <c r="I142" i="67"/>
  <c r="I222" i="67"/>
  <c r="B279" i="67"/>
  <c r="D89" i="67"/>
  <c r="D507" i="67"/>
  <c r="C46" i="67"/>
  <c r="B116" i="67"/>
  <c r="E125" i="67"/>
  <c r="C498" i="67"/>
  <c r="B47" i="67"/>
  <c r="B136" i="67"/>
  <c r="D211" i="67"/>
  <c r="B283" i="67"/>
  <c r="C384" i="67"/>
  <c r="B30" i="67"/>
  <c r="D355" i="67"/>
  <c r="E105" i="67"/>
  <c r="D135" i="67"/>
  <c r="L256" i="67"/>
  <c r="J406" i="67"/>
  <c r="L194" i="67"/>
  <c r="K222" i="67"/>
  <c r="L178" i="67"/>
  <c r="J466" i="67"/>
  <c r="K324" i="67"/>
  <c r="I428" i="67"/>
  <c r="O272" i="67"/>
  <c r="B411" i="67"/>
  <c r="B291" i="67"/>
  <c r="C194" i="67"/>
  <c r="E197" i="67"/>
  <c r="B193" i="67"/>
  <c r="K106" i="67"/>
  <c r="E161" i="67"/>
  <c r="B278" i="67"/>
  <c r="N506" i="67"/>
  <c r="O460" i="67"/>
  <c r="I48" i="67"/>
  <c r="B476" i="67"/>
  <c r="C370" i="67"/>
  <c r="C332" i="67"/>
  <c r="E21" i="67"/>
  <c r="B15" i="67"/>
  <c r="B444" i="67"/>
  <c r="C174" i="67"/>
  <c r="D459" i="67"/>
  <c r="E489" i="67"/>
  <c r="B272" i="67"/>
  <c r="E139" i="67"/>
  <c r="C202" i="67"/>
  <c r="C328" i="67"/>
  <c r="B347" i="67"/>
  <c r="D391" i="67"/>
  <c r="B205" i="67"/>
  <c r="E353" i="67"/>
  <c r="B26" i="67"/>
  <c r="B400" i="67"/>
  <c r="C52" i="67"/>
  <c r="B135" i="67"/>
  <c r="B313" i="67"/>
  <c r="E461" i="67"/>
  <c r="J488" i="67"/>
  <c r="C482" i="67"/>
  <c r="B470" i="67"/>
  <c r="E355" i="67"/>
  <c r="M222" i="67"/>
  <c r="B36" i="67"/>
  <c r="B434" i="67"/>
  <c r="B472" i="67"/>
  <c r="O170" i="67"/>
  <c r="E485" i="67"/>
  <c r="D327" i="67"/>
  <c r="N106" i="67"/>
  <c r="E73" i="67"/>
  <c r="C496" i="67"/>
  <c r="K138" i="67"/>
  <c r="E381" i="67"/>
  <c r="D197" i="67"/>
  <c r="B402" i="67"/>
  <c r="B398" i="67"/>
  <c r="D465" i="67"/>
  <c r="B242" i="67"/>
  <c r="E499" i="67"/>
  <c r="C102" i="67"/>
  <c r="O164" i="67"/>
  <c r="J460" i="67"/>
  <c r="C164" i="67"/>
  <c r="B109" i="67"/>
  <c r="C30" i="67"/>
  <c r="B77" i="67"/>
  <c r="C218" i="67"/>
  <c r="C168" i="67"/>
  <c r="D409" i="67"/>
  <c r="C114" i="67"/>
  <c r="K158" i="67"/>
  <c r="B463" i="67"/>
  <c r="E383" i="67"/>
  <c r="B433" i="67"/>
  <c r="D213" i="67"/>
  <c r="B314" i="67"/>
  <c r="B462" i="67"/>
  <c r="B131" i="67"/>
  <c r="B349" i="67"/>
  <c r="N142" i="67"/>
  <c r="E49" i="67"/>
  <c r="O386" i="67"/>
  <c r="E165" i="67"/>
  <c r="L76" i="67"/>
  <c r="C356" i="67"/>
  <c r="J128" i="67"/>
  <c r="B225" i="67"/>
  <c r="B296" i="67"/>
  <c r="D229" i="67"/>
  <c r="D55" i="67"/>
  <c r="D145" i="67"/>
  <c r="B396" i="67"/>
  <c r="C188" i="67"/>
  <c r="B202" i="67"/>
  <c r="M128" i="67"/>
  <c r="E97" i="67"/>
  <c r="N406" i="67"/>
  <c r="B352" i="67"/>
  <c r="O72" i="67"/>
  <c r="D247" i="67"/>
  <c r="B445" i="67"/>
  <c r="E57" i="67"/>
  <c r="C324" i="67"/>
  <c r="B56" i="67"/>
  <c r="E117" i="67"/>
  <c r="C284" i="67"/>
  <c r="E93" i="67"/>
  <c r="C78" i="67"/>
  <c r="C300" i="67"/>
  <c r="E75" i="67"/>
  <c r="B85" i="67"/>
  <c r="B20" i="67"/>
  <c r="D363" i="67"/>
  <c r="C354" i="67"/>
  <c r="C238" i="67"/>
  <c r="D115" i="67"/>
  <c r="B456" i="67"/>
  <c r="D31" i="67"/>
  <c r="J262" i="67"/>
  <c r="E47" i="67"/>
  <c r="D349" i="67"/>
  <c r="B437" i="67"/>
  <c r="B41" i="67"/>
  <c r="E223" i="67"/>
  <c r="B483" i="67"/>
  <c r="E141" i="67"/>
  <c r="C104" i="67"/>
  <c r="C462" i="67"/>
  <c r="B112" i="67"/>
  <c r="D99" i="67"/>
  <c r="B156" i="67"/>
  <c r="B499" i="67"/>
  <c r="C208" i="67"/>
  <c r="O98" i="67"/>
  <c r="B128" i="67"/>
  <c r="J20" i="67"/>
  <c r="K460" i="67"/>
  <c r="K428" i="67"/>
  <c r="K196" i="67"/>
  <c r="I354" i="67"/>
  <c r="I16" i="67"/>
  <c r="E303" i="67"/>
  <c r="E143" i="67"/>
  <c r="D253" i="67"/>
  <c r="B363" i="67"/>
  <c r="D27" i="67"/>
  <c r="C56" i="67"/>
  <c r="E39" i="67"/>
  <c r="B501" i="67"/>
  <c r="B421" i="67"/>
  <c r="E505" i="67"/>
  <c r="E199" i="67"/>
  <c r="C58" i="67"/>
  <c r="C408" i="67"/>
  <c r="B22" i="67"/>
  <c r="B122" i="67"/>
  <c r="B319" i="67"/>
  <c r="B312" i="67"/>
  <c r="B204" i="67"/>
  <c r="C422" i="67"/>
  <c r="B429" i="67"/>
  <c r="B38" i="67"/>
  <c r="I394" i="67"/>
  <c r="D331" i="67"/>
  <c r="B440" i="67"/>
  <c r="B100" i="67"/>
  <c r="I350" i="67"/>
  <c r="C198" i="67"/>
  <c r="C442" i="67"/>
  <c r="B299" i="67"/>
  <c r="D421" i="67"/>
  <c r="B373" i="67"/>
  <c r="B114" i="67"/>
  <c r="C234" i="67"/>
  <c r="K228" i="67"/>
  <c r="C374" i="67"/>
  <c r="B489" i="67"/>
  <c r="E291" i="67"/>
  <c r="B227" i="67"/>
  <c r="E407" i="67"/>
  <c r="I432" i="67"/>
  <c r="B329" i="67"/>
  <c r="C438" i="67"/>
  <c r="B300" i="67"/>
  <c r="C226" i="67"/>
  <c r="B249" i="67"/>
  <c r="B420" i="67"/>
  <c r="E135" i="67"/>
  <c r="O138" i="67"/>
  <c r="E453" i="67"/>
  <c r="C256" i="67"/>
  <c r="B35" i="67"/>
  <c r="D313" i="67"/>
  <c r="E439" i="67"/>
  <c r="O228" i="67"/>
  <c r="C270" i="67"/>
  <c r="J158" i="67"/>
  <c r="E41" i="67"/>
  <c r="E419" i="67"/>
  <c r="B174" i="67"/>
  <c r="E235" i="67"/>
  <c r="D15" i="67"/>
  <c r="B392" i="67"/>
  <c r="E445" i="67"/>
  <c r="B243" i="67"/>
  <c r="C358" i="67"/>
  <c r="B268" i="67"/>
  <c r="C486" i="67"/>
  <c r="O20" i="67"/>
  <c r="D365" i="67"/>
  <c r="D451" i="67"/>
  <c r="J386" i="67"/>
  <c r="N222" i="67"/>
  <c r="E193" i="67"/>
  <c r="D503" i="67"/>
  <c r="C180" i="67"/>
  <c r="E259" i="67"/>
  <c r="D495" i="67"/>
  <c r="D397" i="67"/>
  <c r="B439" i="67"/>
  <c r="E123" i="67"/>
  <c r="B157" i="67"/>
  <c r="C282" i="67"/>
  <c r="E95" i="67"/>
  <c r="D499" i="67"/>
  <c r="E387" i="67"/>
  <c r="C470" i="67"/>
  <c r="K88" i="67"/>
  <c r="D187" i="67"/>
  <c r="E359" i="67"/>
  <c r="C68" i="67"/>
  <c r="B247" i="67"/>
  <c r="C82" i="67"/>
  <c r="B209" i="67"/>
  <c r="B19" i="67"/>
  <c r="B264" i="67"/>
  <c r="C352" i="67"/>
  <c r="B273" i="67"/>
  <c r="C28" i="67"/>
  <c r="B221" i="67"/>
  <c r="B457" i="67"/>
  <c r="E255" i="67"/>
  <c r="D431" i="67"/>
  <c r="E457" i="67"/>
  <c r="C460" i="67"/>
  <c r="C158" i="67"/>
  <c r="E281" i="67"/>
  <c r="E189" i="67"/>
  <c r="K458" i="67"/>
  <c r="J218" i="67"/>
  <c r="C38" i="67"/>
  <c r="E431" i="67"/>
  <c r="D261" i="67"/>
  <c r="C134" i="67"/>
  <c r="B234" i="67"/>
  <c r="B251" i="67"/>
  <c r="C34" i="67"/>
  <c r="D323" i="67"/>
  <c r="C398" i="67"/>
  <c r="N390" i="67"/>
  <c r="C330" i="67"/>
  <c r="D453" i="67"/>
  <c r="O364" i="67"/>
  <c r="E11" i="67"/>
  <c r="M142" i="67"/>
  <c r="I344" i="67"/>
  <c r="B46" i="67"/>
  <c r="C22" i="67"/>
  <c r="D271" i="67"/>
  <c r="B318" i="67"/>
  <c r="K190" i="67"/>
  <c r="E177" i="67"/>
  <c r="E285" i="67"/>
  <c r="C70" i="67"/>
  <c r="D151" i="67"/>
  <c r="K218" i="67"/>
  <c r="C476" i="67"/>
  <c r="B33" i="67"/>
  <c r="C210" i="67"/>
  <c r="C430" i="67"/>
  <c r="C344" i="67"/>
  <c r="E325" i="67"/>
  <c r="C386" i="67"/>
  <c r="B129" i="67"/>
  <c r="B241" i="67"/>
  <c r="O44" i="67"/>
  <c r="D347" i="67"/>
  <c r="E147" i="67"/>
  <c r="B228" i="67"/>
  <c r="E205" i="67"/>
  <c r="E137" i="67"/>
  <c r="O262" i="67"/>
  <c r="B388" i="67"/>
  <c r="D425" i="67"/>
  <c r="J476" i="67"/>
  <c r="E233" i="67"/>
  <c r="D61" i="67"/>
  <c r="B178" i="67"/>
  <c r="E113" i="67"/>
  <c r="B108" i="67"/>
  <c r="C166" i="67"/>
  <c r="E151" i="67"/>
  <c r="B369" i="67"/>
  <c r="B410" i="67"/>
  <c r="D411" i="67"/>
  <c r="B78" i="67"/>
  <c r="D385" i="67"/>
  <c r="O60" i="67"/>
  <c r="D301" i="67"/>
  <c r="I484" i="67"/>
  <c r="E107" i="67"/>
  <c r="I88" i="67"/>
  <c r="E309" i="67"/>
  <c r="K424" i="67"/>
  <c r="K386" i="67"/>
  <c r="B326" i="67"/>
  <c r="B181" i="67"/>
  <c r="B223" i="67"/>
  <c r="B469" i="67"/>
  <c r="B177" i="67"/>
  <c r="D127" i="67"/>
  <c r="E333" i="67"/>
  <c r="O420" i="67"/>
  <c r="K26" i="67"/>
  <c r="B474" i="67"/>
  <c r="I144" i="67"/>
  <c r="D479" i="67"/>
  <c r="B172" i="67"/>
  <c r="E175" i="67"/>
  <c r="C178" i="67"/>
  <c r="D153" i="67"/>
  <c r="B426" i="67"/>
  <c r="B486" i="67"/>
  <c r="E61" i="67"/>
  <c r="J430" i="67"/>
  <c r="B58" i="67"/>
  <c r="C54" i="67"/>
  <c r="C342" i="67"/>
  <c r="N44" i="67"/>
  <c r="B452" i="67"/>
  <c r="D235" i="67"/>
  <c r="C14" i="67"/>
  <c r="B436" i="67"/>
  <c r="C204" i="67"/>
  <c r="C16" i="67"/>
  <c r="B16" i="67"/>
  <c r="K128" i="67"/>
  <c r="C152" i="67"/>
  <c r="B345" i="67"/>
  <c r="N60" i="67"/>
  <c r="B378" i="67"/>
  <c r="N394" i="67"/>
  <c r="M34" i="67"/>
  <c r="B230" i="67"/>
  <c r="L262" i="67"/>
  <c r="C392" i="67"/>
  <c r="J312" i="67"/>
  <c r="D501" i="67"/>
  <c r="M390" i="67"/>
  <c r="B111" i="67"/>
  <c r="N126" i="67"/>
  <c r="B119" i="67"/>
  <c r="B212" i="67"/>
  <c r="O246" i="67"/>
  <c r="E501" i="67"/>
  <c r="C36" i="67"/>
  <c r="E15" i="67"/>
  <c r="C112" i="67"/>
  <c r="J168" i="67"/>
  <c r="K62" i="67"/>
  <c r="L476" i="67"/>
  <c r="J346" i="67"/>
  <c r="M256" i="67"/>
  <c r="M76" i="67"/>
  <c r="J450" i="67"/>
  <c r="N194" i="67"/>
  <c r="K300" i="67"/>
  <c r="O506" i="67"/>
  <c r="K186" i="67"/>
  <c r="L150" i="67"/>
  <c r="J506" i="67"/>
  <c r="B455" i="67"/>
  <c r="C418" i="67"/>
  <c r="D39" i="67"/>
  <c r="D255" i="67"/>
  <c r="B382" i="67"/>
  <c r="E283" i="67"/>
  <c r="L254" i="67"/>
  <c r="C406" i="67"/>
  <c r="B222" i="67"/>
  <c r="D305" i="67"/>
  <c r="J420" i="67"/>
  <c r="C396" i="67"/>
  <c r="E477" i="67"/>
  <c r="B339" i="67"/>
  <c r="M14" i="67"/>
  <c r="B124" i="67"/>
  <c r="B308" i="67"/>
  <c r="L218" i="67"/>
  <c r="B11" i="67"/>
  <c r="M458" i="67"/>
  <c r="B389" i="67"/>
  <c r="E17" i="67"/>
  <c r="D177" i="67"/>
  <c r="D471" i="67"/>
  <c r="C456" i="67"/>
  <c r="J72" i="67"/>
  <c r="C264" i="67"/>
  <c r="B203" i="67"/>
  <c r="B260" i="67"/>
  <c r="C228" i="67"/>
  <c r="L466" i="67"/>
  <c r="N384" i="67"/>
  <c r="M346" i="67"/>
  <c r="B263" i="67"/>
  <c r="C86" i="67"/>
  <c r="B169" i="67"/>
  <c r="D469" i="67"/>
  <c r="D181" i="67"/>
  <c r="B504" i="67"/>
  <c r="E171" i="67"/>
  <c r="B115" i="67"/>
  <c r="E297" i="67"/>
  <c r="D225" i="67"/>
  <c r="C140" i="67"/>
  <c r="K364" i="67"/>
  <c r="O384" i="67"/>
  <c r="D117" i="67"/>
  <c r="B409" i="67"/>
  <c r="M488" i="67"/>
  <c r="B231" i="67"/>
  <c r="B179" i="67"/>
  <c r="K394" i="67"/>
  <c r="M224" i="67"/>
  <c r="L228" i="67"/>
  <c r="N346" i="67"/>
  <c r="K256" i="67"/>
  <c r="N76" i="67"/>
  <c r="J194" i="67"/>
  <c r="N300" i="67"/>
  <c r="B154" i="67"/>
  <c r="L126" i="67"/>
  <c r="B341" i="67"/>
  <c r="B391" i="67"/>
  <c r="B97" i="67"/>
  <c r="L38" i="67"/>
  <c r="C244" i="67"/>
  <c r="B414" i="67"/>
  <c r="O218" i="67"/>
  <c r="E81" i="67"/>
  <c r="D37" i="67"/>
  <c r="D43" i="67"/>
  <c r="I376" i="67"/>
  <c r="B244" i="67"/>
  <c r="C274" i="67"/>
  <c r="N432" i="67"/>
  <c r="B282" i="67"/>
  <c r="K430" i="67"/>
  <c r="B190" i="67"/>
  <c r="O442" i="67"/>
  <c r="E293" i="67"/>
  <c r="C42" i="67"/>
  <c r="D215" i="67"/>
  <c r="E399" i="67"/>
  <c r="M152" i="67"/>
  <c r="E441" i="67"/>
  <c r="B14" i="67"/>
  <c r="B302" i="67"/>
  <c r="C12" i="67"/>
  <c r="O478" i="67"/>
  <c r="C130" i="67"/>
  <c r="O376" i="67"/>
  <c r="M260" i="67"/>
  <c r="D427" i="67"/>
  <c r="M106" i="67"/>
  <c r="E179" i="67"/>
  <c r="D279" i="67"/>
  <c r="B48" i="67"/>
  <c r="K234" i="67"/>
  <c r="E19" i="67"/>
  <c r="J260" i="67"/>
  <c r="D101" i="67"/>
  <c r="I304" i="67"/>
  <c r="B380" i="67"/>
  <c r="O30" i="67"/>
  <c r="D243" i="67"/>
  <c r="J502" i="67"/>
  <c r="O222" i="67"/>
  <c r="B479" i="67"/>
  <c r="L88" i="67"/>
  <c r="B150" i="67"/>
  <c r="N190" i="67"/>
  <c r="J270" i="67"/>
  <c r="I170" i="67"/>
  <c r="K262" i="67"/>
  <c r="J256" i="67"/>
  <c r="N344" i="67"/>
  <c r="M402" i="67"/>
  <c r="K506" i="67"/>
  <c r="N50" i="67"/>
  <c r="M150" i="67"/>
  <c r="I334" i="67"/>
  <c r="I116" i="67"/>
  <c r="M124" i="67"/>
  <c r="I288" i="67"/>
  <c r="K180" i="67"/>
  <c r="N116" i="67"/>
  <c r="E495" i="67"/>
  <c r="E447" i="67"/>
  <c r="C98" i="67"/>
  <c r="B307" i="67"/>
  <c r="O194" i="67"/>
  <c r="C84" i="67"/>
  <c r="B252" i="67"/>
  <c r="N208" i="67"/>
  <c r="C216" i="67"/>
  <c r="B32" i="67"/>
  <c r="E427" i="67"/>
  <c r="C220" i="67"/>
  <c r="D357" i="67"/>
  <c r="B366" i="67"/>
  <c r="D91" i="67"/>
  <c r="E239" i="67"/>
  <c r="D415" i="67"/>
  <c r="B297" i="67"/>
  <c r="B315" i="67"/>
  <c r="B237" i="67"/>
  <c r="B158" i="67"/>
  <c r="C310" i="67"/>
  <c r="C504" i="67"/>
  <c r="D205" i="67"/>
  <c r="B355" i="67"/>
  <c r="D199" i="67"/>
  <c r="B110" i="67"/>
  <c r="B448" i="67"/>
  <c r="M252" i="67"/>
  <c r="E243" i="67"/>
  <c r="I442" i="67"/>
  <c r="B206" i="67"/>
  <c r="E367" i="67"/>
  <c r="E337" i="67"/>
  <c r="I476" i="67"/>
  <c r="K214" i="67"/>
  <c r="B82" i="67"/>
  <c r="E159" i="67"/>
  <c r="C380" i="67"/>
  <c r="B164" i="67"/>
  <c r="B266" i="67"/>
  <c r="K254" i="67"/>
  <c r="B383" i="67"/>
  <c r="J338" i="67"/>
  <c r="B441" i="67"/>
  <c r="L376" i="67"/>
  <c r="N482" i="67"/>
  <c r="D337" i="67"/>
  <c r="B346" i="67"/>
  <c r="M386" i="67"/>
  <c r="C402" i="67"/>
  <c r="D11" i="67"/>
  <c r="K480" i="67"/>
  <c r="E361" i="67"/>
  <c r="I460" i="67"/>
  <c r="E363" i="67"/>
  <c r="L486" i="67"/>
  <c r="N470" i="67"/>
  <c r="B216" i="67"/>
  <c r="O126" i="67"/>
  <c r="E203" i="67"/>
  <c r="B229" i="67"/>
  <c r="D259" i="67"/>
  <c r="K338" i="67"/>
  <c r="J100" i="67"/>
  <c r="O494" i="67"/>
  <c r="B459" i="67"/>
  <c r="M54" i="67"/>
  <c r="J42" i="67"/>
  <c r="J344" i="67"/>
  <c r="L402" i="67"/>
  <c r="I362" i="67"/>
  <c r="L50" i="67"/>
  <c r="J10" i="67"/>
  <c r="J150" i="67"/>
  <c r="K334" i="67"/>
  <c r="I208" i="67"/>
  <c r="C448" i="67"/>
  <c r="C440" i="67"/>
  <c r="E479" i="67"/>
  <c r="K150" i="67"/>
  <c r="K404" i="67"/>
  <c r="B477" i="67"/>
  <c r="C184" i="67"/>
  <c r="E227" i="67"/>
  <c r="B238" i="67"/>
  <c r="B151" i="67"/>
  <c r="M20" i="67"/>
  <c r="E145" i="67"/>
  <c r="C314" i="67"/>
  <c r="B374" i="67"/>
  <c r="E277" i="67"/>
  <c r="B189" i="67"/>
  <c r="B89" i="67"/>
  <c r="B187" i="67"/>
  <c r="E167" i="67"/>
  <c r="M218" i="67"/>
  <c r="B494" i="67"/>
  <c r="C378" i="67"/>
  <c r="B170" i="67"/>
  <c r="C40" i="67"/>
  <c r="C18" i="67"/>
  <c r="I458" i="67"/>
  <c r="I72" i="67"/>
  <c r="M486" i="67"/>
  <c r="E85" i="67"/>
  <c r="C298" i="67"/>
  <c r="B473" i="67"/>
  <c r="B39" i="67"/>
  <c r="D67" i="67"/>
  <c r="O26" i="67"/>
  <c r="B245" i="67"/>
  <c r="I488" i="67"/>
  <c r="K304" i="67"/>
  <c r="N364" i="67"/>
  <c r="C488" i="67"/>
  <c r="B368" i="67"/>
  <c r="M72" i="67"/>
  <c r="M78" i="67"/>
  <c r="D379" i="67"/>
  <c r="C160" i="67"/>
  <c r="I312" i="67"/>
  <c r="B194" i="67"/>
  <c r="E347" i="67"/>
  <c r="K322" i="67"/>
  <c r="D81" i="67"/>
  <c r="C292" i="67"/>
  <c r="K60" i="67"/>
  <c r="B107" i="67"/>
  <c r="B219" i="67"/>
  <c r="B220" i="67"/>
  <c r="K414" i="67"/>
  <c r="B350" i="67"/>
  <c r="B384" i="67"/>
  <c r="M354" i="67"/>
  <c r="B280" i="67"/>
  <c r="B502" i="67"/>
  <c r="O502" i="67"/>
  <c r="K252" i="67"/>
  <c r="O168" i="67"/>
  <c r="N450" i="67"/>
  <c r="O402" i="67"/>
  <c r="L26" i="67"/>
  <c r="O42" i="67"/>
  <c r="M344" i="67"/>
  <c r="I492" i="67"/>
  <c r="M362" i="67"/>
  <c r="M378" i="67"/>
  <c r="M50" i="67"/>
  <c r="L10" i="67"/>
  <c r="I80" i="67"/>
  <c r="I150" i="67"/>
  <c r="J116" i="67"/>
  <c r="M334" i="67"/>
  <c r="I124" i="67"/>
  <c r="K426" i="67"/>
  <c r="J50" i="67"/>
  <c r="O150" i="67"/>
  <c r="L334" i="67"/>
  <c r="O124" i="67"/>
  <c r="K124" i="67"/>
  <c r="J124" i="67"/>
  <c r="J458" i="67"/>
  <c r="J426" i="67"/>
  <c r="B8" i="67"/>
  <c r="C390" i="67"/>
  <c r="B141" i="67"/>
  <c r="J384" i="67"/>
  <c r="L106" i="67"/>
  <c r="L72" i="67"/>
  <c r="E187" i="67"/>
  <c r="E421" i="67"/>
  <c r="E345" i="67"/>
  <c r="B65" i="67"/>
  <c r="B224" i="67"/>
  <c r="C266" i="67"/>
  <c r="E273" i="67"/>
  <c r="B13" i="67"/>
  <c r="B303" i="67"/>
  <c r="N20" i="67"/>
  <c r="O304" i="67"/>
  <c r="C214" i="67"/>
  <c r="B331" i="67"/>
  <c r="B53" i="67"/>
  <c r="D303" i="67"/>
  <c r="B67" i="67"/>
  <c r="B195" i="67"/>
  <c r="D419" i="67"/>
  <c r="C200" i="67"/>
  <c r="L458" i="67"/>
  <c r="C394" i="67"/>
  <c r="J44" i="67"/>
  <c r="K44" i="67"/>
  <c r="B120" i="67"/>
  <c r="D23" i="67"/>
  <c r="I26" i="67"/>
  <c r="E185" i="67"/>
  <c r="B354" i="67"/>
  <c r="D373" i="67"/>
  <c r="E71" i="67"/>
  <c r="C94" i="67"/>
  <c r="E211" i="67"/>
  <c r="C376" i="67"/>
  <c r="D131" i="67"/>
  <c r="I60" i="67"/>
  <c r="B468" i="67"/>
  <c r="M330" i="67"/>
  <c r="B292" i="67"/>
  <c r="B407" i="67"/>
  <c r="B371" i="67"/>
  <c r="K90" i="67"/>
  <c r="B161" i="67"/>
  <c r="M44" i="67"/>
  <c r="B25" i="67"/>
  <c r="L426" i="67"/>
  <c r="B340" i="67"/>
  <c r="B4" i="57"/>
  <c r="C192" i="67"/>
  <c r="L142" i="67"/>
  <c r="I502" i="67"/>
  <c r="K470" i="67"/>
  <c r="E351" i="67"/>
  <c r="B88" i="67"/>
  <c r="J14" i="67"/>
  <c r="C172" i="67"/>
  <c r="B76" i="67"/>
  <c r="O34" i="67"/>
  <c r="N224" i="67"/>
  <c r="L350" i="67"/>
  <c r="J492" i="67"/>
  <c r="M208" i="67"/>
  <c r="N130" i="67"/>
  <c r="L378" i="67"/>
  <c r="O10" i="67"/>
  <c r="L80" i="67"/>
  <c r="O116" i="67"/>
  <c r="K116" i="67"/>
  <c r="M442" i="67"/>
  <c r="L124" i="67"/>
  <c r="B60" i="67"/>
  <c r="I212" i="67"/>
  <c r="E405" i="67"/>
  <c r="D361" i="67"/>
  <c r="K478" i="67"/>
  <c r="K390" i="67"/>
  <c r="L114" i="67"/>
  <c r="I302" i="67"/>
  <c r="K194" i="67"/>
  <c r="N484" i="67"/>
  <c r="C464" i="67"/>
  <c r="B27" i="67"/>
  <c r="E335" i="67"/>
  <c r="C420" i="67"/>
  <c r="I128" i="67"/>
  <c r="B323" i="67"/>
  <c r="B342" i="67"/>
  <c r="E395" i="67"/>
  <c r="C288" i="67"/>
  <c r="E63" i="67"/>
  <c r="B490" i="67"/>
  <c r="B176" i="67"/>
  <c r="C96" i="67"/>
  <c r="O390" i="67"/>
  <c r="C242" i="67"/>
  <c r="B31" i="67"/>
  <c r="M376" i="67"/>
  <c r="E241" i="67"/>
  <c r="B322" i="67"/>
  <c r="L442" i="67"/>
  <c r="D87" i="67"/>
  <c r="J164" i="67"/>
  <c r="D353" i="67"/>
  <c r="N164" i="67"/>
  <c r="E469" i="67"/>
  <c r="D399" i="67"/>
  <c r="C72" i="67"/>
  <c r="B123" i="67"/>
  <c r="E365" i="67"/>
  <c r="C276" i="67"/>
  <c r="K402" i="67"/>
  <c r="B70" i="67"/>
  <c r="D161" i="67"/>
  <c r="E409" i="67"/>
  <c r="C468" i="67"/>
  <c r="B413" i="67"/>
  <c r="E217" i="67"/>
  <c r="N356" i="67"/>
  <c r="D109" i="67"/>
  <c r="O174" i="67"/>
  <c r="D505" i="67"/>
  <c r="B215" i="67"/>
  <c r="J30" i="67"/>
  <c r="B377" i="67"/>
  <c r="B118" i="67"/>
  <c r="I356" i="67"/>
  <c r="B142" i="67"/>
  <c r="C334" i="67"/>
  <c r="N402" i="67"/>
  <c r="B404" i="67"/>
  <c r="C258" i="67"/>
  <c r="B321" i="67"/>
  <c r="E35" i="67"/>
  <c r="L450" i="67"/>
  <c r="B250" i="67"/>
  <c r="E391" i="67"/>
  <c r="M242" i="67"/>
  <c r="E401" i="67"/>
  <c r="I300" i="67"/>
  <c r="C80" i="67"/>
  <c r="D333" i="67"/>
  <c r="J90" i="67"/>
  <c r="O350" i="67"/>
  <c r="K492" i="67"/>
  <c r="L288" i="67"/>
  <c r="O360" i="67"/>
  <c r="L208" i="67"/>
  <c r="M130" i="67"/>
  <c r="N426" i="67"/>
  <c r="O378" i="67"/>
  <c r="I50" i="67"/>
  <c r="N10" i="67"/>
  <c r="B9" i="67"/>
  <c r="M116" i="67"/>
  <c r="J334" i="67"/>
  <c r="O430" i="67"/>
  <c r="N404" i="67"/>
  <c r="N334" i="67"/>
  <c r="D123" i="67"/>
  <c r="B68" i="67"/>
  <c r="D149" i="67"/>
  <c r="D203" i="67"/>
  <c r="L190" i="67"/>
  <c r="B397" i="67"/>
  <c r="O180" i="67"/>
  <c r="N134" i="67"/>
  <c r="C348" i="67"/>
  <c r="O204" i="67"/>
  <c r="E271" i="67"/>
  <c r="E245" i="67"/>
  <c r="D265" i="67"/>
  <c r="E311" i="67"/>
  <c r="B320" i="67"/>
  <c r="C466" i="67"/>
  <c r="O90" i="67"/>
  <c r="D183" i="67"/>
  <c r="B464" i="67"/>
  <c r="C304" i="67"/>
  <c r="M38" i="67"/>
  <c r="C128" i="67"/>
  <c r="D277" i="67"/>
  <c r="I20" i="67"/>
  <c r="B246" i="67"/>
  <c r="B451" i="67"/>
  <c r="L144" i="67"/>
  <c r="B185" i="67"/>
  <c r="I252" i="67"/>
  <c r="B285" i="67"/>
  <c r="B493" i="67"/>
  <c r="O488" i="67"/>
  <c r="E163" i="67"/>
  <c r="E317" i="67"/>
  <c r="O260" i="67"/>
  <c r="D111" i="67"/>
  <c r="M294" i="67"/>
  <c r="C124" i="67"/>
  <c r="D367" i="67"/>
  <c r="B66" i="67"/>
  <c r="M144" i="67"/>
  <c r="B438" i="67"/>
  <c r="N264" i="67"/>
  <c r="K302" i="67"/>
  <c r="E229" i="67"/>
  <c r="B335" i="67"/>
  <c r="I364" i="67"/>
  <c r="B394" i="67"/>
  <c r="I234" i="67"/>
  <c r="I176" i="67"/>
  <c r="B147" i="67"/>
  <c r="B495" i="67"/>
  <c r="I482" i="67"/>
  <c r="D69" i="67"/>
  <c r="K36" i="67"/>
  <c r="O176" i="67"/>
  <c r="E121" i="67"/>
  <c r="L452" i="67"/>
  <c r="B93" i="67"/>
  <c r="E471" i="67"/>
  <c r="C190" i="67"/>
  <c r="B290" i="67"/>
  <c r="B52" i="67"/>
  <c r="D133" i="67"/>
  <c r="B390" i="67"/>
  <c r="I190" i="67"/>
  <c r="E321" i="67"/>
  <c r="B277" i="67"/>
  <c r="L130" i="67"/>
  <c r="L36" i="67"/>
  <c r="E289" i="67"/>
  <c r="C246" i="67"/>
  <c r="I218" i="67"/>
  <c r="J486" i="67"/>
  <c r="K442" i="67"/>
  <c r="M350" i="67"/>
  <c r="L492" i="67"/>
  <c r="K288" i="67"/>
  <c r="J360" i="67"/>
  <c r="K208" i="67"/>
  <c r="J130" i="67"/>
  <c r="O426" i="67"/>
  <c r="N378" i="67"/>
  <c r="K50" i="67"/>
  <c r="L404" i="67"/>
  <c r="O334" i="67"/>
  <c r="B310" i="67"/>
  <c r="K20" i="67"/>
  <c r="B428" i="67"/>
  <c r="B21" i="67"/>
  <c r="E415" i="67"/>
  <c r="D343" i="67"/>
  <c r="C88" i="67"/>
  <c r="N34" i="67"/>
  <c r="K504" i="67"/>
  <c r="M62" i="67"/>
  <c r="J254" i="67"/>
  <c r="C32" i="67"/>
  <c r="B40" i="67"/>
  <c r="D369" i="67"/>
  <c r="D141" i="67"/>
  <c r="B12" i="67"/>
  <c r="B121" i="67"/>
  <c r="B275" i="67"/>
  <c r="C138" i="67"/>
  <c r="D71" i="67"/>
  <c r="D25" i="67"/>
  <c r="B334" i="67"/>
  <c r="B446" i="67"/>
  <c r="B57" i="67"/>
  <c r="E295" i="67"/>
  <c r="O276" i="67"/>
  <c r="D447" i="67"/>
  <c r="E155" i="67"/>
  <c r="D299" i="67"/>
  <c r="D29" i="67"/>
  <c r="B44" i="67"/>
  <c r="N72" i="67"/>
  <c r="E371" i="67"/>
  <c r="C412" i="67"/>
  <c r="L20" i="67"/>
  <c r="B485" i="67"/>
  <c r="L264" i="67"/>
  <c r="J294" i="67"/>
  <c r="O1" i="67"/>
  <c r="J394" i="67"/>
  <c r="C506" i="67"/>
  <c r="B406" i="67"/>
  <c r="B332" i="67"/>
  <c r="D33" i="67"/>
  <c r="E483" i="67"/>
  <c r="C478" i="67"/>
  <c r="N446" i="67"/>
  <c r="E393" i="67"/>
  <c r="L24" i="67"/>
  <c r="J110" i="67"/>
  <c r="C372" i="67"/>
  <c r="K110" i="67"/>
  <c r="K482" i="67"/>
  <c r="B418" i="67"/>
  <c r="B447" i="67"/>
  <c r="J78" i="67"/>
  <c r="D341" i="67"/>
  <c r="L202" i="67"/>
  <c r="B71" i="67"/>
  <c r="N338" i="67"/>
  <c r="B166" i="67"/>
  <c r="B270" i="67"/>
  <c r="D241" i="67"/>
  <c r="O486" i="67"/>
  <c r="L174" i="67"/>
  <c r="C474" i="67"/>
  <c r="N302" i="67"/>
  <c r="B325" i="67"/>
  <c r="M30" i="67"/>
  <c r="K68" i="67"/>
  <c r="N376" i="67"/>
  <c r="K72" i="67"/>
  <c r="J442" i="67"/>
  <c r="K350" i="67"/>
  <c r="N492" i="67"/>
  <c r="L322" i="67"/>
  <c r="N480" i="67"/>
  <c r="I132" i="67"/>
  <c r="E103" i="67"/>
  <c r="B359" i="67"/>
  <c r="C318" i="67"/>
  <c r="E183" i="67"/>
  <c r="I390" i="67"/>
  <c r="E149" i="67"/>
  <c r="D221" i="67"/>
  <c r="B467" i="67"/>
  <c r="D95" i="67"/>
  <c r="D455" i="67"/>
  <c r="D167" i="67"/>
  <c r="C74" i="67"/>
  <c r="B117" i="67"/>
  <c r="C302" i="67"/>
  <c r="E265" i="67"/>
  <c r="D105" i="67"/>
  <c r="E487" i="67"/>
  <c r="N54" i="67"/>
  <c r="C500" i="67"/>
  <c r="B64" i="67"/>
  <c r="D83" i="67"/>
  <c r="C308" i="67"/>
  <c r="D413" i="67"/>
  <c r="B449" i="67"/>
  <c r="C444" i="67"/>
  <c r="L338" i="67"/>
  <c r="I424" i="67"/>
  <c r="D283" i="67"/>
  <c r="B18" i="67"/>
  <c r="B379" i="67"/>
  <c r="C156" i="67"/>
  <c r="C260" i="67"/>
  <c r="O406" i="67"/>
  <c r="D93" i="67"/>
  <c r="M470" i="67"/>
  <c r="B337" i="67"/>
  <c r="B419" i="67"/>
  <c r="B226" i="67"/>
  <c r="O302" i="67"/>
  <c r="D311" i="67"/>
  <c r="B152" i="67"/>
  <c r="L90" i="67"/>
  <c r="D207" i="67"/>
  <c r="K82" i="67"/>
  <c r="E497" i="67"/>
  <c r="B155" i="67"/>
  <c r="I470" i="67"/>
  <c r="B274" i="67"/>
  <c r="B286" i="67"/>
  <c r="I468" i="67"/>
  <c r="B471" i="67"/>
  <c r="B17" i="67"/>
  <c r="J362" i="67"/>
  <c r="B351" i="67"/>
  <c r="E503" i="67"/>
  <c r="L362" i="67"/>
  <c r="M204" i="67"/>
  <c r="E449" i="67"/>
  <c r="D47" i="67"/>
  <c r="D97" i="67"/>
  <c r="C60" i="67"/>
  <c r="B143" i="67"/>
  <c r="E467" i="67"/>
  <c r="M80" i="67"/>
  <c r="B475" i="67"/>
  <c r="N228" i="67"/>
  <c r="J246" i="67"/>
  <c r="J452" i="67"/>
  <c r="K344" i="67"/>
  <c r="M182" i="67"/>
  <c r="I202" i="67"/>
  <c r="N144" i="67"/>
  <c r="M430" i="67"/>
  <c r="J376" i="67"/>
  <c r="N442" i="67"/>
  <c r="N350" i="67"/>
  <c r="O492" i="67"/>
  <c r="M288" i="67"/>
  <c r="J322" i="67"/>
  <c r="O208" i="67"/>
  <c r="M480" i="67"/>
  <c r="K342" i="67"/>
  <c r="L504" i="67"/>
  <c r="M180" i="67"/>
  <c r="J404" i="67"/>
  <c r="L46" i="67"/>
  <c r="O132" i="67"/>
  <c r="L116" i="67"/>
  <c r="L62" i="67"/>
  <c r="N124" i="67"/>
  <c r="K134" i="67"/>
  <c r="D245" i="67"/>
  <c r="B443" i="67"/>
  <c r="D497" i="67"/>
  <c r="D359" i="67"/>
  <c r="E455" i="67"/>
  <c r="M26" i="67"/>
  <c r="B324" i="67"/>
  <c r="L502" i="67"/>
  <c r="N408" i="67"/>
  <c r="N322" i="67"/>
  <c r="D319" i="67"/>
  <c r="O158" i="67"/>
  <c r="B103" i="67"/>
  <c r="B385" i="67"/>
  <c r="B79" i="67"/>
  <c r="E327" i="67"/>
  <c r="C492" i="67"/>
  <c r="C154" i="67"/>
  <c r="B417" i="67"/>
  <c r="E31" i="67"/>
  <c r="D75" i="67"/>
  <c r="O94" i="67"/>
  <c r="B458" i="67"/>
  <c r="B386" i="67"/>
  <c r="E369" i="67"/>
  <c r="J38" i="67"/>
  <c r="D441" i="67"/>
  <c r="N182" i="67"/>
  <c r="B125" i="67"/>
  <c r="C62" i="67"/>
  <c r="K376" i="67"/>
  <c r="K76" i="67"/>
  <c r="E215" i="67"/>
  <c r="K312" i="67"/>
  <c r="D137" i="67"/>
  <c r="E307" i="67"/>
  <c r="C76" i="67"/>
  <c r="D233" i="67"/>
  <c r="B211" i="67"/>
  <c r="N244" i="67"/>
  <c r="J60" i="67"/>
  <c r="C126" i="67"/>
  <c r="B480" i="67"/>
  <c r="O346" i="67"/>
  <c r="D381" i="67"/>
  <c r="E267" i="67"/>
  <c r="O352" i="67"/>
  <c r="C278" i="67"/>
  <c r="B336" i="67"/>
  <c r="L302" i="67"/>
  <c r="D423" i="67"/>
  <c r="B506" i="67"/>
  <c r="N176" i="67"/>
  <c r="N330" i="67"/>
  <c r="I454" i="67"/>
  <c r="B132" i="67"/>
  <c r="C118" i="67"/>
  <c r="D285" i="67"/>
  <c r="D121" i="67"/>
  <c r="D119" i="67"/>
  <c r="I262" i="67"/>
  <c r="B257" i="67"/>
  <c r="C452" i="67"/>
  <c r="K464" i="67"/>
  <c r="N98" i="67"/>
  <c r="B130" i="67"/>
  <c r="D457" i="67"/>
  <c r="B505" i="67"/>
  <c r="J148" i="67"/>
  <c r="L394" i="67"/>
  <c r="J144" i="67"/>
  <c r="I430" i="67"/>
  <c r="L390" i="67"/>
  <c r="O142" i="67"/>
  <c r="J350" i="67"/>
  <c r="M492" i="67"/>
  <c r="M322" i="67"/>
  <c r="J208" i="67"/>
  <c r="J480" i="67"/>
  <c r="N504" i="67"/>
  <c r="L180" i="67"/>
  <c r="M404" i="67"/>
  <c r="I120" i="67"/>
  <c r="J46" i="67"/>
  <c r="K96" i="67"/>
  <c r="I62" i="67"/>
  <c r="B281" i="67"/>
  <c r="B62" i="67"/>
  <c r="D53" i="67"/>
  <c r="B75" i="67"/>
  <c r="D297" i="67"/>
  <c r="D275" i="67"/>
  <c r="O82" i="67"/>
  <c r="B381" i="67"/>
  <c r="D401" i="67"/>
  <c r="O458" i="67"/>
  <c r="K142" i="67"/>
  <c r="L120" i="67"/>
  <c r="B288" i="67"/>
  <c r="B401" i="67"/>
  <c r="B353" i="67"/>
  <c r="L480" i="67"/>
  <c r="B171" i="67"/>
  <c r="N312" i="67"/>
  <c r="K486" i="67"/>
  <c r="D59" i="67"/>
  <c r="N430" i="67"/>
  <c r="E53" i="67"/>
  <c r="I406" i="67"/>
  <c r="J356" i="67"/>
  <c r="D269" i="67"/>
  <c r="B80" i="67"/>
  <c r="O166" i="67"/>
  <c r="C50" i="67"/>
  <c r="B481" i="67"/>
  <c r="E207" i="67"/>
  <c r="B29" i="67"/>
  <c r="J54" i="67"/>
  <c r="L368" i="67"/>
  <c r="L54" i="67"/>
  <c r="D237" i="67"/>
  <c r="E209" i="67"/>
  <c r="E119" i="67"/>
  <c r="N158" i="67"/>
  <c r="B63" i="67"/>
  <c r="B42" i="67"/>
  <c r="K298" i="67"/>
  <c r="D491" i="67"/>
  <c r="B284" i="67"/>
  <c r="D281" i="67"/>
  <c r="E373" i="67"/>
  <c r="B507" i="67"/>
  <c r="I268" i="67"/>
  <c r="E51" i="67"/>
  <c r="C176" i="67"/>
  <c r="I330" i="67"/>
  <c r="O344" i="67"/>
  <c r="B90" i="67"/>
  <c r="I198" i="67"/>
  <c r="B10" i="67"/>
  <c r="E403" i="67"/>
  <c r="E195" i="67"/>
  <c r="E91" i="67"/>
  <c r="I322" i="67"/>
  <c r="B73" i="67"/>
  <c r="M312" i="67"/>
  <c r="D473" i="67"/>
  <c r="M426" i="67"/>
  <c r="D19" i="67"/>
  <c r="D293" i="67"/>
  <c r="D251" i="67"/>
  <c r="C240" i="67"/>
  <c r="M138" i="67"/>
  <c r="M114" i="67"/>
  <c r="B153" i="67"/>
  <c r="O128" i="67"/>
  <c r="L78" i="67"/>
  <c r="D435" i="67"/>
  <c r="E69" i="67"/>
  <c r="B466" i="67"/>
  <c r="J440" i="67"/>
  <c r="C250" i="67"/>
  <c r="D201" i="67"/>
  <c r="O192" i="67"/>
  <c r="B235" i="67"/>
  <c r="B367" i="67"/>
  <c r="I298" i="67"/>
  <c r="N168" i="67"/>
  <c r="K354" i="67"/>
  <c r="B163" i="67"/>
  <c r="O190" i="67"/>
  <c r="I276" i="67"/>
  <c r="K182" i="67"/>
  <c r="B399" i="67"/>
  <c r="J228" i="67"/>
  <c r="D113" i="67"/>
  <c r="C162" i="67"/>
  <c r="J470" i="67"/>
  <c r="B140" i="67"/>
  <c r="B424" i="67"/>
  <c r="I500" i="67"/>
  <c r="D57" i="67"/>
  <c r="O470" i="67"/>
  <c r="K100" i="67"/>
  <c r="L440" i="67"/>
  <c r="N212" i="67"/>
  <c r="L34" i="67"/>
  <c r="I494" i="67"/>
  <c r="N88" i="67"/>
  <c r="L464" i="67"/>
  <c r="J96" i="67"/>
  <c r="L134" i="67"/>
  <c r="O134" i="67"/>
  <c r="O210" i="67"/>
  <c r="M500" i="67"/>
  <c r="N210" i="67"/>
  <c r="M134" i="67"/>
  <c r="M506" i="67"/>
  <c r="N448" i="67"/>
  <c r="K210" i="67"/>
  <c r="O336" i="67"/>
  <c r="N52" i="67"/>
  <c r="I336" i="67"/>
  <c r="K484" i="67"/>
  <c r="B43" i="67"/>
  <c r="O484" i="67"/>
  <c r="I192" i="67"/>
  <c r="B405" i="67"/>
  <c r="M502" i="67"/>
  <c r="D371" i="67"/>
  <c r="I386" i="67"/>
  <c r="O292" i="67"/>
  <c r="N424" i="67"/>
  <c r="B294" i="67"/>
  <c r="J424" i="67"/>
  <c r="C436" i="67"/>
  <c r="J398" i="67"/>
  <c r="B267" i="67"/>
  <c r="J258" i="67"/>
  <c r="M56" i="67"/>
  <c r="B113" i="67"/>
  <c r="B69" i="67"/>
  <c r="D315" i="67"/>
  <c r="E59" i="67"/>
  <c r="K112" i="67"/>
  <c r="M298" i="67"/>
  <c r="J204" i="67"/>
  <c r="B54" i="67"/>
  <c r="O412" i="67"/>
  <c r="N186" i="67"/>
  <c r="O62" i="67"/>
  <c r="L252" i="67"/>
  <c r="M212" i="67"/>
  <c r="L234" i="67"/>
  <c r="M410" i="67"/>
  <c r="O88" i="67"/>
  <c r="I464" i="67"/>
  <c r="L96" i="67"/>
  <c r="J134" i="67"/>
  <c r="J136" i="67"/>
  <c r="K166" i="67"/>
  <c r="N100" i="67"/>
  <c r="M32" i="67"/>
  <c r="O114" i="67"/>
  <c r="J92" i="67"/>
  <c r="B232" i="67"/>
  <c r="B214" i="67"/>
  <c r="J482" i="67"/>
  <c r="E287" i="67"/>
  <c r="L384" i="67"/>
  <c r="D417" i="67"/>
  <c r="O242" i="67"/>
  <c r="E349" i="67"/>
  <c r="M240" i="67"/>
  <c r="I498" i="67"/>
  <c r="L182" i="67"/>
  <c r="K16" i="67"/>
  <c r="N466" i="67"/>
  <c r="L488" i="67"/>
  <c r="K258" i="67"/>
  <c r="E389" i="67"/>
  <c r="O496" i="67"/>
  <c r="C132" i="67"/>
  <c r="M494" i="67"/>
  <c r="O224" i="67"/>
  <c r="L490" i="67"/>
  <c r="O268" i="67"/>
  <c r="E417" i="67"/>
  <c r="B24" i="67"/>
  <c r="E385" i="67"/>
  <c r="L448" i="67"/>
  <c r="B482" i="67"/>
  <c r="D309" i="67"/>
  <c r="I402" i="67"/>
  <c r="O186" i="67"/>
  <c r="B106" i="67"/>
  <c r="M440" i="67"/>
  <c r="D393" i="67"/>
  <c r="O212" i="67"/>
  <c r="O234" i="67"/>
  <c r="N148" i="67"/>
  <c r="N274" i="67"/>
  <c r="O404" i="67"/>
  <c r="M464" i="67"/>
  <c r="M96" i="67"/>
  <c r="N354" i="67"/>
  <c r="L506" i="67"/>
  <c r="N336" i="67"/>
  <c r="I134" i="67"/>
  <c r="J138" i="67"/>
  <c r="K362" i="67"/>
  <c r="M484" i="67"/>
  <c r="N138" i="67"/>
  <c r="K330" i="67"/>
  <c r="L336" i="67"/>
  <c r="E213" i="67"/>
  <c r="L386" i="67"/>
  <c r="K326" i="67"/>
  <c r="I504" i="67"/>
  <c r="D231" i="67"/>
  <c r="J242" i="67"/>
  <c r="J22" i="67"/>
  <c r="I346" i="67"/>
  <c r="J402" i="67"/>
  <c r="C212" i="67"/>
  <c r="N242" i="67"/>
  <c r="J240" i="67"/>
  <c r="E87" i="67"/>
  <c r="K496" i="67"/>
  <c r="K494" i="67"/>
  <c r="B304" i="67"/>
  <c r="M468" i="67"/>
  <c r="M264" i="67"/>
  <c r="K86" i="67"/>
  <c r="K92" i="67"/>
  <c r="L224" i="67"/>
  <c r="M342" i="67"/>
  <c r="C350" i="67"/>
  <c r="C494" i="67"/>
  <c r="B248" i="67"/>
  <c r="B305" i="67"/>
  <c r="O232" i="67"/>
  <c r="K244" i="67"/>
  <c r="M88" i="67"/>
  <c r="B427" i="67"/>
  <c r="M140" i="67"/>
  <c r="C472" i="67"/>
  <c r="M366" i="67"/>
  <c r="J410" i="67"/>
  <c r="K212" i="67"/>
  <c r="M460" i="67"/>
  <c r="K148" i="67"/>
  <c r="L274" i="67"/>
  <c r="N500" i="67"/>
  <c r="I210" i="67"/>
  <c r="O464" i="67"/>
  <c r="J354" i="67"/>
  <c r="I412" i="67"/>
  <c r="O120" i="67"/>
  <c r="L158" i="67"/>
  <c r="N136" i="67"/>
  <c r="J220" i="67"/>
  <c r="J192" i="67"/>
  <c r="M220" i="67"/>
  <c r="B450" i="67"/>
  <c r="D445" i="67"/>
  <c r="B133" i="67"/>
  <c r="B59" i="67"/>
  <c r="M176" i="67"/>
  <c r="D147" i="67"/>
  <c r="J408" i="67"/>
  <c r="C382" i="67"/>
  <c r="C458" i="67"/>
  <c r="O108" i="67"/>
  <c r="L98" i="67"/>
  <c r="C116" i="67"/>
  <c r="C66" i="67"/>
  <c r="M498" i="67"/>
  <c r="L420" i="67"/>
  <c r="N108" i="67"/>
  <c r="I36" i="67"/>
  <c r="O144" i="67"/>
  <c r="I56" i="67"/>
  <c r="M276" i="67"/>
  <c r="L242" i="67"/>
  <c r="B432" i="67"/>
  <c r="J304" i="67"/>
  <c r="B311" i="67"/>
  <c r="J106" i="67"/>
  <c r="J174" i="67"/>
  <c r="O356" i="67"/>
  <c r="J66" i="67"/>
  <c r="B74" i="67"/>
  <c r="M132" i="67"/>
  <c r="O408" i="67"/>
  <c r="I360" i="67"/>
  <c r="O196" i="67"/>
  <c r="L212" i="67"/>
  <c r="N460" i="67"/>
  <c r="L148" i="67"/>
  <c r="J472" i="67"/>
  <c r="J500" i="67"/>
  <c r="J464" i="67"/>
  <c r="N150" i="67"/>
  <c r="O112" i="67"/>
  <c r="J484" i="67"/>
  <c r="M192" i="67"/>
  <c r="K146" i="67"/>
  <c r="B51" i="67"/>
  <c r="I38" i="67"/>
  <c r="D329" i="67"/>
  <c r="N386" i="67"/>
  <c r="D13" i="67"/>
  <c r="D163" i="67"/>
  <c r="N440" i="67"/>
  <c r="B431" i="67"/>
  <c r="I260" i="67"/>
  <c r="M202" i="67"/>
  <c r="C404" i="67"/>
  <c r="O160" i="67"/>
  <c r="C306" i="67"/>
  <c r="L108" i="67"/>
  <c r="I82" i="67"/>
  <c r="B295" i="67"/>
  <c r="K240" i="67"/>
  <c r="L58" i="67"/>
  <c r="D185" i="67"/>
  <c r="L240" i="67"/>
  <c r="L342" i="67"/>
  <c r="D267" i="67"/>
  <c r="J34" i="67"/>
  <c r="C360" i="67"/>
  <c r="D155" i="67"/>
  <c r="D103" i="67"/>
  <c r="I204" i="67"/>
  <c r="I358" i="67"/>
  <c r="J176" i="67"/>
  <c r="K408" i="67"/>
  <c r="C224" i="67"/>
  <c r="I314" i="67"/>
  <c r="K170" i="67"/>
  <c r="B37" i="67"/>
  <c r="E251" i="67"/>
  <c r="M148" i="67"/>
  <c r="C502" i="67"/>
  <c r="B370" i="67"/>
  <c r="K120" i="67"/>
  <c r="I506" i="67"/>
  <c r="J300" i="67"/>
  <c r="K162" i="67"/>
  <c r="J162" i="67"/>
  <c r="B240" i="67"/>
  <c r="N502" i="67"/>
  <c r="I30" i="67"/>
  <c r="I140" i="67"/>
  <c r="D41" i="67"/>
  <c r="N324" i="67"/>
  <c r="K202" i="67"/>
  <c r="N294" i="67"/>
  <c r="L160" i="67"/>
  <c r="B81" i="67"/>
  <c r="N398" i="67"/>
  <c r="C450" i="67"/>
  <c r="I496" i="67"/>
  <c r="B165" i="67"/>
  <c r="L406" i="67"/>
  <c r="M446" i="67"/>
  <c r="N160" i="67"/>
  <c r="J428" i="67"/>
  <c r="E127" i="67"/>
  <c r="M314" i="67"/>
  <c r="L326" i="67"/>
  <c r="O294" i="67"/>
  <c r="E377" i="67"/>
  <c r="B201" i="67"/>
  <c r="O454" i="67"/>
  <c r="B144" i="67"/>
  <c r="N174" i="67"/>
  <c r="I148" i="67"/>
  <c r="B98" i="67"/>
  <c r="I284" i="67"/>
  <c r="N256" i="67"/>
  <c r="E443" i="67"/>
  <c r="J58" i="67"/>
  <c r="N412" i="67"/>
  <c r="K136" i="67"/>
  <c r="L348" i="67"/>
  <c r="N476" i="67"/>
  <c r="K52" i="67"/>
  <c r="L192" i="67"/>
  <c r="N94" i="67"/>
  <c r="E65" i="67"/>
  <c r="J504" i="67"/>
  <c r="E45" i="67"/>
  <c r="O396" i="67"/>
  <c r="K242" i="67"/>
  <c r="N262" i="67"/>
  <c r="J140" i="67"/>
  <c r="E343" i="67"/>
  <c r="B127" i="67"/>
  <c r="K346" i="67"/>
  <c r="B139" i="67"/>
  <c r="J202" i="67"/>
  <c r="E507" i="67"/>
  <c r="B86" i="67"/>
  <c r="O498" i="67"/>
  <c r="E181" i="67"/>
  <c r="D383" i="67"/>
  <c r="K160" i="67"/>
  <c r="B293" i="67"/>
  <c r="J432" i="67"/>
  <c r="N496" i="67"/>
  <c r="J288" i="67"/>
  <c r="K456" i="67"/>
  <c r="I450" i="67"/>
  <c r="N310" i="67"/>
  <c r="E423" i="67"/>
  <c r="O104" i="67"/>
  <c r="D437" i="67"/>
  <c r="L164" i="67"/>
  <c r="B344" i="67"/>
  <c r="B454" i="67"/>
  <c r="L432" i="67"/>
  <c r="D307" i="67"/>
  <c r="J114" i="67"/>
  <c r="K294" i="67"/>
  <c r="O338" i="67"/>
  <c r="M368" i="67"/>
  <c r="M408" i="67"/>
  <c r="D317" i="67"/>
  <c r="I114" i="67"/>
  <c r="K358" i="67"/>
  <c r="O152" i="67"/>
  <c r="O358" i="67"/>
  <c r="J24" i="67"/>
  <c r="E247" i="67"/>
  <c r="K104" i="67"/>
  <c r="C336" i="67"/>
  <c r="D9" i="67"/>
  <c r="B101" i="67"/>
  <c r="E9" i="67"/>
  <c r="K30" i="67"/>
  <c r="B198" i="67"/>
  <c r="E429" i="67"/>
  <c r="K434" i="67"/>
  <c r="N252" i="67"/>
  <c r="B478" i="67"/>
  <c r="M230" i="67"/>
  <c r="C44" i="67"/>
  <c r="D239" i="67"/>
  <c r="M160" i="67"/>
  <c r="J76" i="67"/>
  <c r="J108" i="67"/>
  <c r="K418" i="67"/>
  <c r="B358" i="67"/>
  <c r="C92" i="67"/>
  <c r="K236" i="67"/>
  <c r="I244" i="67"/>
  <c r="C428" i="67"/>
  <c r="D85" i="67"/>
  <c r="I76" i="67"/>
  <c r="D475" i="67"/>
  <c r="O448" i="67"/>
  <c r="B207" i="67"/>
  <c r="L210" i="67"/>
  <c r="K432" i="67"/>
  <c r="O490" i="67"/>
  <c r="I194" i="67"/>
  <c r="I480" i="67"/>
  <c r="I108" i="67"/>
  <c r="L468" i="67"/>
  <c r="J118" i="67"/>
  <c r="N258" i="67"/>
  <c r="E237" i="67"/>
  <c r="K278" i="67"/>
  <c r="D439" i="67"/>
  <c r="C232" i="67"/>
  <c r="B461" i="67"/>
  <c r="N24" i="67"/>
  <c r="M412" i="67"/>
  <c r="L482" i="67"/>
  <c r="N26" i="67"/>
  <c r="D463" i="67"/>
  <c r="B442" i="67"/>
  <c r="I426" i="67"/>
  <c r="L462" i="67"/>
  <c r="M432" i="67"/>
  <c r="I490" i="67"/>
  <c r="L110" i="67"/>
  <c r="O480" i="67"/>
  <c r="M18" i="67"/>
  <c r="K468" i="67"/>
  <c r="I196" i="67"/>
  <c r="L118" i="67"/>
  <c r="I258" i="67"/>
  <c r="K260" i="67"/>
  <c r="J62" i="67"/>
  <c r="M186" i="67"/>
  <c r="I448" i="67"/>
  <c r="O438" i="67"/>
  <c r="I92" i="67"/>
  <c r="B460" i="67"/>
  <c r="O278" i="67"/>
  <c r="M36" i="67"/>
  <c r="C90" i="67"/>
  <c r="E433" i="67"/>
  <c r="E473" i="67"/>
  <c r="C150" i="67"/>
  <c r="N122" i="67"/>
  <c r="M102" i="67"/>
  <c r="B484" i="67"/>
  <c r="D189" i="67"/>
  <c r="K372" i="67"/>
  <c r="D389" i="67"/>
  <c r="D65" i="67"/>
  <c r="K34" i="67"/>
  <c r="O432" i="67"/>
  <c r="I106" i="67"/>
  <c r="M110" i="67"/>
  <c r="K310" i="67"/>
  <c r="I18" i="67"/>
  <c r="O468" i="67"/>
  <c r="L196" i="67"/>
  <c r="O118" i="67"/>
  <c r="M258" i="67"/>
  <c r="M118" i="67"/>
  <c r="J310" i="67"/>
  <c r="L186" i="67"/>
  <c r="J190" i="67"/>
  <c r="O200" i="67"/>
  <c r="O66" i="67"/>
  <c r="I186" i="67"/>
  <c r="L44" i="67"/>
  <c r="L236" i="67"/>
  <c r="B301" i="67"/>
  <c r="C446" i="67"/>
  <c r="O428" i="67"/>
  <c r="O38" i="67"/>
  <c r="C426" i="67"/>
  <c r="C170" i="67"/>
  <c r="C296" i="67"/>
  <c r="K84" i="67"/>
  <c r="K328" i="67"/>
  <c r="B61" i="67"/>
  <c r="J222" i="67"/>
  <c r="B175" i="67"/>
  <c r="B254" i="67"/>
  <c r="K114" i="67"/>
  <c r="L346" i="67"/>
  <c r="O106" i="67"/>
  <c r="N110" i="67"/>
  <c r="O310" i="67"/>
  <c r="J18" i="67"/>
  <c r="O50" i="67"/>
  <c r="J196" i="67"/>
  <c r="L258" i="67"/>
  <c r="M190" i="67"/>
  <c r="K118" i="67"/>
  <c r="M236" i="67"/>
  <c r="M200" i="67"/>
  <c r="M66" i="67"/>
  <c r="J146" i="67"/>
  <c r="I224" i="67"/>
  <c r="K140" i="67"/>
  <c r="O400" i="67"/>
  <c r="M428" i="67"/>
  <c r="J316" i="67"/>
  <c r="K54" i="67"/>
  <c r="M122" i="67"/>
  <c r="E131" i="67"/>
  <c r="D291" i="67"/>
  <c r="O472" i="67"/>
  <c r="J70" i="67"/>
  <c r="C222" i="67"/>
  <c r="M360" i="67"/>
  <c r="B276" i="67"/>
  <c r="D249" i="67"/>
  <c r="K10" i="67"/>
  <c r="I236" i="67"/>
  <c r="O110" i="67"/>
  <c r="M68" i="67"/>
  <c r="L92" i="67"/>
  <c r="N62" i="67"/>
  <c r="N438" i="67"/>
  <c r="O68" i="67"/>
  <c r="N200" i="67"/>
  <c r="J86" i="67"/>
  <c r="N64" i="67"/>
  <c r="E201" i="67"/>
  <c r="K122" i="67"/>
  <c r="L328" i="67"/>
  <c r="N128" i="67"/>
  <c r="M476" i="67"/>
  <c r="E263" i="67"/>
  <c r="D321" i="67"/>
  <c r="J126" i="67"/>
  <c r="L294" i="67"/>
  <c r="B453" i="67"/>
  <c r="J378" i="67"/>
  <c r="I136" i="67"/>
  <c r="O410" i="67"/>
  <c r="I44" i="67"/>
  <c r="O236" i="67"/>
  <c r="N260" i="67"/>
  <c r="L68" i="67"/>
  <c r="K320" i="67"/>
  <c r="J64" i="67"/>
  <c r="I86" i="67"/>
  <c r="J186" i="67"/>
  <c r="K56" i="67"/>
  <c r="N278" i="67"/>
  <c r="D287" i="67"/>
  <c r="N372" i="67"/>
  <c r="D173" i="67"/>
  <c r="N56" i="67"/>
  <c r="J306" i="67"/>
  <c r="D157" i="67"/>
  <c r="C362" i="67"/>
  <c r="B487" i="67"/>
  <c r="E411" i="67"/>
  <c r="B256" i="67"/>
  <c r="I292" i="67"/>
  <c r="M268" i="67"/>
  <c r="B84" i="67"/>
  <c r="B408" i="67"/>
  <c r="I384" i="67"/>
  <c r="N280" i="67"/>
  <c r="I68" i="67"/>
  <c r="J320" i="67"/>
  <c r="I58" i="67"/>
  <c r="M372" i="67"/>
  <c r="C316" i="67"/>
  <c r="L456" i="67"/>
  <c r="L222" i="67"/>
  <c r="B271" i="67"/>
  <c r="L276" i="67"/>
  <c r="I96" i="67"/>
  <c r="E249" i="67"/>
  <c r="J104" i="67"/>
  <c r="J418" i="67"/>
  <c r="D375" i="67"/>
  <c r="C434" i="67"/>
  <c r="M174" i="67"/>
  <c r="N154" i="67"/>
  <c r="C326" i="67"/>
  <c r="K406" i="67"/>
  <c r="N236" i="67"/>
  <c r="J68" i="67"/>
  <c r="E357" i="67"/>
  <c r="N68" i="67"/>
  <c r="L268" i="67"/>
  <c r="J224" i="67"/>
  <c r="L278" i="67"/>
  <c r="B200" i="67"/>
  <c r="L308" i="67"/>
  <c r="E111" i="67"/>
  <c r="B218" i="67"/>
  <c r="B34" i="67"/>
  <c r="N246" i="67"/>
  <c r="I138" i="67"/>
  <c r="B160" i="67"/>
  <c r="J200" i="67"/>
  <c r="B258" i="67"/>
  <c r="L372" i="67"/>
  <c r="B497" i="67"/>
  <c r="K168" i="67"/>
  <c r="L494" i="67"/>
  <c r="B199" i="67"/>
  <c r="E331" i="67"/>
  <c r="K42" i="67"/>
  <c r="D227" i="67"/>
  <c r="O288" i="67"/>
  <c r="E115" i="67"/>
  <c r="L296" i="67"/>
  <c r="N380" i="67"/>
  <c r="K144" i="67"/>
  <c r="I326" i="67"/>
  <c r="J498" i="67"/>
  <c r="N276" i="67"/>
  <c r="I34" i="67"/>
  <c r="J494" i="67"/>
  <c r="O226" i="67"/>
  <c r="I250" i="67"/>
  <c r="J308" i="67"/>
  <c r="K224" i="67"/>
  <c r="N96" i="67"/>
  <c r="M248" i="67"/>
  <c r="O252" i="67"/>
  <c r="K356" i="67"/>
  <c r="D217" i="67"/>
  <c r="M406" i="67"/>
  <c r="L138" i="67"/>
  <c r="J324" i="67"/>
  <c r="K192" i="67"/>
  <c r="K48" i="67"/>
  <c r="L128" i="67"/>
  <c r="N178" i="67"/>
  <c r="K178" i="67"/>
  <c r="M448" i="67"/>
  <c r="J448" i="67"/>
  <c r="I78" i="67"/>
  <c r="J142" i="67"/>
  <c r="J272" i="67"/>
  <c r="M272" i="67"/>
  <c r="L272" i="67"/>
  <c r="M164" i="67"/>
  <c r="K164" i="67"/>
  <c r="I256" i="67"/>
  <c r="O476" i="67"/>
  <c r="K476" i="67"/>
  <c r="L168" i="67"/>
  <c r="M168" i="67"/>
  <c r="O76" i="67"/>
  <c r="O466" i="67"/>
  <c r="I466" i="67"/>
  <c r="K466" i="67"/>
  <c r="L484" i="67"/>
  <c r="L428" i="67"/>
  <c r="M338" i="67"/>
  <c r="I338" i="67"/>
  <c r="L344" i="67"/>
  <c r="I294" i="67"/>
  <c r="K488" i="67"/>
  <c r="N488" i="67"/>
  <c r="L460" i="67"/>
  <c r="J88" i="67"/>
  <c r="J210" i="67"/>
  <c r="M210" i="67"/>
  <c r="L354" i="67"/>
  <c r="O354" i="67"/>
  <c r="N458" i="67"/>
  <c r="J390" i="67"/>
  <c r="J326" i="67"/>
  <c r="N326" i="67"/>
  <c r="O326" i="67"/>
  <c r="M326" i="67"/>
  <c r="M196" i="67"/>
  <c r="N196" i="67"/>
  <c r="N464" i="67"/>
  <c r="L408" i="67"/>
  <c r="I408" i="67"/>
  <c r="J212" i="67"/>
  <c r="I228" i="67"/>
  <c r="M228" i="67"/>
  <c r="O54" i="67"/>
  <c r="I54" i="67"/>
  <c r="M246" i="67"/>
  <c r="K246" i="67"/>
  <c r="L246" i="67"/>
  <c r="I246" i="67"/>
  <c r="N362" i="67"/>
  <c r="O362" i="67"/>
  <c r="N114" i="67"/>
  <c r="N30" i="67"/>
  <c r="L30" i="67"/>
  <c r="J348" i="67"/>
  <c r="O348" i="67"/>
  <c r="M348" i="67"/>
  <c r="N348" i="67"/>
  <c r="I348" i="67"/>
  <c r="K348" i="67"/>
  <c r="M98" i="67"/>
  <c r="K98" i="67"/>
  <c r="I98" i="67"/>
  <c r="J98" i="67"/>
  <c r="J252" i="67"/>
  <c r="J26" i="67"/>
  <c r="O330" i="67"/>
  <c r="J330" i="67"/>
  <c r="L330" i="67"/>
  <c r="M420" i="67"/>
  <c r="K420" i="67"/>
  <c r="I420" i="67"/>
  <c r="N420" i="67"/>
  <c r="L312" i="67"/>
  <c r="O312" i="67"/>
  <c r="N14" i="67"/>
  <c r="O14" i="67"/>
  <c r="I14" i="67"/>
  <c r="L14" i="67"/>
  <c r="K14" i="67"/>
  <c r="J364" i="67"/>
  <c r="L364" i="67"/>
  <c r="M364" i="67"/>
  <c r="O450" i="67"/>
  <c r="K450" i="67"/>
  <c r="M450" i="67"/>
  <c r="K502" i="67"/>
  <c r="N494" i="67"/>
  <c r="I396" i="67"/>
  <c r="K396" i="67"/>
  <c r="L396" i="67"/>
  <c r="J396" i="67"/>
  <c r="N396" i="67"/>
  <c r="M396" i="67"/>
  <c r="N498" i="67"/>
  <c r="L498" i="67"/>
  <c r="K498" i="67"/>
  <c r="L430" i="67"/>
  <c r="L260" i="67"/>
  <c r="O322" i="67"/>
  <c r="O452" i="67"/>
  <c r="I452" i="67"/>
  <c r="M452" i="67"/>
  <c r="K452" i="67"/>
  <c r="N452" i="67"/>
  <c r="I270" i="67"/>
  <c r="K270" i="67"/>
  <c r="M270" i="67"/>
  <c r="O270" i="67"/>
  <c r="N270" i="67"/>
  <c r="L270" i="67"/>
  <c r="M424" i="67"/>
  <c r="L424" i="67"/>
  <c r="O424" i="67"/>
  <c r="M60" i="67"/>
  <c r="L60" i="67"/>
  <c r="N410" i="67"/>
  <c r="I410" i="67"/>
  <c r="K410" i="67"/>
  <c r="L410" i="67"/>
  <c r="M384" i="67"/>
  <c r="K384" i="67"/>
  <c r="O300" i="67"/>
  <c r="M300" i="67"/>
  <c r="L300" i="67"/>
  <c r="K126" i="67"/>
  <c r="M126" i="67"/>
  <c r="I126" i="67"/>
  <c r="I478" i="67"/>
  <c r="M478" i="67"/>
  <c r="J478" i="67"/>
  <c r="L478" i="67"/>
  <c r="N478" i="67"/>
  <c r="J152" i="67"/>
  <c r="L152" i="67"/>
  <c r="K152" i="67"/>
  <c r="N152" i="67"/>
  <c r="I152" i="67"/>
  <c r="M234" i="67"/>
  <c r="N234" i="67"/>
  <c r="J234" i="67"/>
  <c r="K500" i="67"/>
  <c r="O500" i="67"/>
  <c r="L500" i="67"/>
  <c r="K38" i="67"/>
  <c r="N38" i="67"/>
  <c r="N254" i="67"/>
  <c r="M254" i="67"/>
  <c r="O254" i="67"/>
  <c r="I254" i="67"/>
  <c r="L304" i="67"/>
  <c r="N304" i="67"/>
  <c r="M304" i="67"/>
  <c r="K176" i="67"/>
  <c r="L176" i="67"/>
  <c r="L470" i="67"/>
  <c r="N468" i="67"/>
  <c r="J468" i="67"/>
  <c r="I180" i="67"/>
  <c r="J180" i="67"/>
  <c r="N180" i="67"/>
  <c r="N36" i="67"/>
  <c r="O36" i="67"/>
  <c r="J36" i="67"/>
  <c r="N42" i="67"/>
  <c r="L42" i="67"/>
  <c r="M42" i="67"/>
  <c r="I42" i="67"/>
  <c r="L214" i="67"/>
  <c r="N214" i="67"/>
  <c r="J214" i="67"/>
  <c r="M214" i="67"/>
  <c r="O214" i="67"/>
  <c r="I214" i="67"/>
  <c r="I278" i="67"/>
  <c r="J278" i="67"/>
  <c r="M278" i="67"/>
  <c r="I100" i="67"/>
  <c r="O100" i="67"/>
  <c r="L100" i="67"/>
  <c r="M100" i="67"/>
  <c r="I242" i="67"/>
  <c r="M356" i="67"/>
  <c r="L356" i="67"/>
  <c r="I90" i="67"/>
  <c r="M90" i="67"/>
  <c r="N90" i="67"/>
  <c r="M414" i="67"/>
  <c r="O414" i="67"/>
  <c r="N414" i="67"/>
  <c r="J414" i="67"/>
  <c r="L414" i="67"/>
  <c r="I414" i="67"/>
  <c r="N204" i="67"/>
  <c r="K204" i="67"/>
  <c r="L204" i="67"/>
  <c r="L198" i="67"/>
  <c r="J198" i="67"/>
  <c r="K198" i="67"/>
  <c r="M198" i="67"/>
  <c r="N198" i="67"/>
  <c r="O198" i="67"/>
  <c r="J336" i="67"/>
  <c r="M336" i="67"/>
  <c r="K336" i="67"/>
  <c r="I10" i="67"/>
  <c r="M10" i="67"/>
  <c r="O258" i="67"/>
  <c r="L66" i="67"/>
  <c r="K66" i="67"/>
  <c r="N66" i="67"/>
  <c r="I66" i="67"/>
  <c r="I378" i="67"/>
  <c r="K378" i="67"/>
  <c r="O80" i="67"/>
  <c r="J80" i="67"/>
  <c r="K80" i="67"/>
  <c r="N80" i="67"/>
  <c r="J302" i="67"/>
  <c r="M302" i="67"/>
  <c r="O418" i="67"/>
  <c r="N418" i="67"/>
  <c r="L418" i="67"/>
  <c r="M418" i="67"/>
  <c r="I418" i="67"/>
  <c r="O22" i="67"/>
  <c r="M22" i="67"/>
  <c r="I22" i="67"/>
  <c r="K22" i="67"/>
  <c r="L22" i="67"/>
  <c r="N22" i="67"/>
  <c r="J372" i="67"/>
  <c r="O372" i="67"/>
  <c r="I372" i="67"/>
  <c r="O130" i="67"/>
  <c r="K130" i="67"/>
  <c r="I130" i="67"/>
  <c r="CJ4" i="57"/>
  <c r="N360" i="67"/>
  <c r="K360" i="67"/>
  <c r="L360" i="67"/>
  <c r="M86" i="67"/>
  <c r="L86" i="67"/>
  <c r="O86" i="67"/>
  <c r="N86" i="67"/>
  <c r="K352" i="67"/>
  <c r="L352" i="67"/>
  <c r="M352" i="67"/>
  <c r="J352" i="67"/>
  <c r="I352" i="67"/>
  <c r="N352" i="67"/>
  <c r="L398" i="67"/>
  <c r="O398" i="67"/>
  <c r="M398" i="67"/>
  <c r="K398" i="67"/>
  <c r="I398" i="67"/>
  <c r="I160" i="67"/>
  <c r="J160" i="67"/>
  <c r="K108" i="67"/>
  <c r="M108" i="67"/>
  <c r="O504" i="67"/>
  <c r="M504" i="67"/>
  <c r="K332" i="67"/>
  <c r="O332" i="67"/>
  <c r="J332" i="67"/>
  <c r="I332" i="67"/>
  <c r="M332" i="67"/>
  <c r="N332" i="67"/>
  <c r="L332" i="67"/>
  <c r="O122" i="67"/>
  <c r="L122" i="67"/>
  <c r="I122" i="67"/>
  <c r="J122" i="67"/>
  <c r="O148" i="67"/>
  <c r="O202" i="67"/>
  <c r="N202" i="67"/>
  <c r="O264" i="67"/>
  <c r="J264" i="67"/>
  <c r="K264" i="67"/>
  <c r="I264" i="67"/>
  <c r="I182" i="67"/>
  <c r="O182" i="67"/>
  <c r="J182" i="67"/>
  <c r="J276" i="67"/>
  <c r="K276" i="67"/>
  <c r="I110" i="67"/>
  <c r="O366" i="67"/>
  <c r="N366" i="67"/>
  <c r="I366" i="67"/>
  <c r="J366" i="67"/>
  <c r="L366" i="67"/>
  <c r="K366" i="67"/>
  <c r="J132" i="67"/>
  <c r="L132" i="67"/>
  <c r="K132" i="67"/>
  <c r="N132" i="67"/>
  <c r="J342" i="67"/>
  <c r="N342" i="67"/>
  <c r="I342" i="67"/>
  <c r="O342" i="67"/>
  <c r="O368" i="67"/>
  <c r="K368" i="67"/>
  <c r="J368" i="67"/>
  <c r="N368" i="67"/>
  <c r="I368" i="67"/>
  <c r="N140" i="67"/>
  <c r="L140" i="67"/>
  <c r="O140" i="67"/>
  <c r="N70" i="67"/>
  <c r="O70" i="67"/>
  <c r="K70" i="67"/>
  <c r="M70" i="67"/>
  <c r="L70" i="67"/>
  <c r="I70" i="67"/>
  <c r="M24" i="67"/>
  <c r="K24" i="67"/>
  <c r="O24" i="67"/>
  <c r="I24" i="67"/>
  <c r="J446" i="67"/>
  <c r="I446" i="67"/>
  <c r="K446" i="67"/>
  <c r="L446" i="67"/>
  <c r="O446" i="67"/>
  <c r="J298" i="67"/>
  <c r="O298" i="67"/>
  <c r="L298" i="67"/>
  <c r="N298" i="67"/>
  <c r="N28" i="67"/>
  <c r="L28" i="67"/>
  <c r="M28" i="67"/>
  <c r="I28" i="67"/>
  <c r="K28" i="67"/>
  <c r="O28" i="67"/>
  <c r="J28" i="67"/>
  <c r="L32" i="67"/>
  <c r="N32" i="67"/>
  <c r="I32" i="67"/>
  <c r="O32" i="67"/>
  <c r="J32" i="67"/>
  <c r="K32" i="67"/>
  <c r="K340" i="67"/>
  <c r="M340" i="67"/>
  <c r="O340" i="67"/>
  <c r="I340" i="67"/>
  <c r="L340" i="67"/>
  <c r="J340" i="67"/>
  <c r="N340" i="67"/>
  <c r="I240" i="67"/>
  <c r="O240" i="67"/>
  <c r="N240" i="67"/>
  <c r="I220" i="67"/>
  <c r="O220" i="67"/>
  <c r="N220" i="67"/>
  <c r="K220" i="67"/>
  <c r="L220" i="67"/>
  <c r="J94" i="67"/>
  <c r="L94" i="67"/>
  <c r="I94" i="67"/>
  <c r="K94" i="67"/>
  <c r="M94" i="67"/>
  <c r="J454" i="67"/>
  <c r="K454" i="67"/>
  <c r="M454" i="67"/>
  <c r="N454" i="67"/>
  <c r="L454" i="67"/>
  <c r="L166" i="67"/>
  <c r="N166" i="67"/>
  <c r="I166" i="67"/>
  <c r="M166" i="67"/>
  <c r="J166" i="67"/>
  <c r="L104" i="67"/>
  <c r="I104" i="67"/>
  <c r="M104" i="67"/>
  <c r="N104" i="67"/>
  <c r="M82" i="67"/>
  <c r="J82" i="67"/>
  <c r="L82" i="67"/>
  <c r="N82" i="67"/>
  <c r="K412" i="67"/>
  <c r="L412" i="67"/>
  <c r="J412" i="67"/>
  <c r="N282" i="67"/>
  <c r="I282" i="67"/>
  <c r="L282" i="67"/>
  <c r="M282" i="67"/>
  <c r="J282" i="67"/>
  <c r="O282" i="67"/>
  <c r="K282" i="67"/>
  <c r="O92" i="67"/>
  <c r="M92" i="67"/>
  <c r="N92" i="67"/>
  <c r="M310" i="67"/>
  <c r="L310" i="67"/>
  <c r="I310" i="67"/>
  <c r="N206" i="67"/>
  <c r="M206" i="67"/>
  <c r="L206" i="67"/>
  <c r="O206" i="67"/>
  <c r="J206" i="67"/>
  <c r="I206" i="67"/>
  <c r="K206" i="67"/>
  <c r="O46" i="67"/>
  <c r="K46" i="67"/>
  <c r="I46" i="67"/>
  <c r="M46" i="67"/>
  <c r="N46" i="67"/>
  <c r="O96" i="67"/>
  <c r="L244" i="67"/>
  <c r="M244" i="67"/>
  <c r="O244" i="67"/>
  <c r="J244" i="67"/>
  <c r="L496" i="67"/>
  <c r="M496" i="67"/>
  <c r="J496" i="67"/>
  <c r="N358" i="67"/>
  <c r="J358" i="67"/>
  <c r="L358" i="67"/>
  <c r="M358" i="67"/>
  <c r="I318" i="67"/>
  <c r="M318" i="67"/>
  <c r="K318" i="67"/>
  <c r="L318" i="67"/>
  <c r="J318" i="67"/>
  <c r="N318" i="67"/>
  <c r="O318" i="67"/>
  <c r="I74" i="67"/>
  <c r="L74" i="67"/>
  <c r="M74" i="67"/>
  <c r="O74" i="67"/>
  <c r="N74" i="67"/>
  <c r="J74" i="67"/>
  <c r="K74" i="67"/>
  <c r="O440" i="67"/>
  <c r="K440" i="67"/>
  <c r="I440" i="67"/>
  <c r="M136" i="67"/>
  <c r="L136" i="67"/>
  <c r="O136" i="67"/>
  <c r="M232" i="67"/>
  <c r="N232" i="67"/>
  <c r="K232" i="67"/>
  <c r="J232" i="67"/>
  <c r="L232" i="67"/>
  <c r="I232" i="67"/>
  <c r="O380" i="67"/>
  <c r="L380" i="67"/>
  <c r="I380" i="67"/>
  <c r="M380" i="67"/>
  <c r="K380" i="67"/>
  <c r="J380" i="67"/>
  <c r="O422" i="67"/>
  <c r="L422" i="67"/>
  <c r="N422" i="67"/>
  <c r="K422" i="67"/>
  <c r="J422" i="67"/>
  <c r="M422" i="67"/>
  <c r="I422" i="67"/>
  <c r="J284" i="67"/>
  <c r="M284" i="67"/>
  <c r="K284" i="67"/>
  <c r="O284" i="67"/>
  <c r="L284" i="67"/>
  <c r="N284" i="67"/>
  <c r="N120" i="67"/>
  <c r="M120" i="67"/>
  <c r="J120" i="67"/>
  <c r="I118" i="67"/>
  <c r="N118" i="67"/>
  <c r="J456" i="67"/>
  <c r="I456" i="67"/>
  <c r="N456" i="67"/>
  <c r="O456" i="67"/>
  <c r="M456" i="67"/>
  <c r="L52" i="67"/>
  <c r="I52" i="67"/>
  <c r="O52" i="67"/>
  <c r="M52" i="67"/>
  <c r="J52" i="67"/>
  <c r="M296" i="67"/>
  <c r="J296" i="67"/>
  <c r="I296" i="67"/>
  <c r="K296" i="67"/>
  <c r="O296" i="67"/>
  <c r="N296" i="67"/>
  <c r="K274" i="67"/>
  <c r="M274" i="67"/>
  <c r="O274" i="67"/>
  <c r="J274" i="67"/>
  <c r="I274" i="67"/>
  <c r="K400" i="67"/>
  <c r="N400" i="67"/>
  <c r="J400" i="67"/>
  <c r="I400" i="67"/>
  <c r="M400" i="67"/>
  <c r="L400" i="67"/>
  <c r="O58" i="67"/>
  <c r="M58" i="67"/>
  <c r="K58" i="67"/>
  <c r="N58" i="67"/>
  <c r="J268" i="67"/>
  <c r="N268" i="67"/>
  <c r="K268" i="67"/>
  <c r="J236" i="67"/>
  <c r="K490" i="67"/>
  <c r="N490" i="67"/>
  <c r="M490" i="67"/>
  <c r="J490" i="67"/>
  <c r="M280" i="67"/>
  <c r="K280" i="67"/>
  <c r="L280" i="67"/>
  <c r="O280" i="67"/>
  <c r="J280" i="67"/>
  <c r="I280" i="67"/>
  <c r="M472" i="67"/>
  <c r="I472" i="67"/>
  <c r="K472" i="67"/>
  <c r="L472" i="67"/>
  <c r="N472" i="67"/>
  <c r="K18" i="67"/>
  <c r="N18" i="67"/>
  <c r="O18" i="67"/>
  <c r="L18" i="67"/>
  <c r="L292" i="67"/>
  <c r="N292" i="67"/>
  <c r="K292" i="67"/>
  <c r="J292" i="67"/>
  <c r="M292" i="67"/>
  <c r="J250" i="67"/>
  <c r="K250" i="67"/>
  <c r="M250" i="67"/>
  <c r="O250" i="67"/>
  <c r="L250" i="67"/>
  <c r="N250" i="67"/>
  <c r="O434" i="67"/>
  <c r="L434" i="67"/>
  <c r="N434" i="67"/>
  <c r="J434" i="67"/>
  <c r="I434" i="67"/>
  <c r="M434" i="67"/>
  <c r="L200" i="67"/>
  <c r="K200" i="67"/>
  <c r="I200" i="67"/>
  <c r="J112" i="67"/>
  <c r="N112" i="67"/>
  <c r="L112" i="67"/>
  <c r="M112" i="67"/>
  <c r="I112" i="67"/>
  <c r="J56" i="67"/>
  <c r="O56" i="67"/>
  <c r="L56" i="67"/>
  <c r="L370" i="67"/>
  <c r="I370" i="67"/>
  <c r="J370" i="67"/>
  <c r="O370" i="67"/>
  <c r="N370" i="67"/>
  <c r="K370" i="67"/>
  <c r="M370" i="67"/>
  <c r="J314" i="67"/>
  <c r="N314" i="67"/>
  <c r="O314" i="67"/>
  <c r="L314" i="67"/>
  <c r="K314" i="67"/>
  <c r="L416" i="67"/>
  <c r="J416" i="67"/>
  <c r="I416" i="67"/>
  <c r="K416" i="67"/>
  <c r="N416" i="67"/>
  <c r="M416" i="67"/>
  <c r="O416" i="67"/>
  <c r="M308" i="67"/>
  <c r="O308" i="67"/>
  <c r="I308" i="67"/>
  <c r="K308" i="67"/>
  <c r="N308" i="67"/>
  <c r="L392" i="67"/>
  <c r="K392" i="67"/>
  <c r="O392" i="67"/>
  <c r="N392" i="67"/>
  <c r="M392" i="67"/>
  <c r="I392" i="67"/>
  <c r="J392" i="67"/>
  <c r="L230" i="67"/>
  <c r="O230" i="67"/>
  <c r="N230" i="67"/>
  <c r="K230" i="67"/>
  <c r="J230" i="67"/>
  <c r="I230" i="67"/>
  <c r="O444" i="67"/>
  <c r="M444" i="67"/>
  <c r="K444" i="67"/>
  <c r="L444" i="67"/>
  <c r="N444" i="67"/>
  <c r="J444" i="67"/>
  <c r="I444" i="67"/>
  <c r="O146" i="67"/>
  <c r="L146" i="67"/>
  <c r="M146" i="67"/>
  <c r="N146" i="67"/>
  <c r="I146" i="67"/>
  <c r="I328" i="67"/>
  <c r="J328" i="67"/>
  <c r="O328" i="67"/>
  <c r="N328" i="67"/>
  <c r="M328" i="67"/>
  <c r="I12" i="67"/>
  <c r="M12" i="67"/>
  <c r="L12" i="67"/>
  <c r="O12" i="67"/>
  <c r="N12" i="67"/>
  <c r="J12" i="67"/>
  <c r="K12" i="67"/>
  <c r="O162" i="67"/>
  <c r="I162" i="67"/>
  <c r="L162" i="67"/>
  <c r="M162" i="67"/>
  <c r="N162" i="67"/>
  <c r="L184" i="67"/>
  <c r="K184" i="67"/>
  <c r="M184" i="67"/>
  <c r="I184" i="67"/>
  <c r="N184" i="67"/>
  <c r="J184" i="67"/>
  <c r="O184" i="67"/>
  <c r="I266" i="67"/>
  <c r="M266" i="67"/>
  <c r="N266" i="67"/>
  <c r="J266" i="67"/>
  <c r="K266" i="67"/>
  <c r="L266" i="67"/>
  <c r="O266" i="67"/>
  <c r="I154" i="67"/>
  <c r="O154" i="67"/>
  <c r="J154" i="67"/>
  <c r="L154" i="67"/>
  <c r="M154" i="67"/>
  <c r="K154" i="67"/>
  <c r="I102" i="67"/>
  <c r="J102" i="67"/>
  <c r="N102" i="67"/>
  <c r="L102" i="67"/>
  <c r="K102" i="67"/>
  <c r="O102" i="67"/>
  <c r="M40" i="67"/>
  <c r="L40" i="67"/>
  <c r="K40" i="67"/>
  <c r="J40" i="67"/>
  <c r="N40" i="67"/>
  <c r="O40" i="67"/>
  <c r="I40" i="67"/>
  <c r="N382" i="67"/>
  <c r="J382" i="67"/>
  <c r="K382" i="67"/>
  <c r="O382" i="67"/>
  <c r="M382" i="67"/>
  <c r="L382" i="67"/>
  <c r="I382" i="67"/>
  <c r="J436" i="67"/>
  <c r="O436" i="67"/>
  <c r="K436" i="67"/>
  <c r="I436" i="67"/>
  <c r="N436" i="67"/>
  <c r="M436" i="67"/>
  <c r="L436" i="67"/>
  <c r="M306" i="67"/>
  <c r="O306" i="67"/>
  <c r="L306" i="67"/>
  <c r="N306" i="67"/>
  <c r="I306" i="67"/>
  <c r="K306" i="67"/>
  <c r="M316" i="67"/>
  <c r="K316" i="67"/>
  <c r="N316" i="67"/>
  <c r="L316" i="67"/>
  <c r="I316" i="67"/>
  <c r="O316" i="67"/>
  <c r="N8" i="67"/>
  <c r="M8" i="67"/>
  <c r="I8" i="67"/>
  <c r="L8" i="67"/>
  <c r="O8" i="67"/>
  <c r="J8" i="67"/>
  <c r="K8" i="67"/>
  <c r="L238" i="67"/>
  <c r="I238" i="67"/>
  <c r="M238" i="67"/>
  <c r="O238" i="67"/>
  <c r="K238" i="67"/>
  <c r="J238" i="67"/>
  <c r="N238" i="67"/>
  <c r="O84" i="67"/>
  <c r="N84" i="67"/>
  <c r="M84" i="67"/>
  <c r="I84" i="67"/>
  <c r="J84" i="67"/>
  <c r="L84" i="67"/>
  <c r="O474" i="67"/>
  <c r="L474" i="67"/>
  <c r="M474" i="67"/>
  <c r="I474" i="67"/>
  <c r="K474" i="67"/>
  <c r="J474" i="67"/>
  <c r="N474" i="67"/>
  <c r="J438" i="67"/>
  <c r="K438" i="67"/>
  <c r="I438" i="67"/>
  <c r="M438" i="67"/>
  <c r="L438" i="67"/>
  <c r="K462" i="67"/>
  <c r="I462" i="67"/>
  <c r="M462" i="67"/>
  <c r="O462" i="67"/>
  <c r="J462" i="67"/>
  <c r="N462" i="67"/>
  <c r="I188" i="67"/>
  <c r="J188" i="67"/>
  <c r="O188" i="67"/>
  <c r="M188" i="67"/>
  <c r="L188" i="67"/>
  <c r="N188" i="67"/>
  <c r="K188" i="67"/>
  <c r="L388" i="67"/>
  <c r="M388" i="67"/>
  <c r="I388" i="67"/>
  <c r="J388" i="67"/>
  <c r="K388" i="67"/>
  <c r="N388" i="67"/>
  <c r="O388" i="67"/>
  <c r="L64" i="67"/>
  <c r="I64" i="67"/>
  <c r="O64" i="67"/>
  <c r="K64" i="67"/>
  <c r="M64" i="67"/>
  <c r="N290" i="67"/>
  <c r="O290" i="67"/>
  <c r="J290" i="67"/>
  <c r="M290" i="67"/>
  <c r="I290" i="67"/>
  <c r="K290" i="67"/>
  <c r="L290" i="67"/>
  <c r="O248" i="67"/>
  <c r="J248" i="67"/>
  <c r="N248" i="67"/>
  <c r="L248" i="67"/>
  <c r="K248" i="67"/>
  <c r="I248" i="67"/>
  <c r="I320" i="67"/>
  <c r="O320" i="67"/>
  <c r="L320" i="67"/>
  <c r="N320" i="67"/>
  <c r="M320" i="67"/>
  <c r="L286" i="67"/>
  <c r="K286" i="67"/>
  <c r="I286" i="67"/>
  <c r="J286" i="67"/>
  <c r="O286" i="67"/>
  <c r="N286" i="67"/>
  <c r="M286" i="67"/>
  <c r="N172" i="67"/>
  <c r="M172" i="67"/>
  <c r="I172" i="67"/>
  <c r="K172" i="67"/>
  <c r="L172" i="67"/>
  <c r="O172" i="67"/>
  <c r="J172" i="67"/>
  <c r="L156" i="67"/>
  <c r="O156" i="67"/>
  <c r="K156" i="67"/>
  <c r="M156" i="67"/>
  <c r="I156" i="67"/>
  <c r="J156" i="67"/>
  <c r="N156" i="67"/>
  <c r="O374" i="67"/>
  <c r="K374" i="67"/>
  <c r="M374" i="67"/>
  <c r="L374" i="67"/>
  <c r="N374" i="67"/>
  <c r="J374" i="67"/>
  <c r="I374" i="67"/>
  <c r="L226" i="67"/>
  <c r="M226" i="67"/>
  <c r="N226" i="67"/>
  <c r="I226" i="67"/>
  <c r="K226" i="67"/>
  <c r="J226" i="67"/>
  <c r="K216" i="67"/>
  <c r="N216" i="67"/>
  <c r="O216" i="67"/>
  <c r="M216" i="67"/>
  <c r="J216" i="67"/>
  <c r="L216" i="67"/>
  <c r="I216" i="67"/>
  <c r="P199" i="67" l="1"/>
  <c r="P497" i="67"/>
  <c r="P258" i="67"/>
  <c r="P160" i="67"/>
  <c r="P34" i="67"/>
  <c r="P218" i="67"/>
  <c r="P200" i="67"/>
  <c r="P271" i="67"/>
  <c r="P408" i="67"/>
  <c r="P84" i="67"/>
  <c r="P256" i="67"/>
  <c r="P487" i="67"/>
  <c r="P453" i="67"/>
  <c r="P276" i="67"/>
  <c r="P254" i="67"/>
  <c r="P175" i="67"/>
  <c r="P61" i="67"/>
  <c r="P301" i="67"/>
  <c r="P484" i="67"/>
  <c r="P460" i="67"/>
  <c r="P442" i="67"/>
  <c r="P461" i="67"/>
  <c r="P207" i="67"/>
  <c r="P358" i="67"/>
  <c r="P478" i="67"/>
  <c r="P198" i="67"/>
  <c r="P101" i="67"/>
  <c r="P454" i="67"/>
  <c r="P344" i="67"/>
  <c r="P293" i="67"/>
  <c r="P86" i="67"/>
  <c r="P139" i="67"/>
  <c r="P127" i="67"/>
  <c r="P98" i="67"/>
  <c r="P144" i="67"/>
  <c r="P201" i="67"/>
  <c r="P165" i="67"/>
  <c r="P81" i="67"/>
  <c r="P240" i="67"/>
  <c r="P370" i="67"/>
  <c r="P37" i="67"/>
  <c r="P295" i="67"/>
  <c r="P431" i="67"/>
  <c r="P51" i="67"/>
  <c r="P74" i="67"/>
  <c r="P311" i="67"/>
  <c r="P432" i="67"/>
  <c r="P59" i="67"/>
  <c r="P133" i="67"/>
  <c r="P450" i="67"/>
  <c r="P427" i="67"/>
  <c r="P305" i="67"/>
  <c r="P248" i="67"/>
  <c r="P304" i="67"/>
  <c r="P106" i="67"/>
  <c r="P482" i="67"/>
  <c r="P24" i="67"/>
  <c r="P214" i="67"/>
  <c r="P232" i="67"/>
  <c r="P54" i="67"/>
  <c r="P69" i="67"/>
  <c r="P113" i="67"/>
  <c r="P267" i="67"/>
  <c r="P294" i="67"/>
  <c r="P405" i="67"/>
  <c r="P43" i="67"/>
  <c r="P424" i="67"/>
  <c r="P140" i="67"/>
  <c r="P399" i="67"/>
  <c r="P163" i="67"/>
  <c r="P367" i="67"/>
  <c r="P235" i="67"/>
  <c r="P466" i="67"/>
  <c r="P153" i="67"/>
  <c r="P73" i="67"/>
  <c r="P10" i="67"/>
  <c r="P90" i="67"/>
  <c r="P507" i="67"/>
  <c r="P284" i="67"/>
  <c r="P42" i="67"/>
  <c r="P63" i="67"/>
  <c r="P29" i="67"/>
  <c r="P481" i="67"/>
  <c r="P80" i="67"/>
  <c r="P171" i="67"/>
  <c r="P353" i="67"/>
  <c r="P401" i="67"/>
  <c r="P288" i="67"/>
  <c r="P381" i="67"/>
  <c r="P75" i="67"/>
  <c r="P62" i="67"/>
  <c r="P281" i="67"/>
  <c r="P505" i="67"/>
  <c r="P130" i="67"/>
  <c r="P257" i="67"/>
  <c r="P132" i="67"/>
  <c r="P506" i="67"/>
  <c r="P336" i="67"/>
  <c r="P480" i="67"/>
  <c r="P211" i="67"/>
  <c r="P125" i="67"/>
  <c r="P386" i="67"/>
  <c r="P458" i="67"/>
  <c r="P417" i="67"/>
  <c r="P79" i="67"/>
  <c r="P385" i="67"/>
  <c r="P103" i="67"/>
  <c r="P324" i="67"/>
  <c r="P443" i="67"/>
  <c r="P475" i="67"/>
  <c r="P143" i="67"/>
  <c r="P351" i="67"/>
  <c r="P17" i="67"/>
  <c r="P471" i="67"/>
  <c r="P286" i="67"/>
  <c r="P274" i="67"/>
  <c r="P155" i="67"/>
  <c r="P152" i="67"/>
  <c r="P226" i="67"/>
  <c r="P419" i="67"/>
  <c r="P337" i="67"/>
  <c r="P379" i="67"/>
  <c r="P18" i="67"/>
  <c r="P449" i="67"/>
  <c r="P64" i="67"/>
  <c r="P117" i="67"/>
  <c r="P467" i="67"/>
  <c r="P359" i="67"/>
  <c r="P325" i="67"/>
  <c r="P270" i="67"/>
  <c r="P166" i="67"/>
  <c r="P71" i="67"/>
  <c r="P447" i="67"/>
  <c r="P418" i="67"/>
  <c r="P332" i="67"/>
  <c r="P406" i="67"/>
  <c r="P485" i="67"/>
  <c r="P44" i="67"/>
  <c r="P57" i="67"/>
  <c r="P446" i="67"/>
  <c r="P334" i="67"/>
  <c r="P275" i="67"/>
  <c r="P121" i="67"/>
  <c r="P12" i="67"/>
  <c r="P40" i="67"/>
  <c r="P21" i="67"/>
  <c r="P428" i="67"/>
  <c r="P310" i="67"/>
  <c r="P277" i="67"/>
  <c r="P390" i="67"/>
  <c r="P52" i="67"/>
  <c r="P290" i="67"/>
  <c r="P93" i="67"/>
  <c r="P495" i="67"/>
  <c r="P147" i="67"/>
  <c r="P394" i="67"/>
  <c r="P335" i="67"/>
  <c r="P438" i="67"/>
  <c r="P66" i="67"/>
  <c r="P493" i="67"/>
  <c r="P285" i="67"/>
  <c r="P185" i="67"/>
  <c r="P451" i="67"/>
  <c r="P246" i="67"/>
  <c r="P464" i="67"/>
  <c r="P320" i="67"/>
  <c r="P397" i="67"/>
  <c r="P68" i="67"/>
  <c r="P9" i="67"/>
  <c r="P250" i="67"/>
  <c r="P321" i="67"/>
  <c r="P404" i="67"/>
  <c r="P142" i="67"/>
  <c r="P118" i="67"/>
  <c r="P377" i="67"/>
  <c r="P215" i="67"/>
  <c r="P413" i="67"/>
  <c r="P70" i="67"/>
  <c r="P123" i="67"/>
  <c r="P322" i="67"/>
  <c r="P31" i="67"/>
  <c r="P176" i="67"/>
  <c r="P490" i="67"/>
  <c r="P342" i="67"/>
  <c r="P323" i="67"/>
  <c r="P27" i="67"/>
  <c r="P60" i="67"/>
  <c r="P76" i="67"/>
  <c r="P88" i="67"/>
  <c r="B10" i="62"/>
  <c r="AA3" i="62" s="1"/>
  <c r="C4" i="57"/>
  <c r="D4" i="57" s="1"/>
  <c r="E4" i="57" s="1"/>
  <c r="F4" i="57" s="1"/>
  <c r="G4" i="57" s="1"/>
  <c r="H4" i="57" s="1"/>
  <c r="I4" i="57" s="1"/>
  <c r="J4" i="57" s="1"/>
  <c r="K4" i="57" s="1"/>
  <c r="L4" i="57" s="1"/>
  <c r="M4" i="57" s="1"/>
  <c r="N4" i="57" s="1"/>
  <c r="O4" i="57" s="1"/>
  <c r="P4" i="57" s="1"/>
  <c r="Q4" i="57" s="1"/>
  <c r="R4" i="57" s="1"/>
  <c r="S4" i="57" s="1"/>
  <c r="T4" i="57" s="1"/>
  <c r="U4" i="57" s="1"/>
  <c r="V4" i="57" s="1"/>
  <c r="W4" i="57" s="1"/>
  <c r="X4" i="57" s="1"/>
  <c r="Y4" i="57" s="1"/>
  <c r="Z4" i="57" s="1"/>
  <c r="AA4" i="57" s="1"/>
  <c r="AB4" i="57" s="1"/>
  <c r="AC4" i="57" s="1"/>
  <c r="AD4" i="57" s="1"/>
  <c r="AE4" i="57" s="1"/>
  <c r="AF4" i="57" s="1"/>
  <c r="AG4" i="57" s="1"/>
  <c r="AH4" i="57" s="1"/>
  <c r="AI4" i="57" s="1"/>
  <c r="AJ4" i="57" s="1"/>
  <c r="P340" i="67"/>
  <c r="P25" i="67"/>
  <c r="P161" i="67"/>
  <c r="P371" i="67"/>
  <c r="P407" i="67"/>
  <c r="P292" i="67"/>
  <c r="P468" i="67"/>
  <c r="P354" i="67"/>
  <c r="P120" i="67"/>
  <c r="P195" i="67"/>
  <c r="P67" i="67"/>
  <c r="P53" i="67"/>
  <c r="P331" i="67"/>
  <c r="P303" i="67"/>
  <c r="P13" i="67"/>
  <c r="P224" i="67"/>
  <c r="P65" i="67"/>
  <c r="P141" i="67"/>
  <c r="P8" i="67"/>
  <c r="P502" i="67"/>
  <c r="P280" i="67"/>
  <c r="P384" i="67"/>
  <c r="P350" i="67"/>
  <c r="P220" i="67"/>
  <c r="P219" i="67"/>
  <c r="P107" i="67"/>
  <c r="P194" i="67"/>
  <c r="P368" i="67"/>
  <c r="P245" i="67"/>
  <c r="P39" i="67"/>
  <c r="P473" i="67"/>
  <c r="P170" i="67"/>
  <c r="P494" i="67"/>
  <c r="P187" i="67"/>
  <c r="P89" i="67"/>
  <c r="P189" i="67"/>
  <c r="P374" i="67"/>
  <c r="P151" i="67"/>
  <c r="P238" i="67"/>
  <c r="P477" i="67"/>
  <c r="P459" i="67"/>
  <c r="P229" i="67"/>
  <c r="P216" i="67"/>
  <c r="P346" i="67"/>
  <c r="P441" i="67"/>
  <c r="P383" i="67"/>
  <c r="P266" i="67"/>
  <c r="P164" i="67"/>
  <c r="P82" i="67"/>
  <c r="P206" i="67"/>
  <c r="P448" i="67"/>
  <c r="P110" i="67"/>
  <c r="P355" i="67"/>
  <c r="P158" i="67"/>
  <c r="P237" i="67"/>
  <c r="P315" i="67"/>
  <c r="P297" i="67"/>
  <c r="P366" i="67"/>
  <c r="P32" i="67"/>
  <c r="P252" i="67"/>
  <c r="P307" i="67"/>
  <c r="P150" i="67"/>
  <c r="P479" i="67"/>
  <c r="P380" i="67"/>
  <c r="P48" i="67"/>
  <c r="P302" i="67"/>
  <c r="P14" i="67"/>
  <c r="P190" i="67"/>
  <c r="P282" i="67"/>
  <c r="P244" i="67"/>
  <c r="P414" i="67"/>
  <c r="P97" i="67"/>
  <c r="P391" i="67"/>
  <c r="P341" i="67"/>
  <c r="P154" i="67"/>
  <c r="P179" i="67"/>
  <c r="P231" i="67"/>
  <c r="P409" i="67"/>
  <c r="P115" i="67"/>
  <c r="P504" i="67"/>
  <c r="P169" i="67"/>
  <c r="P263" i="67"/>
  <c r="P260" i="67"/>
  <c r="P203" i="67"/>
  <c r="P389" i="67"/>
  <c r="P11" i="67"/>
  <c r="P308" i="67"/>
  <c r="P124" i="67"/>
  <c r="P339" i="67"/>
  <c r="P222" i="67"/>
  <c r="P382" i="67"/>
  <c r="P455" i="67"/>
  <c r="P212" i="67"/>
  <c r="P119" i="67"/>
  <c r="P111" i="67"/>
  <c r="P230" i="67"/>
  <c r="P378" i="67"/>
  <c r="P345" i="67"/>
  <c r="P16" i="67"/>
  <c r="P436" i="67"/>
  <c r="P452" i="67"/>
  <c r="P58" i="67"/>
  <c r="P486" i="67"/>
  <c r="P426" i="67"/>
  <c r="P172" i="67"/>
  <c r="P474" i="67"/>
  <c r="P177" i="67"/>
  <c r="P469" i="67"/>
  <c r="P223" i="67"/>
  <c r="P181" i="67"/>
  <c r="P326" i="67"/>
  <c r="P78" i="67"/>
  <c r="P410" i="67"/>
  <c r="P369" i="67"/>
  <c r="P108" i="67"/>
  <c r="P178" i="67"/>
  <c r="P388" i="67"/>
  <c r="P228" i="67"/>
  <c r="P241" i="67"/>
  <c r="P129" i="67"/>
  <c r="P33" i="67"/>
  <c r="P318" i="67"/>
  <c r="P46" i="67"/>
  <c r="P251" i="67"/>
  <c r="P234" i="67"/>
  <c r="P457" i="67"/>
  <c r="P221" i="67"/>
  <c r="P273" i="67"/>
  <c r="P264" i="67"/>
  <c r="P19" i="67"/>
  <c r="P209" i="67"/>
  <c r="P247" i="67"/>
  <c r="P157" i="67"/>
  <c r="P439" i="67"/>
  <c r="P268" i="67"/>
  <c r="P243" i="67"/>
  <c r="P392" i="67"/>
  <c r="P174" i="67"/>
  <c r="P35" i="67"/>
  <c r="P420" i="67"/>
  <c r="P249" i="67"/>
  <c r="P300" i="67"/>
  <c r="P329" i="67"/>
  <c r="P227" i="67"/>
  <c r="P489" i="67"/>
  <c r="P114" i="67"/>
  <c r="P373" i="67"/>
  <c r="P299" i="67"/>
  <c r="P100" i="67"/>
  <c r="P440" i="67"/>
  <c r="P38" i="67"/>
  <c r="P429" i="67"/>
  <c r="P204" i="67"/>
  <c r="P312" i="67"/>
  <c r="P319" i="67"/>
  <c r="P122" i="67"/>
  <c r="P22" i="67"/>
  <c r="P421" i="67"/>
  <c r="P501" i="67"/>
  <c r="P363" i="67"/>
  <c r="P128" i="67"/>
  <c r="P499" i="67"/>
  <c r="P156" i="67"/>
  <c r="P112" i="67"/>
  <c r="P483" i="67"/>
  <c r="P41" i="67"/>
  <c r="P437" i="67"/>
  <c r="P456" i="67"/>
  <c r="P20" i="67"/>
  <c r="P85" i="67"/>
  <c r="P56" i="67"/>
  <c r="P445" i="67"/>
  <c r="P352" i="67"/>
  <c r="P202" i="67"/>
  <c r="P396" i="67"/>
  <c r="P296" i="67"/>
  <c r="P225" i="67"/>
  <c r="P349" i="67"/>
  <c r="P131" i="67"/>
  <c r="P462" i="67"/>
  <c r="P314" i="67"/>
  <c r="P433" i="67"/>
  <c r="P463" i="67"/>
  <c r="P77" i="67"/>
  <c r="P109" i="67"/>
  <c r="P242" i="67"/>
  <c r="P398" i="67"/>
  <c r="P402" i="67"/>
  <c r="P472" i="67"/>
  <c r="P434" i="67"/>
  <c r="P36" i="67"/>
  <c r="P470" i="67"/>
  <c r="P313" i="67"/>
  <c r="P135" i="67"/>
  <c r="P400" i="67"/>
  <c r="P26" i="67"/>
  <c r="P205" i="67"/>
  <c r="P347" i="67"/>
  <c r="P272" i="67"/>
  <c r="P444" i="67"/>
  <c r="P15" i="67"/>
  <c r="P476" i="67"/>
  <c r="P278" i="67"/>
  <c r="P193" i="67"/>
  <c r="P291" i="67"/>
  <c r="P411" i="67"/>
  <c r="P30" i="67"/>
  <c r="P283" i="67"/>
  <c r="P136" i="67"/>
  <c r="P47" i="67"/>
  <c r="P116" i="67"/>
  <c r="P279" i="67"/>
  <c r="P196" i="67"/>
  <c r="P145" i="67"/>
  <c r="P45" i="67"/>
  <c r="P184" i="67"/>
  <c r="P317" i="67"/>
  <c r="P28" i="67"/>
  <c r="P210" i="67"/>
  <c r="P415" i="67"/>
  <c r="P138" i="67"/>
  <c r="P95" i="67"/>
  <c r="P327" i="67"/>
  <c r="P183" i="67"/>
  <c r="P360" i="67"/>
  <c r="P208" i="67"/>
  <c r="P376" i="67"/>
  <c r="P364" i="67"/>
  <c r="P96" i="67"/>
  <c r="P265" i="67"/>
  <c r="P236" i="67"/>
  <c r="P491" i="67"/>
  <c r="P269" i="67"/>
  <c r="P362" i="67"/>
  <c r="P239" i="67"/>
  <c r="P137" i="67"/>
  <c r="P105" i="67"/>
  <c r="P361" i="67"/>
  <c r="P50" i="67"/>
  <c r="P500" i="67"/>
  <c r="P416" i="67"/>
  <c r="P104" i="67"/>
  <c r="P188" i="67"/>
  <c r="P423" i="67"/>
  <c r="P465" i="67"/>
  <c r="P91" i="67"/>
  <c r="P316" i="67"/>
  <c r="P375" i="67"/>
  <c r="P168" i="67"/>
  <c r="P182" i="67"/>
  <c r="P309" i="67"/>
  <c r="P333" i="67"/>
  <c r="P496" i="67"/>
  <c r="P180" i="67"/>
  <c r="P492" i="67"/>
  <c r="P191" i="67"/>
  <c r="P55" i="67"/>
  <c r="P425" i="67"/>
  <c r="P412" i="67"/>
  <c r="P23" i="67"/>
  <c r="P148" i="67"/>
  <c r="P430" i="67"/>
  <c r="P255" i="67"/>
  <c r="P253" i="67"/>
  <c r="P94" i="67"/>
  <c r="P173" i="67"/>
  <c r="P92" i="67"/>
  <c r="P356" i="67"/>
  <c r="P197" i="67"/>
  <c r="P306" i="67"/>
  <c r="P287" i="67"/>
  <c r="P261" i="67"/>
  <c r="P159" i="67"/>
  <c r="P99" i="67"/>
  <c r="P146" i="67"/>
  <c r="P395" i="67"/>
  <c r="P488" i="67"/>
  <c r="P83" i="67"/>
  <c r="P149" i="67"/>
  <c r="P435" i="67"/>
  <c r="P259" i="67"/>
  <c r="P387" i="67"/>
  <c r="P403" i="67"/>
  <c r="P338" i="67"/>
  <c r="P365" i="67"/>
  <c r="P422" i="67"/>
  <c r="P102" i="67"/>
  <c r="P87" i="67"/>
  <c r="P289" i="67"/>
  <c r="P217" i="67"/>
  <c r="P498" i="67"/>
  <c r="P503" i="67"/>
  <c r="P49" i="67"/>
  <c r="P186" i="67"/>
  <c r="P72" i="67"/>
  <c r="P330" i="67"/>
  <c r="P134" i="67"/>
  <c r="P348" i="67"/>
  <c r="P357" i="67"/>
  <c r="P192" i="67"/>
  <c r="P233" i="67"/>
  <c r="P393" i="67"/>
  <c r="P126" i="67"/>
  <c r="P167" i="67"/>
  <c r="P372" i="67"/>
  <c r="P162" i="67"/>
  <c r="P298" i="67"/>
  <c r="P262" i="67"/>
  <c r="P328" i="67"/>
  <c r="P343" i="67"/>
  <c r="P213" i="67"/>
  <c r="C9" i="62"/>
  <c r="AL18" i="4"/>
  <c r="CJ5" i="57"/>
  <c r="F291" i="67"/>
  <c r="C217" i="67"/>
  <c r="F217" i="67"/>
  <c r="F307" i="67"/>
  <c r="C163" i="67"/>
  <c r="C293" i="67"/>
  <c r="F275" i="67"/>
  <c r="F137" i="67"/>
  <c r="C221" i="67"/>
  <c r="C505" i="67"/>
  <c r="C101" i="67"/>
  <c r="C181" i="67"/>
  <c r="C213" i="67"/>
  <c r="F387" i="67"/>
  <c r="F289" i="67"/>
  <c r="C405" i="67"/>
  <c r="F407" i="67"/>
  <c r="C175" i="67"/>
  <c r="F227" i="67"/>
  <c r="F163" i="67"/>
  <c r="F19" i="67"/>
  <c r="C275" i="67"/>
  <c r="F221" i="67"/>
  <c r="C307" i="67"/>
  <c r="C389" i="67"/>
  <c r="C437" i="67"/>
  <c r="F329" i="67"/>
  <c r="F389" i="67"/>
  <c r="C189" i="67"/>
  <c r="F383" i="67"/>
  <c r="F189" i="67"/>
  <c r="C383" i="67"/>
  <c r="C343" i="67"/>
  <c r="C183" i="67"/>
  <c r="C371" i="67"/>
  <c r="F281" i="67"/>
  <c r="C341" i="67"/>
  <c r="F343" i="67"/>
  <c r="F183" i="67"/>
  <c r="F399" i="67"/>
  <c r="C23" i="67"/>
  <c r="F67" i="67"/>
  <c r="C215" i="67"/>
  <c r="C177" i="67"/>
  <c r="C153" i="67"/>
  <c r="C397" i="67"/>
  <c r="C331" i="67"/>
  <c r="C363" i="67"/>
  <c r="C465" i="67"/>
  <c r="F355" i="67"/>
  <c r="C295" i="67"/>
  <c r="F477" i="67"/>
  <c r="C483" i="67"/>
  <c r="C49" i="67"/>
  <c r="F171" i="67"/>
  <c r="F375" i="67"/>
  <c r="F147" i="67"/>
  <c r="F371" i="67"/>
  <c r="C281" i="67"/>
  <c r="C457" i="67"/>
  <c r="F93" i="67"/>
  <c r="F341" i="67"/>
  <c r="C375" i="67"/>
  <c r="C147" i="67"/>
  <c r="F457" i="67"/>
  <c r="C93" i="67"/>
  <c r="F265" i="67"/>
  <c r="F463" i="67"/>
  <c r="C491" i="67"/>
  <c r="C319" i="67"/>
  <c r="C265" i="67"/>
  <c r="F87" i="67"/>
  <c r="C419" i="67"/>
  <c r="C479" i="67"/>
  <c r="F151" i="67"/>
  <c r="C495" i="67"/>
  <c r="C345" i="67"/>
  <c r="F35" i="67"/>
  <c r="C463" i="67"/>
  <c r="F57" i="67"/>
  <c r="F491" i="67"/>
  <c r="F319" i="67"/>
  <c r="C439" i="67"/>
  <c r="F445" i="67"/>
  <c r="F119" i="67"/>
  <c r="F359" i="67"/>
  <c r="F283" i="67"/>
  <c r="F133" i="67"/>
  <c r="C203" i="67"/>
  <c r="C37" i="67"/>
  <c r="C127" i="67"/>
  <c r="F271" i="67"/>
  <c r="F451" i="67"/>
  <c r="F247" i="67"/>
  <c r="C327" i="67"/>
  <c r="C377" i="67"/>
  <c r="F79" i="67"/>
  <c r="C325" i="67"/>
  <c r="F157" i="67"/>
  <c r="C41" i="67"/>
  <c r="C113" i="67"/>
  <c r="C237" i="67"/>
  <c r="C121" i="67"/>
  <c r="F497" i="67"/>
  <c r="C413" i="67"/>
  <c r="F149" i="67"/>
  <c r="F303" i="67"/>
  <c r="F415" i="67"/>
  <c r="C305" i="67"/>
  <c r="C365" i="67"/>
  <c r="C339" i="67"/>
  <c r="C45" i="67"/>
  <c r="C157" i="67"/>
  <c r="F475" i="67"/>
  <c r="F41" i="67"/>
  <c r="F113" i="67"/>
  <c r="C285" i="67"/>
  <c r="C497" i="67"/>
  <c r="F413" i="67"/>
  <c r="F91" i="67"/>
  <c r="C453" i="67"/>
  <c r="F365" i="67"/>
  <c r="F507" i="67"/>
  <c r="C125" i="67"/>
  <c r="F179" i="67"/>
  <c r="F173" i="67"/>
  <c r="C475" i="67"/>
  <c r="F285" i="67"/>
  <c r="F83" i="67"/>
  <c r="C29" i="67"/>
  <c r="F123" i="67"/>
  <c r="C91" i="67"/>
  <c r="F453" i="67"/>
  <c r="C173" i="67"/>
  <c r="F85" i="67"/>
  <c r="F287" i="67"/>
  <c r="C85" i="67"/>
  <c r="C321" i="67"/>
  <c r="C239" i="67"/>
  <c r="F321" i="67"/>
  <c r="C9" i="67"/>
  <c r="F185" i="67"/>
  <c r="F455" i="67"/>
  <c r="F25" i="67"/>
  <c r="F367" i="67"/>
  <c r="C8" i="67"/>
  <c r="F243" i="67"/>
  <c r="F225" i="67"/>
  <c r="F501" i="67"/>
  <c r="F411" i="67"/>
  <c r="C99" i="67"/>
  <c r="C461" i="67"/>
  <c r="F485" i="67"/>
  <c r="F17" i="67"/>
  <c r="F335" i="67"/>
  <c r="C21" i="67"/>
  <c r="F351" i="67"/>
  <c r="C227" i="67"/>
  <c r="F239" i="67"/>
  <c r="C13" i="67"/>
  <c r="F427" i="67"/>
  <c r="F177" i="67"/>
  <c r="C323" i="67"/>
  <c r="F313" i="67"/>
  <c r="C489" i="67"/>
  <c r="F263" i="67"/>
  <c r="F395" i="67"/>
  <c r="F493" i="67"/>
  <c r="C329" i="67"/>
  <c r="F207" i="67"/>
  <c r="F33" i="67"/>
  <c r="F127" i="67"/>
  <c r="F323" i="67"/>
  <c r="C313" i="67"/>
  <c r="F489" i="67"/>
  <c r="C165" i="67"/>
  <c r="C79" i="67"/>
  <c r="C433" i="67"/>
  <c r="C395" i="67"/>
  <c r="F223" i="67"/>
  <c r="F201" i="67"/>
  <c r="C401" i="67"/>
  <c r="F75" i="67"/>
  <c r="C283" i="67"/>
  <c r="C447" i="67"/>
  <c r="C367" i="67"/>
  <c r="F161" i="67"/>
  <c r="F373" i="67"/>
  <c r="C205" i="67"/>
  <c r="C39" i="67"/>
  <c r="F421" i="67"/>
  <c r="F465" i="67"/>
  <c r="C449" i="67"/>
  <c r="F159" i="67"/>
  <c r="C219" i="67"/>
  <c r="C291" i="67"/>
  <c r="C251" i="67"/>
  <c r="F167" i="67"/>
  <c r="C303" i="67"/>
  <c r="F357" i="67"/>
  <c r="F117" i="67"/>
  <c r="F61" i="67"/>
  <c r="F499" i="67"/>
  <c r="F89" i="67"/>
  <c r="C485" i="67"/>
  <c r="C191" i="67"/>
  <c r="F309" i="67"/>
  <c r="F293" i="67"/>
  <c r="C245" i="67"/>
  <c r="C167" i="67"/>
  <c r="F277" i="67"/>
  <c r="C357" i="67"/>
  <c r="C117" i="67"/>
  <c r="F425" i="67"/>
  <c r="C247" i="67"/>
  <c r="C89" i="67"/>
  <c r="C209" i="67"/>
  <c r="F191" i="67"/>
  <c r="F49" i="67"/>
  <c r="F237" i="67"/>
  <c r="C381" i="67"/>
  <c r="C333" i="67"/>
  <c r="F337" i="67"/>
  <c r="C279" i="67"/>
  <c r="F471" i="67"/>
  <c r="C271" i="67"/>
  <c r="F15" i="67"/>
  <c r="C253" i="67"/>
  <c r="F459" i="67"/>
  <c r="C257" i="67"/>
  <c r="C139" i="67"/>
  <c r="F317" i="67"/>
  <c r="C445" i="67"/>
  <c r="C297" i="67"/>
  <c r="F95" i="67"/>
  <c r="C369" i="67"/>
  <c r="C149" i="67"/>
  <c r="C337" i="67"/>
  <c r="F215" i="67"/>
  <c r="C385" i="67"/>
  <c r="C169" i="67"/>
  <c r="C263" i="67"/>
  <c r="C359" i="67"/>
  <c r="C95" i="67"/>
  <c r="F369" i="67"/>
  <c r="F385" i="67"/>
  <c r="F187" i="67"/>
  <c r="F461" i="67"/>
  <c r="C477" i="67"/>
  <c r="C159" i="67"/>
  <c r="C171" i="67"/>
  <c r="F249" i="67"/>
  <c r="C33" i="67"/>
  <c r="C69" i="67"/>
  <c r="F505" i="67"/>
  <c r="C417" i="67"/>
  <c r="C373" i="67"/>
  <c r="C225" i="67"/>
  <c r="C235" i="67"/>
  <c r="F125" i="67"/>
  <c r="F63" i="67"/>
  <c r="C193" i="67"/>
  <c r="F103" i="67"/>
  <c r="F381" i="67"/>
  <c r="C207" i="67"/>
  <c r="C161" i="67"/>
  <c r="F235" i="67"/>
  <c r="C135" i="67"/>
  <c r="C17" i="67"/>
  <c r="C57" i="67"/>
  <c r="C75" i="67"/>
  <c r="C277" i="67"/>
  <c r="C467" i="67"/>
  <c r="C179" i="67"/>
  <c r="F9" i="67"/>
  <c r="C317" i="67"/>
  <c r="C435" i="67"/>
  <c r="F47" i="67"/>
  <c r="F353" i="67"/>
  <c r="F331" i="67"/>
  <c r="C403" i="67"/>
  <c r="C481" i="67"/>
  <c r="C353" i="67"/>
  <c r="C471" i="67"/>
  <c r="F403" i="67"/>
  <c r="F165" i="67"/>
  <c r="F481" i="67"/>
  <c r="F437" i="67"/>
  <c r="F251" i="67"/>
  <c r="C243" i="67"/>
  <c r="C87" i="67"/>
  <c r="F231" i="67"/>
  <c r="C19" i="67"/>
  <c r="C119" i="67"/>
  <c r="C311" i="67"/>
  <c r="C11" i="67"/>
  <c r="F397" i="67"/>
  <c r="C229" i="67"/>
  <c r="C195" i="67"/>
  <c r="C137" i="67"/>
  <c r="F203" i="67"/>
  <c r="C43" i="67"/>
  <c r="F377" i="67"/>
  <c r="C351" i="67"/>
  <c r="C269" i="67"/>
  <c r="C83" i="67"/>
  <c r="C123" i="67"/>
  <c r="CI4" i="57"/>
  <c r="F209" i="67"/>
  <c r="F443" i="67"/>
  <c r="C103" i="67"/>
  <c r="F315" i="67"/>
  <c r="F37" i="67"/>
  <c r="F339" i="67"/>
  <c r="C443" i="67"/>
  <c r="C155" i="67"/>
  <c r="C315" i="67"/>
  <c r="F441" i="67"/>
  <c r="F81" i="67"/>
  <c r="C347" i="67"/>
  <c r="C35" i="67"/>
  <c r="F139" i="67"/>
  <c r="F155" i="67"/>
  <c r="F65" i="67"/>
  <c r="C65" i="67"/>
  <c r="F267" i="67"/>
  <c r="F59" i="67"/>
  <c r="F105" i="67"/>
  <c r="C379" i="67"/>
  <c r="F199" i="67"/>
  <c r="F135" i="67"/>
  <c r="F429" i="67"/>
  <c r="C185" i="67"/>
  <c r="C455" i="67"/>
  <c r="F13" i="67"/>
  <c r="C67" i="67"/>
  <c r="C349" i="67"/>
  <c r="C211" i="67"/>
  <c r="C407" i="67"/>
  <c r="F439" i="67"/>
  <c r="F401" i="67"/>
  <c r="F417" i="67"/>
  <c r="F269" i="67"/>
  <c r="C259" i="67"/>
  <c r="C427" i="67"/>
  <c r="C255" i="67"/>
  <c r="F503" i="67"/>
  <c r="F253" i="67"/>
  <c r="F51" i="67"/>
  <c r="C59" i="67"/>
  <c r="F259" i="67"/>
  <c r="F255" i="67"/>
  <c r="C451" i="67"/>
  <c r="F69" i="67"/>
  <c r="C399" i="67"/>
  <c r="F39" i="67"/>
  <c r="C61" i="67"/>
  <c r="F213" i="67"/>
  <c r="F21" i="67"/>
  <c r="C425" i="67"/>
  <c r="F245" i="67"/>
  <c r="F11" i="67"/>
  <c r="C15" i="67"/>
  <c r="F409" i="67"/>
  <c r="F43" i="67"/>
  <c r="F297" i="67"/>
  <c r="C97" i="67"/>
  <c r="F97" i="67"/>
  <c r="C53" i="67"/>
  <c r="C267" i="67"/>
  <c r="F299" i="67"/>
  <c r="C361" i="67"/>
  <c r="F31" i="67"/>
  <c r="C507" i="67"/>
  <c r="F449" i="67"/>
  <c r="F435" i="67"/>
  <c r="C71" i="67"/>
  <c r="C469" i="67"/>
  <c r="C431" i="67"/>
  <c r="C387" i="67"/>
  <c r="C63" i="67"/>
  <c r="F473" i="67"/>
  <c r="F333" i="67"/>
  <c r="C415" i="67"/>
  <c r="C273" i="67"/>
  <c r="F483" i="67"/>
  <c r="F423" i="67"/>
  <c r="F469" i="67"/>
  <c r="F479" i="67"/>
  <c r="F487" i="67"/>
  <c r="C473" i="67"/>
  <c r="C423" i="67"/>
  <c r="C487" i="67"/>
  <c r="F107" i="67"/>
  <c r="F219" i="67"/>
  <c r="C141" i="67"/>
  <c r="F141" i="67"/>
  <c r="F145" i="67"/>
  <c r="F295" i="67"/>
  <c r="F233" i="67"/>
  <c r="C131" i="67"/>
  <c r="C231" i="67"/>
  <c r="C233" i="67"/>
  <c r="C105" i="67"/>
  <c r="F131" i="67"/>
  <c r="C55" i="67"/>
  <c r="C391" i="67"/>
  <c r="F345" i="67"/>
  <c r="C73" i="67"/>
  <c r="C393" i="67"/>
  <c r="F241" i="67"/>
  <c r="C133" i="67"/>
  <c r="F109" i="67"/>
  <c r="F495" i="67"/>
  <c r="C27" i="67"/>
  <c r="C241" i="67"/>
  <c r="F279" i="67"/>
  <c r="C503" i="67"/>
  <c r="C51" i="67"/>
  <c r="C289" i="67"/>
  <c r="C261" i="67"/>
  <c r="F229" i="67"/>
  <c r="F195" i="67"/>
  <c r="C109" i="67"/>
  <c r="F431" i="67"/>
  <c r="F467" i="67"/>
  <c r="C493" i="67"/>
  <c r="C77" i="67"/>
  <c r="C223" i="67"/>
  <c r="F153" i="67"/>
  <c r="F169" i="67"/>
  <c r="C199" i="67"/>
  <c r="C287" i="67"/>
  <c r="C201" i="67"/>
  <c r="C441" i="67"/>
  <c r="F361" i="67"/>
  <c r="F205" i="67"/>
  <c r="F301" i="67"/>
  <c r="F99" i="67"/>
  <c r="F349" i="67"/>
  <c r="F327" i="67"/>
  <c r="F273" i="67"/>
  <c r="C31" i="67"/>
  <c r="C299" i="67"/>
  <c r="F115" i="67"/>
  <c r="F447" i="67"/>
  <c r="F347" i="67"/>
  <c r="F433" i="67"/>
  <c r="C47" i="67"/>
  <c r="C143" i="67"/>
  <c r="F305" i="67"/>
  <c r="F29" i="67"/>
  <c r="C115" i="67"/>
  <c r="F363" i="67"/>
  <c r="F393" i="67"/>
  <c r="C145" i="67"/>
  <c r="C459" i="67"/>
  <c r="F53" i="67"/>
  <c r="F311" i="67"/>
  <c r="F261" i="67"/>
  <c r="F55" i="67"/>
  <c r="F77" i="67"/>
  <c r="F193" i="67"/>
  <c r="F175" i="67"/>
  <c r="F121" i="67"/>
  <c r="C335" i="67"/>
  <c r="C81" i="67"/>
  <c r="F257" i="67"/>
  <c r="F405" i="67"/>
  <c r="C111" i="67"/>
  <c r="F379" i="67"/>
  <c r="F111" i="67"/>
  <c r="C421" i="67"/>
  <c r="F45" i="67"/>
  <c r="C107" i="67"/>
  <c r="C355" i="67"/>
  <c r="F73" i="67"/>
  <c r="F211" i="67"/>
  <c r="F143" i="67"/>
  <c r="C249" i="67"/>
  <c r="F23" i="67"/>
  <c r="C25" i="67"/>
  <c r="F419" i="67"/>
  <c r="F27" i="67"/>
  <c r="F71" i="67"/>
  <c r="C197" i="67"/>
  <c r="C187" i="67"/>
  <c r="C309" i="67"/>
  <c r="F181" i="67"/>
  <c r="C411" i="67"/>
  <c r="C499" i="67"/>
  <c r="C129" i="67"/>
  <c r="F129" i="67"/>
  <c r="C429" i="67"/>
  <c r="C301" i="67"/>
  <c r="F391" i="67"/>
  <c r="F197" i="67"/>
  <c r="F325" i="67"/>
  <c r="C151" i="67"/>
  <c r="F101" i="67"/>
  <c r="C501" i="67"/>
  <c r="C409" i="67"/>
  <c r="W3" i="62" l="1"/>
  <c r="AK3" i="62"/>
  <c r="K3" i="62"/>
  <c r="M3" i="62"/>
  <c r="S3" i="62"/>
  <c r="U3" i="62"/>
  <c r="AR10" i="62"/>
  <c r="AM3" i="62"/>
  <c r="Q3" i="62"/>
  <c r="Q2" i="62" s="1"/>
  <c r="I3" i="62"/>
  <c r="H3" i="62" s="1"/>
  <c r="AE3" i="62"/>
  <c r="AE2" i="62" s="1"/>
  <c r="AC3" i="62"/>
  <c r="AB3" i="62" s="1"/>
  <c r="AO3" i="62"/>
  <c r="AO2" i="62" s="1"/>
  <c r="O3" i="62"/>
  <c r="AQ3" i="62"/>
  <c r="G409" i="67"/>
  <c r="G501" i="67"/>
  <c r="L101" i="67"/>
  <c r="I101" i="67"/>
  <c r="O101" i="67"/>
  <c r="N101" i="67"/>
  <c r="J101" i="67"/>
  <c r="M101" i="67"/>
  <c r="H100" i="67"/>
  <c r="K101" i="67"/>
  <c r="G151" i="67"/>
  <c r="M325" i="67"/>
  <c r="I325" i="67"/>
  <c r="K325" i="67"/>
  <c r="H324" i="67"/>
  <c r="O325" i="67"/>
  <c r="L325" i="67"/>
  <c r="N325" i="67"/>
  <c r="J325" i="67"/>
  <c r="K197" i="67"/>
  <c r="N197" i="67"/>
  <c r="I197" i="67"/>
  <c r="L197" i="67"/>
  <c r="H196" i="67"/>
  <c r="M197" i="67"/>
  <c r="J197" i="67"/>
  <c r="O197" i="67"/>
  <c r="H390" i="67"/>
  <c r="O391" i="67"/>
  <c r="L391" i="67"/>
  <c r="N391" i="67"/>
  <c r="J391" i="67"/>
  <c r="I391" i="67"/>
  <c r="K391" i="67"/>
  <c r="M391" i="67"/>
  <c r="G301" i="67"/>
  <c r="G429" i="67"/>
  <c r="H128" i="67"/>
  <c r="N129" i="67"/>
  <c r="L129" i="67"/>
  <c r="M129" i="67"/>
  <c r="O129" i="67"/>
  <c r="I129" i="67"/>
  <c r="K129" i="67"/>
  <c r="J129" i="67"/>
  <c r="G129" i="67"/>
  <c r="G499" i="67"/>
  <c r="G411" i="67"/>
  <c r="H180" i="67"/>
  <c r="N181" i="67"/>
  <c r="O181" i="67"/>
  <c r="L181" i="67"/>
  <c r="J181" i="67"/>
  <c r="K181" i="67"/>
  <c r="M181" i="67"/>
  <c r="I181" i="67"/>
  <c r="G309" i="67"/>
  <c r="G187" i="67"/>
  <c r="G197" i="67"/>
  <c r="O71" i="67"/>
  <c r="H70" i="67"/>
  <c r="I71" i="67"/>
  <c r="K71" i="67"/>
  <c r="M71" i="67"/>
  <c r="N71" i="67"/>
  <c r="J71" i="67"/>
  <c r="L71" i="67"/>
  <c r="N27" i="67"/>
  <c r="M27" i="67"/>
  <c r="I27" i="67"/>
  <c r="O27" i="67"/>
  <c r="J27" i="67"/>
  <c r="L27" i="67"/>
  <c r="K27" i="67"/>
  <c r="H26" i="67"/>
  <c r="I419" i="67"/>
  <c r="J419" i="67"/>
  <c r="K419" i="67"/>
  <c r="L419" i="67"/>
  <c r="O419" i="67"/>
  <c r="H418" i="67"/>
  <c r="N419" i="67"/>
  <c r="M419" i="67"/>
  <c r="G25" i="67"/>
  <c r="N23" i="67"/>
  <c r="J23" i="67"/>
  <c r="O23" i="67"/>
  <c r="I23" i="67"/>
  <c r="M23" i="67"/>
  <c r="K23" i="67"/>
  <c r="H22" i="67"/>
  <c r="L23" i="67"/>
  <c r="G249" i="67"/>
  <c r="H142" i="67"/>
  <c r="L143" i="67"/>
  <c r="J143" i="67"/>
  <c r="N143" i="67"/>
  <c r="K143" i="67"/>
  <c r="O143" i="67"/>
  <c r="M143" i="67"/>
  <c r="I143" i="67"/>
  <c r="H210" i="67"/>
  <c r="M211" i="67"/>
  <c r="I211" i="67"/>
  <c r="N211" i="67"/>
  <c r="K211" i="67"/>
  <c r="O211" i="67"/>
  <c r="J211" i="67"/>
  <c r="L211" i="67"/>
  <c r="N73" i="67"/>
  <c r="M73" i="67"/>
  <c r="H72" i="67"/>
  <c r="O73" i="67"/>
  <c r="I73" i="67"/>
  <c r="L73" i="67"/>
  <c r="K73" i="67"/>
  <c r="J73" i="67"/>
  <c r="G355" i="67"/>
  <c r="G107" i="67"/>
  <c r="I45" i="67"/>
  <c r="N45" i="67"/>
  <c r="H44" i="67"/>
  <c r="K45" i="67"/>
  <c r="L45" i="67"/>
  <c r="M45" i="67"/>
  <c r="J45" i="67"/>
  <c r="O45" i="67"/>
  <c r="G421" i="67"/>
  <c r="L111" i="67"/>
  <c r="M111" i="67"/>
  <c r="H110" i="67"/>
  <c r="K111" i="67"/>
  <c r="J111" i="67"/>
  <c r="O111" i="67"/>
  <c r="N111" i="67"/>
  <c r="I111" i="67"/>
  <c r="J379" i="67"/>
  <c r="O379" i="67"/>
  <c r="N379" i="67"/>
  <c r="M379" i="67"/>
  <c r="K379" i="67"/>
  <c r="L379" i="67"/>
  <c r="H378" i="67"/>
  <c r="I379" i="67"/>
  <c r="G111" i="67"/>
  <c r="K405" i="67"/>
  <c r="M405" i="67"/>
  <c r="O405" i="67"/>
  <c r="H404" i="67"/>
  <c r="N405" i="67"/>
  <c r="L405" i="67"/>
  <c r="I405" i="67"/>
  <c r="J405" i="67"/>
  <c r="I257" i="67"/>
  <c r="K257" i="67"/>
  <c r="H256" i="67"/>
  <c r="M257" i="67"/>
  <c r="L257" i="67"/>
  <c r="J257" i="67"/>
  <c r="O257" i="67"/>
  <c r="N257" i="67"/>
  <c r="G81" i="67"/>
  <c r="G335" i="67"/>
  <c r="K121" i="67"/>
  <c r="I121" i="67"/>
  <c r="H120" i="67"/>
  <c r="L121" i="67"/>
  <c r="J121" i="67"/>
  <c r="O121" i="67"/>
  <c r="N121" i="67"/>
  <c r="M121" i="67"/>
  <c r="J175" i="67"/>
  <c r="I175" i="67"/>
  <c r="O175" i="67"/>
  <c r="K175" i="67"/>
  <c r="H174" i="67"/>
  <c r="M175" i="67"/>
  <c r="L175" i="67"/>
  <c r="N175" i="67"/>
  <c r="L193" i="67"/>
  <c r="J193" i="67"/>
  <c r="I193" i="67"/>
  <c r="K193" i="67"/>
  <c r="M193" i="67"/>
  <c r="N193" i="67"/>
  <c r="O193" i="67"/>
  <c r="H192" i="67"/>
  <c r="J77" i="67"/>
  <c r="K77" i="67"/>
  <c r="O77" i="67"/>
  <c r="H76" i="67"/>
  <c r="L77" i="67"/>
  <c r="N77" i="67"/>
  <c r="I77" i="67"/>
  <c r="M77" i="67"/>
  <c r="N55" i="67"/>
  <c r="J55" i="67"/>
  <c r="O55" i="67"/>
  <c r="K55" i="67"/>
  <c r="L55" i="67"/>
  <c r="M55" i="67"/>
  <c r="I55" i="67"/>
  <c r="H54" i="67"/>
  <c r="M261" i="67"/>
  <c r="J261" i="67"/>
  <c r="O261" i="67"/>
  <c r="L261" i="67"/>
  <c r="K261" i="67"/>
  <c r="I261" i="67"/>
  <c r="N261" i="67"/>
  <c r="H260" i="67"/>
  <c r="K311" i="67"/>
  <c r="N311" i="67"/>
  <c r="J311" i="67"/>
  <c r="I311" i="67"/>
  <c r="L311" i="67"/>
  <c r="M311" i="67"/>
  <c r="H310" i="67"/>
  <c r="O311" i="67"/>
  <c r="N53" i="67"/>
  <c r="K53" i="67"/>
  <c r="L53" i="67"/>
  <c r="H52" i="67"/>
  <c r="O53" i="67"/>
  <c r="J53" i="67"/>
  <c r="M53" i="67"/>
  <c r="I53" i="67"/>
  <c r="G459" i="67"/>
  <c r="G145" i="67"/>
  <c r="I393" i="67"/>
  <c r="J393" i="67"/>
  <c r="H392" i="67"/>
  <c r="O393" i="67"/>
  <c r="M393" i="67"/>
  <c r="N393" i="67"/>
  <c r="L393" i="67"/>
  <c r="K393" i="67"/>
  <c r="J363" i="67"/>
  <c r="I363" i="67"/>
  <c r="O363" i="67"/>
  <c r="K363" i="67"/>
  <c r="M363" i="67"/>
  <c r="H362" i="67"/>
  <c r="L363" i="67"/>
  <c r="N363" i="67"/>
  <c r="G115" i="67"/>
  <c r="M29" i="67"/>
  <c r="L29" i="67"/>
  <c r="O29" i="67"/>
  <c r="N29" i="67"/>
  <c r="H28" i="67"/>
  <c r="K29" i="67"/>
  <c r="J29" i="67"/>
  <c r="I29" i="67"/>
  <c r="I305" i="67"/>
  <c r="N305" i="67"/>
  <c r="H304" i="67"/>
  <c r="J305" i="67"/>
  <c r="O305" i="67"/>
  <c r="M305" i="67"/>
  <c r="L305" i="67"/>
  <c r="K305" i="67"/>
  <c r="G143" i="67"/>
  <c r="G47" i="67"/>
  <c r="M433" i="67"/>
  <c r="H432" i="67"/>
  <c r="K433" i="67"/>
  <c r="O433" i="67"/>
  <c r="I433" i="67"/>
  <c r="L433" i="67"/>
  <c r="N433" i="67"/>
  <c r="J433" i="67"/>
  <c r="L347" i="67"/>
  <c r="K347" i="67"/>
  <c r="J347" i="67"/>
  <c r="I347" i="67"/>
  <c r="H346" i="67"/>
  <c r="N347" i="67"/>
  <c r="O347" i="67"/>
  <c r="M347" i="67"/>
  <c r="M447" i="67"/>
  <c r="H446" i="67"/>
  <c r="O447" i="67"/>
  <c r="N447" i="67"/>
  <c r="I447" i="67"/>
  <c r="J447" i="67"/>
  <c r="L447" i="67"/>
  <c r="K447" i="67"/>
  <c r="H114" i="67"/>
  <c r="I115" i="67"/>
  <c r="N115" i="67"/>
  <c r="L115" i="67"/>
  <c r="K115" i="67"/>
  <c r="O115" i="67"/>
  <c r="J115" i="67"/>
  <c r="M115" i="67"/>
  <c r="G299" i="67"/>
  <c r="G31" i="67"/>
  <c r="O273" i="67"/>
  <c r="M273" i="67"/>
  <c r="J273" i="67"/>
  <c r="N273" i="67"/>
  <c r="H272" i="67"/>
  <c r="L273" i="67"/>
  <c r="I273" i="67"/>
  <c r="K273" i="67"/>
  <c r="M327" i="67"/>
  <c r="L327" i="67"/>
  <c r="I327" i="67"/>
  <c r="J327" i="67"/>
  <c r="N327" i="67"/>
  <c r="K327" i="67"/>
  <c r="H326" i="67"/>
  <c r="O327" i="67"/>
  <c r="L349" i="67"/>
  <c r="O349" i="67"/>
  <c r="M349" i="67"/>
  <c r="K349" i="67"/>
  <c r="N349" i="67"/>
  <c r="I349" i="67"/>
  <c r="H348" i="67"/>
  <c r="J349" i="67"/>
  <c r="L99" i="67"/>
  <c r="N99" i="67"/>
  <c r="H98" i="67"/>
  <c r="J99" i="67"/>
  <c r="K99" i="67"/>
  <c r="O99" i="67"/>
  <c r="I99" i="67"/>
  <c r="M99" i="67"/>
  <c r="H300" i="67"/>
  <c r="N301" i="67"/>
  <c r="M301" i="67"/>
  <c r="J301" i="67"/>
  <c r="I301" i="67"/>
  <c r="L301" i="67"/>
  <c r="O301" i="67"/>
  <c r="K301" i="67"/>
  <c r="L205" i="67"/>
  <c r="N205" i="67"/>
  <c r="H204" i="67"/>
  <c r="I205" i="67"/>
  <c r="K205" i="67"/>
  <c r="O205" i="67"/>
  <c r="M205" i="67"/>
  <c r="J205" i="67"/>
  <c r="I361" i="67"/>
  <c r="J361" i="67"/>
  <c r="N361" i="67"/>
  <c r="H360" i="67"/>
  <c r="O361" i="67"/>
  <c r="M361" i="67"/>
  <c r="L361" i="67"/>
  <c r="K361" i="67"/>
  <c r="G441" i="67"/>
  <c r="G201" i="67"/>
  <c r="G287" i="67"/>
  <c r="G199" i="67"/>
  <c r="L169" i="67"/>
  <c r="M169" i="67"/>
  <c r="H168" i="67"/>
  <c r="J169" i="67"/>
  <c r="K169" i="67"/>
  <c r="I169" i="67"/>
  <c r="N169" i="67"/>
  <c r="O169" i="67"/>
  <c r="M153" i="67"/>
  <c r="H152" i="67"/>
  <c r="I153" i="67"/>
  <c r="N153" i="67"/>
  <c r="O153" i="67"/>
  <c r="K153" i="67"/>
  <c r="L153" i="67"/>
  <c r="J153" i="67"/>
  <c r="G223" i="67"/>
  <c r="G77" i="67"/>
  <c r="G493" i="67"/>
  <c r="O467" i="67"/>
  <c r="I467" i="67"/>
  <c r="M467" i="67"/>
  <c r="J467" i="67"/>
  <c r="N467" i="67"/>
  <c r="L467" i="67"/>
  <c r="K467" i="67"/>
  <c r="H466" i="67"/>
  <c r="M431" i="67"/>
  <c r="J431" i="67"/>
  <c r="I431" i="67"/>
  <c r="L431" i="67"/>
  <c r="N431" i="67"/>
  <c r="K431" i="67"/>
  <c r="H430" i="67"/>
  <c r="O431" i="67"/>
  <c r="G109" i="67"/>
  <c r="L195" i="67"/>
  <c r="K195" i="67"/>
  <c r="J195" i="67"/>
  <c r="I195" i="67"/>
  <c r="H194" i="67"/>
  <c r="O195" i="67"/>
  <c r="N195" i="67"/>
  <c r="M195" i="67"/>
  <c r="H228" i="67"/>
  <c r="M229" i="67"/>
  <c r="J229" i="67"/>
  <c r="O229" i="67"/>
  <c r="L229" i="67"/>
  <c r="K229" i="67"/>
  <c r="I229" i="67"/>
  <c r="N229" i="67"/>
  <c r="G261" i="67"/>
  <c r="G289" i="67"/>
  <c r="G51" i="67"/>
  <c r="G503" i="67"/>
  <c r="M279" i="67"/>
  <c r="J279" i="67"/>
  <c r="K279" i="67"/>
  <c r="H278" i="67"/>
  <c r="N279" i="67"/>
  <c r="I279" i="67"/>
  <c r="O279" i="67"/>
  <c r="L279" i="67"/>
  <c r="G241" i="67"/>
  <c r="G27" i="67"/>
  <c r="O495" i="67"/>
  <c r="M495" i="67"/>
  <c r="H494" i="67"/>
  <c r="J495" i="67"/>
  <c r="L495" i="67"/>
  <c r="K495" i="67"/>
  <c r="I495" i="67"/>
  <c r="N495" i="67"/>
  <c r="K109" i="67"/>
  <c r="H108" i="67"/>
  <c r="M109" i="67"/>
  <c r="I109" i="67"/>
  <c r="O109" i="67"/>
  <c r="J109" i="67"/>
  <c r="N109" i="67"/>
  <c r="L109" i="67"/>
  <c r="G133" i="67"/>
  <c r="K241" i="67"/>
  <c r="J241" i="67"/>
  <c r="N241" i="67"/>
  <c r="I241" i="67"/>
  <c r="M241" i="67"/>
  <c r="L241" i="67"/>
  <c r="H240" i="67"/>
  <c r="O241" i="67"/>
  <c r="G393" i="67"/>
  <c r="G73" i="67"/>
  <c r="L345" i="67"/>
  <c r="N345" i="67"/>
  <c r="M345" i="67"/>
  <c r="O345" i="67"/>
  <c r="K345" i="67"/>
  <c r="J345" i="67"/>
  <c r="H344" i="67"/>
  <c r="I345" i="67"/>
  <c r="G391" i="67"/>
  <c r="G55" i="67"/>
  <c r="O131" i="67"/>
  <c r="I131" i="67"/>
  <c r="L131" i="67"/>
  <c r="H130" i="67"/>
  <c r="K131" i="67"/>
  <c r="M131" i="67"/>
  <c r="J131" i="67"/>
  <c r="N131" i="67"/>
  <c r="G105" i="67"/>
  <c r="G233" i="67"/>
  <c r="G231" i="67"/>
  <c r="G131" i="67"/>
  <c r="I233" i="67"/>
  <c r="N233" i="67"/>
  <c r="J233" i="67"/>
  <c r="L233" i="67"/>
  <c r="H232" i="67"/>
  <c r="K233" i="67"/>
  <c r="O233" i="67"/>
  <c r="M233" i="67"/>
  <c r="K295" i="67"/>
  <c r="H294" i="67"/>
  <c r="M295" i="67"/>
  <c r="N295" i="67"/>
  <c r="O295" i="67"/>
  <c r="J295" i="67"/>
  <c r="L295" i="67"/>
  <c r="I295" i="67"/>
  <c r="H144" i="67"/>
  <c r="O145" i="67"/>
  <c r="N145" i="67"/>
  <c r="J145" i="67"/>
  <c r="I145" i="67"/>
  <c r="L145" i="67"/>
  <c r="K145" i="67"/>
  <c r="M145" i="67"/>
  <c r="J141" i="67"/>
  <c r="M141" i="67"/>
  <c r="L141" i="67"/>
  <c r="N141" i="67"/>
  <c r="O141" i="67"/>
  <c r="H140" i="67"/>
  <c r="K141" i="67"/>
  <c r="I141" i="67"/>
  <c r="G141" i="67"/>
  <c r="H218" i="67"/>
  <c r="M219" i="67"/>
  <c r="J219" i="67"/>
  <c r="O219" i="67"/>
  <c r="K219" i="67"/>
  <c r="N219" i="67"/>
  <c r="L219" i="67"/>
  <c r="I219" i="67"/>
  <c r="O107" i="67"/>
  <c r="N107" i="67"/>
  <c r="L107" i="67"/>
  <c r="K107" i="67"/>
  <c r="M107" i="67"/>
  <c r="J107" i="67"/>
  <c r="H106" i="67"/>
  <c r="I107" i="67"/>
  <c r="G487" i="67"/>
  <c r="G423" i="67"/>
  <c r="G473" i="67"/>
  <c r="H486" i="67"/>
  <c r="N487" i="67"/>
  <c r="L487" i="67"/>
  <c r="M487" i="67"/>
  <c r="J487" i="67"/>
  <c r="K487" i="67"/>
  <c r="O487" i="67"/>
  <c r="I487" i="67"/>
  <c r="O479" i="67"/>
  <c r="I479" i="67"/>
  <c r="L479" i="67"/>
  <c r="H478" i="67"/>
  <c r="N479" i="67"/>
  <c r="J479" i="67"/>
  <c r="M479" i="67"/>
  <c r="K479" i="67"/>
  <c r="K469" i="67"/>
  <c r="M469" i="67"/>
  <c r="L469" i="67"/>
  <c r="O469" i="67"/>
  <c r="H468" i="67"/>
  <c r="J469" i="67"/>
  <c r="I469" i="67"/>
  <c r="N469" i="67"/>
  <c r="I423" i="67"/>
  <c r="J423" i="67"/>
  <c r="O423" i="67"/>
  <c r="M423" i="67"/>
  <c r="K423" i="67"/>
  <c r="H422" i="67"/>
  <c r="L423" i="67"/>
  <c r="N423" i="67"/>
  <c r="L483" i="67"/>
  <c r="M483" i="67"/>
  <c r="I483" i="67"/>
  <c r="K483" i="67"/>
  <c r="O483" i="67"/>
  <c r="J483" i="67"/>
  <c r="N483" i="67"/>
  <c r="H482" i="67"/>
  <c r="G273" i="67"/>
  <c r="G415" i="67"/>
  <c r="L333" i="67"/>
  <c r="O333" i="67"/>
  <c r="M333" i="67"/>
  <c r="N333" i="67"/>
  <c r="I333" i="67"/>
  <c r="H332" i="67"/>
  <c r="K333" i="67"/>
  <c r="J333" i="67"/>
  <c r="L473" i="67"/>
  <c r="M473" i="67"/>
  <c r="J473" i="67"/>
  <c r="N473" i="67"/>
  <c r="K473" i="67"/>
  <c r="O473" i="67"/>
  <c r="I473" i="67"/>
  <c r="H472" i="67"/>
  <c r="G63" i="67"/>
  <c r="G387" i="67"/>
  <c r="G431" i="67"/>
  <c r="G469" i="67"/>
  <c r="G71" i="67"/>
  <c r="K435" i="67"/>
  <c r="I435" i="67"/>
  <c r="J435" i="67"/>
  <c r="O435" i="67"/>
  <c r="H434" i="67"/>
  <c r="N435" i="67"/>
  <c r="M435" i="67"/>
  <c r="L435" i="67"/>
  <c r="H448" i="67"/>
  <c r="J449" i="67"/>
  <c r="K449" i="67"/>
  <c r="I449" i="67"/>
  <c r="L449" i="67"/>
  <c r="M449" i="67"/>
  <c r="O449" i="67"/>
  <c r="N449" i="67"/>
  <c r="G507" i="67"/>
  <c r="M31" i="67"/>
  <c r="H30" i="67"/>
  <c r="J31" i="67"/>
  <c r="I31" i="67"/>
  <c r="K31" i="67"/>
  <c r="N31" i="67"/>
  <c r="O31" i="67"/>
  <c r="L31" i="67"/>
  <c r="G361" i="67"/>
  <c r="M299" i="67"/>
  <c r="O299" i="67"/>
  <c r="N299" i="67"/>
  <c r="K299" i="67"/>
  <c r="H298" i="67"/>
  <c r="I299" i="67"/>
  <c r="L299" i="67"/>
  <c r="J299" i="67"/>
  <c r="G267" i="67"/>
  <c r="G53" i="67"/>
  <c r="L97" i="67"/>
  <c r="N97" i="67"/>
  <c r="O97" i="67"/>
  <c r="J97" i="67"/>
  <c r="H96" i="67"/>
  <c r="I97" i="67"/>
  <c r="K97" i="67"/>
  <c r="M97" i="67"/>
  <c r="G97" i="67"/>
  <c r="H296" i="67"/>
  <c r="J297" i="67"/>
  <c r="O297" i="67"/>
  <c r="L297" i="67"/>
  <c r="N297" i="67"/>
  <c r="M297" i="67"/>
  <c r="I297" i="67"/>
  <c r="K297" i="67"/>
  <c r="I43" i="67"/>
  <c r="L43" i="67"/>
  <c r="N43" i="67"/>
  <c r="H42" i="67"/>
  <c r="M43" i="67"/>
  <c r="J43" i="67"/>
  <c r="O43" i="67"/>
  <c r="K43" i="67"/>
  <c r="H408" i="67"/>
  <c r="O409" i="67"/>
  <c r="J409" i="67"/>
  <c r="M409" i="67"/>
  <c r="N409" i="67"/>
  <c r="I409" i="67"/>
  <c r="K409" i="67"/>
  <c r="L409" i="67"/>
  <c r="G15" i="67"/>
  <c r="H10" i="67"/>
  <c r="O11" i="67"/>
  <c r="N11" i="67"/>
  <c r="L11" i="67"/>
  <c r="I11" i="67"/>
  <c r="M11" i="67"/>
  <c r="J11" i="67"/>
  <c r="K11" i="67"/>
  <c r="I245" i="67"/>
  <c r="M245" i="67"/>
  <c r="N245" i="67"/>
  <c r="O245" i="67"/>
  <c r="L245" i="67"/>
  <c r="J245" i="67"/>
  <c r="K245" i="67"/>
  <c r="H244" i="67"/>
  <c r="G425" i="67"/>
  <c r="L21" i="67"/>
  <c r="H20" i="67"/>
  <c r="N21" i="67"/>
  <c r="J21" i="67"/>
  <c r="K21" i="67"/>
  <c r="O21" i="67"/>
  <c r="M21" i="67"/>
  <c r="I21" i="67"/>
  <c r="O213" i="67"/>
  <c r="N213" i="67"/>
  <c r="J213" i="67"/>
  <c r="L213" i="67"/>
  <c r="M213" i="67"/>
  <c r="K213" i="67"/>
  <c r="H212" i="67"/>
  <c r="I213" i="67"/>
  <c r="G61" i="67"/>
  <c r="K39" i="67"/>
  <c r="H38" i="67"/>
  <c r="L39" i="67"/>
  <c r="O39" i="67"/>
  <c r="M39" i="67"/>
  <c r="I39" i="67"/>
  <c r="J39" i="67"/>
  <c r="N39" i="67"/>
  <c r="G399" i="67"/>
  <c r="J69" i="67"/>
  <c r="K69" i="67"/>
  <c r="M69" i="67"/>
  <c r="H68" i="67"/>
  <c r="O69" i="67"/>
  <c r="I69" i="67"/>
  <c r="L69" i="67"/>
  <c r="N69" i="67"/>
  <c r="G451" i="67"/>
  <c r="N255" i="67"/>
  <c r="K255" i="67"/>
  <c r="L255" i="67"/>
  <c r="J255" i="67"/>
  <c r="H254" i="67"/>
  <c r="O255" i="67"/>
  <c r="M255" i="67"/>
  <c r="I255" i="67"/>
  <c r="M259" i="67"/>
  <c r="I259" i="67"/>
  <c r="H258" i="67"/>
  <c r="K259" i="67"/>
  <c r="O259" i="67"/>
  <c r="L259" i="67"/>
  <c r="J259" i="67"/>
  <c r="N259" i="67"/>
  <c r="G59" i="67"/>
  <c r="H50" i="67"/>
  <c r="L51" i="67"/>
  <c r="K51" i="67"/>
  <c r="N51" i="67"/>
  <c r="I51" i="67"/>
  <c r="J51" i="67"/>
  <c r="M51" i="67"/>
  <c r="O51" i="67"/>
  <c r="J253" i="67"/>
  <c r="M253" i="67"/>
  <c r="H252" i="67"/>
  <c r="I253" i="67"/>
  <c r="K253" i="67"/>
  <c r="L253" i="67"/>
  <c r="N253" i="67"/>
  <c r="O253" i="67"/>
  <c r="H502" i="67"/>
  <c r="O503" i="67"/>
  <c r="L503" i="67"/>
  <c r="N503" i="67"/>
  <c r="I503" i="67"/>
  <c r="J503" i="67"/>
  <c r="K503" i="67"/>
  <c r="M503" i="67"/>
  <c r="G255" i="67"/>
  <c r="G427" i="67"/>
  <c r="G259" i="67"/>
  <c r="O269" i="67"/>
  <c r="M269" i="67"/>
  <c r="N269" i="67"/>
  <c r="K269" i="67"/>
  <c r="J269" i="67"/>
  <c r="H268" i="67"/>
  <c r="L269" i="67"/>
  <c r="I269" i="67"/>
  <c r="J417" i="67"/>
  <c r="K417" i="67"/>
  <c r="H416" i="67"/>
  <c r="O417" i="67"/>
  <c r="I417" i="67"/>
  <c r="N417" i="67"/>
  <c r="M417" i="67"/>
  <c r="L417" i="67"/>
  <c r="L401" i="67"/>
  <c r="O401" i="67"/>
  <c r="H400" i="67"/>
  <c r="I401" i="67"/>
  <c r="K401" i="67"/>
  <c r="N401" i="67"/>
  <c r="J401" i="67"/>
  <c r="M401" i="67"/>
  <c r="I439" i="67"/>
  <c r="O439" i="67"/>
  <c r="H438" i="67"/>
  <c r="M439" i="67"/>
  <c r="J439" i="67"/>
  <c r="K439" i="67"/>
  <c r="N439" i="67"/>
  <c r="L439" i="67"/>
  <c r="G407" i="67"/>
  <c r="G211" i="67"/>
  <c r="G349" i="67"/>
  <c r="G67" i="67"/>
  <c r="L13" i="67"/>
  <c r="O13" i="67"/>
  <c r="N13" i="67"/>
  <c r="H12" i="67"/>
  <c r="K13" i="67"/>
  <c r="I13" i="67"/>
  <c r="M13" i="67"/>
  <c r="J13" i="67"/>
  <c r="G455" i="67"/>
  <c r="G185" i="67"/>
  <c r="K429" i="67"/>
  <c r="J429" i="67"/>
  <c r="N429" i="67"/>
  <c r="L429" i="67"/>
  <c r="M429" i="67"/>
  <c r="O429" i="67"/>
  <c r="H428" i="67"/>
  <c r="I429" i="67"/>
  <c r="O135" i="67"/>
  <c r="K135" i="67"/>
  <c r="H134" i="67"/>
  <c r="J135" i="67"/>
  <c r="N135" i="67"/>
  <c r="I135" i="67"/>
  <c r="L135" i="67"/>
  <c r="M135" i="67"/>
  <c r="N199" i="67"/>
  <c r="H198" i="67"/>
  <c r="K199" i="67"/>
  <c r="L199" i="67"/>
  <c r="M199" i="67"/>
  <c r="J199" i="67"/>
  <c r="O199" i="67"/>
  <c r="I199" i="67"/>
  <c r="G379" i="67"/>
  <c r="J105" i="67"/>
  <c r="M105" i="67"/>
  <c r="K105" i="67"/>
  <c r="H104" i="67"/>
  <c r="N105" i="67"/>
  <c r="L105" i="67"/>
  <c r="I105" i="67"/>
  <c r="O105" i="67"/>
  <c r="L59" i="67"/>
  <c r="N59" i="67"/>
  <c r="M59" i="67"/>
  <c r="H58" i="67"/>
  <c r="O59" i="67"/>
  <c r="J59" i="67"/>
  <c r="K59" i="67"/>
  <c r="I59" i="67"/>
  <c r="O267" i="67"/>
  <c r="I267" i="67"/>
  <c r="M267" i="67"/>
  <c r="J267" i="67"/>
  <c r="N267" i="67"/>
  <c r="H266" i="67"/>
  <c r="K267" i="67"/>
  <c r="L267" i="67"/>
  <c r="G65" i="67"/>
  <c r="L65" i="67"/>
  <c r="N65" i="67"/>
  <c r="H64" i="67"/>
  <c r="M65" i="67"/>
  <c r="O65" i="67"/>
  <c r="K65" i="67"/>
  <c r="J65" i="67"/>
  <c r="I65" i="67"/>
  <c r="N155" i="67"/>
  <c r="I155" i="67"/>
  <c r="O155" i="67"/>
  <c r="K155" i="67"/>
  <c r="H154" i="67"/>
  <c r="M155" i="67"/>
  <c r="L155" i="67"/>
  <c r="J155" i="67"/>
  <c r="O139" i="67"/>
  <c r="L139" i="67"/>
  <c r="J139" i="67"/>
  <c r="M139" i="67"/>
  <c r="N139" i="67"/>
  <c r="K139" i="67"/>
  <c r="I139" i="67"/>
  <c r="H138" i="67"/>
  <c r="G35" i="67"/>
  <c r="G347" i="67"/>
  <c r="H80" i="67"/>
  <c r="O81" i="67"/>
  <c r="I81" i="67"/>
  <c r="K81" i="67"/>
  <c r="M81" i="67"/>
  <c r="J81" i="67"/>
  <c r="N81" i="67"/>
  <c r="L81" i="67"/>
  <c r="O441" i="67"/>
  <c r="I441" i="67"/>
  <c r="H440" i="67"/>
  <c r="L441" i="67"/>
  <c r="K441" i="67"/>
  <c r="J441" i="67"/>
  <c r="M441" i="67"/>
  <c r="N441" i="67"/>
  <c r="G315" i="67"/>
  <c r="G155" i="67"/>
  <c r="G443" i="67"/>
  <c r="N339" i="67"/>
  <c r="M339" i="67"/>
  <c r="H338" i="67"/>
  <c r="I339" i="67"/>
  <c r="L339" i="67"/>
  <c r="J339" i="67"/>
  <c r="K339" i="67"/>
  <c r="O339" i="67"/>
  <c r="K37" i="67"/>
  <c r="L37" i="67"/>
  <c r="O37" i="67"/>
  <c r="I37" i="67"/>
  <c r="J37" i="67"/>
  <c r="M37" i="67"/>
  <c r="N37" i="67"/>
  <c r="H36" i="67"/>
  <c r="I315" i="67"/>
  <c r="H314" i="67"/>
  <c r="J315" i="67"/>
  <c r="K315" i="67"/>
  <c r="M315" i="67"/>
  <c r="L315" i="67"/>
  <c r="O315" i="67"/>
  <c r="N315" i="67"/>
  <c r="G103" i="67"/>
  <c r="O443" i="67"/>
  <c r="M443" i="67"/>
  <c r="K443" i="67"/>
  <c r="J443" i="67"/>
  <c r="H442" i="67"/>
  <c r="N443" i="67"/>
  <c r="I443" i="67"/>
  <c r="L443" i="67"/>
  <c r="L209" i="67"/>
  <c r="O209" i="67"/>
  <c r="J209" i="67"/>
  <c r="M209" i="67"/>
  <c r="H208" i="67"/>
  <c r="I209" i="67"/>
  <c r="K209" i="67"/>
  <c r="N209" i="67"/>
  <c r="AS4" i="57"/>
  <c r="AT4" i="57" s="1"/>
  <c r="AU4" i="57" s="1"/>
  <c r="AV4" i="57" s="1"/>
  <c r="AW4" i="57" s="1"/>
  <c r="AX4" i="57" s="1"/>
  <c r="AY4" i="57" s="1"/>
  <c r="AZ4" i="57" s="1"/>
  <c r="BA4" i="57" s="1"/>
  <c r="BB4" i="57" s="1"/>
  <c r="BC4" i="57" s="1"/>
  <c r="BD4" i="57" s="1"/>
  <c r="BE4" i="57" s="1"/>
  <c r="BF4" i="57" s="1"/>
  <c r="BG4" i="57" s="1"/>
  <c r="BH4" i="57" s="1"/>
  <c r="BI4" i="57" s="1"/>
  <c r="G123" i="67"/>
  <c r="G83" i="67"/>
  <c r="G269" i="67"/>
  <c r="G351" i="67"/>
  <c r="H376" i="67"/>
  <c r="N377" i="67"/>
  <c r="I377" i="67"/>
  <c r="M377" i="67"/>
  <c r="J377" i="67"/>
  <c r="K377" i="67"/>
  <c r="O377" i="67"/>
  <c r="L377" i="67"/>
  <c r="G43" i="67"/>
  <c r="K203" i="67"/>
  <c r="L203" i="67"/>
  <c r="N203" i="67"/>
  <c r="J203" i="67"/>
  <c r="M203" i="67"/>
  <c r="I203" i="67"/>
  <c r="O203" i="67"/>
  <c r="H202" i="67"/>
  <c r="G137" i="67"/>
  <c r="G195" i="67"/>
  <c r="G229" i="67"/>
  <c r="K397" i="67"/>
  <c r="N397" i="67"/>
  <c r="M397" i="67"/>
  <c r="O397" i="67"/>
  <c r="J397" i="67"/>
  <c r="H396" i="67"/>
  <c r="L397" i="67"/>
  <c r="I397" i="67"/>
  <c r="G11" i="67"/>
  <c r="G311" i="67"/>
  <c r="G119" i="67"/>
  <c r="G19" i="67"/>
  <c r="H230" i="67"/>
  <c r="J231" i="67"/>
  <c r="N231" i="67"/>
  <c r="O231" i="67"/>
  <c r="M231" i="67"/>
  <c r="L231" i="67"/>
  <c r="I231" i="67"/>
  <c r="K231" i="67"/>
  <c r="G87" i="67"/>
  <c r="G243" i="67"/>
  <c r="N251" i="67"/>
  <c r="H250" i="67"/>
  <c r="L251" i="67"/>
  <c r="M251" i="67"/>
  <c r="I251" i="67"/>
  <c r="J251" i="67"/>
  <c r="O251" i="67"/>
  <c r="K251" i="67"/>
  <c r="L437" i="67"/>
  <c r="J437" i="67"/>
  <c r="N437" i="67"/>
  <c r="H436" i="67"/>
  <c r="O437" i="67"/>
  <c r="M437" i="67"/>
  <c r="K437" i="67"/>
  <c r="I437" i="67"/>
  <c r="J481" i="67"/>
  <c r="O481" i="67"/>
  <c r="H480" i="67"/>
  <c r="I481" i="67"/>
  <c r="L481" i="67"/>
  <c r="N481" i="67"/>
  <c r="M481" i="67"/>
  <c r="K481" i="67"/>
  <c r="I165" i="67"/>
  <c r="K165" i="67"/>
  <c r="L165" i="67"/>
  <c r="N165" i="67"/>
  <c r="J165" i="67"/>
  <c r="M165" i="67"/>
  <c r="H164" i="67"/>
  <c r="O165" i="67"/>
  <c r="K403" i="67"/>
  <c r="H402" i="67"/>
  <c r="L403" i="67"/>
  <c r="J403" i="67"/>
  <c r="I403" i="67"/>
  <c r="M403" i="67"/>
  <c r="O403" i="67"/>
  <c r="N403" i="67"/>
  <c r="G471" i="67"/>
  <c r="G353" i="67"/>
  <c r="G481" i="67"/>
  <c r="G403" i="67"/>
  <c r="M331" i="67"/>
  <c r="N331" i="67"/>
  <c r="J331" i="67"/>
  <c r="L331" i="67"/>
  <c r="O331" i="67"/>
  <c r="H330" i="67"/>
  <c r="I331" i="67"/>
  <c r="K331" i="67"/>
  <c r="J353" i="67"/>
  <c r="H352" i="67"/>
  <c r="I353" i="67"/>
  <c r="N353" i="67"/>
  <c r="K353" i="67"/>
  <c r="O353" i="67"/>
  <c r="M353" i="67"/>
  <c r="L353" i="67"/>
  <c r="O47" i="67"/>
  <c r="I47" i="67"/>
  <c r="H46" i="67"/>
  <c r="K47" i="67"/>
  <c r="J47" i="67"/>
  <c r="L47" i="67"/>
  <c r="N47" i="67"/>
  <c r="M47" i="67"/>
  <c r="G435" i="67"/>
  <c r="G317" i="67"/>
  <c r="N9" i="67"/>
  <c r="J9" i="67"/>
  <c r="M9" i="67"/>
  <c r="I9" i="67"/>
  <c r="L9" i="67"/>
  <c r="O9" i="67"/>
  <c r="H8" i="67"/>
  <c r="K9" i="67"/>
  <c r="G179" i="67"/>
  <c r="G467" i="67"/>
  <c r="G277" i="67"/>
  <c r="G75" i="67"/>
  <c r="G57" i="67"/>
  <c r="G17" i="67"/>
  <c r="G135" i="67"/>
  <c r="K235" i="67"/>
  <c r="M235" i="67"/>
  <c r="L235" i="67"/>
  <c r="H234" i="67"/>
  <c r="O235" i="67"/>
  <c r="I235" i="67"/>
  <c r="J235" i="67"/>
  <c r="N235" i="67"/>
  <c r="G161" i="67"/>
  <c r="G207" i="67"/>
  <c r="H380" i="67"/>
  <c r="N381" i="67"/>
  <c r="O381" i="67"/>
  <c r="M381" i="67"/>
  <c r="L381" i="67"/>
  <c r="K381" i="67"/>
  <c r="I381" i="67"/>
  <c r="J381" i="67"/>
  <c r="N103" i="67"/>
  <c r="M103" i="67"/>
  <c r="K103" i="67"/>
  <c r="H102" i="67"/>
  <c r="L103" i="67"/>
  <c r="O103" i="67"/>
  <c r="J103" i="67"/>
  <c r="I103" i="67"/>
  <c r="G193" i="67"/>
  <c r="J63" i="67"/>
  <c r="I63" i="67"/>
  <c r="N63" i="67"/>
  <c r="H62" i="67"/>
  <c r="L63" i="67"/>
  <c r="M63" i="67"/>
  <c r="K63" i="67"/>
  <c r="O63" i="67"/>
  <c r="K125" i="67"/>
  <c r="L125" i="67"/>
  <c r="H124" i="67"/>
  <c r="M125" i="67"/>
  <c r="I125" i="67"/>
  <c r="J125" i="67"/>
  <c r="O125" i="67"/>
  <c r="N125" i="67"/>
  <c r="G235" i="67"/>
  <c r="G225" i="67"/>
  <c r="G373" i="67"/>
  <c r="G417" i="67"/>
  <c r="L505" i="67"/>
  <c r="N505" i="67"/>
  <c r="M505" i="67"/>
  <c r="J505" i="67"/>
  <c r="K505" i="67"/>
  <c r="O505" i="67"/>
  <c r="H504" i="67"/>
  <c r="I505" i="67"/>
  <c r="G69" i="67"/>
  <c r="G33" i="67"/>
  <c r="I249" i="67"/>
  <c r="K249" i="67"/>
  <c r="N249" i="67"/>
  <c r="O249" i="67"/>
  <c r="M249" i="67"/>
  <c r="H248" i="67"/>
  <c r="L249" i="67"/>
  <c r="J249" i="67"/>
  <c r="G171" i="67"/>
  <c r="G159" i="67"/>
  <c r="G477" i="67"/>
  <c r="J461" i="67"/>
  <c r="I461" i="67"/>
  <c r="M461" i="67"/>
  <c r="H460" i="67"/>
  <c r="N461" i="67"/>
  <c r="O461" i="67"/>
  <c r="K461" i="67"/>
  <c r="L461" i="67"/>
  <c r="I187" i="67"/>
  <c r="O187" i="67"/>
  <c r="M187" i="67"/>
  <c r="L187" i="67"/>
  <c r="K187" i="67"/>
  <c r="H186" i="67"/>
  <c r="N187" i="67"/>
  <c r="J187" i="67"/>
  <c r="K385" i="67"/>
  <c r="J385" i="67"/>
  <c r="M385" i="67"/>
  <c r="O385" i="67"/>
  <c r="H384" i="67"/>
  <c r="N385" i="67"/>
  <c r="I385" i="67"/>
  <c r="L385" i="67"/>
  <c r="H368" i="67"/>
  <c r="K369" i="67"/>
  <c r="L369" i="67"/>
  <c r="I369" i="67"/>
  <c r="J369" i="67"/>
  <c r="N369" i="67"/>
  <c r="M369" i="67"/>
  <c r="O369" i="67"/>
  <c r="G95" i="67"/>
  <c r="G359" i="67"/>
  <c r="G263" i="67"/>
  <c r="G169" i="67"/>
  <c r="G385" i="67"/>
  <c r="N215" i="67"/>
  <c r="K215" i="67"/>
  <c r="O215" i="67"/>
  <c r="H214" i="67"/>
  <c r="L215" i="67"/>
  <c r="I215" i="67"/>
  <c r="M215" i="67"/>
  <c r="J215" i="67"/>
  <c r="G337" i="67"/>
  <c r="G149" i="67"/>
  <c r="G369" i="67"/>
  <c r="K95" i="67"/>
  <c r="M95" i="67"/>
  <c r="I95" i="67"/>
  <c r="L95" i="67"/>
  <c r="O95" i="67"/>
  <c r="J95" i="67"/>
  <c r="H94" i="67"/>
  <c r="N95" i="67"/>
  <c r="G297" i="67"/>
  <c r="G445" i="67"/>
  <c r="I317" i="67"/>
  <c r="H316" i="67"/>
  <c r="M317" i="67"/>
  <c r="J317" i="67"/>
  <c r="O317" i="67"/>
  <c r="N317" i="67"/>
  <c r="K317" i="67"/>
  <c r="L317" i="67"/>
  <c r="G139" i="67"/>
  <c r="G257" i="67"/>
  <c r="J459" i="67"/>
  <c r="L459" i="67"/>
  <c r="I459" i="67"/>
  <c r="M459" i="67"/>
  <c r="N459" i="67"/>
  <c r="O459" i="67"/>
  <c r="H458" i="67"/>
  <c r="K459" i="67"/>
  <c r="G253" i="67"/>
  <c r="J15" i="67"/>
  <c r="I15" i="67"/>
  <c r="H14" i="67"/>
  <c r="L15" i="67"/>
  <c r="O15" i="67"/>
  <c r="M15" i="67"/>
  <c r="K15" i="67"/>
  <c r="N15" i="67"/>
  <c r="G271" i="67"/>
  <c r="O471" i="67"/>
  <c r="M471" i="67"/>
  <c r="L471" i="67"/>
  <c r="K471" i="67"/>
  <c r="N471" i="67"/>
  <c r="H470" i="67"/>
  <c r="J471" i="67"/>
  <c r="I471" i="67"/>
  <c r="G279" i="67"/>
  <c r="I337" i="67"/>
  <c r="H336" i="67"/>
  <c r="N337" i="67"/>
  <c r="M337" i="67"/>
  <c r="L337" i="67"/>
  <c r="J337" i="67"/>
  <c r="O337" i="67"/>
  <c r="K337" i="67"/>
  <c r="G333" i="67"/>
  <c r="G381" i="67"/>
  <c r="H236" i="67"/>
  <c r="J237" i="67"/>
  <c r="L237" i="67"/>
  <c r="I237" i="67"/>
  <c r="O237" i="67"/>
  <c r="K237" i="67"/>
  <c r="M237" i="67"/>
  <c r="N237" i="67"/>
  <c r="I49" i="67"/>
  <c r="O49" i="67"/>
  <c r="N49" i="67"/>
  <c r="H48" i="67"/>
  <c r="K49" i="67"/>
  <c r="J49" i="67"/>
  <c r="L49" i="67"/>
  <c r="M49" i="67"/>
  <c r="H190" i="67"/>
  <c r="L191" i="67"/>
  <c r="M191" i="67"/>
  <c r="I191" i="67"/>
  <c r="J191" i="67"/>
  <c r="K191" i="67"/>
  <c r="O191" i="67"/>
  <c r="N191" i="67"/>
  <c r="G209" i="67"/>
  <c r="G89" i="67"/>
  <c r="G247" i="67"/>
  <c r="N425" i="67"/>
  <c r="K425" i="67"/>
  <c r="I425" i="67"/>
  <c r="M425" i="67"/>
  <c r="H424" i="67"/>
  <c r="J425" i="67"/>
  <c r="O425" i="67"/>
  <c r="L425" i="67"/>
  <c r="G117" i="67"/>
  <c r="G357" i="67"/>
  <c r="H276" i="67"/>
  <c r="L277" i="67"/>
  <c r="N277" i="67"/>
  <c r="I277" i="67"/>
  <c r="J277" i="67"/>
  <c r="O277" i="67"/>
  <c r="M277" i="67"/>
  <c r="K277" i="67"/>
  <c r="G167" i="67"/>
  <c r="G245" i="67"/>
  <c r="L293" i="67"/>
  <c r="I293" i="67"/>
  <c r="O293" i="67"/>
  <c r="K293" i="67"/>
  <c r="N293" i="67"/>
  <c r="H292" i="67"/>
  <c r="J293" i="67"/>
  <c r="M293" i="67"/>
  <c r="L309" i="67"/>
  <c r="J309" i="67"/>
  <c r="M309" i="67"/>
  <c r="O309" i="67"/>
  <c r="H308" i="67"/>
  <c r="I309" i="67"/>
  <c r="N309" i="67"/>
  <c r="K309" i="67"/>
  <c r="G191" i="67"/>
  <c r="G485" i="67"/>
  <c r="J89" i="67"/>
  <c r="N89" i="67"/>
  <c r="H88" i="67"/>
  <c r="K89" i="67"/>
  <c r="I89" i="67"/>
  <c r="M89" i="67"/>
  <c r="L89" i="67"/>
  <c r="O89" i="67"/>
  <c r="N499" i="67"/>
  <c r="K499" i="67"/>
  <c r="J499" i="67"/>
  <c r="I499" i="67"/>
  <c r="H498" i="67"/>
  <c r="L499" i="67"/>
  <c r="O499" i="67"/>
  <c r="M499" i="67"/>
  <c r="O61" i="67"/>
  <c r="N61" i="67"/>
  <c r="L61" i="67"/>
  <c r="J61" i="67"/>
  <c r="K61" i="67"/>
  <c r="I61" i="67"/>
  <c r="M61" i="67"/>
  <c r="H60" i="67"/>
  <c r="I117" i="67"/>
  <c r="J117" i="67"/>
  <c r="L117" i="67"/>
  <c r="H116" i="67"/>
  <c r="N117" i="67"/>
  <c r="M117" i="67"/>
  <c r="O117" i="67"/>
  <c r="K117" i="67"/>
  <c r="N357" i="67"/>
  <c r="L357" i="67"/>
  <c r="J357" i="67"/>
  <c r="M357" i="67"/>
  <c r="K357" i="67"/>
  <c r="H356" i="67"/>
  <c r="O357" i="67"/>
  <c r="I357" i="67"/>
  <c r="G303" i="67"/>
  <c r="M167" i="67"/>
  <c r="H166" i="67"/>
  <c r="N167" i="67"/>
  <c r="J167" i="67"/>
  <c r="I167" i="67"/>
  <c r="O167" i="67"/>
  <c r="K167" i="67"/>
  <c r="L167" i="67"/>
  <c r="G251" i="67"/>
  <c r="G291" i="67"/>
  <c r="G219" i="67"/>
  <c r="I159" i="67"/>
  <c r="O159" i="67"/>
  <c r="J159" i="67"/>
  <c r="N159" i="67"/>
  <c r="K159" i="67"/>
  <c r="H158" i="67"/>
  <c r="L159" i="67"/>
  <c r="M159" i="67"/>
  <c r="G449" i="67"/>
  <c r="J465" i="67"/>
  <c r="M465" i="67"/>
  <c r="I465" i="67"/>
  <c r="N465" i="67"/>
  <c r="O465" i="67"/>
  <c r="H464" i="67"/>
  <c r="L465" i="67"/>
  <c r="K465" i="67"/>
  <c r="J421" i="67"/>
  <c r="L421" i="67"/>
  <c r="I421" i="67"/>
  <c r="H420" i="67"/>
  <c r="K421" i="67"/>
  <c r="M421" i="67"/>
  <c r="N421" i="67"/>
  <c r="O421" i="67"/>
  <c r="G39" i="67"/>
  <c r="G205" i="67"/>
  <c r="K373" i="67"/>
  <c r="M373" i="67"/>
  <c r="O373" i="67"/>
  <c r="H372" i="67"/>
  <c r="J373" i="67"/>
  <c r="I373" i="67"/>
  <c r="N373" i="67"/>
  <c r="L373" i="67"/>
  <c r="K161" i="67"/>
  <c r="H160" i="67"/>
  <c r="J161" i="67"/>
  <c r="I161" i="67"/>
  <c r="N161" i="67"/>
  <c r="M161" i="67"/>
  <c r="O161" i="67"/>
  <c r="L161" i="67"/>
  <c r="G367" i="67"/>
  <c r="G447" i="67"/>
  <c r="G283" i="67"/>
  <c r="H74" i="67"/>
  <c r="K75" i="67"/>
  <c r="J75" i="67"/>
  <c r="N75" i="67"/>
  <c r="I75" i="67"/>
  <c r="O75" i="67"/>
  <c r="M75" i="67"/>
  <c r="L75" i="67"/>
  <c r="G401" i="67"/>
  <c r="H200" i="67"/>
  <c r="M201" i="67"/>
  <c r="N201" i="67"/>
  <c r="J201" i="67"/>
  <c r="K201" i="67"/>
  <c r="L201" i="67"/>
  <c r="I201" i="67"/>
  <c r="O201" i="67"/>
  <c r="O223" i="67"/>
  <c r="L223" i="67"/>
  <c r="K223" i="67"/>
  <c r="M223" i="67"/>
  <c r="J223" i="67"/>
  <c r="I223" i="67"/>
  <c r="H222" i="67"/>
  <c r="N223" i="67"/>
  <c r="G395" i="67"/>
  <c r="G433" i="67"/>
  <c r="G79" i="67"/>
  <c r="G165" i="67"/>
  <c r="K489" i="67"/>
  <c r="H488" i="67"/>
  <c r="N489" i="67"/>
  <c r="I489" i="67"/>
  <c r="L489" i="67"/>
  <c r="O489" i="67"/>
  <c r="M489" i="67"/>
  <c r="J489" i="67"/>
  <c r="G313" i="67"/>
  <c r="M323" i="67"/>
  <c r="K323" i="67"/>
  <c r="H322" i="67"/>
  <c r="I323" i="67"/>
  <c r="N323" i="67"/>
  <c r="L323" i="67"/>
  <c r="O323" i="67"/>
  <c r="J323" i="67"/>
  <c r="M127" i="67"/>
  <c r="K127" i="67"/>
  <c r="O127" i="67"/>
  <c r="J127" i="67"/>
  <c r="L127" i="67"/>
  <c r="H126" i="67"/>
  <c r="I127" i="67"/>
  <c r="N127" i="67"/>
  <c r="M33" i="67"/>
  <c r="H32" i="67"/>
  <c r="I33" i="67"/>
  <c r="N33" i="67"/>
  <c r="K33" i="67"/>
  <c r="J33" i="67"/>
  <c r="L33" i="67"/>
  <c r="O33" i="67"/>
  <c r="H206" i="67"/>
  <c r="O207" i="67"/>
  <c r="M207" i="67"/>
  <c r="I207" i="67"/>
  <c r="N207" i="67"/>
  <c r="L207" i="67"/>
  <c r="K207" i="67"/>
  <c r="J207" i="67"/>
  <c r="G329" i="67"/>
  <c r="M493" i="67"/>
  <c r="N493" i="67"/>
  <c r="L493" i="67"/>
  <c r="O493" i="67"/>
  <c r="K493" i="67"/>
  <c r="H492" i="67"/>
  <c r="J493" i="67"/>
  <c r="I493" i="67"/>
  <c r="L395" i="67"/>
  <c r="O395" i="67"/>
  <c r="I395" i="67"/>
  <c r="N395" i="67"/>
  <c r="K395" i="67"/>
  <c r="H394" i="67"/>
  <c r="J395" i="67"/>
  <c r="M395" i="67"/>
  <c r="L263" i="67"/>
  <c r="J263" i="67"/>
  <c r="H262" i="67"/>
  <c r="K263" i="67"/>
  <c r="N263" i="67"/>
  <c r="O263" i="67"/>
  <c r="I263" i="67"/>
  <c r="M263" i="67"/>
  <c r="G489" i="67"/>
  <c r="L313" i="67"/>
  <c r="M313" i="67"/>
  <c r="I313" i="67"/>
  <c r="N313" i="67"/>
  <c r="K313" i="67"/>
  <c r="O313" i="67"/>
  <c r="H312" i="67"/>
  <c r="J313" i="67"/>
  <c r="G323" i="67"/>
  <c r="N177" i="67"/>
  <c r="K177" i="67"/>
  <c r="J177" i="67"/>
  <c r="L177" i="67"/>
  <c r="H176" i="67"/>
  <c r="I177" i="67"/>
  <c r="O177" i="67"/>
  <c r="M177" i="67"/>
  <c r="I427" i="67"/>
  <c r="M427" i="67"/>
  <c r="J427" i="67"/>
  <c r="N427" i="67"/>
  <c r="K427" i="67"/>
  <c r="H426" i="67"/>
  <c r="O427" i="67"/>
  <c r="L427" i="67"/>
  <c r="G13" i="67"/>
  <c r="M239" i="67"/>
  <c r="K239" i="67"/>
  <c r="H238" i="67"/>
  <c r="J239" i="67"/>
  <c r="L239" i="67"/>
  <c r="I239" i="67"/>
  <c r="O239" i="67"/>
  <c r="N239" i="67"/>
  <c r="G227" i="67"/>
  <c r="M351" i="67"/>
  <c r="O351" i="67"/>
  <c r="H350" i="67"/>
  <c r="L351" i="67"/>
  <c r="K351" i="67"/>
  <c r="J351" i="67"/>
  <c r="I351" i="67"/>
  <c r="N351" i="67"/>
  <c r="G21" i="67"/>
  <c r="K335" i="67"/>
  <c r="L335" i="67"/>
  <c r="H334" i="67"/>
  <c r="M335" i="67"/>
  <c r="N335" i="67"/>
  <c r="J335" i="67"/>
  <c r="I335" i="67"/>
  <c r="O335" i="67"/>
  <c r="O17" i="67"/>
  <c r="H16" i="67"/>
  <c r="J17" i="67"/>
  <c r="L17" i="67"/>
  <c r="K17" i="67"/>
  <c r="I17" i="67"/>
  <c r="M17" i="67"/>
  <c r="N17" i="67"/>
  <c r="I485" i="67"/>
  <c r="M485" i="67"/>
  <c r="L485" i="67"/>
  <c r="H484" i="67"/>
  <c r="K485" i="67"/>
  <c r="O485" i="67"/>
  <c r="N485" i="67"/>
  <c r="J485" i="67"/>
  <c r="G461" i="67"/>
  <c r="G99" i="67"/>
  <c r="H410" i="67"/>
  <c r="M411" i="67"/>
  <c r="J411" i="67"/>
  <c r="K411" i="67"/>
  <c r="L411" i="67"/>
  <c r="N411" i="67"/>
  <c r="O411" i="67"/>
  <c r="I411" i="67"/>
  <c r="M501" i="67"/>
  <c r="L501" i="67"/>
  <c r="N501" i="67"/>
  <c r="J501" i="67"/>
  <c r="I501" i="67"/>
  <c r="H500" i="67"/>
  <c r="K501" i="67"/>
  <c r="O501" i="67"/>
  <c r="L225" i="67"/>
  <c r="O225" i="67"/>
  <c r="H224" i="67"/>
  <c r="I225" i="67"/>
  <c r="J225" i="67"/>
  <c r="N225" i="67"/>
  <c r="M225" i="67"/>
  <c r="K225" i="67"/>
  <c r="K243" i="67"/>
  <c r="M243" i="67"/>
  <c r="N243" i="67"/>
  <c r="H242" i="67"/>
  <c r="L243" i="67"/>
  <c r="O243" i="67"/>
  <c r="I243" i="67"/>
  <c r="J243" i="67"/>
  <c r="M367" i="67"/>
  <c r="J367" i="67"/>
  <c r="K367" i="67"/>
  <c r="O367" i="67"/>
  <c r="H366" i="67"/>
  <c r="I367" i="67"/>
  <c r="N367" i="67"/>
  <c r="L367" i="67"/>
  <c r="I25" i="67"/>
  <c r="K25" i="67"/>
  <c r="M25" i="67"/>
  <c r="N25" i="67"/>
  <c r="L25" i="67"/>
  <c r="J25" i="67"/>
  <c r="H24" i="67"/>
  <c r="O25" i="67"/>
  <c r="M455" i="67"/>
  <c r="L455" i="67"/>
  <c r="O455" i="67"/>
  <c r="K455" i="67"/>
  <c r="H454" i="67"/>
  <c r="J455" i="67"/>
  <c r="N455" i="67"/>
  <c r="I455" i="67"/>
  <c r="H184" i="67"/>
  <c r="L185" i="67"/>
  <c r="J185" i="67"/>
  <c r="M185" i="67"/>
  <c r="N185" i="67"/>
  <c r="O185" i="67"/>
  <c r="K185" i="67"/>
  <c r="I185" i="67"/>
  <c r="G9" i="67"/>
  <c r="M321" i="67"/>
  <c r="K321" i="67"/>
  <c r="O321" i="67"/>
  <c r="I321" i="67"/>
  <c r="N321" i="67"/>
  <c r="J321" i="67"/>
  <c r="L321" i="67"/>
  <c r="H320" i="67"/>
  <c r="G239" i="67"/>
  <c r="G321" i="67"/>
  <c r="G85" i="67"/>
  <c r="L287" i="67"/>
  <c r="I287" i="67"/>
  <c r="O287" i="67"/>
  <c r="H286" i="67"/>
  <c r="M287" i="67"/>
  <c r="N287" i="67"/>
  <c r="J287" i="67"/>
  <c r="K287" i="67"/>
  <c r="K85" i="67"/>
  <c r="N85" i="67"/>
  <c r="J85" i="67"/>
  <c r="I85" i="67"/>
  <c r="L85" i="67"/>
  <c r="H84" i="67"/>
  <c r="M85" i="67"/>
  <c r="O85" i="67"/>
  <c r="G173" i="67"/>
  <c r="J453" i="67"/>
  <c r="N453" i="67"/>
  <c r="I453" i="67"/>
  <c r="M453" i="67"/>
  <c r="H452" i="67"/>
  <c r="L453" i="67"/>
  <c r="K453" i="67"/>
  <c r="O453" i="67"/>
  <c r="G91" i="67"/>
  <c r="H122" i="67"/>
  <c r="L123" i="67"/>
  <c r="M123" i="67"/>
  <c r="N123" i="67"/>
  <c r="O123" i="67"/>
  <c r="K123" i="67"/>
  <c r="I123" i="67"/>
  <c r="J123" i="67"/>
  <c r="G29" i="67"/>
  <c r="H82" i="67"/>
  <c r="J83" i="67"/>
  <c r="K83" i="67"/>
  <c r="M83" i="67"/>
  <c r="O83" i="67"/>
  <c r="L83" i="67"/>
  <c r="N83" i="67"/>
  <c r="I83" i="67"/>
  <c r="I285" i="67"/>
  <c r="H284" i="67"/>
  <c r="L285" i="67"/>
  <c r="J285" i="67"/>
  <c r="K285" i="67"/>
  <c r="M285" i="67"/>
  <c r="O285" i="67"/>
  <c r="N285" i="67"/>
  <c r="G475" i="67"/>
  <c r="O173" i="67"/>
  <c r="I173" i="67"/>
  <c r="H172" i="67"/>
  <c r="K173" i="67"/>
  <c r="N173" i="67"/>
  <c r="J173" i="67"/>
  <c r="L173" i="67"/>
  <c r="M173" i="67"/>
  <c r="L179" i="67"/>
  <c r="I179" i="67"/>
  <c r="K179" i="67"/>
  <c r="M179" i="67"/>
  <c r="O179" i="67"/>
  <c r="J179" i="67"/>
  <c r="H178" i="67"/>
  <c r="N179" i="67"/>
  <c r="G125" i="67"/>
  <c r="N507" i="67"/>
  <c r="K507" i="67"/>
  <c r="L507" i="67"/>
  <c r="O507" i="67"/>
  <c r="H506" i="67"/>
  <c r="M507" i="67"/>
  <c r="I507" i="67"/>
  <c r="J507" i="67"/>
  <c r="K365" i="67"/>
  <c r="O365" i="67"/>
  <c r="L365" i="67"/>
  <c r="I365" i="67"/>
  <c r="H364" i="67"/>
  <c r="N365" i="67"/>
  <c r="J365" i="67"/>
  <c r="M365" i="67"/>
  <c r="G453" i="67"/>
  <c r="O91" i="67"/>
  <c r="J91" i="67"/>
  <c r="I91" i="67"/>
  <c r="L91" i="67"/>
  <c r="K91" i="67"/>
  <c r="M91" i="67"/>
  <c r="H90" i="67"/>
  <c r="N91" i="67"/>
  <c r="H412" i="67"/>
  <c r="J413" i="67"/>
  <c r="O413" i="67"/>
  <c r="N413" i="67"/>
  <c r="K413" i="67"/>
  <c r="M413" i="67"/>
  <c r="L413" i="67"/>
  <c r="I413" i="67"/>
  <c r="G497" i="67"/>
  <c r="G285" i="67"/>
  <c r="I113" i="67"/>
  <c r="L113" i="67"/>
  <c r="K113" i="67"/>
  <c r="H112" i="67"/>
  <c r="J113" i="67"/>
  <c r="O113" i="67"/>
  <c r="N113" i="67"/>
  <c r="M113" i="67"/>
  <c r="M41" i="67"/>
  <c r="L41" i="67"/>
  <c r="K41" i="67"/>
  <c r="J41" i="67"/>
  <c r="O41" i="67"/>
  <c r="I41" i="67"/>
  <c r="H40" i="67"/>
  <c r="N41" i="67"/>
  <c r="H474" i="67"/>
  <c r="I475" i="67"/>
  <c r="J475" i="67"/>
  <c r="L475" i="67"/>
  <c r="K475" i="67"/>
  <c r="N475" i="67"/>
  <c r="M475" i="67"/>
  <c r="O475" i="67"/>
  <c r="G157" i="67"/>
  <c r="G45" i="67"/>
  <c r="G339" i="67"/>
  <c r="G365" i="67"/>
  <c r="G305" i="67"/>
  <c r="I415" i="67"/>
  <c r="H414" i="67"/>
  <c r="M415" i="67"/>
  <c r="K415" i="67"/>
  <c r="N415" i="67"/>
  <c r="L415" i="67"/>
  <c r="O415" i="67"/>
  <c r="J415" i="67"/>
  <c r="J303" i="67"/>
  <c r="N303" i="67"/>
  <c r="I303" i="67"/>
  <c r="H302" i="67"/>
  <c r="K303" i="67"/>
  <c r="M303" i="67"/>
  <c r="L303" i="67"/>
  <c r="O303" i="67"/>
  <c r="N149" i="67"/>
  <c r="K149" i="67"/>
  <c r="J149" i="67"/>
  <c r="L149" i="67"/>
  <c r="M149" i="67"/>
  <c r="O149" i="67"/>
  <c r="H148" i="67"/>
  <c r="I149" i="67"/>
  <c r="G413" i="67"/>
  <c r="K497" i="67"/>
  <c r="J497" i="67"/>
  <c r="O497" i="67"/>
  <c r="N497" i="67"/>
  <c r="M497" i="67"/>
  <c r="H496" i="67"/>
  <c r="L497" i="67"/>
  <c r="I497" i="67"/>
  <c r="G121" i="67"/>
  <c r="G237" i="67"/>
  <c r="G113" i="67"/>
  <c r="G41" i="67"/>
  <c r="H156" i="67"/>
  <c r="K157" i="67"/>
  <c r="N157" i="67"/>
  <c r="M157" i="67"/>
  <c r="L157" i="67"/>
  <c r="J157" i="67"/>
  <c r="O157" i="67"/>
  <c r="I157" i="67"/>
  <c r="G325" i="67"/>
  <c r="O79" i="67"/>
  <c r="I79" i="67"/>
  <c r="L79" i="67"/>
  <c r="M79" i="67"/>
  <c r="H78" i="67"/>
  <c r="J79" i="67"/>
  <c r="N79" i="67"/>
  <c r="K79" i="67"/>
  <c r="G377" i="67"/>
  <c r="G327" i="67"/>
  <c r="M247" i="67"/>
  <c r="I247" i="67"/>
  <c r="O247" i="67"/>
  <c r="K247" i="67"/>
  <c r="J247" i="67"/>
  <c r="H246" i="67"/>
  <c r="L247" i="67"/>
  <c r="N247" i="67"/>
  <c r="I451" i="67"/>
  <c r="L451" i="67"/>
  <c r="O451" i="67"/>
  <c r="J451" i="67"/>
  <c r="H450" i="67"/>
  <c r="K451" i="67"/>
  <c r="N451" i="67"/>
  <c r="M451" i="67"/>
  <c r="H270" i="67"/>
  <c r="O271" i="67"/>
  <c r="K271" i="67"/>
  <c r="I271" i="67"/>
  <c r="N271" i="67"/>
  <c r="L271" i="67"/>
  <c r="J271" i="67"/>
  <c r="M271" i="67"/>
  <c r="G127" i="67"/>
  <c r="G37" i="67"/>
  <c r="G203" i="67"/>
  <c r="M133" i="67"/>
  <c r="O133" i="67"/>
  <c r="J133" i="67"/>
  <c r="H132" i="67"/>
  <c r="K133" i="67"/>
  <c r="I133" i="67"/>
  <c r="L133" i="67"/>
  <c r="N133" i="67"/>
  <c r="N283" i="67"/>
  <c r="O283" i="67"/>
  <c r="L283" i="67"/>
  <c r="J283" i="67"/>
  <c r="M283" i="67"/>
  <c r="K283" i="67"/>
  <c r="H282" i="67"/>
  <c r="I283" i="67"/>
  <c r="I359" i="67"/>
  <c r="J359" i="67"/>
  <c r="K359" i="67"/>
  <c r="L359" i="67"/>
  <c r="H358" i="67"/>
  <c r="N359" i="67"/>
  <c r="M359" i="67"/>
  <c r="O359" i="67"/>
  <c r="K119" i="67"/>
  <c r="N119" i="67"/>
  <c r="L119" i="67"/>
  <c r="I119" i="67"/>
  <c r="O119" i="67"/>
  <c r="M119" i="67"/>
  <c r="H118" i="67"/>
  <c r="J119" i="67"/>
  <c r="N445" i="67"/>
  <c r="K445" i="67"/>
  <c r="M445" i="67"/>
  <c r="H444" i="67"/>
  <c r="I445" i="67"/>
  <c r="L445" i="67"/>
  <c r="O445" i="67"/>
  <c r="J445" i="67"/>
  <c r="G439" i="67"/>
  <c r="H318" i="67"/>
  <c r="N319" i="67"/>
  <c r="L319" i="67"/>
  <c r="M319" i="67"/>
  <c r="O319" i="67"/>
  <c r="J319" i="67"/>
  <c r="K319" i="67"/>
  <c r="I319" i="67"/>
  <c r="L491" i="67"/>
  <c r="I491" i="67"/>
  <c r="J491" i="67"/>
  <c r="K491" i="67"/>
  <c r="H490" i="67"/>
  <c r="O491" i="67"/>
  <c r="N491" i="67"/>
  <c r="M491" i="67"/>
  <c r="H56" i="67"/>
  <c r="M57" i="67"/>
  <c r="L57" i="67"/>
  <c r="N57" i="67"/>
  <c r="K57" i="67"/>
  <c r="I57" i="67"/>
  <c r="J57" i="67"/>
  <c r="O57" i="67"/>
  <c r="G463" i="67"/>
  <c r="O35" i="67"/>
  <c r="N35" i="67"/>
  <c r="H34" i="67"/>
  <c r="J35" i="67"/>
  <c r="I35" i="67"/>
  <c r="L35" i="67"/>
  <c r="M35" i="67"/>
  <c r="K35" i="67"/>
  <c r="G345" i="67"/>
  <c r="G495" i="67"/>
  <c r="I151" i="67"/>
  <c r="N151" i="67"/>
  <c r="M151" i="67"/>
  <c r="L151" i="67"/>
  <c r="K151" i="67"/>
  <c r="H150" i="67"/>
  <c r="J151" i="67"/>
  <c r="O151" i="67"/>
  <c r="G479" i="67"/>
  <c r="G419" i="67"/>
  <c r="H86" i="67"/>
  <c r="I87" i="67"/>
  <c r="L87" i="67"/>
  <c r="J87" i="67"/>
  <c r="M87" i="67"/>
  <c r="N87" i="67"/>
  <c r="O87" i="67"/>
  <c r="K87" i="67"/>
  <c r="G265" i="67"/>
  <c r="G319" i="67"/>
  <c r="G491" i="67"/>
  <c r="M463" i="67"/>
  <c r="O463" i="67"/>
  <c r="I463" i="67"/>
  <c r="L463" i="67"/>
  <c r="K463" i="67"/>
  <c r="N463" i="67"/>
  <c r="H462" i="67"/>
  <c r="J463" i="67"/>
  <c r="K265" i="67"/>
  <c r="M265" i="67"/>
  <c r="N265" i="67"/>
  <c r="H264" i="67"/>
  <c r="L265" i="67"/>
  <c r="O265" i="67"/>
  <c r="J265" i="67"/>
  <c r="I265" i="67"/>
  <c r="G93" i="67"/>
  <c r="N457" i="67"/>
  <c r="O457" i="67"/>
  <c r="J457" i="67"/>
  <c r="L457" i="67"/>
  <c r="H456" i="67"/>
  <c r="I457" i="67"/>
  <c r="M457" i="67"/>
  <c r="K457" i="67"/>
  <c r="G147" i="67"/>
  <c r="G375" i="67"/>
  <c r="N341" i="67"/>
  <c r="J341" i="67"/>
  <c r="H340" i="67"/>
  <c r="K341" i="67"/>
  <c r="I341" i="67"/>
  <c r="M341" i="67"/>
  <c r="O341" i="67"/>
  <c r="L341" i="67"/>
  <c r="O93" i="67"/>
  <c r="J93" i="67"/>
  <c r="N93" i="67"/>
  <c r="H92" i="67"/>
  <c r="L93" i="67"/>
  <c r="K93" i="67"/>
  <c r="I93" i="67"/>
  <c r="M93" i="67"/>
  <c r="G457" i="67"/>
  <c r="G281" i="67"/>
  <c r="M371" i="67"/>
  <c r="L371" i="67"/>
  <c r="I371" i="67"/>
  <c r="K371" i="67"/>
  <c r="O371" i="67"/>
  <c r="H370" i="67"/>
  <c r="J371" i="67"/>
  <c r="N371" i="67"/>
  <c r="K147" i="67"/>
  <c r="M147" i="67"/>
  <c r="H146" i="67"/>
  <c r="J147" i="67"/>
  <c r="N147" i="67"/>
  <c r="I147" i="67"/>
  <c r="L147" i="67"/>
  <c r="O147" i="67"/>
  <c r="I375" i="67"/>
  <c r="H374" i="67"/>
  <c r="J375" i="67"/>
  <c r="N375" i="67"/>
  <c r="M375" i="67"/>
  <c r="K375" i="67"/>
  <c r="L375" i="67"/>
  <c r="O375" i="67"/>
  <c r="I171" i="67"/>
  <c r="O171" i="67"/>
  <c r="M171" i="67"/>
  <c r="N171" i="67"/>
  <c r="J171" i="67"/>
  <c r="K171" i="67"/>
  <c r="L171" i="67"/>
  <c r="H170" i="67"/>
  <c r="G49" i="67"/>
  <c r="G483" i="67"/>
  <c r="H476" i="67"/>
  <c r="M477" i="67"/>
  <c r="L477" i="67"/>
  <c r="O477" i="67"/>
  <c r="K477" i="67"/>
  <c r="N477" i="67"/>
  <c r="J477" i="67"/>
  <c r="I477" i="67"/>
  <c r="G295" i="67"/>
  <c r="O355" i="67"/>
  <c r="M355" i="67"/>
  <c r="L355" i="67"/>
  <c r="K355" i="67"/>
  <c r="J355" i="67"/>
  <c r="N355" i="67"/>
  <c r="H354" i="67"/>
  <c r="I355" i="67"/>
  <c r="G465" i="67"/>
  <c r="G363" i="67"/>
  <c r="G331" i="67"/>
  <c r="G397" i="67"/>
  <c r="G153" i="67"/>
  <c r="G177" i="67"/>
  <c r="G215" i="67"/>
  <c r="M67" i="67"/>
  <c r="I67" i="67"/>
  <c r="N67" i="67"/>
  <c r="J67" i="67"/>
  <c r="O67" i="67"/>
  <c r="K67" i="67"/>
  <c r="H66" i="67"/>
  <c r="L67" i="67"/>
  <c r="G23" i="67"/>
  <c r="I399" i="67"/>
  <c r="O399" i="67"/>
  <c r="L399" i="67"/>
  <c r="K399" i="67"/>
  <c r="N399" i="67"/>
  <c r="M399" i="67"/>
  <c r="H398" i="67"/>
  <c r="J399" i="67"/>
  <c r="H182" i="67"/>
  <c r="J183" i="67"/>
  <c r="O183" i="67"/>
  <c r="M183" i="67"/>
  <c r="K183" i="67"/>
  <c r="N183" i="67"/>
  <c r="I183" i="67"/>
  <c r="L183" i="67"/>
  <c r="M343" i="67"/>
  <c r="K343" i="67"/>
  <c r="H342" i="67"/>
  <c r="L343" i="67"/>
  <c r="N343" i="67"/>
  <c r="O343" i="67"/>
  <c r="I343" i="67"/>
  <c r="J343" i="67"/>
  <c r="G341" i="67"/>
  <c r="K281" i="67"/>
  <c r="N281" i="67"/>
  <c r="H280" i="67"/>
  <c r="J281" i="67"/>
  <c r="M281" i="67"/>
  <c r="I281" i="67"/>
  <c r="O281" i="67"/>
  <c r="L281" i="67"/>
  <c r="G371" i="67"/>
  <c r="G183" i="67"/>
  <c r="G343" i="67"/>
  <c r="G383" i="67"/>
  <c r="K189" i="67"/>
  <c r="O189" i="67"/>
  <c r="N189" i="67"/>
  <c r="L189" i="67"/>
  <c r="J189" i="67"/>
  <c r="I189" i="67"/>
  <c r="H188" i="67"/>
  <c r="M189" i="67"/>
  <c r="I383" i="67"/>
  <c r="H382" i="67"/>
  <c r="M383" i="67"/>
  <c r="O383" i="67"/>
  <c r="J383" i="67"/>
  <c r="K383" i="67"/>
  <c r="L383" i="67"/>
  <c r="N383" i="67"/>
  <c r="G189" i="67"/>
  <c r="I389" i="67"/>
  <c r="M389" i="67"/>
  <c r="K389" i="67"/>
  <c r="N389" i="67"/>
  <c r="J389" i="67"/>
  <c r="L389" i="67"/>
  <c r="H388" i="67"/>
  <c r="O389" i="67"/>
  <c r="J329" i="67"/>
  <c r="I329" i="67"/>
  <c r="H328" i="67"/>
  <c r="O329" i="67"/>
  <c r="N329" i="67"/>
  <c r="L329" i="67"/>
  <c r="K329" i="67"/>
  <c r="M329" i="67"/>
  <c r="G437" i="67"/>
  <c r="G389" i="67"/>
  <c r="G307" i="67"/>
  <c r="M221" i="67"/>
  <c r="I221" i="67"/>
  <c r="H220" i="67"/>
  <c r="J221" i="67"/>
  <c r="O221" i="67"/>
  <c r="K221" i="67"/>
  <c r="L221" i="67"/>
  <c r="N221" i="67"/>
  <c r="G275" i="67"/>
  <c r="I19" i="67"/>
  <c r="H18" i="67"/>
  <c r="O19" i="67"/>
  <c r="L19" i="67"/>
  <c r="J19" i="67"/>
  <c r="K19" i="67"/>
  <c r="M19" i="67"/>
  <c r="N19" i="67"/>
  <c r="H162" i="67"/>
  <c r="I163" i="67"/>
  <c r="K163" i="67"/>
  <c r="L163" i="67"/>
  <c r="J163" i="67"/>
  <c r="M163" i="67"/>
  <c r="O163" i="67"/>
  <c r="N163" i="67"/>
  <c r="K227" i="67"/>
  <c r="H226" i="67"/>
  <c r="I227" i="67"/>
  <c r="O227" i="67"/>
  <c r="N227" i="67"/>
  <c r="M227" i="67"/>
  <c r="L227" i="67"/>
  <c r="J227" i="67"/>
  <c r="G175" i="67"/>
  <c r="M407" i="67"/>
  <c r="I407" i="67"/>
  <c r="H406" i="67"/>
  <c r="N407" i="67"/>
  <c r="O407" i="67"/>
  <c r="L407" i="67"/>
  <c r="K407" i="67"/>
  <c r="J407" i="67"/>
  <c r="G405" i="67"/>
  <c r="N289" i="67"/>
  <c r="M289" i="67"/>
  <c r="O289" i="67"/>
  <c r="L289" i="67"/>
  <c r="J289" i="67"/>
  <c r="K289" i="67"/>
  <c r="H288" i="67"/>
  <c r="I289" i="67"/>
  <c r="K387" i="67"/>
  <c r="J387" i="67"/>
  <c r="H386" i="67"/>
  <c r="N387" i="67"/>
  <c r="L387" i="67"/>
  <c r="O387" i="67"/>
  <c r="M387" i="67"/>
  <c r="I387" i="67"/>
  <c r="G213" i="67"/>
  <c r="G181" i="67"/>
  <c r="G101" i="67"/>
  <c r="G505" i="67"/>
  <c r="G221" i="67"/>
  <c r="J137" i="67"/>
  <c r="M137" i="67"/>
  <c r="H136" i="67"/>
  <c r="I137" i="67"/>
  <c r="O137" i="67"/>
  <c r="N137" i="67"/>
  <c r="K137" i="67"/>
  <c r="L137" i="67"/>
  <c r="J275" i="67"/>
  <c r="K275" i="67"/>
  <c r="M275" i="67"/>
  <c r="O275" i="67"/>
  <c r="H274" i="67"/>
  <c r="N275" i="67"/>
  <c r="I275" i="67"/>
  <c r="L275" i="67"/>
  <c r="G293" i="67"/>
  <c r="G163" i="67"/>
  <c r="I307" i="67"/>
  <c r="M307" i="67"/>
  <c r="K307" i="67"/>
  <c r="O307" i="67"/>
  <c r="N307" i="67"/>
  <c r="J307" i="67"/>
  <c r="H306" i="67"/>
  <c r="L307" i="67"/>
  <c r="N217" i="67"/>
  <c r="I217" i="67"/>
  <c r="O217" i="67"/>
  <c r="L217" i="67"/>
  <c r="J217" i="67"/>
  <c r="M217" i="67"/>
  <c r="H216" i="67"/>
  <c r="K217" i="67"/>
  <c r="G217" i="67"/>
  <c r="J291" i="67"/>
  <c r="N291" i="67"/>
  <c r="I291" i="67"/>
  <c r="O291" i="67"/>
  <c r="K291" i="67"/>
  <c r="M291" i="67"/>
  <c r="H290" i="67"/>
  <c r="L291" i="67"/>
  <c r="AG3" i="62"/>
  <c r="AG2" i="62" s="1"/>
  <c r="Y3" i="62"/>
  <c r="X3" i="62" s="1"/>
  <c r="AI3" i="62"/>
  <c r="AH3" i="62" s="1"/>
  <c r="AK4" i="57"/>
  <c r="AL4" i="57" s="1"/>
  <c r="AM4" i="57" s="1"/>
  <c r="AN4" i="57" s="1"/>
  <c r="AO4" i="57" s="1"/>
  <c r="AP4" i="57" s="1"/>
  <c r="AQ4" i="57" s="1"/>
  <c r="I2" i="62"/>
  <c r="L3" i="62"/>
  <c r="M2" i="62"/>
  <c r="J3" i="62"/>
  <c r="K2" i="62"/>
  <c r="Z3" i="62"/>
  <c r="AA2" i="62"/>
  <c r="AQ2" i="62"/>
  <c r="AP3" i="62"/>
  <c r="O2" i="62"/>
  <c r="N3" i="62"/>
  <c r="S2" i="62"/>
  <c r="R3" i="62"/>
  <c r="I5" i="67"/>
  <c r="W2" i="62"/>
  <c r="V3" i="62"/>
  <c r="T3" i="62"/>
  <c r="U2" i="62"/>
  <c r="AJ3" i="62"/>
  <c r="AK2" i="62"/>
  <c r="AM2" i="62"/>
  <c r="AL3" i="62"/>
  <c r="P3" i="62"/>
  <c r="CJ6" i="57"/>
  <c r="G2" i="62"/>
  <c r="F2" i="62"/>
  <c r="C104" i="61"/>
  <c r="D2" i="62"/>
  <c r="K5" i="67" l="1"/>
  <c r="N5" i="67"/>
  <c r="AC2" i="62"/>
  <c r="G1" i="67"/>
  <c r="O5" i="67"/>
  <c r="L5" i="67"/>
  <c r="J5" i="67"/>
  <c r="M5" i="67"/>
  <c r="AI2" i="62"/>
  <c r="AN3" i="62"/>
  <c r="AD3" i="62"/>
  <c r="BJ4" i="57"/>
  <c r="BK4" i="57" s="1"/>
  <c r="BL4" i="57" s="1"/>
  <c r="BM4" i="57" s="1"/>
  <c r="BN4" i="57" s="1"/>
  <c r="BO4" i="57" s="1"/>
  <c r="BP4" i="57" s="1"/>
  <c r="BQ4" i="57" s="1"/>
  <c r="BR4" i="57" s="1"/>
  <c r="BS4" i="57" s="1"/>
  <c r="BT4" i="57" s="1"/>
  <c r="BU4" i="57" s="1"/>
  <c r="BV4" i="57" s="1"/>
  <c r="BW4" i="57" s="1"/>
  <c r="BX4" i="57" s="1"/>
  <c r="BY4" i="57" s="1"/>
  <c r="Y2" i="62"/>
  <c r="AF3" i="62"/>
  <c r="AR4" i="57"/>
  <c r="E31" i="61"/>
  <c r="G101" i="61"/>
  <c r="G77" i="61"/>
  <c r="B61" i="61"/>
  <c r="G37" i="61"/>
  <c r="E61" i="61"/>
  <c r="G97" i="61"/>
  <c r="B37" i="61"/>
  <c r="G65" i="61"/>
  <c r="E49" i="61"/>
  <c r="E93" i="61"/>
  <c r="B69" i="61"/>
  <c r="G85" i="61"/>
  <c r="E57" i="61"/>
  <c r="G57" i="61"/>
  <c r="B33" i="61"/>
  <c r="G89" i="61"/>
  <c r="E89" i="61"/>
  <c r="B97" i="61"/>
  <c r="G49" i="61"/>
  <c r="E69" i="61"/>
  <c r="G53" i="61"/>
  <c r="B81" i="61"/>
  <c r="G73" i="61"/>
  <c r="G69" i="61"/>
  <c r="E41" i="61"/>
  <c r="B65" i="61"/>
  <c r="G45" i="61"/>
  <c r="E37" i="61"/>
  <c r="E53" i="61"/>
  <c r="B77" i="61"/>
  <c r="B53" i="61"/>
  <c r="I42" i="8"/>
  <c r="G93" i="61"/>
  <c r="B93" i="61"/>
  <c r="B101" i="61"/>
  <c r="E81" i="61"/>
  <c r="E77" i="61"/>
  <c r="B73" i="61"/>
  <c r="I43" i="8"/>
  <c r="G33" i="61"/>
  <c r="G41" i="61"/>
  <c r="B49" i="61"/>
  <c r="B85" i="61"/>
  <c r="E97" i="61"/>
  <c r="E65" i="61"/>
  <c r="B89" i="61"/>
  <c r="B41" i="61"/>
  <c r="E73" i="61"/>
  <c r="E45" i="61"/>
  <c r="B57" i="61"/>
  <c r="B45" i="61"/>
  <c r="E101" i="61"/>
  <c r="E85" i="61"/>
  <c r="CJ7" i="57"/>
  <c r="E33" i="61"/>
  <c r="G61" i="61"/>
  <c r="G81" i="61"/>
  <c r="BZ4" i="57" l="1"/>
  <c r="CA4" i="57" s="1"/>
  <c r="CB4" i="57" s="1"/>
  <c r="CC4" i="57" s="1"/>
  <c r="CD4" i="57" s="1"/>
  <c r="CE4" i="57" s="1"/>
  <c r="CF4" i="57" s="1"/>
  <c r="CG4" i="57" s="1"/>
  <c r="A85" i="61"/>
  <c r="A45" i="61"/>
  <c r="A65" i="61"/>
  <c r="A77" i="61"/>
  <c r="A53" i="61"/>
  <c r="A41" i="61"/>
  <c r="A93" i="61"/>
  <c r="A33" i="61"/>
  <c r="A101" i="61"/>
  <c r="A73" i="61"/>
  <c r="A97" i="61"/>
  <c r="A81" i="61"/>
  <c r="A37" i="61"/>
  <c r="A69" i="61"/>
  <c r="A89" i="61"/>
  <c r="E105" i="61"/>
  <c r="A57" i="61"/>
  <c r="A49" i="61"/>
  <c r="A61" i="61"/>
  <c r="AL24" i="4"/>
  <c r="CJ8" i="57"/>
  <c r="CH4" i="57" l="1"/>
  <c r="A4" i="57" s="1"/>
  <c r="AL25" i="4"/>
  <c r="CJ9" i="57"/>
  <c r="A5" i="57" l="1"/>
  <c r="AL5" i="4"/>
  <c r="CJ10" i="57"/>
  <c r="AL37" i="4" l="1"/>
  <c r="A6" i="57"/>
  <c r="AL22" i="4"/>
  <c r="CJ11" i="57"/>
  <c r="AL6" i="4" l="1"/>
  <c r="A7" i="57"/>
  <c r="CJ12" i="57"/>
  <c r="AL7" i="4" l="1"/>
  <c r="A8" i="57"/>
  <c r="AL23" i="4"/>
  <c r="CJ13" i="57"/>
  <c r="AL8" i="4" l="1"/>
  <c r="A9" i="57"/>
  <c r="CJ14" i="57"/>
  <c r="AL10" i="4" l="1"/>
  <c r="A10" i="57"/>
  <c r="AL28" i="4"/>
  <c r="CJ15" i="57"/>
  <c r="AL11" i="4" l="1"/>
  <c r="A11" i="57"/>
  <c r="AL29" i="4"/>
  <c r="CJ16" i="57"/>
  <c r="AL12" i="4" l="1"/>
  <c r="A12" i="57"/>
  <c r="AL30" i="4"/>
  <c r="CJ17" i="57"/>
  <c r="AL13" i="4" l="1"/>
  <c r="A13" i="57"/>
  <c r="AL31" i="4"/>
  <c r="CJ18" i="57"/>
  <c r="AL14" i="4" l="1"/>
  <c r="A14" i="57"/>
  <c r="AL32" i="4"/>
  <c r="CJ19" i="57"/>
  <c r="AL15" i="4" l="1"/>
  <c r="A15" i="57"/>
  <c r="A16" i="57" s="1"/>
  <c r="A17" i="57" s="1"/>
  <c r="A18" i="57" s="1"/>
  <c r="AL34" i="4"/>
  <c r="CJ20" i="57"/>
  <c r="AL19" i="4" l="1"/>
  <c r="A19" i="57"/>
  <c r="AL35" i="4"/>
  <c r="CJ21" i="57"/>
  <c r="AL20" i="4" l="1"/>
  <c r="A20" i="57"/>
  <c r="A21" i="57" s="1"/>
  <c r="A22" i="57" s="1"/>
  <c r="CJ22" i="57"/>
  <c r="AL21" i="4" l="1"/>
  <c r="A23" i="57"/>
  <c r="A24" i="57" s="1"/>
  <c r="AL36" i="4"/>
  <c r="CJ23" i="57"/>
  <c r="AL26" i="4" l="1"/>
  <c r="A25" i="57"/>
  <c r="A26" i="57" s="1"/>
  <c r="CJ24" i="57"/>
  <c r="AL27" i="4" l="1"/>
  <c r="A27" i="57"/>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9" i="57" s="1"/>
  <c r="A80" i="57" s="1"/>
  <c r="A81" i="57" s="1"/>
  <c r="A82" i="57" s="1"/>
  <c r="A83" i="57" s="1"/>
  <c r="A84" i="57" s="1"/>
  <c r="A85" i="57" s="1"/>
  <c r="A86" i="57" s="1"/>
  <c r="A87" i="57" s="1"/>
  <c r="A88" i="57" s="1"/>
  <c r="A89" i="57" s="1"/>
  <c r="A90" i="57" s="1"/>
  <c r="A91" i="57" s="1"/>
  <c r="A92" i="57" s="1"/>
  <c r="A93" i="57" s="1"/>
  <c r="A94" i="57" s="1"/>
  <c r="A95" i="57" s="1"/>
  <c r="A96" i="57" s="1"/>
  <c r="A97" i="57" s="1"/>
  <c r="A98" i="57" s="1"/>
  <c r="A99" i="57" s="1"/>
  <c r="A100" i="57" s="1"/>
  <c r="A101" i="57" s="1"/>
  <c r="A102" i="57" s="1"/>
  <c r="A103" i="57" s="1"/>
  <c r="A104" i="57" s="1"/>
  <c r="A105" i="57" s="1"/>
  <c r="A106" i="57" s="1"/>
  <c r="A107" i="57" s="1"/>
  <c r="A108" i="57" s="1"/>
  <c r="A109" i="57" s="1"/>
  <c r="A110" i="57" s="1"/>
  <c r="A111" i="57" s="1"/>
  <c r="A112" i="57" s="1"/>
  <c r="A113" i="57" s="1"/>
  <c r="A114" i="57" s="1"/>
  <c r="A115" i="57" s="1"/>
  <c r="A116" i="57" s="1"/>
  <c r="A117" i="57" s="1"/>
  <c r="A118" i="57" s="1"/>
  <c r="A119" i="57" s="1"/>
  <c r="A120" i="57" s="1"/>
  <c r="A121" i="57" s="1"/>
  <c r="A122" i="57" s="1"/>
  <c r="A123" i="57" s="1"/>
  <c r="A124" i="57" s="1"/>
  <c r="A125" i="57" s="1"/>
  <c r="A126" i="57" s="1"/>
  <c r="A127" i="57" s="1"/>
  <c r="A128" i="57" s="1"/>
  <c r="A129" i="57" s="1"/>
  <c r="A130" i="57" s="1"/>
  <c r="A131" i="57" s="1"/>
  <c r="A132" i="57" s="1"/>
  <c r="A133" i="57" s="1"/>
  <c r="A134" i="57" s="1"/>
  <c r="A135" i="57" s="1"/>
  <c r="A136" i="57" s="1"/>
  <c r="A137" i="57" s="1"/>
  <c r="A138" i="57" s="1"/>
  <c r="A139" i="57" s="1"/>
  <c r="A140" i="57" s="1"/>
  <c r="A141" i="57" s="1"/>
  <c r="A142" i="57" s="1"/>
  <c r="A143" i="57" s="1"/>
  <c r="A144" i="57" s="1"/>
  <c r="A145" i="57" s="1"/>
  <c r="A146" i="57" s="1"/>
  <c r="A147" i="57" s="1"/>
  <c r="A148" i="57" s="1"/>
  <c r="A149" i="57" s="1"/>
  <c r="A150" i="57" s="1"/>
  <c r="A151" i="57" s="1"/>
  <c r="A152" i="57" s="1"/>
  <c r="A153" i="57" s="1"/>
  <c r="A154" i="57" s="1"/>
  <c r="A155" i="57" s="1"/>
  <c r="A156" i="57" s="1"/>
  <c r="A157" i="57" s="1"/>
  <c r="A158" i="57" s="1"/>
  <c r="A159" i="57" s="1"/>
  <c r="A160" i="57" s="1"/>
  <c r="A161" i="57" s="1"/>
  <c r="A162" i="57" s="1"/>
  <c r="A163" i="57" s="1"/>
  <c r="A164" i="57" s="1"/>
  <c r="A165" i="57" s="1"/>
  <c r="A166" i="57" s="1"/>
  <c r="A167" i="57" s="1"/>
  <c r="A168" i="57" s="1"/>
  <c r="A169" i="57" s="1"/>
  <c r="A170" i="57" s="1"/>
  <c r="A171" i="57" s="1"/>
  <c r="A172" i="57" s="1"/>
  <c r="A173" i="57" s="1"/>
  <c r="A174" i="57" s="1"/>
  <c r="A175" i="57" s="1"/>
  <c r="A176" i="57" s="1"/>
  <c r="A177" i="57" s="1"/>
  <c r="A178" i="57" s="1"/>
  <c r="A179" i="57" s="1"/>
  <c r="A180" i="57" s="1"/>
  <c r="A181" i="57" s="1"/>
  <c r="A182" i="57" s="1"/>
  <c r="A183" i="57" s="1"/>
  <c r="A184" i="57" s="1"/>
  <c r="A185" i="57" s="1"/>
  <c r="A186" i="57" s="1"/>
  <c r="A187" i="57" s="1"/>
  <c r="A188" i="57" s="1"/>
  <c r="A189" i="57" s="1"/>
  <c r="A190" i="57" s="1"/>
  <c r="A191" i="57" s="1"/>
  <c r="A192" i="57" s="1"/>
  <c r="A193" i="57" s="1"/>
  <c r="A194" i="57" s="1"/>
  <c r="A195" i="57" s="1"/>
  <c r="A196" i="57" s="1"/>
  <c r="A197" i="57" s="1"/>
  <c r="A198" i="57" s="1"/>
  <c r="A199" i="57" s="1"/>
  <c r="A200" i="57" s="1"/>
  <c r="A201" i="57" s="1"/>
  <c r="A202" i="57" s="1"/>
  <c r="A203" i="57" s="1"/>
  <c r="A204" i="57" s="1"/>
  <c r="A205" i="57" s="1"/>
  <c r="A206" i="57" s="1"/>
  <c r="A207" i="57" s="1"/>
  <c r="A208" i="57" s="1"/>
  <c r="A209" i="57" s="1"/>
  <c r="A210" i="57" s="1"/>
  <c r="A211" i="57" s="1"/>
  <c r="A212" i="57" s="1"/>
  <c r="A213" i="57" s="1"/>
  <c r="A214" i="57" s="1"/>
  <c r="A215" i="57" s="1"/>
  <c r="A216" i="57" s="1"/>
  <c r="A217" i="57" s="1"/>
  <c r="A218" i="57" s="1"/>
  <c r="A219" i="57" s="1"/>
  <c r="A220" i="57" s="1"/>
  <c r="A221" i="57" s="1"/>
  <c r="A222" i="57" s="1"/>
  <c r="A223" i="57" s="1"/>
  <c r="A224" i="57" s="1"/>
  <c r="A225" i="57" s="1"/>
  <c r="A226" i="57" s="1"/>
  <c r="A227" i="57" s="1"/>
  <c r="A228" i="57" s="1"/>
  <c r="A229" i="57" s="1"/>
  <c r="A230" i="57" s="1"/>
  <c r="A231" i="57" s="1"/>
  <c r="A232" i="57" s="1"/>
  <c r="A233" i="57" s="1"/>
  <c r="A234" i="57" s="1"/>
  <c r="A235" i="57" s="1"/>
  <c r="A236" i="57" s="1"/>
  <c r="A237" i="57" s="1"/>
  <c r="A238" i="57" s="1"/>
  <c r="A239" i="57" s="1"/>
  <c r="A240" i="57" s="1"/>
  <c r="A241" i="57" s="1"/>
  <c r="A242" i="57" s="1"/>
  <c r="A243" i="57" s="1"/>
  <c r="A244" i="57" s="1"/>
  <c r="A245" i="57" s="1"/>
  <c r="A246" i="57" s="1"/>
  <c r="A247" i="57" s="1"/>
  <c r="A248" i="57" s="1"/>
  <c r="A249" i="57" s="1"/>
  <c r="A250" i="57" s="1"/>
  <c r="A251" i="57" s="1"/>
  <c r="A252" i="57" s="1"/>
  <c r="A253" i="57" s="1"/>
  <c r="I30" i="8" s="1"/>
  <c r="CJ25" i="57"/>
  <c r="I29" i="8" l="1"/>
  <c r="E54" i="8"/>
  <c r="A7" i="72" s="1" a="1"/>
  <c r="A7" i="72" s="1"/>
  <c r="A8" i="72" s="1"/>
  <c r="A9" i="72" s="1"/>
  <c r="A10" i="72" s="1"/>
  <c r="A11" i="72" s="1"/>
  <c r="CJ26" i="57"/>
  <c r="F54" i="8" l="1"/>
  <c r="A12" i="72"/>
  <c r="CJ27" i="57"/>
  <c r="E55" i="8" l="1"/>
  <c r="A48" i="72"/>
  <c r="A13" i="72"/>
  <c r="CJ28" i="57"/>
  <c r="F55" i="8" l="1"/>
  <c r="E56" i="8" s="1"/>
  <c r="F56" i="8" s="1"/>
  <c r="E57" i="8" s="1"/>
  <c r="F57" i="8" s="1"/>
  <c r="E58" i="8" s="1"/>
  <c r="F58" i="8" s="1"/>
  <c r="E59" i="8" s="1"/>
  <c r="F59" i="8" s="1"/>
  <c r="E60" i="8" s="1"/>
  <c r="F60" i="8" s="1"/>
  <c r="E61" i="8" s="1"/>
  <c r="F61" i="8" s="1"/>
  <c r="E62" i="8" s="1"/>
  <c r="F62" i="8" s="1"/>
  <c r="E63" i="8" s="1"/>
  <c r="F63" i="8" s="1"/>
  <c r="E64" i="8" s="1"/>
  <c r="F64" i="8" s="1"/>
  <c r="E65" i="8" s="1"/>
  <c r="F65" i="8" s="1"/>
  <c r="E66" i="8" s="1"/>
  <c r="F66" i="8" s="1"/>
  <c r="E67" i="8" s="1"/>
  <c r="F67" i="8" s="1"/>
  <c r="E68" i="8" s="1"/>
  <c r="F68" i="8" s="1"/>
  <c r="E69" i="8" s="1"/>
  <c r="F69" i="8" s="1"/>
  <c r="E70" i="8" s="1"/>
  <c r="F70" i="8" s="1"/>
  <c r="E71" i="8" s="1"/>
  <c r="F71" i="8" s="1"/>
  <c r="E72" i="8" s="1"/>
  <c r="F72" i="8" s="1"/>
  <c r="E73" i="8" s="1"/>
  <c r="F73" i="8" s="1"/>
  <c r="A14" i="72"/>
  <c r="CJ29" i="57"/>
  <c r="I32" i="8" l="1"/>
  <c r="A15" i="72"/>
  <c r="CJ30" i="57"/>
  <c r="A6" i="8" l="1"/>
  <c r="A9" i="8" s="1"/>
  <c r="A14" i="8" s="1"/>
  <c r="A30" i="8" s="1"/>
  <c r="A33" i="8" s="1"/>
  <c r="A39" i="8" s="1"/>
  <c r="A42" i="8" s="1"/>
  <c r="A45" i="8" s="1"/>
  <c r="A47" i="8" s="1"/>
  <c r="J18" i="8"/>
  <c r="A16" i="72"/>
  <c r="CJ31" i="57"/>
  <c r="A17" i="72" l="1"/>
  <c r="CJ32" i="57"/>
  <c r="A18" i="72" l="1"/>
  <c r="CJ33" i="57"/>
  <c r="A19" i="72" l="1"/>
  <c r="CJ34" i="57"/>
  <c r="A20" i="72" l="1"/>
  <c r="CJ35" i="57"/>
  <c r="A21" i="72" l="1"/>
  <c r="CJ36" i="57"/>
  <c r="A22" i="72" l="1"/>
  <c r="CJ37" i="57"/>
  <c r="A23" i="72" l="1"/>
  <c r="CJ38" i="57"/>
  <c r="A24" i="72" l="1"/>
  <c r="CJ39" i="57"/>
  <c r="A25" i="72" l="1"/>
  <c r="CJ40" i="57"/>
  <c r="A26" i="72" l="1"/>
  <c r="CJ41" i="57"/>
  <c r="A27" i="72" l="1"/>
  <c r="CJ42" i="57"/>
  <c r="A28" i="72" l="1"/>
  <c r="CJ43" i="57"/>
  <c r="A29" i="72" l="1"/>
  <c r="CJ44" i="57"/>
  <c r="A30" i="72" l="1"/>
  <c r="CJ45" i="57"/>
  <c r="A31" i="72" l="1"/>
  <c r="CJ46" i="57"/>
  <c r="A32" i="72" l="1"/>
  <c r="CJ47" i="57"/>
  <c r="A33" i="72" l="1"/>
  <c r="CJ48" i="57"/>
  <c r="A34" i="72" l="1"/>
  <c r="CJ49" i="57"/>
  <c r="A35" i="72" l="1"/>
  <c r="CJ50" i="57"/>
  <c r="A36" i="72" l="1"/>
  <c r="CJ51" i="57"/>
  <c r="A37" i="72" l="1"/>
  <c r="CJ52" i="57"/>
  <c r="A38" i="72" l="1"/>
  <c r="CJ53" i="57"/>
  <c r="A39" i="72" l="1"/>
  <c r="CJ54" i="57"/>
  <c r="A40" i="72" l="1"/>
  <c r="CJ55" i="57"/>
  <c r="A41" i="72" l="1"/>
  <c r="CJ56" i="57"/>
  <c r="A42" i="72" l="1"/>
  <c r="CJ57" i="57"/>
  <c r="A43" i="72" l="1"/>
  <c r="CJ58" i="57"/>
  <c r="A44" i="72" l="1"/>
  <c r="CJ59" i="57"/>
  <c r="A45" i="72" l="1"/>
  <c r="CJ60" i="57"/>
  <c r="A46" i="72" l="1"/>
  <c r="CJ61" i="57"/>
  <c r="A47" i="72" l="1"/>
  <c r="CJ62" i="57"/>
  <c r="C47" i="72" l="1"/>
  <c r="CJ63" i="57"/>
  <c r="C46" i="72" l="1"/>
  <c r="J47" i="72" a="1"/>
  <c r="CJ64" i="57"/>
  <c r="S47" i="72"/>
  <c r="N47" i="72"/>
  <c r="U47" i="72"/>
  <c r="R47" i="72"/>
  <c r="M47" i="72"/>
  <c r="V47" i="72"/>
  <c r="P47" i="72"/>
  <c r="O47" i="72"/>
  <c r="T47" i="72"/>
  <c r="W47" i="72"/>
  <c r="Q47" i="72"/>
  <c r="K47" i="72"/>
  <c r="J47" i="72" l="1"/>
  <c r="J46" i="72" a="1"/>
  <c r="J46" i="72" s="1"/>
  <c r="C45" i="72"/>
  <c r="H46" i="72" s="1" a="1"/>
  <c r="H46" i="72" s="1"/>
  <c r="G47" i="72"/>
  <c r="F47" i="72"/>
  <c r="H47" i="72" a="1"/>
  <c r="H47" i="72" s="1"/>
  <c r="CJ65" i="57"/>
  <c r="L47" i="72"/>
  <c r="S46" i="72"/>
  <c r="L46" i="72"/>
  <c r="T46" i="72"/>
  <c r="W46" i="72"/>
  <c r="M46" i="72"/>
  <c r="N46" i="72"/>
  <c r="P46" i="72"/>
  <c r="V46" i="72"/>
  <c r="Q46" i="72"/>
  <c r="K46" i="72"/>
  <c r="X47" i="72"/>
  <c r="O46" i="72"/>
  <c r="R46" i="72"/>
  <c r="X46" i="72"/>
  <c r="U46" i="72"/>
  <c r="C44" i="72" l="1"/>
  <c r="F46" i="72"/>
  <c r="G46" i="72"/>
  <c r="J45" i="72" a="1"/>
  <c r="CJ66" i="57"/>
  <c r="N45" i="72"/>
  <c r="Q45" i="72"/>
  <c r="U45" i="72"/>
  <c r="O45" i="72"/>
  <c r="T45" i="72"/>
  <c r="M45" i="72"/>
  <c r="K45" i="72"/>
  <c r="R45" i="72"/>
  <c r="S45" i="72"/>
  <c r="W45" i="72"/>
  <c r="V45" i="72"/>
  <c r="P45" i="72"/>
  <c r="J45" i="72" l="1"/>
  <c r="C43" i="72"/>
  <c r="G44" i="72" s="1"/>
  <c r="G45" i="72"/>
  <c r="F45" i="72"/>
  <c r="J44" i="72" a="1"/>
  <c r="H45" i="72" a="1"/>
  <c r="CJ67" i="57"/>
  <c r="K44" i="72"/>
  <c r="Q44" i="72"/>
  <c r="S44" i="72"/>
  <c r="P44" i="72"/>
  <c r="R44" i="72"/>
  <c r="M44" i="72"/>
  <c r="L45" i="72"/>
  <c r="V44" i="72"/>
  <c r="W44" i="72"/>
  <c r="O44" i="72"/>
  <c r="U44" i="72"/>
  <c r="X45" i="72"/>
  <c r="N44" i="72"/>
  <c r="T44" i="72"/>
  <c r="H45" i="72" l="1"/>
  <c r="J44" i="72"/>
  <c r="H44" i="72" a="1"/>
  <c r="H44" i="72" s="1"/>
  <c r="J43" i="72" a="1"/>
  <c r="J43" i="72" s="1"/>
  <c r="C42" i="72"/>
  <c r="F44" i="72"/>
  <c r="CJ68" i="57"/>
  <c r="V43" i="72"/>
  <c r="Q43" i="72"/>
  <c r="X43" i="72"/>
  <c r="P43" i="72"/>
  <c r="R43" i="72"/>
  <c r="K43" i="72"/>
  <c r="T43" i="72"/>
  <c r="W43" i="72"/>
  <c r="O43" i="72"/>
  <c r="L44" i="72"/>
  <c r="M43" i="72"/>
  <c r="U43" i="72"/>
  <c r="X44" i="72"/>
  <c r="S43" i="72"/>
  <c r="N43" i="72"/>
  <c r="L43" i="72"/>
  <c r="C41" i="72" l="1"/>
  <c r="H42" i="72" s="1" a="1"/>
  <c r="F43" i="72"/>
  <c r="G43" i="72"/>
  <c r="J42" i="72" a="1"/>
  <c r="H43" i="72" a="1"/>
  <c r="CJ69" i="57"/>
  <c r="K42" i="72"/>
  <c r="R42" i="72"/>
  <c r="T42" i="72"/>
  <c r="P42" i="72"/>
  <c r="O42" i="72"/>
  <c r="M42" i="72"/>
  <c r="N42" i="72"/>
  <c r="W42" i="72"/>
  <c r="U42" i="72"/>
  <c r="V42" i="72"/>
  <c r="S42" i="72"/>
  <c r="Q42" i="72"/>
  <c r="H42" i="72" l="1"/>
  <c r="J42" i="72"/>
  <c r="H43" i="72"/>
  <c r="F42" i="72"/>
  <c r="C40" i="72"/>
  <c r="F41" i="72" s="1"/>
  <c r="G42" i="72"/>
  <c r="J41" i="72" a="1"/>
  <c r="CJ70" i="57"/>
  <c r="P41" i="72"/>
  <c r="L42" i="72"/>
  <c r="Q41" i="72"/>
  <c r="T41" i="72"/>
  <c r="R41" i="72"/>
  <c r="W41" i="72"/>
  <c r="O41" i="72"/>
  <c r="M41" i="72"/>
  <c r="N41" i="72"/>
  <c r="S41" i="72"/>
  <c r="V41" i="72"/>
  <c r="U41" i="72"/>
  <c r="K41" i="72"/>
  <c r="X42" i="72"/>
  <c r="J41" i="72" l="1"/>
  <c r="C39" i="72"/>
  <c r="H40" i="72" s="1" a="1"/>
  <c r="G41" i="72"/>
  <c r="J40" i="72" a="1"/>
  <c r="H41" i="72" a="1"/>
  <c r="CJ71" i="57"/>
  <c r="P40" i="72"/>
  <c r="X41" i="72"/>
  <c r="U40" i="72"/>
  <c r="N40" i="72"/>
  <c r="Q40" i="72"/>
  <c r="R40" i="72"/>
  <c r="S40" i="72"/>
  <c r="O40" i="72"/>
  <c r="V40" i="72"/>
  <c r="K40" i="72"/>
  <c r="T40" i="72"/>
  <c r="W40" i="72"/>
  <c r="L41" i="72"/>
  <c r="M40" i="72"/>
  <c r="H41" i="72" l="1"/>
  <c r="H40" i="72"/>
  <c r="J40" i="72"/>
  <c r="C38" i="72"/>
  <c r="G40" i="72"/>
  <c r="F40" i="72"/>
  <c r="J39" i="72" a="1"/>
  <c r="CJ72" i="57"/>
  <c r="R39" i="72"/>
  <c r="M39" i="72"/>
  <c r="Q39" i="72"/>
  <c r="N39" i="72"/>
  <c r="L40" i="72"/>
  <c r="K39" i="72"/>
  <c r="U39" i="72"/>
  <c r="W39" i="72"/>
  <c r="T39" i="72"/>
  <c r="P39" i="72"/>
  <c r="X40" i="72"/>
  <c r="V39" i="72"/>
  <c r="S39" i="72"/>
  <c r="O39" i="72"/>
  <c r="J39" i="72" l="1"/>
  <c r="C37" i="72"/>
  <c r="G38" i="72" s="1"/>
  <c r="G39" i="72"/>
  <c r="F39" i="72"/>
  <c r="H39" i="72" a="1"/>
  <c r="J38" i="72" a="1"/>
  <c r="CJ73" i="57"/>
  <c r="U38" i="72"/>
  <c r="V38" i="72"/>
  <c r="Q38" i="72"/>
  <c r="W38" i="72"/>
  <c r="K38" i="72"/>
  <c r="L39" i="72"/>
  <c r="X39" i="72"/>
  <c r="M38" i="72"/>
  <c r="S38" i="72"/>
  <c r="N38" i="72"/>
  <c r="R38" i="72"/>
  <c r="O38" i="72"/>
  <c r="P38" i="72"/>
  <c r="T38" i="72"/>
  <c r="H39" i="72" l="1"/>
  <c r="J38" i="72"/>
  <c r="C36" i="72"/>
  <c r="H37" i="72" s="1" a="1"/>
  <c r="F38" i="72"/>
  <c r="J37" i="72" a="1"/>
  <c r="H38" i="72" a="1"/>
  <c r="CJ74" i="57"/>
  <c r="S37" i="72"/>
  <c r="T37" i="72"/>
  <c r="O37" i="72"/>
  <c r="N37" i="72"/>
  <c r="U37" i="72"/>
  <c r="M37" i="72"/>
  <c r="V37" i="72"/>
  <c r="P37" i="72"/>
  <c r="W37" i="72"/>
  <c r="L38" i="72"/>
  <c r="K37" i="72"/>
  <c r="X38" i="72"/>
  <c r="Q37" i="72"/>
  <c r="R37" i="72"/>
  <c r="H37" i="72" l="1"/>
  <c r="J37" i="72"/>
  <c r="H38" i="72"/>
  <c r="C35" i="72"/>
  <c r="G36" i="72" s="1"/>
  <c r="F37" i="72"/>
  <c r="G37" i="72"/>
  <c r="J36" i="72" a="1"/>
  <c r="CJ75" i="57"/>
  <c r="K36" i="72"/>
  <c r="L37" i="72"/>
  <c r="W36" i="72"/>
  <c r="N36" i="72"/>
  <c r="R36" i="72"/>
  <c r="O36" i="72"/>
  <c r="M36" i="72"/>
  <c r="S36" i="72"/>
  <c r="T36" i="72"/>
  <c r="X37" i="72"/>
  <c r="Q36" i="72"/>
  <c r="U36" i="72"/>
  <c r="V36" i="72"/>
  <c r="P36" i="72"/>
  <c r="J36" i="72" l="1"/>
  <c r="C34" i="72"/>
  <c r="F36" i="72"/>
  <c r="J35" i="72" a="1"/>
  <c r="H36" i="72" a="1"/>
  <c r="CJ76" i="57"/>
  <c r="T35" i="72"/>
  <c r="N35" i="72"/>
  <c r="K35" i="72"/>
  <c r="L36" i="72"/>
  <c r="S35" i="72"/>
  <c r="R35" i="72"/>
  <c r="X36" i="72"/>
  <c r="O35" i="72"/>
  <c r="V35" i="72"/>
  <c r="W35" i="72"/>
  <c r="U35" i="72"/>
  <c r="Q35" i="72"/>
  <c r="P35" i="72"/>
  <c r="M35" i="72"/>
  <c r="H36" i="72" l="1"/>
  <c r="J35" i="72"/>
  <c r="C33" i="72"/>
  <c r="F35" i="72"/>
  <c r="G35" i="72"/>
  <c r="J34" i="72" a="1"/>
  <c r="H35" i="72" a="1"/>
  <c r="CJ77" i="57"/>
  <c r="S34" i="72"/>
  <c r="T34" i="72"/>
  <c r="N34" i="72"/>
  <c r="K34" i="72"/>
  <c r="P34" i="72"/>
  <c r="R34" i="72"/>
  <c r="W34" i="72"/>
  <c r="U34" i="72"/>
  <c r="V34" i="72"/>
  <c r="M34" i="72"/>
  <c r="X35" i="72"/>
  <c r="O34" i="72"/>
  <c r="L35" i="72"/>
  <c r="Q34" i="72"/>
  <c r="H35" i="72" l="1"/>
  <c r="J34" i="72"/>
  <c r="C32" i="72"/>
  <c r="F33" i="72" s="1"/>
  <c r="G34" i="72"/>
  <c r="F34" i="72"/>
  <c r="J33" i="72" a="1"/>
  <c r="H34" i="72" a="1"/>
  <c r="CJ78" i="57"/>
  <c r="N33" i="72"/>
  <c r="X34" i="72"/>
  <c r="P33" i="72"/>
  <c r="O33" i="72"/>
  <c r="R33" i="72"/>
  <c r="L34" i="72"/>
  <c r="Q33" i="72"/>
  <c r="K33" i="72"/>
  <c r="S33" i="72"/>
  <c r="U33" i="72"/>
  <c r="W33" i="72"/>
  <c r="M33" i="72"/>
  <c r="T33" i="72"/>
  <c r="V33" i="72"/>
  <c r="H34" i="72" l="1"/>
  <c r="J33" i="72"/>
  <c r="C31" i="72"/>
  <c r="G33" i="72"/>
  <c r="J32" i="72" a="1"/>
  <c r="H33" i="72" a="1"/>
  <c r="CJ79" i="57"/>
  <c r="T32" i="72"/>
  <c r="U32" i="72"/>
  <c r="K32" i="72"/>
  <c r="O32" i="72"/>
  <c r="P32" i="72"/>
  <c r="N32" i="72"/>
  <c r="V32" i="72"/>
  <c r="Q32" i="72"/>
  <c r="R32" i="72"/>
  <c r="X33" i="72"/>
  <c r="M32" i="72"/>
  <c r="S32" i="72"/>
  <c r="W32" i="72"/>
  <c r="L33" i="72"/>
  <c r="J32" i="72" l="1"/>
  <c r="H33" i="72"/>
  <c r="J31" i="72" a="1"/>
  <c r="J31" i="72" s="1"/>
  <c r="C30" i="72"/>
  <c r="F32" i="72"/>
  <c r="H32" i="72" a="1"/>
  <c r="H32" i="72" s="1"/>
  <c r="G32" i="72"/>
  <c r="CJ80" i="57"/>
  <c r="L32" i="72"/>
  <c r="K31" i="72"/>
  <c r="U31" i="72"/>
  <c r="P31" i="72"/>
  <c r="S31" i="72"/>
  <c r="Q31" i="72"/>
  <c r="X31" i="72"/>
  <c r="M31" i="72"/>
  <c r="W31" i="72"/>
  <c r="X32" i="72"/>
  <c r="V31" i="72"/>
  <c r="T31" i="72"/>
  <c r="N31" i="72"/>
  <c r="L31" i="72"/>
  <c r="R31" i="72"/>
  <c r="O31" i="72"/>
  <c r="J30" i="72" l="1" a="1"/>
  <c r="J30" i="72" s="1"/>
  <c r="C29" i="72"/>
  <c r="G31" i="72"/>
  <c r="F31" i="72"/>
  <c r="H31" i="72" a="1"/>
  <c r="H31" i="72" s="1"/>
  <c r="CJ81" i="57"/>
  <c r="T30" i="72"/>
  <c r="V30" i="72"/>
  <c r="U30" i="72"/>
  <c r="M30" i="72"/>
  <c r="W30" i="72"/>
  <c r="S30" i="72"/>
  <c r="R30" i="72"/>
  <c r="P30" i="72"/>
  <c r="O30" i="72"/>
  <c r="N30" i="72"/>
  <c r="Q30" i="72"/>
  <c r="X30" i="72"/>
  <c r="K30" i="72"/>
  <c r="L30" i="72"/>
  <c r="C28" i="72" l="1"/>
  <c r="F29" i="72" s="1"/>
  <c r="G30" i="72"/>
  <c r="F30" i="72"/>
  <c r="J29" i="72" a="1"/>
  <c r="H30" i="72" a="1"/>
  <c r="CJ82" i="57"/>
  <c r="R29" i="72"/>
  <c r="Q29" i="72"/>
  <c r="O29" i="72"/>
  <c r="W29" i="72"/>
  <c r="M29" i="72"/>
  <c r="T29" i="72"/>
  <c r="U29" i="72"/>
  <c r="K29" i="72"/>
  <c r="N29" i="72"/>
  <c r="V29" i="72"/>
  <c r="S29" i="72"/>
  <c r="P29" i="72"/>
  <c r="H30" i="72" l="1"/>
  <c r="J29" i="72"/>
  <c r="G29" i="72"/>
  <c r="C27" i="72"/>
  <c r="H29" i="72" a="1"/>
  <c r="J28" i="72" a="1"/>
  <c r="CJ83" i="57"/>
  <c r="L29" i="72"/>
  <c r="K28" i="72"/>
  <c r="P28" i="72"/>
  <c r="W28" i="72"/>
  <c r="O28" i="72"/>
  <c r="M28" i="72"/>
  <c r="V28" i="72"/>
  <c r="T28" i="72"/>
  <c r="R28" i="72"/>
  <c r="X29" i="72"/>
  <c r="U28" i="72"/>
  <c r="N28" i="72"/>
  <c r="S28" i="72"/>
  <c r="Q28" i="72"/>
  <c r="J28" i="72" l="1"/>
  <c r="H29" i="72"/>
  <c r="C26" i="72"/>
  <c r="F28" i="72"/>
  <c r="G28" i="72"/>
  <c r="H28" i="72" a="1"/>
  <c r="J27" i="72" a="1"/>
  <c r="CJ84" i="57"/>
  <c r="T27" i="72"/>
  <c r="N27" i="72"/>
  <c r="R27" i="72"/>
  <c r="U27" i="72"/>
  <c r="L28" i="72"/>
  <c r="K27" i="72"/>
  <c r="X28" i="72"/>
  <c r="W27" i="72"/>
  <c r="Q27" i="72"/>
  <c r="M27" i="72"/>
  <c r="P27" i="72"/>
  <c r="S27" i="72"/>
  <c r="O27" i="72"/>
  <c r="H28" i="72" l="1"/>
  <c r="J27" i="72"/>
  <c r="C25" i="72"/>
  <c r="G27" i="72"/>
  <c r="F27" i="72"/>
  <c r="H27" i="72" a="1"/>
  <c r="J26" i="72" a="1"/>
  <c r="CJ85" i="57"/>
  <c r="L27" i="72"/>
  <c r="V27" i="72"/>
  <c r="P26" i="72"/>
  <c r="Q26" i="72"/>
  <c r="O26" i="72"/>
  <c r="M26" i="72"/>
  <c r="S26" i="72"/>
  <c r="T26" i="72"/>
  <c r="V26" i="72"/>
  <c r="N26" i="72"/>
  <c r="X27" i="72"/>
  <c r="K26" i="72"/>
  <c r="R26" i="72"/>
  <c r="W26" i="72"/>
  <c r="H27" i="72" l="1"/>
  <c r="J26" i="72"/>
  <c r="C24" i="72"/>
  <c r="F25" i="72" s="1"/>
  <c r="F26" i="72"/>
  <c r="G26" i="72"/>
  <c r="H26" i="72" a="1"/>
  <c r="J25" i="72" a="1"/>
  <c r="CJ86" i="57"/>
  <c r="K25" i="72"/>
  <c r="M25" i="72"/>
  <c r="N25" i="72"/>
  <c r="U25" i="72"/>
  <c r="P25" i="72"/>
  <c r="L26" i="72"/>
  <c r="O25" i="72"/>
  <c r="X26" i="72"/>
  <c r="U26" i="72"/>
  <c r="Q25" i="72"/>
  <c r="S25" i="72"/>
  <c r="W25" i="72"/>
  <c r="R25" i="72"/>
  <c r="H26" i="72" l="1"/>
  <c r="J25" i="72"/>
  <c r="C23" i="72"/>
  <c r="F24" i="72" s="1"/>
  <c r="G25" i="72"/>
  <c r="H25" i="72" a="1"/>
  <c r="J24" i="72" a="1"/>
  <c r="CJ87" i="57"/>
  <c r="Q24" i="72"/>
  <c r="V25" i="72"/>
  <c r="M24" i="72"/>
  <c r="O24" i="72"/>
  <c r="T25" i="72"/>
  <c r="K24" i="72"/>
  <c r="N24" i="72"/>
  <c r="R24" i="72"/>
  <c r="X25" i="72"/>
  <c r="P24" i="72"/>
  <c r="V24" i="72"/>
  <c r="W24" i="72"/>
  <c r="L25" i="72"/>
  <c r="T24" i="72"/>
  <c r="L24" i="72"/>
  <c r="J24" i="72" l="1"/>
  <c r="H25" i="72"/>
  <c r="G24" i="72"/>
  <c r="C22" i="72"/>
  <c r="G23" i="72" s="1"/>
  <c r="J23" i="72" a="1"/>
  <c r="H24" i="72" a="1"/>
  <c r="CJ88" i="57"/>
  <c r="S24" i="72"/>
  <c r="Q23" i="72"/>
  <c r="M23" i="72"/>
  <c r="W23" i="72"/>
  <c r="P23" i="72"/>
  <c r="O23" i="72"/>
  <c r="L23" i="72"/>
  <c r="U23" i="72"/>
  <c r="X24" i="72"/>
  <c r="K23" i="72"/>
  <c r="N23" i="72"/>
  <c r="S23" i="72"/>
  <c r="U24" i="72"/>
  <c r="V23" i="72"/>
  <c r="H24" i="72" l="1"/>
  <c r="J23" i="72"/>
  <c r="C21" i="72"/>
  <c r="F22" i="72" s="1"/>
  <c r="F23" i="72"/>
  <c r="H23" i="72" a="1"/>
  <c r="J22" i="72" a="1"/>
  <c r="CJ89" i="57"/>
  <c r="M22" i="72"/>
  <c r="T23" i="72"/>
  <c r="T22" i="72"/>
  <c r="K22" i="72"/>
  <c r="O22" i="72"/>
  <c r="R23" i="72"/>
  <c r="N22" i="72"/>
  <c r="P22" i="72"/>
  <c r="L22" i="72"/>
  <c r="X23" i="72"/>
  <c r="R22" i="72"/>
  <c r="U22" i="72"/>
  <c r="Q22" i="72"/>
  <c r="V22" i="72"/>
  <c r="W22" i="72"/>
  <c r="J22" i="72" l="1"/>
  <c r="H23" i="72"/>
  <c r="C20" i="72"/>
  <c r="G22" i="72"/>
  <c r="J21" i="72" a="1"/>
  <c r="H22" i="72" a="1"/>
  <c r="CJ90" i="57"/>
  <c r="P21" i="72"/>
  <c r="L21" i="72"/>
  <c r="W21" i="72"/>
  <c r="T21" i="72"/>
  <c r="N21" i="72"/>
  <c r="U21" i="72"/>
  <c r="S22" i="72"/>
  <c r="X22" i="72"/>
  <c r="V21" i="72"/>
  <c r="O21" i="72"/>
  <c r="S21" i="72"/>
  <c r="M21" i="72"/>
  <c r="K21" i="72"/>
  <c r="H22" i="72" l="1"/>
  <c r="J21" i="72"/>
  <c r="J20" i="72" a="1"/>
  <c r="J20" i="72" s="1"/>
  <c r="C19" i="72"/>
  <c r="F21" i="72"/>
  <c r="G21" i="72"/>
  <c r="H21" i="72" a="1"/>
  <c r="H21" i="72" s="1"/>
  <c r="CJ91" i="57"/>
  <c r="L20" i="72"/>
  <c r="O20" i="72"/>
  <c r="X20" i="72"/>
  <c r="Q20" i="72"/>
  <c r="M20" i="72"/>
  <c r="Q21" i="72"/>
  <c r="U20" i="72"/>
  <c r="R20" i="72"/>
  <c r="K20" i="72"/>
  <c r="S20" i="72"/>
  <c r="X21" i="72"/>
  <c r="N20" i="72"/>
  <c r="R21" i="72"/>
  <c r="P20" i="72"/>
  <c r="T20" i="72"/>
  <c r="V20" i="72"/>
  <c r="W20" i="72"/>
  <c r="C18" i="72" l="1"/>
  <c r="H19" i="72" s="1" a="1"/>
  <c r="G20" i="72"/>
  <c r="F20" i="72"/>
  <c r="J19" i="72" a="1"/>
  <c r="H20" i="72" a="1"/>
  <c r="CJ92" i="57"/>
  <c r="M19" i="72"/>
  <c r="T19" i="72"/>
  <c r="O19" i="72"/>
  <c r="S19" i="72"/>
  <c r="U19" i="72"/>
  <c r="R19" i="72"/>
  <c r="N19" i="72"/>
  <c r="L19" i="72"/>
  <c r="K19" i="72"/>
  <c r="V19" i="72"/>
  <c r="W19" i="72"/>
  <c r="H19" i="72" l="1"/>
  <c r="H20" i="72"/>
  <c r="J19" i="72"/>
  <c r="G19" i="72"/>
  <c r="C17" i="72"/>
  <c r="F19" i="72"/>
  <c r="J18" i="72" a="1"/>
  <c r="CJ93" i="57"/>
  <c r="T18" i="72"/>
  <c r="U18" i="72"/>
  <c r="R18" i="72"/>
  <c r="S18" i="72"/>
  <c r="M18" i="72"/>
  <c r="X19" i="72"/>
  <c r="Q18" i="72"/>
  <c r="P19" i="72"/>
  <c r="P18" i="72"/>
  <c r="Q19" i="72"/>
  <c r="W18" i="72"/>
  <c r="N18" i="72"/>
  <c r="K18" i="72"/>
  <c r="V18" i="72"/>
  <c r="L18" i="72"/>
  <c r="J18" i="72" l="1"/>
  <c r="C16" i="72"/>
  <c r="F18" i="72"/>
  <c r="G18" i="72"/>
  <c r="H18" i="72" a="1"/>
  <c r="CJ94" i="57"/>
  <c r="Q17" i="72"/>
  <c r="O18" i="72"/>
  <c r="S17" i="72"/>
  <c r="W17" i="72"/>
  <c r="R17" i="72"/>
  <c r="O17" i="72"/>
  <c r="X18" i="72"/>
  <c r="V17" i="72"/>
  <c r="L17" i="72"/>
  <c r="M17" i="72"/>
  <c r="U17" i="72"/>
  <c r="T17" i="72"/>
  <c r="K17" i="72"/>
  <c r="J17" i="72" a="1"/>
  <c r="J17" i="72" l="1"/>
  <c r="H18" i="72"/>
  <c r="C15" i="72"/>
  <c r="F17" i="72"/>
  <c r="G17" i="72"/>
  <c r="CJ95" i="57"/>
  <c r="H17" i="72" a="1"/>
  <c r="T16" i="72"/>
  <c r="N16" i="72"/>
  <c r="X17" i="72"/>
  <c r="P17" i="72"/>
  <c r="K16" i="72"/>
  <c r="W16" i="72"/>
  <c r="S16" i="72"/>
  <c r="Q16" i="72"/>
  <c r="N17" i="72"/>
  <c r="U16" i="72"/>
  <c r="L16" i="72"/>
  <c r="R16" i="72"/>
  <c r="V16" i="72"/>
  <c r="J16" i="72" a="1"/>
  <c r="P16" i="72"/>
  <c r="H17" i="72" l="1"/>
  <c r="J16" i="72"/>
  <c r="C14" i="72"/>
  <c r="G16" i="72"/>
  <c r="F16" i="72"/>
  <c r="CJ96" i="57"/>
  <c r="U15" i="72"/>
  <c r="P15" i="72"/>
  <c r="W15" i="72"/>
  <c r="M16" i="72"/>
  <c r="M15" i="72"/>
  <c r="J15" i="72" a="1"/>
  <c r="X16" i="72"/>
  <c r="T15" i="72"/>
  <c r="K15" i="72"/>
  <c r="S15" i="72"/>
  <c r="Q15" i="72"/>
  <c r="R15" i="72"/>
  <c r="V15" i="72"/>
  <c r="L15" i="72"/>
  <c r="O16" i="72"/>
  <c r="H16" i="72" a="1"/>
  <c r="O15" i="72"/>
  <c r="H16" i="72" l="1"/>
  <c r="J15" i="72"/>
  <c r="C13" i="72"/>
  <c r="H14" i="72" s="1" a="1"/>
  <c r="H14" i="72" s="1"/>
  <c r="F15" i="72"/>
  <c r="G15" i="72"/>
  <c r="CJ97" i="57"/>
  <c r="N15" i="72"/>
  <c r="T14" i="72"/>
  <c r="Q14" i="72"/>
  <c r="R14" i="72"/>
  <c r="U14" i="72"/>
  <c r="L14" i="72"/>
  <c r="O14" i="72"/>
  <c r="H15" i="72" a="1"/>
  <c r="V14" i="72"/>
  <c r="P14" i="72"/>
  <c r="J14" i="72" a="1"/>
  <c r="W14" i="72"/>
  <c r="X15" i="72"/>
  <c r="S14" i="72"/>
  <c r="N14" i="72"/>
  <c r="H15" i="72" l="1"/>
  <c r="J14" i="72"/>
  <c r="J13" i="72" a="1"/>
  <c r="J13" i="72" s="1"/>
  <c r="C12" i="72"/>
  <c r="G14" i="72"/>
  <c r="F14" i="72"/>
  <c r="CJ98" i="57"/>
  <c r="T13" i="72"/>
  <c r="M14" i="72"/>
  <c r="K14" i="72"/>
  <c r="O13" i="72"/>
  <c r="V13" i="72"/>
  <c r="M13" i="72"/>
  <c r="L13" i="72"/>
  <c r="X13" i="72"/>
  <c r="W13" i="72"/>
  <c r="R13" i="72"/>
  <c r="X14" i="72"/>
  <c r="N13" i="72"/>
  <c r="U13" i="72"/>
  <c r="P13" i="72"/>
  <c r="S13" i="72"/>
  <c r="Q13" i="72"/>
  <c r="K13" i="72"/>
  <c r="C11" i="72" l="1"/>
  <c r="G12" i="72" s="1"/>
  <c r="F13" i="72"/>
  <c r="G13" i="72"/>
  <c r="CJ99" i="57"/>
  <c r="V12" i="72"/>
  <c r="T12" i="72"/>
  <c r="M12" i="72"/>
  <c r="L12" i="72"/>
  <c r="H13" i="72" a="1"/>
  <c r="P12" i="72"/>
  <c r="S12" i="72"/>
  <c r="U12" i="72"/>
  <c r="W12" i="72"/>
  <c r="Q12" i="72"/>
  <c r="O12" i="72"/>
  <c r="R12" i="72"/>
  <c r="N12" i="72"/>
  <c r="J12" i="72" a="1"/>
  <c r="H13" i="72" l="1"/>
  <c r="J12" i="72"/>
  <c r="H12" i="72" a="1"/>
  <c r="H12" i="72" s="1"/>
  <c r="J11" i="72" a="1"/>
  <c r="J11" i="72" s="1"/>
  <c r="C10" i="72"/>
  <c r="F11" i="72" s="1"/>
  <c r="F12" i="72"/>
  <c r="CJ100" i="57"/>
  <c r="K11" i="72"/>
  <c r="X11" i="72"/>
  <c r="W11" i="72"/>
  <c r="P11" i="72"/>
  <c r="N11" i="72"/>
  <c r="U11" i="72"/>
  <c r="L11" i="72"/>
  <c r="R11" i="72"/>
  <c r="K12" i="72"/>
  <c r="T11" i="72"/>
  <c r="S11" i="72"/>
  <c r="O11" i="72"/>
  <c r="Q11" i="72"/>
  <c r="M11" i="72"/>
  <c r="V11" i="72"/>
  <c r="X12" i="72"/>
  <c r="G11" i="72" l="1"/>
  <c r="C9" i="72"/>
  <c r="CJ101" i="57"/>
  <c r="J10" i="72" a="1"/>
  <c r="L10" i="72"/>
  <c r="P10" i="72"/>
  <c r="S10" i="72"/>
  <c r="V10" i="72"/>
  <c r="O10" i="72"/>
  <c r="H11" i="72" a="1"/>
  <c r="R10" i="72"/>
  <c r="M10" i="72"/>
  <c r="U10" i="72"/>
  <c r="Q10" i="72"/>
  <c r="N10" i="72"/>
  <c r="T10" i="72"/>
  <c r="W10" i="72"/>
  <c r="H11" i="72" l="1"/>
  <c r="J10" i="72"/>
  <c r="J9" i="72" a="1"/>
  <c r="J9" i="72" s="1"/>
  <c r="C8" i="72"/>
  <c r="G10" i="72"/>
  <c r="F10" i="72"/>
  <c r="H10" i="72" a="1"/>
  <c r="H10" i="72" s="1"/>
  <c r="CJ102" i="57"/>
  <c r="P9" i="72"/>
  <c r="M9" i="72"/>
  <c r="N9" i="72"/>
  <c r="U9" i="72"/>
  <c r="W9" i="72"/>
  <c r="T9" i="72"/>
  <c r="K10" i="72"/>
  <c r="X10" i="72"/>
  <c r="Q9" i="72"/>
  <c r="O9" i="72"/>
  <c r="K9" i="72"/>
  <c r="R9" i="72"/>
  <c r="L9" i="72"/>
  <c r="X9" i="72"/>
  <c r="S9" i="72"/>
  <c r="V9" i="72"/>
  <c r="F8" i="72" l="1"/>
  <c r="G8" i="72"/>
  <c r="Y8" i="72"/>
  <c r="I8" i="72"/>
  <c r="Y47" i="72"/>
  <c r="I47" i="72"/>
  <c r="I46" i="72"/>
  <c r="Y46" i="72"/>
  <c r="I45" i="72"/>
  <c r="Y45" i="72"/>
  <c r="Y44" i="72"/>
  <c r="I44" i="72"/>
  <c r="Y43" i="72"/>
  <c r="I43" i="72"/>
  <c r="Y42" i="72"/>
  <c r="I42" i="72"/>
  <c r="I41" i="72"/>
  <c r="Y41" i="72"/>
  <c r="Y40" i="72"/>
  <c r="I40" i="72"/>
  <c r="Y39" i="72"/>
  <c r="I39" i="72"/>
  <c r="Y38" i="72"/>
  <c r="I38" i="72"/>
  <c r="I37" i="72"/>
  <c r="Y37" i="72"/>
  <c r="I36" i="72"/>
  <c r="Y36" i="72"/>
  <c r="I35" i="72"/>
  <c r="Y35" i="72"/>
  <c r="Y34" i="72"/>
  <c r="I34" i="72"/>
  <c r="Y33" i="72"/>
  <c r="I33" i="72"/>
  <c r="Y32" i="72"/>
  <c r="I32" i="72"/>
  <c r="Y31" i="72"/>
  <c r="I31" i="72"/>
  <c r="I30" i="72"/>
  <c r="Y30" i="72"/>
  <c r="I29" i="72"/>
  <c r="Y29" i="72"/>
  <c r="I28" i="72"/>
  <c r="Y28" i="72"/>
  <c r="Y27" i="72"/>
  <c r="I27" i="72"/>
  <c r="I26" i="72"/>
  <c r="Y26" i="72"/>
  <c r="Y25" i="72"/>
  <c r="I25" i="72"/>
  <c r="Y24" i="72"/>
  <c r="I24" i="72"/>
  <c r="I23" i="72"/>
  <c r="Y23" i="72"/>
  <c r="I22" i="72"/>
  <c r="Y22" i="72"/>
  <c r="I21" i="72"/>
  <c r="Y21" i="72"/>
  <c r="Y20" i="72"/>
  <c r="I20" i="72"/>
  <c r="I19" i="72"/>
  <c r="Y19" i="72"/>
  <c r="Y18" i="72"/>
  <c r="I18" i="72"/>
  <c r="Y17" i="72"/>
  <c r="I17" i="72"/>
  <c r="I16" i="72"/>
  <c r="Y16" i="72"/>
  <c r="Y15" i="72"/>
  <c r="I15" i="72"/>
  <c r="I14" i="72"/>
  <c r="Y14" i="72"/>
  <c r="Y13" i="72"/>
  <c r="I13" i="72"/>
  <c r="I12" i="72"/>
  <c r="Y12" i="72"/>
  <c r="Y11" i="72"/>
  <c r="I11" i="72"/>
  <c r="Y10" i="72"/>
  <c r="I10" i="72"/>
  <c r="I9" i="72"/>
  <c r="Y9" i="72"/>
  <c r="G9" i="72"/>
  <c r="F9" i="72"/>
  <c r="CJ103" i="57"/>
  <c r="T8" i="72"/>
  <c r="P8" i="72"/>
  <c r="J8" i="72" a="1"/>
  <c r="W8" i="72"/>
  <c r="V8" i="72"/>
  <c r="L8" i="72"/>
  <c r="Q8" i="72"/>
  <c r="U8" i="72"/>
  <c r="S8" i="72"/>
  <c r="H9" i="72" a="1"/>
  <c r="O8" i="72"/>
  <c r="M8" i="72"/>
  <c r="N8" i="72"/>
  <c r="R8" i="72"/>
  <c r="H8" i="72" a="1"/>
  <c r="H9" i="72" l="1"/>
  <c r="H8" i="72"/>
  <c r="J8" i="72"/>
  <c r="CJ104" i="57"/>
  <c r="K8" i="72"/>
  <c r="X8" i="72"/>
  <c r="CJ105" i="57" l="1"/>
  <c r="CJ106" i="57" l="1"/>
  <c r="CJ107" i="57" l="1"/>
  <c r="CJ108" i="57" l="1"/>
  <c r="CJ109" i="57" l="1"/>
  <c r="CJ110" i="57" l="1"/>
  <c r="CJ111" i="57" l="1"/>
  <c r="CJ112" i="57" l="1"/>
  <c r="CJ113" i="57" l="1"/>
  <c r="CJ114" i="57" l="1"/>
  <c r="CJ115" i="57" l="1"/>
  <c r="CJ116" i="57" l="1"/>
  <c r="CJ117" i="57" l="1"/>
  <c r="CJ118" i="57" l="1"/>
  <c r="CJ119" i="57" l="1"/>
  <c r="CJ120" i="57" l="1"/>
  <c r="CJ121" i="57" l="1"/>
  <c r="CJ122" i="57" l="1"/>
  <c r="CJ123" i="57" l="1"/>
  <c r="CJ124" i="57" l="1"/>
  <c r="CJ125" i="57" l="1"/>
  <c r="CJ126" i="57" l="1"/>
  <c r="CJ127" i="57" l="1"/>
  <c r="CJ128" i="57" l="1"/>
  <c r="CJ129" i="57" l="1"/>
  <c r="CJ130" i="57" l="1"/>
  <c r="CJ131" i="57" l="1"/>
  <c r="CJ132" i="57" l="1"/>
  <c r="CJ133" i="57" l="1"/>
  <c r="CJ134" i="57" l="1"/>
  <c r="CJ135" i="57" l="1"/>
  <c r="CJ136" i="57" l="1"/>
  <c r="CJ137" i="57" l="1"/>
  <c r="CJ138" i="57" l="1"/>
  <c r="CJ139" i="57" l="1"/>
  <c r="CJ140" i="57" l="1"/>
  <c r="CJ141" i="57" l="1"/>
  <c r="CJ142" i="57" l="1"/>
  <c r="CJ143" i="57" l="1"/>
  <c r="CJ144" i="57" l="1"/>
  <c r="CJ145" i="57" l="1"/>
  <c r="CJ146" i="57" l="1"/>
  <c r="CJ147" i="57" l="1"/>
  <c r="CJ148" i="57" l="1"/>
  <c r="CJ149" i="57" l="1"/>
  <c r="CJ150" i="57" l="1"/>
  <c r="CJ151" i="57" l="1"/>
  <c r="CJ152" i="57" l="1"/>
  <c r="CJ153" i="57" l="1"/>
  <c r="CJ154" i="57" l="1"/>
  <c r="CJ155" i="57" l="1"/>
  <c r="CJ156" i="57" l="1"/>
  <c r="CJ157" i="57" l="1"/>
  <c r="CJ158" i="57" l="1"/>
  <c r="CJ159" i="57" l="1"/>
  <c r="CJ160" i="57" l="1"/>
  <c r="CJ161" i="57" l="1"/>
  <c r="CJ162" i="57" l="1"/>
  <c r="CJ163" i="57" l="1"/>
  <c r="CJ164" i="57" l="1"/>
  <c r="CJ165" i="57" l="1"/>
  <c r="CJ166" i="57" l="1"/>
  <c r="CJ167" i="57" l="1"/>
  <c r="CJ168" i="57" l="1"/>
  <c r="CJ169" i="57" l="1"/>
  <c r="CJ170" i="57" l="1"/>
  <c r="CJ171" i="57" l="1"/>
  <c r="CJ172" i="57" l="1"/>
  <c r="CJ173" i="57" l="1"/>
  <c r="CJ174" i="57" l="1"/>
  <c r="CJ175" i="57" l="1"/>
  <c r="CJ176" i="57" l="1"/>
  <c r="CJ177" i="57" l="1"/>
  <c r="CJ178" i="57" l="1"/>
  <c r="CJ179" i="57" l="1"/>
  <c r="CJ180" i="57" l="1"/>
  <c r="CJ181" i="57" l="1"/>
  <c r="CJ182" i="57" l="1"/>
  <c r="CJ183" i="57" l="1"/>
  <c r="CJ184" i="57" l="1"/>
  <c r="CJ185" i="57" l="1"/>
  <c r="CJ186" i="57" l="1"/>
  <c r="CJ187" i="57" l="1"/>
  <c r="CJ188" i="57" l="1"/>
  <c r="CJ189" i="57" l="1"/>
  <c r="CJ190" i="57" l="1"/>
  <c r="CJ191" i="57" l="1"/>
  <c r="CJ192" i="57" l="1"/>
  <c r="CJ193" i="57" l="1"/>
  <c r="CJ194" i="57" l="1"/>
  <c r="CJ195" i="57" l="1"/>
  <c r="CJ196" i="57" l="1"/>
  <c r="CJ197" i="57" l="1"/>
  <c r="CJ198" i="57" l="1"/>
  <c r="CJ199" i="57" l="1"/>
  <c r="CJ200" i="57" l="1"/>
  <c r="CJ201" i="57" l="1"/>
  <c r="CJ202" i="57" l="1"/>
  <c r="CJ203" i="57" l="1"/>
  <c r="CJ204" i="57" l="1"/>
  <c r="CJ205" i="57" l="1"/>
  <c r="CJ206" i="57" l="1"/>
  <c r="CJ207" i="57" l="1"/>
  <c r="CJ208" i="57" l="1"/>
  <c r="CJ209" i="57" l="1"/>
  <c r="CJ210" i="57" l="1"/>
  <c r="CJ211" i="57" l="1"/>
  <c r="CJ212" i="57" l="1"/>
  <c r="CJ213" i="57" l="1"/>
  <c r="CJ214" i="57" l="1"/>
  <c r="CJ215" i="57" l="1"/>
  <c r="CJ216" i="57" l="1"/>
  <c r="CJ217" i="57" l="1"/>
  <c r="CJ218" i="57" l="1"/>
  <c r="CJ219" i="57" l="1"/>
  <c r="CJ220" i="57" l="1"/>
  <c r="CJ221" i="57" l="1"/>
  <c r="CJ222" i="57" l="1"/>
  <c r="CJ223" i="57" l="1"/>
  <c r="CJ224" i="57" l="1"/>
  <c r="CJ225" i="57" l="1"/>
  <c r="CJ226" i="57" l="1"/>
  <c r="CJ227" i="57" l="1"/>
  <c r="CJ228" i="57" l="1"/>
  <c r="CJ229" i="57" l="1"/>
  <c r="CJ230" i="57" l="1"/>
  <c r="CJ231" i="57" l="1"/>
  <c r="CJ232" i="57" l="1"/>
  <c r="CJ233" i="57" l="1"/>
  <c r="CJ234" i="57" l="1"/>
  <c r="CJ235" i="57" l="1"/>
  <c r="CJ236" i="57" l="1"/>
  <c r="CJ237" i="57" l="1"/>
  <c r="CJ238" i="57" l="1"/>
  <c r="CJ239" i="57" l="1"/>
  <c r="CJ240" i="57" l="1"/>
  <c r="CJ241" i="57" l="1"/>
  <c r="CJ242" i="57" l="1"/>
  <c r="CJ243" i="57" l="1"/>
  <c r="CJ244" i="57" l="1"/>
  <c r="CJ245" i="57" l="1"/>
  <c r="CJ246" i="57" l="1"/>
  <c r="CJ247" i="57" l="1"/>
  <c r="CJ248" i="57" l="1"/>
  <c r="CJ249" i="57" l="1"/>
  <c r="CJ250" i="57" l="1"/>
  <c r="CJ251" i="57" l="1"/>
  <c r="CJ252" i="57" l="1"/>
  <c r="CJ253" i="57" l="1"/>
  <c r="C52" i="66" l="1"/>
  <c r="C49" i="66"/>
  <c r="E52" i="66"/>
  <c r="F55" i="66"/>
  <c r="C56" i="66"/>
  <c r="C48" i="66"/>
  <c r="C47" i="66"/>
  <c r="E50" i="66"/>
  <c r="D54" i="66"/>
  <c r="F54" i="66"/>
  <c r="F47" i="66"/>
  <c r="D56" i="66"/>
  <c r="F53" i="66"/>
  <c r="D53" i="66"/>
  <c r="E47" i="66"/>
  <c r="D48" i="66"/>
  <c r="F56" i="66"/>
  <c r="D51" i="66"/>
  <c r="E54" i="66"/>
  <c r="F50" i="66"/>
  <c r="C55" i="66"/>
  <c r="C50" i="66"/>
  <c r="D52" i="66"/>
  <c r="D50" i="66"/>
  <c r="F52" i="66"/>
  <c r="F49" i="66"/>
  <c r="E51" i="66"/>
  <c r="C54" i="66"/>
  <c r="F48" i="66"/>
  <c r="D47" i="66"/>
  <c r="F51" i="66"/>
  <c r="E48" i="66"/>
  <c r="E56" i="66"/>
  <c r="E55" i="66"/>
  <c r="C53" i="66"/>
  <c r="D49" i="66"/>
  <c r="E49" i="66"/>
  <c r="C51" i="66"/>
  <c r="D55" i="66"/>
  <c r="E53" i="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Pay Item Listing" description="Connection to the 'Pay Item Listing' query in the workbook." type="5" refreshedVersion="8" background="1" saveData="1">
    <dbPr connection="Provider=Microsoft.Mashup.OleDb.1;Data Source=$Workbook$;Location=&quot;Pay Item Listing&quot;;Extended Properties=&quot;&quot;" command="SELECT * FROM [Pay Item Listing]"/>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<sst xmlns="http://schemas.openxmlformats.org/spreadsheetml/2006/main" count="25462" uniqueCount="10214">
  <si>
    <t>Constants</t>
  </si>
  <si>
    <r>
      <rPr>
        <b/>
        <sz val="10"/>
        <rFont val="Verdana"/>
        <family val="2"/>
      </rPr>
      <t xml:space="preserve">Purpose:  </t>
    </r>
    <r>
      <rPr>
        <sz val="10"/>
        <rFont val="Verdana"/>
        <family val="2"/>
      </rPr>
      <t>Used for storing plan quantities and unit prices.  Creates the Engineer's Estimate, Summary of Quantities for the plan set, and the bid documents.</t>
    </r>
  </si>
  <si>
    <t>Insert the following values (they will appear on every sheet):</t>
  </si>
  <si>
    <t xml:space="preserve">Division: </t>
  </si>
  <si>
    <t>Western</t>
  </si>
  <si>
    <r>
      <rPr>
        <b/>
        <sz val="10"/>
        <rFont val="Verdana"/>
        <family val="2"/>
      </rPr>
      <t>Information Tab</t>
    </r>
    <r>
      <rPr>
        <sz val="10"/>
        <rFont val="Verdana"/>
        <family val="2"/>
      </rPr>
      <t xml:space="preserve">:  Fill out the yellow information under Constants.  This data shows up on the other tabs. </t>
    </r>
  </si>
  <si>
    <r>
      <t>Note:</t>
    </r>
    <r>
      <rPr>
        <sz val="10"/>
        <rFont val="Verdana"/>
        <family val="2"/>
      </rPr>
      <t xml:space="preserve">  If there is more than one project number, use &lt;ALT&gt;&lt;ENTER&gt; to insert page break for additional lines.</t>
    </r>
  </si>
  <si>
    <r>
      <t xml:space="preserve">Note that the </t>
    </r>
    <r>
      <rPr>
        <i/>
        <sz val="10"/>
        <rFont val="Verdana"/>
        <family val="2"/>
      </rPr>
      <t>Current Sheets</t>
    </r>
    <r>
      <rPr>
        <sz val="10"/>
        <rFont val="Verdana"/>
        <family val="2"/>
      </rPr>
      <t xml:space="preserve"> field will turn red if there are not enough plan sheets.  (See </t>
    </r>
    <r>
      <rPr>
        <i/>
        <sz val="10"/>
        <rFont val="Verdana"/>
        <family val="2"/>
      </rPr>
      <t>Sheet Tab</t>
    </r>
    <r>
      <rPr>
        <sz val="10"/>
        <rFont val="Verdana"/>
        <family val="2"/>
      </rPr>
      <t xml:space="preserve"> discussion below.)</t>
    </r>
  </si>
  <si>
    <t xml:space="preserve">Project: </t>
  </si>
  <si>
    <t>Pay items updated will turn red if the listing has not been updated in 3 months.  See Pay Items tab to update the pay items list.</t>
  </si>
  <si>
    <t xml:space="preserve">Name: </t>
  </si>
  <si>
    <t>The rest of the information on this sheet is used for under-the-hood calculations.</t>
  </si>
  <si>
    <r>
      <rPr>
        <b/>
        <sz val="10"/>
        <rFont val="Verdana"/>
        <family val="2"/>
      </rPr>
      <t>Inputs Tab</t>
    </r>
    <r>
      <rPr>
        <sz val="10"/>
        <rFont val="Verdana"/>
        <family val="2"/>
      </rPr>
      <t xml:space="preserve">:  Add estimate information in the yellow highlighted cells.  The pay item order is automatically calculated so the row order does not matter.  To add more rows, unprotect the sheet (on Review tab), right click and select Insert -&gt; Table Row from the menu.  </t>
    </r>
    <r>
      <rPr>
        <b/>
        <sz val="10"/>
        <rFont val="Verdana"/>
        <family val="2"/>
      </rPr>
      <t xml:space="preserve">DO NOT </t>
    </r>
    <r>
      <rPr>
        <sz val="10"/>
        <rFont val="Verdana"/>
        <family val="2"/>
      </rPr>
      <t>add or remove columns.  Best practice if you want pay items in correct order (you really don't need to) is add new pay items at bottom, then sort that column (unprotect before sorting).</t>
    </r>
  </si>
  <si>
    <t xml:space="preserve">Description: </t>
  </si>
  <si>
    <t xml:space="preserve">Units: </t>
  </si>
  <si>
    <t>US Customary</t>
  </si>
  <si>
    <t xml:space="preserve">Type: </t>
  </si>
  <si>
    <t>Show "Schedule / Option" text in sheet title?</t>
  </si>
  <si>
    <t>A</t>
  </si>
  <si>
    <r>
      <rPr>
        <b/>
        <sz val="10"/>
        <rFont val="Verdana"/>
        <family val="2"/>
      </rPr>
      <t>Sheet Tab</t>
    </r>
    <r>
      <rPr>
        <sz val="10"/>
        <rFont val="Verdana"/>
        <family val="2"/>
      </rPr>
      <t xml:space="preserve">:  The information on the Inputs tab automatically appears on the Sheet tab.  Make any needed changes to the Sheet tab before adding additional sheets. </t>
    </r>
  </si>
  <si>
    <t xml:space="preserve">Terrain: </t>
  </si>
  <si>
    <t xml:space="preserve">Density: </t>
  </si>
  <si>
    <t xml:space="preserve">Partner Agency: </t>
  </si>
  <si>
    <t xml:space="preserve"> - The column widths for the description and remarks may be resized and the content will reformat to match the width of the columns on the first sheet (F9 to recalculate).  Ensure that the content fits on the sheet.</t>
  </si>
  <si>
    <t xml:space="preserve">Funding Source: </t>
  </si>
  <si>
    <t xml:space="preserve">First sheet #: </t>
  </si>
  <si>
    <t>Items updated:</t>
  </si>
  <si>
    <t xml:space="preserve"> - "Hide" unneeded columns (select column, right click and choose Hide) so that they don't appear on the sheet.  DO NOT delete columns.  If a column is hidden a red highlight and vertical line shows up in the top row.  </t>
  </si>
  <si>
    <t>Revised:</t>
  </si>
  <si>
    <t>Other Variables</t>
  </si>
  <si>
    <t>These variable are not usually changed.</t>
  </si>
  <si>
    <t xml:space="preserve">Copy the Sheet tab as many times as required.  Copy the worksheet by holding the left mouse button on the worksheet's tab (below) and holding the &lt;CTRL&gt; key.  A mini sheet with a plus sign should appear.  Drag this and drop it where you would like the sheet to be (order is not important). </t>
  </si>
  <si>
    <t>Line item begin:</t>
  </si>
  <si>
    <t>Line item incr:</t>
  </si>
  <si>
    <t>Base sheet name:</t>
  </si>
  <si>
    <t>Sheet</t>
  </si>
  <si>
    <t>Decimals:</t>
  </si>
  <si>
    <t>Bid_Dec</t>
  </si>
  <si>
    <r>
      <rPr>
        <sz val="10"/>
        <rFont val="Verdana"/>
        <family val="2"/>
      </rPr>
      <t xml:space="preserve">The print area has been preset.  To print all sheets at once select all of the </t>
    </r>
    <r>
      <rPr>
        <i/>
        <sz val="10"/>
        <rFont val="Verdana"/>
        <family val="2"/>
      </rPr>
      <t>Sheet</t>
    </r>
    <r>
      <rPr>
        <sz val="10"/>
        <rFont val="Verdana"/>
        <family val="2"/>
      </rPr>
      <t xml:space="preserve"> tabs and select Print from the File menu.</t>
    </r>
  </si>
  <si>
    <t>Min. rows/sheet</t>
  </si>
  <si>
    <t>Max. row/sheet:</t>
  </si>
  <si>
    <t>Adj. rows/sheet</t>
  </si>
  <si>
    <r>
      <t>EE_Summary</t>
    </r>
    <r>
      <rPr>
        <sz val="10"/>
        <color theme="1"/>
        <rFont val="Verdana"/>
        <family val="2"/>
      </rPr>
      <t xml:space="preserve">:  The total of bid items calculated reflects the active Account (set on the </t>
    </r>
    <r>
      <rPr>
        <i/>
        <sz val="10"/>
        <color theme="1"/>
        <rFont val="Verdana"/>
        <family val="2"/>
      </rPr>
      <t>Listing</t>
    </r>
    <r>
      <rPr>
        <sz val="10"/>
        <color theme="1"/>
        <rFont val="Verdana"/>
        <family val="2"/>
      </rPr>
      <t xml:space="preserve"> tab).   Manually calculate the Incentives for placement here.  Enter account list here.</t>
    </r>
  </si>
  <si>
    <t>Total Lines:</t>
  </si>
  <si>
    <t>Prefix:</t>
  </si>
  <si>
    <t>Sheets needed:</t>
  </si>
  <si>
    <r>
      <rPr>
        <b/>
        <sz val="10"/>
        <color theme="1"/>
        <rFont val="Verdana"/>
        <family val="2"/>
      </rPr>
      <t>Listing</t>
    </r>
    <r>
      <rPr>
        <sz val="10"/>
        <color theme="1"/>
        <rFont val="Verdana"/>
        <family val="2"/>
      </rPr>
      <t>:  Used to print the Engineer's Estimate, Bid Schedules, and Account Splits.  Set the desired reports from the yellow pulldown, and select the desired account from the heading (ALL = all accounts).</t>
    </r>
  </si>
  <si>
    <t>Current sheets:</t>
  </si>
  <si>
    <t>Max. # of accounts</t>
  </si>
  <si>
    <t>Instructions for creating an optional Bid Schedule page number heading are provided.  Doing this will break the automatic print ranges so instructions for fixing them are also included.</t>
  </si>
  <si>
    <t>Ranges for Data Transfer</t>
  </si>
  <si>
    <t>RangeItems</t>
  </si>
  <si>
    <t>RangeDesc</t>
  </si>
  <si>
    <r>
      <rPr>
        <b/>
        <sz val="10"/>
        <rFont val="Verdana"/>
        <family val="2"/>
      </rPr>
      <t>Bid Tabs Summary</t>
    </r>
    <r>
      <rPr>
        <sz val="10"/>
        <rFont val="Verdana"/>
        <family val="2"/>
      </rPr>
      <t xml:space="preserve"> and </t>
    </r>
    <r>
      <rPr>
        <b/>
        <sz val="10"/>
        <rFont val="Verdana"/>
        <family val="2"/>
      </rPr>
      <t>Bid Tabs</t>
    </r>
    <r>
      <rPr>
        <sz val="10"/>
        <rFont val="Verdana"/>
        <family val="2"/>
      </rPr>
      <t xml:space="preserve">:  These tabs are set up with variable print ranges that adjust depending on the number of pay items and </t>
    </r>
    <r>
      <rPr>
        <sz val="10"/>
        <rFont val="Verdana"/>
        <family val="2"/>
      </rPr>
      <t xml:space="preserve">the number of bidders. </t>
    </r>
  </si>
  <si>
    <t>RangeDesc2</t>
  </si>
  <si>
    <t>RangeUnit</t>
  </si>
  <si>
    <t>RangeQuantity</t>
  </si>
  <si>
    <r>
      <rPr>
        <b/>
        <sz val="10"/>
        <rFont val="Verdana"/>
        <family val="2"/>
      </rPr>
      <t>GIS</t>
    </r>
    <r>
      <rPr>
        <sz val="10"/>
        <rFont val="Verdana"/>
        <family val="2"/>
      </rPr>
      <t>:  Used to record GIS information for the roadway segments and bridges.  Set "Bridge" or "Roadway" in column N.  Project information appears once data exists in columns N to AA.</t>
    </r>
  </si>
  <si>
    <t>RangeBidRank</t>
  </si>
  <si>
    <t>RangeBidders</t>
  </si>
  <si>
    <t>RangeEE</t>
  </si>
  <si>
    <r>
      <rPr>
        <b/>
        <sz val="10"/>
        <rFont val="Verdana"/>
        <family val="2"/>
      </rPr>
      <t>Calculations:</t>
    </r>
    <r>
      <rPr>
        <sz val="10"/>
        <rFont val="Verdana"/>
        <family val="2"/>
      </rPr>
      <t xml:space="preserve">  Used to provide sufficent lines on the Summary of Quantities for long pay item descriptions and remarks.</t>
    </r>
  </si>
  <si>
    <t>RangeCount</t>
  </si>
  <si>
    <t>RangeEstCount</t>
  </si>
  <si>
    <r>
      <t>Pay Items Tab:</t>
    </r>
    <r>
      <rPr>
        <sz val="10"/>
        <rFont val="Verdana"/>
        <family val="2"/>
      </rPr>
      <t xml:space="preserve">  The pay item listing is available here.  To refresh the data, </t>
    </r>
  </si>
  <si>
    <t>RangePlanCount</t>
  </si>
  <si>
    <t>RangeContrQty</t>
  </si>
  <si>
    <t>RangeAmend</t>
  </si>
  <si>
    <t>RangeUnitPrice</t>
  </si>
  <si>
    <t>Sheet Names</t>
  </si>
  <si>
    <t>The sheets will be numbered in the worksheet order shown below.</t>
  </si>
  <si>
    <t>Begins on Pay Item</t>
  </si>
  <si>
    <t>Units</t>
  </si>
  <si>
    <t>Sheet num</t>
  </si>
  <si>
    <t>Worksheet</t>
  </si>
  <si>
    <t>Begins</t>
  </si>
  <si>
    <t>Ends</t>
  </si>
  <si>
    <t>Metric</t>
  </si>
  <si>
    <t>CTSM</t>
  </si>
  <si>
    <t>ACRE</t>
  </si>
  <si>
    <t>Day</t>
  </si>
  <si>
    <t>Each</t>
  </si>
  <si>
    <t>CUFT</t>
  </si>
  <si>
    <t>FXHR</t>
  </si>
  <si>
    <t>CUYD</t>
  </si>
  <si>
    <t>ha</t>
  </si>
  <si>
    <t>DAY</t>
  </si>
  <si>
    <t>Hour</t>
  </si>
  <si>
    <t>EACH</t>
  </si>
  <si>
    <t>kg</t>
  </si>
  <si>
    <t>km</t>
  </si>
  <si>
    <t>GAL</t>
  </si>
  <si>
    <t>l</t>
  </si>
  <si>
    <t>HOUR</t>
  </si>
  <si>
    <t>LPSM</t>
  </si>
  <si>
    <t>LB</t>
  </si>
  <si>
    <t>m</t>
  </si>
  <si>
    <t>LNFT</t>
  </si>
  <si>
    <t>m2</t>
  </si>
  <si>
    <t>m3</t>
  </si>
  <si>
    <t>MFBM</t>
  </si>
  <si>
    <t>mo</t>
  </si>
  <si>
    <t>MGAL</t>
  </si>
  <si>
    <t>slry</t>
  </si>
  <si>
    <t>MILE</t>
  </si>
  <si>
    <t>t</t>
  </si>
  <si>
    <t>MO</t>
  </si>
  <si>
    <t>Week</t>
  </si>
  <si>
    <t>SLRY</t>
  </si>
  <si>
    <t>SQFT</t>
  </si>
  <si>
    <t>SQYD</t>
  </si>
  <si>
    <t>STA</t>
  </si>
  <si>
    <t>TON</t>
  </si>
  <si>
    <t>WEEK</t>
  </si>
  <si>
    <t xml:space="preserve"> &lt; HIDE &gt; </t>
  </si>
  <si>
    <t>Quick Links</t>
  </si>
  <si>
    <t>Pay items used in project</t>
  </si>
  <si>
    <t xml:space="preserve">Plan Sheet Section -&gt; </t>
  </si>
  <si>
    <t>Section C</t>
  </si>
  <si>
    <t>Section D</t>
  </si>
  <si>
    <t>Section E</t>
  </si>
  <si>
    <t>Section F</t>
  </si>
  <si>
    <t>Section G</t>
  </si>
  <si>
    <t>Section H</t>
  </si>
  <si>
    <t>Section I</t>
  </si>
  <si>
    <t>Section J</t>
  </si>
  <si>
    <t>Section K</t>
  </si>
  <si>
    <t>Section L</t>
  </si>
  <si>
    <t>Section M</t>
  </si>
  <si>
    <t>Section N</t>
  </si>
  <si>
    <t>Pay Item</t>
  </si>
  <si>
    <t>Decimals</t>
  </si>
  <si>
    <t>Additional</t>
  </si>
  <si>
    <t>Typical Section</t>
  </si>
  <si>
    <t>Plan &amp; Profile</t>
  </si>
  <si>
    <t>Approach Roads</t>
  </si>
  <si>
    <t>Erosion Control</t>
  </si>
  <si>
    <t>Fences and Gates</t>
  </si>
  <si>
    <t>Drainage</t>
  </si>
  <si>
    <t>Walls &amp; Rockeries</t>
  </si>
  <si>
    <t>Guardrail</t>
  </si>
  <si>
    <t>Miscellaneous</t>
  </si>
  <si>
    <t>Temporary Traffic Control</t>
  </si>
  <si>
    <t>Permanent Traffic Control</t>
  </si>
  <si>
    <t>Mailboxes</t>
  </si>
  <si>
    <r>
      <t>ALLOW</t>
    </r>
    <r>
      <rPr>
        <sz val="8"/>
        <rFont val="Verdana"/>
        <family val="2"/>
      </rPr>
      <t>ANCE</t>
    </r>
  </si>
  <si>
    <t>Bid</t>
  </si>
  <si>
    <t>|&lt;---</t>
  </si>
  <si>
    <t>Account Breakdown</t>
  </si>
  <si>
    <t xml:space="preserve"> ---&gt;|</t>
  </si>
  <si>
    <t>User input</t>
  </si>
  <si>
    <t>Count</t>
  </si>
  <si>
    <t>Sort</t>
  </si>
  <si>
    <t>Raw Item</t>
  </si>
  <si>
    <t>Viewer</t>
  </si>
  <si>
    <t>Description</t>
  </si>
  <si>
    <t>Unit</t>
  </si>
  <si>
    <t>Pay_Dec</t>
  </si>
  <si>
    <t>Description2</t>
  </si>
  <si>
    <t>Col_1</t>
  </si>
  <si>
    <t>Col_2</t>
  </si>
  <si>
    <t>Col_3</t>
  </si>
  <si>
    <t>Col_4</t>
  </si>
  <si>
    <t>Col_5</t>
  </si>
  <si>
    <t>Col_6</t>
  </si>
  <si>
    <t>Col_7</t>
  </si>
  <si>
    <t>Col_8</t>
  </si>
  <si>
    <t>Col_9</t>
  </si>
  <si>
    <t>Col_10</t>
  </si>
  <si>
    <t>Col_11</t>
  </si>
  <si>
    <t>Col_12</t>
  </si>
  <si>
    <t>Col_13</t>
  </si>
  <si>
    <t>Quantity</t>
  </si>
  <si>
    <t>Account1</t>
  </si>
  <si>
    <t>Account2</t>
  </si>
  <si>
    <t>Account3</t>
  </si>
  <si>
    <t>Account4</t>
  </si>
  <si>
    <t>Account5</t>
  </si>
  <si>
    <t>Account6</t>
  </si>
  <si>
    <t>Account7</t>
  </si>
  <si>
    <t>UnitPrice</t>
  </si>
  <si>
    <t>Remarks</t>
  </si>
  <si>
    <t>ContrQty</t>
  </si>
  <si>
    <t>Amend</t>
  </si>
  <si>
    <t>EstCount</t>
  </si>
  <si>
    <t>EstSort</t>
  </si>
  <si>
    <t>PlanCounter</t>
  </si>
  <si>
    <t>Line</t>
  </si>
  <si>
    <t>Item</t>
  </si>
  <si>
    <t>15101-0000</t>
  </si>
  <si>
    <t>15210-3000</t>
  </si>
  <si>
    <t>15215-1000</t>
  </si>
  <si>
    <t>15215-3000</t>
  </si>
  <si>
    <t>15216-2000</t>
  </si>
  <si>
    <t>15301-0000</t>
  </si>
  <si>
    <t>15401-0000</t>
  </si>
  <si>
    <t>15501-0000</t>
  </si>
  <si>
    <t>15705-0100</t>
  </si>
  <si>
    <t>15705-1400</t>
  </si>
  <si>
    <t>Added Pay Items</t>
  </si>
  <si>
    <t>Be sure to formally request the new items below from Contracts</t>
  </si>
  <si>
    <t>Plan Sheet Section</t>
  </si>
  <si>
    <t>Notes</t>
  </si>
  <si>
    <t>Proposed pay item</t>
  </si>
  <si>
    <t>Sheet Information</t>
  </si>
  <si>
    <t>left</t>
  </si>
  <si>
    <t>right</t>
  </si>
  <si>
    <t>Sheet num:</t>
  </si>
  <si>
    <t>Sheet name:</t>
  </si>
  <si>
    <t>AMEND</t>
  </si>
  <si>
    <t>Line Item No.</t>
  </si>
  <si>
    <t>Pay Item Number</t>
  </si>
  <si>
    <t>Pay Item Description</t>
  </si>
  <si>
    <t>Sheet and Description</t>
  </si>
  <si>
    <t>Estimated Quantities</t>
  </si>
  <si>
    <t>Remarks and/or Determination of Estimated Quantity</t>
  </si>
  <si>
    <t>Bid Schedule</t>
  </si>
  <si>
    <t>Turn off Highlights for printing?</t>
  </si>
  <si>
    <t>E N G I N E E R ' S    E S T I M A T E</t>
  </si>
  <si>
    <t xml:space="preserve">Project No: </t>
  </si>
  <si>
    <t xml:space="preserve">Project Name: </t>
  </si>
  <si>
    <t>County :</t>
  </si>
  <si>
    <t>Federal Location :</t>
  </si>
  <si>
    <t>Construction Type :</t>
  </si>
  <si>
    <t>C O M B I N E D    S U M M A R Y</t>
  </si>
  <si>
    <t>ALL</t>
  </si>
  <si>
    <t>Account Numbers :</t>
  </si>
  <si>
    <t>CON01</t>
  </si>
  <si>
    <t>CON02</t>
  </si>
  <si>
    <t>Project Termini</t>
  </si>
  <si>
    <t>Incentives</t>
  </si>
  <si>
    <t>Estimate for Quality Material Incentive</t>
  </si>
  <si>
    <t>Estimate for Pavement Roughness</t>
  </si>
  <si>
    <t>Other Costs</t>
  </si>
  <si>
    <t>Fuel Escalation Cost</t>
  </si>
  <si>
    <t>Partnering Cost</t>
  </si>
  <si>
    <t>Total Construction Amount:</t>
  </si>
  <si>
    <t>Construction Engineering Amount:</t>
  </si>
  <si>
    <t>Total Estimated Cost:</t>
  </si>
  <si>
    <t>Remarks:</t>
  </si>
  <si>
    <t>The following Items are Contract Quantity:</t>
  </si>
  <si>
    <t>Eng. Estimate</t>
  </si>
  <si>
    <t>Full listing</t>
  </si>
  <si>
    <t>A  C  C  O  U  N  T     S  P  L  I  T</t>
  </si>
  <si>
    <t>Account:</t>
  </si>
  <si>
    <t xml:space="preserve">Submitted by:  </t>
  </si>
  <si>
    <t xml:space="preserve">Schedule Total:  </t>
  </si>
  <si>
    <t>Bid Totals:</t>
  </si>
  <si>
    <t>CQ = "Contract Quantity"</t>
  </si>
  <si>
    <t>Item
No.</t>
  </si>
  <si>
    <t>Unit Price</t>
  </si>
  <si>
    <t>Amount</t>
  </si>
  <si>
    <t>Add Optional Page Number Header for Bid Schedule</t>
  </si>
  <si>
    <r>
      <t xml:space="preserve">From the </t>
    </r>
    <r>
      <rPr>
        <i/>
        <sz val="8"/>
        <color theme="1"/>
        <rFont val="Verdana"/>
        <family val="2"/>
      </rPr>
      <t>Page Layout</t>
    </r>
    <r>
      <rPr>
        <sz val="8"/>
        <color theme="1"/>
        <rFont val="Verdana"/>
        <family val="2"/>
      </rPr>
      <t xml:space="preserve"> menu select the small arrow in the bottom right</t>
    </r>
  </si>
  <si>
    <r>
      <t xml:space="preserve">  of the Page Setup area.  This opens the </t>
    </r>
    <r>
      <rPr>
        <i/>
        <sz val="8"/>
        <rFont val="Verdana"/>
        <family val="2"/>
      </rPr>
      <t>Page Setup</t>
    </r>
    <r>
      <rPr>
        <sz val="8"/>
        <rFont val="Verdana"/>
        <family val="2"/>
      </rPr>
      <t xml:space="preserve"> dialog.</t>
    </r>
  </si>
  <si>
    <r>
      <t xml:space="preserve">On the </t>
    </r>
    <r>
      <rPr>
        <b/>
        <sz val="8"/>
        <rFont val="Verdana"/>
        <family val="2"/>
      </rPr>
      <t>Page</t>
    </r>
    <r>
      <rPr>
        <sz val="8"/>
        <rFont val="Verdana"/>
        <family val="2"/>
      </rPr>
      <t xml:space="preserve"> tab put the desired "First page number" in the box</t>
    </r>
  </si>
  <si>
    <r>
      <t xml:space="preserve">  at the bottom.  The default value is </t>
    </r>
    <r>
      <rPr>
        <i/>
        <sz val="8"/>
        <rFont val="Verdana"/>
        <family val="2"/>
      </rPr>
      <t>Auto</t>
    </r>
    <r>
      <rPr>
        <sz val="8"/>
        <rFont val="Verdana"/>
        <family val="2"/>
      </rPr>
      <t>.</t>
    </r>
  </si>
  <si>
    <r>
      <t xml:space="preserve">On the </t>
    </r>
    <r>
      <rPr>
        <b/>
        <sz val="8"/>
        <color theme="1"/>
        <rFont val="Verdana"/>
        <family val="2"/>
      </rPr>
      <t>Header/Footer</t>
    </r>
    <r>
      <rPr>
        <sz val="8"/>
        <color theme="1"/>
        <rFont val="Verdana"/>
        <family val="2"/>
      </rPr>
      <t xml:space="preserve"> tab select the "Custom Header" button.  </t>
    </r>
  </si>
  <si>
    <t>In the center section insert the prefix,  i.e.  A-</t>
  </si>
  <si>
    <t xml:space="preserve">  and then use the button to insert the page number field.</t>
  </si>
  <si>
    <r>
      <t xml:space="preserve">On the </t>
    </r>
    <r>
      <rPr>
        <b/>
        <sz val="8"/>
        <rFont val="Verdana"/>
        <family val="2"/>
      </rPr>
      <t>Sheet</t>
    </r>
    <r>
      <rPr>
        <sz val="8"/>
        <rFont val="Verdana"/>
        <family val="2"/>
      </rPr>
      <t xml:space="preserve"> tab type</t>
    </r>
    <r>
      <rPr>
        <sz val="8"/>
        <rFont val="Calibri"/>
        <family val="2"/>
      </rPr>
      <t> </t>
    </r>
    <r>
      <rPr>
        <sz val="8"/>
        <rFont val="Verdana"/>
        <family val="2"/>
      </rPr>
      <t>=INDIRECT(PrintRange) in the "Print Area" field.</t>
    </r>
  </si>
  <si>
    <r>
      <t>NOTE:</t>
    </r>
    <r>
      <rPr>
        <sz val="8"/>
        <color theme="1"/>
        <rFont val="Verdana"/>
        <family val="2"/>
      </rPr>
      <t xml:space="preserve">  Repeat this final step whenever pay items are added or deleted.</t>
    </r>
  </si>
  <si>
    <t>Restoring Automatic Print Range</t>
  </si>
  <si>
    <r>
      <t xml:space="preserve">From </t>
    </r>
    <r>
      <rPr>
        <i/>
        <sz val="8"/>
        <rFont val="Verdana"/>
        <family val="2"/>
      </rPr>
      <t>Review</t>
    </r>
    <r>
      <rPr>
        <sz val="8"/>
        <rFont val="Verdana"/>
        <family val="2"/>
      </rPr>
      <t xml:space="preserve"> menu select </t>
    </r>
    <r>
      <rPr>
        <b/>
        <sz val="8"/>
        <rFont val="Verdana"/>
        <family val="2"/>
      </rPr>
      <t>Unprotect Sheet</t>
    </r>
    <r>
      <rPr>
        <sz val="8"/>
        <rFont val="Verdana"/>
        <family val="2"/>
      </rPr>
      <t>.</t>
    </r>
  </si>
  <si>
    <r>
      <t xml:space="preserve">From </t>
    </r>
    <r>
      <rPr>
        <i/>
        <sz val="8"/>
        <rFont val="Verdana"/>
        <family val="2"/>
      </rPr>
      <t>Formulas</t>
    </r>
    <r>
      <rPr>
        <sz val="8"/>
        <rFont val="Verdana"/>
        <family val="2"/>
      </rPr>
      <t xml:space="preserve"> menu select </t>
    </r>
    <r>
      <rPr>
        <b/>
        <sz val="8"/>
        <rFont val="Verdana"/>
        <family val="2"/>
      </rPr>
      <t>Name Manager</t>
    </r>
    <r>
      <rPr>
        <sz val="8"/>
        <rFont val="Verdana"/>
        <family val="2"/>
      </rPr>
      <t xml:space="preserve">.  Under </t>
    </r>
    <r>
      <rPr>
        <i/>
        <sz val="8"/>
        <rFont val="Verdana"/>
        <family val="2"/>
      </rPr>
      <t>Name</t>
    </r>
    <r>
      <rPr>
        <sz val="8"/>
        <rFont val="Verdana"/>
        <family val="2"/>
      </rPr>
      <t xml:space="preserve"> find and </t>
    </r>
  </si>
  <si>
    <r>
      <t xml:space="preserve">  select the "Print_Area" range which has a </t>
    </r>
    <r>
      <rPr>
        <i/>
        <sz val="8"/>
        <rFont val="Verdana"/>
        <family val="2"/>
      </rPr>
      <t>Scope</t>
    </r>
    <r>
      <rPr>
        <sz val="8"/>
        <rFont val="Verdana"/>
        <family val="2"/>
      </rPr>
      <t xml:space="preserve"> of "Listing".</t>
    </r>
  </si>
  <si>
    <r>
      <t xml:space="preserve">  In the </t>
    </r>
    <r>
      <rPr>
        <i/>
        <sz val="8"/>
        <rFont val="Verdana"/>
        <family val="2"/>
      </rPr>
      <t>Refers to:</t>
    </r>
    <r>
      <rPr>
        <sz val="8"/>
        <rFont val="Verdana"/>
        <family val="2"/>
      </rPr>
      <t xml:space="preserve"> box at the bottom type =INDIRECT(PrintRange)</t>
    </r>
  </si>
  <si>
    <r>
      <t xml:space="preserve">  Select </t>
    </r>
    <r>
      <rPr>
        <i/>
        <sz val="8"/>
        <rFont val="Verdana"/>
        <family val="2"/>
      </rPr>
      <t>Close</t>
    </r>
    <r>
      <rPr>
        <sz val="8"/>
        <rFont val="Verdana"/>
        <family val="2"/>
      </rPr>
      <t xml:space="preserve"> then </t>
    </r>
    <r>
      <rPr>
        <i/>
        <sz val="8"/>
        <rFont val="Verdana"/>
        <family val="2"/>
      </rPr>
      <t>Yes</t>
    </r>
    <r>
      <rPr>
        <sz val="8"/>
        <rFont val="Verdana"/>
        <family val="2"/>
      </rPr>
      <t xml:space="preserve"> to save and exit.</t>
    </r>
  </si>
  <si>
    <r>
      <t xml:space="preserve">From </t>
    </r>
    <r>
      <rPr>
        <i/>
        <sz val="8"/>
        <rFont val="Verdana"/>
        <family val="2"/>
      </rPr>
      <t>Review</t>
    </r>
    <r>
      <rPr>
        <sz val="8"/>
        <rFont val="Verdana"/>
        <family val="2"/>
      </rPr>
      <t xml:space="preserve"> menu select </t>
    </r>
    <r>
      <rPr>
        <b/>
        <sz val="8"/>
        <rFont val="Verdana"/>
        <family val="2"/>
      </rPr>
      <t>Protect Sheet</t>
    </r>
    <r>
      <rPr>
        <sz val="8"/>
        <rFont val="Verdana"/>
        <family val="2"/>
      </rPr>
      <t xml:space="preserve">, then select </t>
    </r>
    <r>
      <rPr>
        <i/>
        <sz val="8"/>
        <rFont val="Verdana"/>
        <family val="2"/>
      </rPr>
      <t>OK</t>
    </r>
    <r>
      <rPr>
        <sz val="8"/>
        <rFont val="Verdana"/>
        <family val="2"/>
      </rPr>
      <t xml:space="preserve"> from dialog.</t>
    </r>
  </si>
  <si>
    <t>Code</t>
  </si>
  <si>
    <t>Bid?</t>
  </si>
  <si>
    <t>Awd?</t>
  </si>
  <si>
    <t>All?</t>
  </si>
  <si>
    <t>Full?</t>
  </si>
  <si>
    <t>Resulting Report</t>
  </si>
  <si>
    <t>Bid Schedule (Awd Prices)</t>
  </si>
  <si>
    <t>Account Split (Awd Prices)</t>
  </si>
  <si>
    <t>Bid Sched. - Awd Single Acct</t>
  </si>
  <si>
    <t>Acct Split - Awd for Acct Items</t>
  </si>
  <si>
    <t>Account Split - Qty Listing</t>
  </si>
  <si>
    <t>Bid Schedule for single Acct</t>
  </si>
  <si>
    <t>Acct Split - Qty for Acct Items</t>
  </si>
  <si>
    <t xml:space="preserve"> -&gt; Engineer's Estimate (EE)</t>
  </si>
  <si>
    <t xml:space="preserve"> -&gt; EE Account Split</t>
  </si>
  <si>
    <t xml:space="preserve"> -&gt; EE for single Account</t>
  </si>
  <si>
    <t xml:space="preserve"> -&gt; EE Acct Split for Acct Items</t>
  </si>
  <si>
    <t>Engineer's Estimate (EE)</t>
  </si>
  <si>
    <t>EE Account Split</t>
  </si>
  <si>
    <t>EE for single Account</t>
  </si>
  <si>
    <t>EE Acct Split for Acct Items</t>
  </si>
  <si>
    <t>T A B U L A T I O N   O F   B I D S</t>
  </si>
  <si>
    <t xml:space="preserve">Project No : </t>
  </si>
  <si>
    <t xml:space="preserve">Project Name : </t>
  </si>
  <si>
    <t>Solcitation No:</t>
  </si>
  <si>
    <t xml:space="preserve">Federal Location : </t>
  </si>
  <si>
    <t>Opened at:</t>
  </si>
  <si>
    <t>Opened by:</t>
  </si>
  <si>
    <t>Date:</t>
  </si>
  <si>
    <t>I certify that this Bid Tabulation accurately reflects the offers received for this solicitation.</t>
  </si>
  <si>
    <t>Signed:</t>
  </si>
  <si>
    <t>Title:</t>
  </si>
  <si>
    <t>Contract Awarded to:</t>
  </si>
  <si>
    <t>Award Date:</t>
  </si>
  <si>
    <t>Contract Number:</t>
  </si>
  <si>
    <t>Data is Public</t>
  </si>
  <si>
    <t>Contractor</t>
  </si>
  <si>
    <t>Comment</t>
  </si>
  <si>
    <t>Bid Amount</t>
  </si>
  <si>
    <t>Responsive</t>
  </si>
  <si>
    <t>Engineer's Estimate</t>
  </si>
  <si>
    <t>Print Range:</t>
  </si>
  <si>
    <t>Award Amount:</t>
  </si>
  <si>
    <t>T  A  B  U  L  A  T  I  O  N     O  F     B  I  D  S</t>
  </si>
  <si>
    <t>Total of Bid Items:</t>
  </si>
  <si>
    <t>~ Type bidder name ~</t>
  </si>
  <si>
    <t>Item No.</t>
  </si>
  <si>
    <t>FLH Division</t>
  </si>
  <si>
    <t>Project Number</t>
  </si>
  <si>
    <t>Project Name</t>
  </si>
  <si>
    <t>Project Description</t>
  </si>
  <si>
    <t>State</t>
  </si>
  <si>
    <t>Milestone Name</t>
  </si>
  <si>
    <t>Schedule Letter</t>
  </si>
  <si>
    <t>Schedule Awarded?</t>
  </si>
  <si>
    <t>Award Date</t>
  </si>
  <si>
    <t>Schedule Type</t>
  </si>
  <si>
    <t>Schedule Length</t>
  </si>
  <si>
    <t>Schedule Lane Miles</t>
  </si>
  <si>
    <t>Construction Type (Schedule)</t>
  </si>
  <si>
    <t>Road/ Bridge</t>
  </si>
  <si>
    <t>GIS Route</t>
  </si>
  <si>
    <t>Bridge Iden. (No.)</t>
  </si>
  <si>
    <t>Construction Type (Roadway/Bridge)</t>
  </si>
  <si>
    <t>GIS Milepost Start</t>
  </si>
  <si>
    <t>GIS Milepost End</t>
  </si>
  <si>
    <t>GIS Length</t>
  </si>
  <si>
    <t>Lat Begin</t>
  </si>
  <si>
    <t>Long Begin</t>
  </si>
  <si>
    <t>Lat End</t>
  </si>
  <si>
    <t>Long End</t>
  </si>
  <si>
    <t>Parking Lot Area</t>
  </si>
  <si>
    <t>Bridge Size (Area)</t>
  </si>
  <si>
    <t>Bridge Length</t>
  </si>
  <si>
    <t>Calcs</t>
  </si>
  <si>
    <t>Counter</t>
  </si>
  <si>
    <t>DW01</t>
  </si>
  <si>
    <t>DW02</t>
  </si>
  <si>
    <t>DW03</t>
  </si>
  <si>
    <t>DW04</t>
  </si>
  <si>
    <t>DW05</t>
  </si>
  <si>
    <t>DW06</t>
  </si>
  <si>
    <t>DW07</t>
  </si>
  <si>
    <t>DW08</t>
  </si>
  <si>
    <t>DW09</t>
  </si>
  <si>
    <t>DW10</t>
  </si>
  <si>
    <t>DW11</t>
  </si>
  <si>
    <t>DW12</t>
  </si>
  <si>
    <t>DW13</t>
  </si>
  <si>
    <t>DW14</t>
  </si>
  <si>
    <t>DW15</t>
  </si>
  <si>
    <t>DW16</t>
  </si>
  <si>
    <t>DW17</t>
  </si>
  <si>
    <t>DW18</t>
  </si>
  <si>
    <t>DW19</t>
  </si>
  <si>
    <t>DW20</t>
  </si>
  <si>
    <t>DW21</t>
  </si>
  <si>
    <t>DW22</t>
  </si>
  <si>
    <t>DW23</t>
  </si>
  <si>
    <t>DW24</t>
  </si>
  <si>
    <t>DW25</t>
  </si>
  <si>
    <t>DW26</t>
  </si>
  <si>
    <t>DW27</t>
  </si>
  <si>
    <t>DW28</t>
  </si>
  <si>
    <t>DW29</t>
  </si>
  <si>
    <t>DW30</t>
  </si>
  <si>
    <t>DW31</t>
  </si>
  <si>
    <t>DW32</t>
  </si>
  <si>
    <t>DL1</t>
  </si>
  <si>
    <t>DL2</t>
  </si>
  <si>
    <t>DL3</t>
  </si>
  <si>
    <t>DL4</t>
  </si>
  <si>
    <t>DL5</t>
  </si>
  <si>
    <t>DL6</t>
  </si>
  <si>
    <t>DL7</t>
  </si>
  <si>
    <t>DL8</t>
  </si>
  <si>
    <t>DL</t>
  </si>
  <si>
    <t>RW01</t>
  </si>
  <si>
    <t>RW02</t>
  </si>
  <si>
    <t>RW03</t>
  </si>
  <si>
    <t>RW04</t>
  </si>
  <si>
    <t>RW05</t>
  </si>
  <si>
    <t>RW06</t>
  </si>
  <si>
    <t>RW07</t>
  </si>
  <si>
    <t>RW08</t>
  </si>
  <si>
    <t>RW09</t>
  </si>
  <si>
    <t>RW10</t>
  </si>
  <si>
    <t>RW11</t>
  </si>
  <si>
    <t>RW12</t>
  </si>
  <si>
    <t>RW13</t>
  </si>
  <si>
    <t>RW14</t>
  </si>
  <si>
    <t>RW15</t>
  </si>
  <si>
    <t>RW16</t>
  </si>
  <si>
    <t>RW17</t>
  </si>
  <si>
    <t>RW18</t>
  </si>
  <si>
    <t>RW19</t>
  </si>
  <si>
    <t>RW20</t>
  </si>
  <si>
    <t>RW21</t>
  </si>
  <si>
    <t>RW22</t>
  </si>
  <si>
    <t>RW23</t>
  </si>
  <si>
    <t>RW24</t>
  </si>
  <si>
    <t>RW25</t>
  </si>
  <si>
    <t>RW26</t>
  </si>
  <si>
    <t>RW27</t>
  </si>
  <si>
    <t>RW28</t>
  </si>
  <si>
    <t>RW29</t>
  </si>
  <si>
    <t>RW30</t>
  </si>
  <si>
    <t>RW31</t>
  </si>
  <si>
    <t>RW32</t>
  </si>
  <si>
    <t>RL1</t>
  </si>
  <si>
    <t>RL2</t>
  </si>
  <si>
    <t>RL3</t>
  </si>
  <si>
    <t>RL4</t>
  </si>
  <si>
    <t>RL5</t>
  </si>
  <si>
    <t>RL6</t>
  </si>
  <si>
    <t>RL7</t>
  </si>
  <si>
    <t>RL8</t>
  </si>
  <si>
    <t>RL</t>
  </si>
  <si>
    <t>Remark</t>
  </si>
  <si>
    <r>
      <rPr>
        <b/>
        <sz val="14"/>
        <color theme="1"/>
        <rFont val="Verdana"/>
        <family val="2"/>
      </rPr>
      <t>NOTE:</t>
    </r>
    <r>
      <rPr>
        <sz val="14"/>
        <color theme="1"/>
        <rFont val="Verdana"/>
        <family val="2"/>
      </rPr>
      <t xml:space="preserve"> Right click inside table and select </t>
    </r>
    <r>
      <rPr>
        <u/>
        <sz val="14"/>
        <color theme="1"/>
        <rFont val="Verdana"/>
        <family val="2"/>
      </rPr>
      <t>R</t>
    </r>
    <r>
      <rPr>
        <sz val="14"/>
        <color theme="1"/>
        <rFont val="Verdana"/>
        <family val="2"/>
      </rPr>
      <t>efresh from the menu to update the PAY ITEM LIST</t>
    </r>
  </si>
  <si>
    <t>Pay Item Type</t>
  </si>
  <si>
    <t>Changed</t>
  </si>
  <si>
    <t>Comments</t>
  </si>
  <si>
    <t>Construction Types</t>
  </si>
  <si>
    <t>List</t>
  </si>
  <si>
    <t>Mobilization</t>
  </si>
  <si>
    <t>MOBILIZATION</t>
  </si>
  <si>
    <t>N</t>
  </si>
  <si>
    <t/>
  </si>
  <si>
    <t>20101 Clearing</t>
  </si>
  <si>
    <t>BIA</t>
  </si>
  <si>
    <t>A-AD</t>
  </si>
  <si>
    <t>Army - Access Defense Program</t>
  </si>
  <si>
    <t>15201-0000</t>
  </si>
  <si>
    <t>Construction survey and staking</t>
  </si>
  <si>
    <t>CONSTRUCTION SURVEY AND STAKING</t>
  </si>
  <si>
    <t>20102 Clearing and grubbing</t>
  </si>
  <si>
    <t>BLM</t>
  </si>
  <si>
    <t>N-AD</t>
  </si>
  <si>
    <t>Navy - Access Defense Program</t>
  </si>
  <si>
    <t>20301 Removal of bridge</t>
  </si>
  <si>
    <t>BOR</t>
  </si>
  <si>
    <t>DOD</t>
  </si>
  <si>
    <t>Department of Defense ($ from DOD)</t>
  </si>
  <si>
    <t>20401 Grading work only</t>
  </si>
  <si>
    <t>County</t>
  </si>
  <si>
    <t>ARRA</t>
  </si>
  <si>
    <t>American Reinvestment and Recovery Act</t>
  </si>
  <si>
    <t>15210-1000</t>
  </si>
  <si>
    <t>Centerline, staking</t>
  </si>
  <si>
    <t>CENTERLINE, STAKING</t>
  </si>
  <si>
    <t>25101 Constructing riprap</t>
  </si>
  <si>
    <t>Denali Commission</t>
  </si>
  <si>
    <t>Bureau of Land Management ($ from BLM)</t>
  </si>
  <si>
    <t>Centerline, verification and staking</t>
  </si>
  <si>
    <t>CENTERLINE, VERIFICATION AND STAKING</t>
  </si>
  <si>
    <t>25201 Constructing rock embankment</t>
  </si>
  <si>
    <t>Bureau of Reclamation ($ from BOR)</t>
  </si>
  <si>
    <t>15210-4000</t>
  </si>
  <si>
    <t>Centerline, establishment</t>
  </si>
  <si>
    <t>CENTERLINE, ESTABLISHMENT</t>
  </si>
  <si>
    <t>25202 Constructing rock buttress</t>
  </si>
  <si>
    <t>FWS</t>
  </si>
  <si>
    <t>ERFO</t>
  </si>
  <si>
    <t>Emergency Relief Federal Owned Roads</t>
  </si>
  <si>
    <t>15214-0000</t>
  </si>
  <si>
    <t>Survey and staking, miscellaneous</t>
  </si>
  <si>
    <t>SURVEY AND STAKING, MISCELLANEOUS</t>
  </si>
  <si>
    <t>25301 Constructing gabions</t>
  </si>
  <si>
    <t>NPS</t>
  </si>
  <si>
    <t>ER</t>
  </si>
  <si>
    <t>Emergency Relief (ER for state roads)</t>
  </si>
  <si>
    <t>15214-1000</t>
  </si>
  <si>
    <t>Survey and staking, bridge</t>
  </si>
  <si>
    <t>SURVEY AND STAKING, BRIDGE</t>
  </si>
  <si>
    <t>25302 Constructing revet mattress</t>
  </si>
  <si>
    <t>FS</t>
  </si>
  <si>
    <t>Forest Service ($ from Forest)</t>
  </si>
  <si>
    <t>15214-2000</t>
  </si>
  <si>
    <t>Survey and staking, retaining wall</t>
  </si>
  <si>
    <t>SURVEY AND STAKING, RETAINING WALL</t>
  </si>
  <si>
    <t>25401 Constructing crib wall</t>
  </si>
  <si>
    <t>TFHRC</t>
  </si>
  <si>
    <t>Fish and Wildlife Service ($ from Refuge)</t>
  </si>
  <si>
    <t>15214-2500</t>
  </si>
  <si>
    <t>Survey and staking, reinforced soil slope</t>
  </si>
  <si>
    <t>SURVEY AND STAKING, REINFORCED SOIL SLOPE</t>
  </si>
  <si>
    <t>25501 Constructing mechanically stabilized earth wall</t>
  </si>
  <si>
    <t>USACE</t>
  </si>
  <si>
    <t>HPP</t>
  </si>
  <si>
    <t>High Priority Project Program</t>
  </si>
  <si>
    <t>15214-3000</t>
  </si>
  <si>
    <t>Survey and staking, parking area</t>
  </si>
  <si>
    <t>SURVEY AND STAKING, PARKING AREA</t>
  </si>
  <si>
    <t>25601 Constructing ground anchor</t>
  </si>
  <si>
    <t>USFS</t>
  </si>
  <si>
    <t>IRR</t>
  </si>
  <si>
    <t>Indian Reservation Road Program</t>
  </si>
  <si>
    <t>Survey and staking, approach road</t>
  </si>
  <si>
    <t>SURVEY AND STAKING, APPROACH ROAD</t>
  </si>
  <si>
    <t>25701 Constructing alternate retaining wall</t>
  </si>
  <si>
    <t>National Park Service ($ from Park)</t>
  </si>
  <si>
    <t>15215-2000</t>
  </si>
  <si>
    <t>25801 Constructing concrete retaining wall</t>
  </si>
  <si>
    <t>OMAD</t>
  </si>
  <si>
    <t>Office of Missile Air Defense Program</t>
  </si>
  <si>
    <t>Survey and staking, drainage structure</t>
  </si>
  <si>
    <t>SURVEY AND STAKING, DRAINAGE STRUCTURE</t>
  </si>
  <si>
    <t>25901 Constructing soil nail wall</t>
  </si>
  <si>
    <t>PFH</t>
  </si>
  <si>
    <t>Public Forest Highway Program</t>
  </si>
  <si>
    <t>15215-4000</t>
  </si>
  <si>
    <t>Survey and staking, permanent monument and marker</t>
  </si>
  <si>
    <t>SURVEY AND STAKING, PERMANENT MONUMENT AND MARKER</t>
  </si>
  <si>
    <t>26001 Installing rock bolts</t>
  </si>
  <si>
    <t>PLH</t>
  </si>
  <si>
    <t>Public Land Highway Discretionary Program (Park)</t>
  </si>
  <si>
    <t>15215-4500</t>
  </si>
  <si>
    <t>Survey and staking, relocate control point</t>
  </si>
  <si>
    <t>SURVEY AND STAKING, RELOCATE CONTROL POINT</t>
  </si>
  <si>
    <t>30101 Aggregate surfacing 1" - 6" depth</t>
  </si>
  <si>
    <t>PRA</t>
  </si>
  <si>
    <t>Public Roads Allocated (Park Road Program)</t>
  </si>
  <si>
    <t>15215-5000</t>
  </si>
  <si>
    <t>Survey and staking, box culvert</t>
  </si>
  <si>
    <t>SURVEY AND STAKING, BOX CULVERT</t>
  </si>
  <si>
    <t>30102 Aggregate surfacing &gt; 6" depth</t>
  </si>
  <si>
    <t>RRP</t>
  </si>
  <si>
    <t>Refuge Road Program</t>
  </si>
  <si>
    <t>15215-6000</t>
  </si>
  <si>
    <t>Survey and staking, roadway cross-sections</t>
  </si>
  <si>
    <t>SURVEY AND STAKING, ROADWAY CROSS-SECTIONS</t>
  </si>
  <si>
    <t>30301 Road reconditioning</t>
  </si>
  <si>
    <t>TRIP</t>
  </si>
  <si>
    <t>Transit in Parks</t>
  </si>
  <si>
    <t>15215-7000</t>
  </si>
  <si>
    <t>40106 Asphalt concrete patch full depth</t>
  </si>
  <si>
    <t>FLAP</t>
  </si>
  <si>
    <t>Federal Lands Access Program</t>
  </si>
  <si>
    <t>15215-8000</t>
  </si>
  <si>
    <t>Survey and staking, intersection</t>
  </si>
  <si>
    <t>SURVEY AND STAKING, INTERSECTION</t>
  </si>
  <si>
    <t>40107 Crack sealing</t>
  </si>
  <si>
    <t>FTBL</t>
  </si>
  <si>
    <t>Federal Lands Transportation Program - BLM</t>
  </si>
  <si>
    <t>15216-1000</t>
  </si>
  <si>
    <t>40114 Surface treatment single layer</t>
  </si>
  <si>
    <t>FTCE</t>
  </si>
  <si>
    <t>Federal Lands Transportation Program - COE</t>
  </si>
  <si>
    <t>40115 Surface treatment double layer</t>
  </si>
  <si>
    <t>FTFS</t>
  </si>
  <si>
    <t>Federal Lands Transportation Program - USFS</t>
  </si>
  <si>
    <t>15216-3000</t>
  </si>
  <si>
    <t>Survey and staking, template control</t>
  </si>
  <si>
    <t>SURVEY AND STAKING, TEMPLATE CONTROL</t>
  </si>
  <si>
    <t>40202 Asphalt Concrete Overlay &lt;2.5-inches</t>
  </si>
  <si>
    <t>FTFW</t>
  </si>
  <si>
    <t>Federal Lands Transportation Program - FWS</t>
  </si>
  <si>
    <t>15217-1000</t>
  </si>
  <si>
    <t>40204 Asphalt Concrete Overlay &gt;=2.5-inches</t>
  </si>
  <si>
    <t>FTNP</t>
  </si>
  <si>
    <t>Federal Lands Transportation Program - NPS</t>
  </si>
  <si>
    <t>15225-0000</t>
  </si>
  <si>
    <t>Slope, reference, and clearing and grubbing control</t>
  </si>
  <si>
    <t>SLOPE, REFERENCE, AND CLEARING AND GRUBBING CONTROL</t>
  </si>
  <si>
    <t>40205 Wedge and Level + Asphalt Concrete Overlay</t>
  </si>
  <si>
    <t>TTP</t>
  </si>
  <si>
    <t>Tribal Transportation Program</t>
  </si>
  <si>
    <t>15236-2000</t>
  </si>
  <si>
    <t>Survey control, grade finishing</t>
  </si>
  <si>
    <t>SURVEY CONTROL, GRADE FINISHING</t>
  </si>
  <si>
    <t>40302 Mill + &lt; 2.5-inches Asphalt Concrete Overlay</t>
  </si>
  <si>
    <t>STP</t>
  </si>
  <si>
    <t>Surface Transportation Program</t>
  </si>
  <si>
    <t>Contractor quality control</t>
  </si>
  <si>
    <t>CONTRACTOR QUALITY CONTROL</t>
  </si>
  <si>
    <t>40306 Mill + &gt;= 2.5-inches Asphalt Concrete Overlay</t>
  </si>
  <si>
    <t>TAP</t>
  </si>
  <si>
    <t>Transportation Alternatives Program</t>
  </si>
  <si>
    <t>15301-0010</t>
  </si>
  <si>
    <t>Contractor quality control and assurance</t>
  </si>
  <si>
    <t>CONTRACTOR QUALITY CONTROL AND ASSURANCE</t>
  </si>
  <si>
    <t>40402 Cold-in-Place + &lt; 2.5-inches Asphalt Concrete Overlay</t>
  </si>
  <si>
    <t>TIP</t>
  </si>
  <si>
    <t>Transportation Improvement Program</t>
  </si>
  <si>
    <t>40404 Cold-in-Place + &gt;= 2.5-inches Asphalt Concrete Overlay</t>
  </si>
  <si>
    <t>THP</t>
  </si>
  <si>
    <t>Territorial Highway Program</t>
  </si>
  <si>
    <t>40412 Pulverize + &lt; 2.5-inches Asphalt Concrete Overlay</t>
  </si>
  <si>
    <t>EBP</t>
  </si>
  <si>
    <t>Equity Bonus Program</t>
  </si>
  <si>
    <t>Contractor testing</t>
  </si>
  <si>
    <t>CONTRACTOR TESTING</t>
  </si>
  <si>
    <t>40414 Pulverize + &gt;= 2.5-inches Asphalt Concrete Overlay</t>
  </si>
  <si>
    <t>TDG</t>
  </si>
  <si>
    <t>National Infrastructure Investments (TIGER)</t>
  </si>
  <si>
    <t>Construction schedule</t>
  </si>
  <si>
    <t>CONSTRUCTION SCHEDULE</t>
  </si>
  <si>
    <t>40502 Geotextile + &lt; 2.5-inches Asphalt Concrete Overlay</t>
  </si>
  <si>
    <t>STRDG</t>
  </si>
  <si>
    <t>Surface transportation research, development, and deployment</t>
  </si>
  <si>
    <t>15701-0000</t>
  </si>
  <si>
    <t>Soil erosion control</t>
  </si>
  <si>
    <t>SOIL EROSION CONTROL</t>
  </si>
  <si>
    <t>40504 Geotextile + &gt;= 2.5-inches Asphalt Concrete Overlay</t>
  </si>
  <si>
    <t>CMAQ</t>
  </si>
  <si>
    <t>Congestion Mitigation and Air Quality Improvement Program</t>
  </si>
  <si>
    <t>15702-1000</t>
  </si>
  <si>
    <t>40602 Crack and Seat + &lt; 2.5-inches Asphalt Concrete Overlay</t>
  </si>
  <si>
    <t>NFED</t>
  </si>
  <si>
    <t>Non-Federal Funding</t>
  </si>
  <si>
    <t>15702-2000</t>
  </si>
  <si>
    <t>40604 Crack and Seat + &gt;= 2.5-inches Asphalt Concrete Overlay</t>
  </si>
  <si>
    <t>IPP</t>
  </si>
  <si>
    <t>Innovative Projects Program</t>
  </si>
  <si>
    <t>15702-3000</t>
  </si>
  <si>
    <t>Soil erosion control, supervisor</t>
  </si>
  <si>
    <t>SOIL EROSION CONTROL, SUPERVISOR</t>
  </si>
  <si>
    <t>40901 Asphalt Concrete Construction Agg. Base + &lt;2.5-inches AC Pavement</t>
  </si>
  <si>
    <t>NHPP</t>
  </si>
  <si>
    <t>National Highway Performance Program</t>
  </si>
  <si>
    <t>15702-4000</t>
  </si>
  <si>
    <t>Soil erosion control, filter bag</t>
  </si>
  <si>
    <t>SOIL EROSION CONTROL, FILTER BAG</t>
  </si>
  <si>
    <t>40902 Asphalt Concrete Construction Agg. Base + &gt;= 2.5-inches AC Pavement</t>
  </si>
  <si>
    <t>HRD</t>
  </si>
  <si>
    <t>Highway Research and Development Program</t>
  </si>
  <si>
    <t>15702-5000</t>
  </si>
  <si>
    <t>50111 PCC Joint and crack repair</t>
  </si>
  <si>
    <t>15702-6000</t>
  </si>
  <si>
    <t>50121 Replacement of Individual PCC Slabs</t>
  </si>
  <si>
    <t>15703-1000</t>
  </si>
  <si>
    <t>Soil erosion control, soil stabilization</t>
  </si>
  <si>
    <t>SOIL EROSION CONTROL, SOIL STABILIZATION</t>
  </si>
  <si>
    <t>50910 New or Reconstruction of PCC Pavement</t>
  </si>
  <si>
    <t>15703-1500</t>
  </si>
  <si>
    <t>Soil erosion control, temporary soil tackifier</t>
  </si>
  <si>
    <t>SOIL EROSION CONTROL, TEMPORARY SOIL TACKIFIER</t>
  </si>
  <si>
    <t>55001 Bridge Construction - Concrete</t>
  </si>
  <si>
    <t>15703-2000</t>
  </si>
  <si>
    <t>Soil erosion control, temporary turf establishment</t>
  </si>
  <si>
    <t>SOIL EROSION CONTROL, TEMPORARY TURF ESTABLISHMENT</t>
  </si>
  <si>
    <t>55002 Bridge Construction - Steel</t>
  </si>
  <si>
    <t>15703-2500</t>
  </si>
  <si>
    <t>Soil erosion control, mulching, hydraulic method</t>
  </si>
  <si>
    <t>SOIL EROSION CONTROL, MULCHING, HYDRAULIC METHOD</t>
  </si>
  <si>
    <t>55003 Bridge Construction - Timber</t>
  </si>
  <si>
    <t>15703-3000</t>
  </si>
  <si>
    <t>Soil erosion control, wood strand</t>
  </si>
  <si>
    <t>SOIL EROSION CONTROL, WOOD STRAND</t>
  </si>
  <si>
    <t>55004 Bridge Construction - Plastic</t>
  </si>
  <si>
    <t>15704-1000</t>
  </si>
  <si>
    <t>Soil erosion control, plastic lining</t>
  </si>
  <si>
    <t>SOIL EROSION CONTROL, PLASTIC LINING</t>
  </si>
  <si>
    <t>55008 Tunnel Construction</t>
  </si>
  <si>
    <t>15704-1100</t>
  </si>
  <si>
    <t>Soil erosion control, brush blanket</t>
  </si>
  <si>
    <t>SOIL EROSION CONTROL, BRUSH BLANKET</t>
  </si>
  <si>
    <t>55010 Replace Bridge Deck - Concrete</t>
  </si>
  <si>
    <t>15704-1200</t>
  </si>
  <si>
    <t>Soil erosion control, rock mulch</t>
  </si>
  <si>
    <t>SOIL EROSION CONTROL, ROCK MULCH</t>
  </si>
  <si>
    <t>55011 Replace Bridge Deck - Timber</t>
  </si>
  <si>
    <t>55012 Replace Bridge Deck - Plastic</t>
  </si>
  <si>
    <t>Soil erosion control, silt fence</t>
  </si>
  <si>
    <t>SOIL EROSION CONTROL, SILT FENCE</t>
  </si>
  <si>
    <t>55018 Replace Tunnel</t>
  </si>
  <si>
    <t>55020 Repair Bridge Deck - Concrete</t>
  </si>
  <si>
    <t>15705-0300</t>
  </si>
  <si>
    <t>Soil erosion control, slope drains</t>
  </si>
  <si>
    <t>SOIL EROSION CONTROL, SLOPE DRAINS</t>
  </si>
  <si>
    <t>55021 Repair Bridge Deck - Timber</t>
  </si>
  <si>
    <t>15705-0400</t>
  </si>
  <si>
    <t>Soil erosion control, earth berms</t>
  </si>
  <si>
    <t>SOIL EROSION CONTROL, EARTH BERMS</t>
  </si>
  <si>
    <t>55022 Repair Bridge Deck - Plastic</t>
  </si>
  <si>
    <t>15705-0500</t>
  </si>
  <si>
    <t>Soil erosion control, temporary culvert pipe</t>
  </si>
  <si>
    <t>SOIL EROSION CONTROL, TEMPORARY CULVERT PIPE</t>
  </si>
  <si>
    <t>55030 Bridge Deck Overlay</t>
  </si>
  <si>
    <t>15705-0600</t>
  </si>
  <si>
    <t>Soil erosion control, temporary 600mm culvert pipe</t>
  </si>
  <si>
    <t>SOIL EROSION CONTROL, TEMPORARY 24-INCH CULVERT PIPE</t>
  </si>
  <si>
    <t>55040 Repair Bridge Superstructure - Concrete</t>
  </si>
  <si>
    <t>15705-0700</t>
  </si>
  <si>
    <t>Soil erosion control, temporary 750mm culvert pipe</t>
  </si>
  <si>
    <t>SOIL EROSION CONTROL, TEMPORARY 30-INCH CULVERT PIPE</t>
  </si>
  <si>
    <t>55041 Repair Bridge Superstructure - Steel</t>
  </si>
  <si>
    <t>15705-0800</t>
  </si>
  <si>
    <t>Soil erosion control, temporary 900mm culvert pipe</t>
  </si>
  <si>
    <t>SOIL EROSION CONTROL, TEMPORARY 36-INCH CULVERT PIPE</t>
  </si>
  <si>
    <t>55042 Repair Bridge Superstructure - Timber</t>
  </si>
  <si>
    <t>15705-0900</t>
  </si>
  <si>
    <t>Soil erosion control, temporary 1050mm culvert pipe</t>
  </si>
  <si>
    <t>SOIL EROSION CONTROL, TEMPORARY 42-INCH CULVERT PIPE</t>
  </si>
  <si>
    <t>55043 Repair Bridge Superstructure - Plastic</t>
  </si>
  <si>
    <t>15705-1000</t>
  </si>
  <si>
    <t>Soil erosion control, temporary 1200mm culvert pipe</t>
  </si>
  <si>
    <t>SOIL EROSION CONTROL, TEMPORARY 48-INCH CULVERT PIPE</t>
  </si>
  <si>
    <t>55048 Repair Tunnel</t>
  </si>
  <si>
    <t>15705-1100</t>
  </si>
  <si>
    <t>Soil erosion control, temporary 1500mm culvert pipe</t>
  </si>
  <si>
    <t>SOIL EROSION CONTROL, TEMPORARY 60-INCH CULVERT PIPE</t>
  </si>
  <si>
    <t>55050 Clean and repair joints</t>
  </si>
  <si>
    <t>15705-1200</t>
  </si>
  <si>
    <t>Soil erosion control, temporary 1800mm culvert pipe</t>
  </si>
  <si>
    <t>SOIL EROSION CONTROL, TEMPORARY 72-INCH CULVERT PIPE</t>
  </si>
  <si>
    <t>55051 Expansion joints</t>
  </si>
  <si>
    <t>15705-1300</t>
  </si>
  <si>
    <t>55052 Expansion joint repair</t>
  </si>
  <si>
    <t>Soil erosion control, fiber roll</t>
  </si>
  <si>
    <t>SOIL EROSION CONTROL, FIBER ROLL</t>
  </si>
  <si>
    <t>55060 Repair Bridge</t>
  </si>
  <si>
    <t>15705-1500</t>
  </si>
  <si>
    <t>Soil erosion control, compost sock</t>
  </si>
  <si>
    <t>SOIL EROSION CONTROL, COMPOST SOCK</t>
  </si>
  <si>
    <t>55061 Repair Bridge - Concrete</t>
  </si>
  <si>
    <t>15705-1600</t>
  </si>
  <si>
    <t>Soil erosion control, absorbent boom</t>
  </si>
  <si>
    <t>SOIL EROSION CONTROL, ABSORBENT BOOM</t>
  </si>
  <si>
    <t>55062 Repair Bridge - Steel</t>
  </si>
  <si>
    <t>15705-1700</t>
  </si>
  <si>
    <t>Soil erosion control, filter berm</t>
  </si>
  <si>
    <t>SOIL EROSION CONTROL, FILTER BERM</t>
  </si>
  <si>
    <t>55063 Repair Bridge - Timber</t>
  </si>
  <si>
    <t>15705-1800</t>
  </si>
  <si>
    <t>55064 Repair Bridge - Plastic</t>
  </si>
  <si>
    <t>55601 Construct Bridge Rail - Concrete</t>
  </si>
  <si>
    <t>15705-2000</t>
  </si>
  <si>
    <t>Soil erosion control, floating turbidity curtain</t>
  </si>
  <si>
    <t>SOIL EROSION CONTROL, FLOATING TURBIDITY CURTAIN</t>
  </si>
  <si>
    <t>55602 Construct Bridge Rail - Steel</t>
  </si>
  <si>
    <t>15705-2100</t>
  </si>
  <si>
    <t>Soil erosion control, silt barrier</t>
  </si>
  <si>
    <t>SOIL EROSION CONTROL, SILT BARRIER</t>
  </si>
  <si>
    <t>55603 Construct Bridge Rail - Aluminum</t>
  </si>
  <si>
    <t>55604 Construct Bridge Rail - Timber</t>
  </si>
  <si>
    <t>55610 Repair Bridge Rail - Concrete</t>
  </si>
  <si>
    <t>15706-0200</t>
  </si>
  <si>
    <t>Soil erosion control, check dam</t>
  </si>
  <si>
    <t>SOIL EROSION CONTROL, CHECK DAM</t>
  </si>
  <si>
    <t>55611 Repair Bridge Rail - Steel</t>
  </si>
  <si>
    <t>15706-0300</t>
  </si>
  <si>
    <t>Soil erosion control, sandbag</t>
  </si>
  <si>
    <t>SOIL EROSION CONTROL, SANDBAG</t>
  </si>
  <si>
    <t>55612 Repair Bridge Rail - Aluminum</t>
  </si>
  <si>
    <t>15706-0400</t>
  </si>
  <si>
    <t>Soil erosion control, sediment trap</t>
  </si>
  <si>
    <t>SOIL EROSION CONTROL, SEDIMENT TRAP</t>
  </si>
  <si>
    <t>55613 Repair Bridge Rail - Timber</t>
  </si>
  <si>
    <t>15706-0500</t>
  </si>
  <si>
    <t>Soil erosion control, inlet sediment trap</t>
  </si>
  <si>
    <t>SOIL EROSION CONTROL, INLET SEDIMENT TRAP</t>
  </si>
  <si>
    <t>56301 Bridge painting</t>
  </si>
  <si>
    <t>15706-0600</t>
  </si>
  <si>
    <t>Soil erosion control, riser pipe assembly</t>
  </si>
  <si>
    <t>SOIL EROSION CONTROL, RISER PIPE ASSEMBLY</t>
  </si>
  <si>
    <t>60201 Drainage work</t>
  </si>
  <si>
    <t>15706-0700</t>
  </si>
  <si>
    <t>Soil erosion control, silt control gate</t>
  </si>
  <si>
    <t>SOIL EROSION CONTROL, SILT CONTROL GATE</t>
  </si>
  <si>
    <t>61101 Utility work - water</t>
  </si>
  <si>
    <t>61201 Utility work - sewer</t>
  </si>
  <si>
    <t>61501 Sidewalks, Pads, Paved Medians</t>
  </si>
  <si>
    <t>61701 Guardrail work</t>
  </si>
  <si>
    <t>15706-1000</t>
  </si>
  <si>
    <t>Soil erosion control, inlet protection</t>
  </si>
  <si>
    <t>SOIL EROSION CONTROL, INLET PROTECTION</t>
  </si>
  <si>
    <t>61702 Barrier work</t>
  </si>
  <si>
    <t>15706-1100</t>
  </si>
  <si>
    <t>Soil erosion control, inlet protection type A</t>
  </si>
  <si>
    <t>SOIL EROSION CONTROL, INLET PROTECTION TYPE A</t>
  </si>
  <si>
    <t>62001 Masonry</t>
  </si>
  <si>
    <t>15706-1200</t>
  </si>
  <si>
    <t>Soil erosion control, inlet protection type B</t>
  </si>
  <si>
    <t>SOIL EROSION CONTROL, INLET PROTECTION TYPE B</t>
  </si>
  <si>
    <t>62501 Turf establishment</t>
  </si>
  <si>
    <t>15706-1300</t>
  </si>
  <si>
    <t>Soil erosion control, inlet protection type C</t>
  </si>
  <si>
    <t>SOIL EROSION CONTROL, INLET PROTECTION TYPE C</t>
  </si>
  <si>
    <t>62601 Plants</t>
  </si>
  <si>
    <t>15706-1400</t>
  </si>
  <si>
    <t>Soil erosion control, inlet protection type D</t>
  </si>
  <si>
    <t>SOIL EROSION CONTROL, INLET PROTECTION TYPE D</t>
  </si>
  <si>
    <t>63301 Permanent traffic control</t>
  </si>
  <si>
    <t>15706-1500</t>
  </si>
  <si>
    <t>Soil erosion control, inlet protection type E</t>
  </si>
  <si>
    <t>SOIL EROSION CONTROL, INLET PROTECTION TYPE E</t>
  </si>
  <si>
    <t>63501 Temporary traffic control</t>
  </si>
  <si>
    <t>15706-1600</t>
  </si>
  <si>
    <t>Soil erosion control, stabilized construction exit</t>
  </si>
  <si>
    <t>SOIL EROSION CONTROL, STABILIZED CONSTRUCTION EXIT</t>
  </si>
  <si>
    <t>63601 Signal system</t>
  </si>
  <si>
    <t>63602 Lighting system</t>
  </si>
  <si>
    <t>63603 Utility work - electrical</t>
  </si>
  <si>
    <t>64601 Roadside development</t>
  </si>
  <si>
    <t>64701 Environmental mitigation</t>
  </si>
  <si>
    <t>15706-2100</t>
  </si>
  <si>
    <t>64801 Utility work - gas</t>
  </si>
  <si>
    <t>15706-2200</t>
  </si>
  <si>
    <t>64802 Utility work - oil</t>
  </si>
  <si>
    <t>15706-2300</t>
  </si>
  <si>
    <t>Soil erosion control, on-site concrete washout structure</t>
  </si>
  <si>
    <t>SOIL EROSION CONTROL, ON-SITE CONCRETE WASHOUT STRUCTURE</t>
  </si>
  <si>
    <t>15720-0000</t>
  </si>
  <si>
    <t>15801-0000</t>
  </si>
  <si>
    <t>Watering for dust control</t>
  </si>
  <si>
    <t>WATERING FOR DUST CONTROL</t>
  </si>
  <si>
    <t>15802-0000</t>
  </si>
  <si>
    <t>20101-0000</t>
  </si>
  <si>
    <t>Clearing and grubbing</t>
  </si>
  <si>
    <t>CLEARING AND GRUBBING</t>
  </si>
  <si>
    <t>20102-0000</t>
  </si>
  <si>
    <t>20103-0000</t>
  </si>
  <si>
    <t>20104-0000</t>
  </si>
  <si>
    <t>Clearing</t>
  </si>
  <si>
    <t>CLEARING</t>
  </si>
  <si>
    <t>Removal, individual tree</t>
  </si>
  <si>
    <t>REMOVAL, INDIVIDUAL TREE</t>
  </si>
  <si>
    <t>Removal, individual stump</t>
  </si>
  <si>
    <t>REMOVAL, INDIVIDUAL STUMP</t>
  </si>
  <si>
    <t>20201-0000</t>
  </si>
  <si>
    <t>Selective clearing</t>
  </si>
  <si>
    <t>SELECTIVE CLEARING</t>
  </si>
  <si>
    <t>20202-0000</t>
  </si>
  <si>
    <t>20205-0000</t>
  </si>
  <si>
    <t>Selective clearing and grubbing</t>
  </si>
  <si>
    <t>SELECTIVE CLEARING AND GRUBBING</t>
  </si>
  <si>
    <t>20206-0000</t>
  </si>
  <si>
    <t>20210-0000</t>
  </si>
  <si>
    <t>Special clearing and grubbing</t>
  </si>
  <si>
    <t>SPECIAL CLEARING AND GRUBBING</t>
  </si>
  <si>
    <t>20211-0000</t>
  </si>
  <si>
    <t>20212-0000</t>
  </si>
  <si>
    <t>Special clearing</t>
  </si>
  <si>
    <t>SPECIAL CLEARING</t>
  </si>
  <si>
    <t>20214-0000</t>
  </si>
  <si>
    <t>Roadside cleanup</t>
  </si>
  <si>
    <t>ROADSIDE CLEANUP</t>
  </si>
  <si>
    <t>20215-0000</t>
  </si>
  <si>
    <t>20216-0000</t>
  </si>
  <si>
    <t>Tree pruning</t>
  </si>
  <si>
    <t>TREE PRUNING</t>
  </si>
  <si>
    <t>20217-0000</t>
  </si>
  <si>
    <t>Tree root pruning</t>
  </si>
  <si>
    <t>TREE ROOT PRUNING</t>
  </si>
  <si>
    <t>20220-1000</t>
  </si>
  <si>
    <t>20220-2000</t>
  </si>
  <si>
    <t>20301-0080</t>
  </si>
  <si>
    <t>Removal of bench</t>
  </si>
  <si>
    <t>REMOVAL OF BENCH</t>
  </si>
  <si>
    <t>20301-0100</t>
  </si>
  <si>
    <t>Removal of bollard</t>
  </si>
  <si>
    <t>REMOVAL OF BOLLARD</t>
  </si>
  <si>
    <t>20301-0200</t>
  </si>
  <si>
    <t>Removal of boulder</t>
  </si>
  <si>
    <t>REMOVAL OF BOULDER</t>
  </si>
  <si>
    <t>20301-0300</t>
  </si>
  <si>
    <t>Removal of box culvert</t>
  </si>
  <si>
    <t>REMOVAL OF BOX CULVERT</t>
  </si>
  <si>
    <t>20301-0400</t>
  </si>
  <si>
    <t>Removal of bridge</t>
  </si>
  <si>
    <t>REMOVAL OF BRIDGE</t>
  </si>
  <si>
    <t>20301-0500</t>
  </si>
  <si>
    <t>Removal of catch basin</t>
  </si>
  <si>
    <t>REMOVAL OF CATCH BASIN</t>
  </si>
  <si>
    <t>20301-0600</t>
  </si>
  <si>
    <t>Removal of cattle guard</t>
  </si>
  <si>
    <t>REMOVAL OF CATTLE GUARD</t>
  </si>
  <si>
    <t>20301-0700</t>
  </si>
  <si>
    <t>Removal of delineator</t>
  </si>
  <si>
    <t>REMOVAL OF DELINEATOR</t>
  </si>
  <si>
    <t>20301-0800</t>
  </si>
  <si>
    <t>Removal of drinking fountain</t>
  </si>
  <si>
    <t>REMOVAL OF DRINKING FOUNTAIN</t>
  </si>
  <si>
    <t>20301-0900</t>
  </si>
  <si>
    <t>Removal of fire hydrant</t>
  </si>
  <si>
    <t>REMOVAL OF FIRE HYDRANT</t>
  </si>
  <si>
    <t>20301-1000</t>
  </si>
  <si>
    <t>Removal of frame and grate</t>
  </si>
  <si>
    <t>REMOVAL OF FRAME AND GRATE</t>
  </si>
  <si>
    <t>20301-1100</t>
  </si>
  <si>
    <t>Removal of gate</t>
  </si>
  <si>
    <t>REMOVAL OF GATE</t>
  </si>
  <si>
    <t>20301-1200</t>
  </si>
  <si>
    <t>Removal of headwall</t>
  </si>
  <si>
    <t>REMOVAL OF HEADWALL</t>
  </si>
  <si>
    <t>20301-1300</t>
  </si>
  <si>
    <t>Removal of inlet grate</t>
  </si>
  <si>
    <t>REMOVAL OF INLET GRATE</t>
  </si>
  <si>
    <t>20301-1400</t>
  </si>
  <si>
    <t>Removal of inlet</t>
  </si>
  <si>
    <t>REMOVAL OF INLET</t>
  </si>
  <si>
    <t>20301-1500</t>
  </si>
  <si>
    <t>Removal of light pole</t>
  </si>
  <si>
    <t>REMOVAL OF LIGHT POLE</t>
  </si>
  <si>
    <t>20301-1600</t>
  </si>
  <si>
    <t>Removal of mailbox</t>
  </si>
  <si>
    <t>REMOVAL OF MAILBOX</t>
  </si>
  <si>
    <t>20301-1700</t>
  </si>
  <si>
    <t>Removal of manhole</t>
  </si>
  <si>
    <t>REMOVAL OF MANHOLE</t>
  </si>
  <si>
    <t>20301-1800</t>
  </si>
  <si>
    <t>Removal of monument</t>
  </si>
  <si>
    <t>REMOVAL OF MONUMENT</t>
  </si>
  <si>
    <t>20301-1900</t>
  </si>
  <si>
    <t>Removal of pipe culvert</t>
  </si>
  <si>
    <t>REMOVAL OF PIPE CULVERT</t>
  </si>
  <si>
    <t>20301-2000</t>
  </si>
  <si>
    <t>Removal of pipe end section</t>
  </si>
  <si>
    <t>REMOVAL OF PIPE END SECTION</t>
  </si>
  <si>
    <t>20301-2100</t>
  </si>
  <si>
    <t>Removal of restroom facility</t>
  </si>
  <si>
    <t>REMOVAL OF RESTROOM FACILITY</t>
  </si>
  <si>
    <t>20301-2200</t>
  </si>
  <si>
    <t>Removal of sign and stone foundation</t>
  </si>
  <si>
    <t>REMOVAL OF SIGN AND STONE FOUNDATION</t>
  </si>
  <si>
    <t>20301-2300</t>
  </si>
  <si>
    <t>Removal of sign/marker</t>
  </si>
  <si>
    <t>REMOVAL OF SIGN/MARKER</t>
  </si>
  <si>
    <t>20301-2400</t>
  </si>
  <si>
    <t>Removal of signs</t>
  </si>
  <si>
    <t>REMOVAL OF SIGN</t>
  </si>
  <si>
    <t>20301-2600</t>
  </si>
  <si>
    <t>Removal of structural plate pipe</t>
  </si>
  <si>
    <t>REMOVAL OF STRUCTURAL PLATE PIPE</t>
  </si>
  <si>
    <t>20301-2700</t>
  </si>
  <si>
    <t>Removal of structure</t>
  </si>
  <si>
    <t>REMOVAL OF STRUCTURE</t>
  </si>
  <si>
    <t>20301-2800</t>
  </si>
  <si>
    <t>Removal of structures and obstructions</t>
  </si>
  <si>
    <t>REMOVAL OF STRUCTURES AND OBSTRUCTIONS</t>
  </si>
  <si>
    <t>20301-2900</t>
  </si>
  <si>
    <t>Removal of telephone booth</t>
  </si>
  <si>
    <t>REMOVAL OF TELEPHONE BOOTH</t>
  </si>
  <si>
    <t>20301-3000</t>
  </si>
  <si>
    <t>Removal of trash receptacle</t>
  </si>
  <si>
    <t>REMOVAL OF TRASH RECEPTACLE</t>
  </si>
  <si>
    <t>20301-3100</t>
  </si>
  <si>
    <t>Removal of utility pole</t>
  </si>
  <si>
    <t>REMOVAL OF UTILITY POLE</t>
  </si>
  <si>
    <t>20301-3200</t>
  </si>
  <si>
    <t>Removal of valve</t>
  </si>
  <si>
    <t>REMOVAL OF VALVE</t>
  </si>
  <si>
    <t>20301-3300</t>
  </si>
  <si>
    <t>Removal of vault</t>
  </si>
  <si>
    <t>REMOVAL OF VAULT</t>
  </si>
  <si>
    <t>20301-3400</t>
  </si>
  <si>
    <t>Removal of wheelstop</t>
  </si>
  <si>
    <t>REMOVAL OF WHEELSTOP</t>
  </si>
  <si>
    <t>20301-3410</t>
  </si>
  <si>
    <t>Removal of speed bump</t>
  </si>
  <si>
    <t>REMOVAL OF SPEED BUMP</t>
  </si>
  <si>
    <t>20301-3420</t>
  </si>
  <si>
    <t>Removal of speed hump</t>
  </si>
  <si>
    <t>REMOVAL OF SPEED HUMP</t>
  </si>
  <si>
    <t>20301-3500</t>
  </si>
  <si>
    <t>Removal of satellite dish</t>
  </si>
  <si>
    <t>REMOVAL OF SATELLITE DISH</t>
  </si>
  <si>
    <t>20301-3600</t>
  </si>
  <si>
    <t>Removal of raised pavement marker</t>
  </si>
  <si>
    <t>REMOVAL OF RAISED PAVEMENT MARKER</t>
  </si>
  <si>
    <t>20301-3700</t>
  </si>
  <si>
    <t>20301-3800</t>
  </si>
  <si>
    <t>Removal of electrical junction box</t>
  </si>
  <si>
    <t>REMOVAL OF ELECTRICAL JUNCTION BOX</t>
  </si>
  <si>
    <t>20301-3900</t>
  </si>
  <si>
    <t>Removal of pavement markings, symbols and words</t>
  </si>
  <si>
    <t>REMOVAL OF PAVEMENT MARKINGS, SYMBOLS AND WORDS</t>
  </si>
  <si>
    <t>20302-0100</t>
  </si>
  <si>
    <t>20302-0150</t>
  </si>
  <si>
    <t>Removal of bridge railing</t>
  </si>
  <si>
    <t>REMOVAL OF BRIDGE RAILING</t>
  </si>
  <si>
    <t>20302-0200</t>
  </si>
  <si>
    <t>Removal of curb</t>
  </si>
  <si>
    <t>REMOVAL OF CURB</t>
  </si>
  <si>
    <t>20302-0300</t>
  </si>
  <si>
    <t>Removal of curb and gutter, concrete</t>
  </si>
  <si>
    <t>REMOVAL OF CURB AND GUTTER, CONCRETE</t>
  </si>
  <si>
    <t>20302-0400</t>
  </si>
  <si>
    <t>Removal of curb, asphalt</t>
  </si>
  <si>
    <t>REMOVAL OF CURB, ASPHALT</t>
  </si>
  <si>
    <t>20302-0500</t>
  </si>
  <si>
    <t>Removal of curb, concrete</t>
  </si>
  <si>
    <t>REMOVAL OF CURB, CONCRETE</t>
  </si>
  <si>
    <t>20302-0600</t>
  </si>
  <si>
    <t>Removal of curb, stone</t>
  </si>
  <si>
    <t>REMOVAL OF CURB, STONE</t>
  </si>
  <si>
    <t>20302-0625</t>
  </si>
  <si>
    <t>Removal of curb, log</t>
  </si>
  <si>
    <t>REMOVAL OF CURB, LOG</t>
  </si>
  <si>
    <t>20302-0700</t>
  </si>
  <si>
    <t>Removal of fence</t>
  </si>
  <si>
    <t>REMOVAL OF FENCE</t>
  </si>
  <si>
    <t>20302-0800</t>
  </si>
  <si>
    <t>Removal of fence, barbed wire</t>
  </si>
  <si>
    <t>REMOVAL OF FENCE, BARBED WIRE</t>
  </si>
  <si>
    <t>20302-0900</t>
  </si>
  <si>
    <t>Removal of fence, chain link</t>
  </si>
  <si>
    <t>REMOVAL OF FENCE, CHAIN LINK</t>
  </si>
  <si>
    <t>20302-1000</t>
  </si>
  <si>
    <t>Removal of fence, rail</t>
  </si>
  <si>
    <t>REMOVAL OF FENCE, RAIL</t>
  </si>
  <si>
    <t>20302-1100</t>
  </si>
  <si>
    <t>Removal of fence, woven wire</t>
  </si>
  <si>
    <t>REMOVAL OF FENCE, WOVEN WIRE</t>
  </si>
  <si>
    <t>20302-1200</t>
  </si>
  <si>
    <t>Removal of guardrail</t>
  </si>
  <si>
    <t>REMOVAL OF GUARDRAIL</t>
  </si>
  <si>
    <t>20302-1300</t>
  </si>
  <si>
    <t>20302-1400</t>
  </si>
  <si>
    <t>Removal of guardrail, timber</t>
  </si>
  <si>
    <t>REMOVAL OF GUARDRAIL, TIMBER</t>
  </si>
  <si>
    <t>20302-1500</t>
  </si>
  <si>
    <t>Removal of masonry guardwall</t>
  </si>
  <si>
    <t>REMOVAL OF MASONRY GUARDWALL</t>
  </si>
  <si>
    <t>20302-1600</t>
  </si>
  <si>
    <t>Removal of paved waterway</t>
  </si>
  <si>
    <t>REMOVAL OF PAVED WATERWAY</t>
  </si>
  <si>
    <t>20302-1700</t>
  </si>
  <si>
    <t>Removal of paved waterway, asphalt</t>
  </si>
  <si>
    <t>REMOVAL OF PAVED WATERWAY, ASPHALT</t>
  </si>
  <si>
    <t>20302-1800</t>
  </si>
  <si>
    <t>Removal of paved waterway, brick</t>
  </si>
  <si>
    <t>REMOVAL OF PAVED WATERWAY, BRICK</t>
  </si>
  <si>
    <t>20302-1900</t>
  </si>
  <si>
    <t>Removal of paved waterway, concrete</t>
  </si>
  <si>
    <t>REMOVAL OF PAVED WATERWAY, CONCRETE</t>
  </si>
  <si>
    <t>20302-2000</t>
  </si>
  <si>
    <t>Removal of paved waterway, stone</t>
  </si>
  <si>
    <t>REMOVAL OF PAVED WATERWAY, STONE</t>
  </si>
  <si>
    <t>20302-2100</t>
  </si>
  <si>
    <t>20302-2200</t>
  </si>
  <si>
    <t>Removal of sewerline</t>
  </si>
  <si>
    <t>REMOVAL OF SEWERLINE</t>
  </si>
  <si>
    <t>20302-2210</t>
  </si>
  <si>
    <t>Removal of gas line</t>
  </si>
  <si>
    <t>REMOVAL OF GAS LINE</t>
  </si>
  <si>
    <t>20302-2300</t>
  </si>
  <si>
    <t>Removal of waterline</t>
  </si>
  <si>
    <t>REMOVAL OF WATERLINE</t>
  </si>
  <si>
    <t>20302-2310</t>
  </si>
  <si>
    <t>Removal of cable line</t>
  </si>
  <si>
    <t>REMOVAL OF CABLE LINE</t>
  </si>
  <si>
    <t>20302-2400</t>
  </si>
  <si>
    <t>Removal of wheelstops</t>
  </si>
  <si>
    <t>REMOVAL OF WHEELSTOPS</t>
  </si>
  <si>
    <t>20302-2500</t>
  </si>
  <si>
    <t>Removal of handrail</t>
  </si>
  <si>
    <t>REMOVAL OF HANDRAIL</t>
  </si>
  <si>
    <t>20302-2600</t>
  </si>
  <si>
    <t>Removal of pavement markings</t>
  </si>
  <si>
    <t>REMOVAL OF PAVEMENT MARKINGS</t>
  </si>
  <si>
    <t>20303-0000</t>
  </si>
  <si>
    <t>20303-0100</t>
  </si>
  <si>
    <t>Removal of approach slab</t>
  </si>
  <si>
    <t>REMOVAL OF APPROACH SLAB</t>
  </si>
  <si>
    <t>20303-0200</t>
  </si>
  <si>
    <t>Removal of bridge deck</t>
  </si>
  <si>
    <t>REMOVAL OF BRIDGE DECK</t>
  </si>
  <si>
    <t>20303-0300</t>
  </si>
  <si>
    <t>Removal of concrete</t>
  </si>
  <si>
    <t>REMOVAL OF CONCRETE</t>
  </si>
  <si>
    <t>20303-0500</t>
  </si>
  <si>
    <t>Removal of granite cobbles</t>
  </si>
  <si>
    <t>REMOVAL OF GRANITE COBBLES</t>
  </si>
  <si>
    <t>20303-0600</t>
  </si>
  <si>
    <t>Removal of gutter, brick</t>
  </si>
  <si>
    <t>REMOVAL OF GUTTER, BRICK</t>
  </si>
  <si>
    <t>20303-0700</t>
  </si>
  <si>
    <t>Removal of gutter, concrete</t>
  </si>
  <si>
    <t>REMOVAL OF GUTTER, CONCRETE</t>
  </si>
  <si>
    <t>20303-0800</t>
  </si>
  <si>
    <t>Removal of gutter, stone</t>
  </si>
  <si>
    <t>REMOVAL OF GUTTER, STONE</t>
  </si>
  <si>
    <t>20303-0900</t>
  </si>
  <si>
    <t>Removal of median, brick</t>
  </si>
  <si>
    <t>REMOVAL OF MEDIAN, BRICK</t>
  </si>
  <si>
    <t>20303-1000</t>
  </si>
  <si>
    <t>Removal of median, concrete</t>
  </si>
  <si>
    <t>REMOVAL OF MEDIAN, CONCRETE</t>
  </si>
  <si>
    <t>20303-1100</t>
  </si>
  <si>
    <t>Removal of median, stone</t>
  </si>
  <si>
    <t>REMOVAL OF MEDIAN, STONE</t>
  </si>
  <si>
    <t>20303-1200</t>
  </si>
  <si>
    <t>20303-1300</t>
  </si>
  <si>
    <t>20303-1400</t>
  </si>
  <si>
    <t>20303-1500</t>
  </si>
  <si>
    <t>20303-1600</t>
  </si>
  <si>
    <t>Removal of pavement, asphalt</t>
  </si>
  <si>
    <t>REMOVAL OF PAVEMENT, ASPHALT</t>
  </si>
  <si>
    <t>20303-1700</t>
  </si>
  <si>
    <t>Removal of pavement, asphalt, 25mm depth</t>
  </si>
  <si>
    <t>REMOVAL OF PAVEMENT, ASPHALT, 1-INCH DEPTH</t>
  </si>
  <si>
    <t>20303-1800</t>
  </si>
  <si>
    <t>Removal of pavement, asphalt, 50mm depth</t>
  </si>
  <si>
    <t>REMOVAL OF PAVEMENT, ASPHALT, 2-INCH DEPTH</t>
  </si>
  <si>
    <t>20303-1900</t>
  </si>
  <si>
    <t>Removal of pavement, asphalt, 75mm depth</t>
  </si>
  <si>
    <t>REMOVAL OF PAVEMENT, ASPHALT, 3-INCH DEPTH</t>
  </si>
  <si>
    <t>20303-2000</t>
  </si>
  <si>
    <t>Removal of pavement, asphalt, 100mm depth</t>
  </si>
  <si>
    <t>REMOVAL OF PAVEMENT, ASPHALT, 4-INCH DEPTH</t>
  </si>
  <si>
    <t>20303-2100</t>
  </si>
  <si>
    <t>Removal of pavement, asphalt, 125mm depth</t>
  </si>
  <si>
    <t>REMOVAL OF PAVEMENT, ASPHALT, 5-INCH DEPTH</t>
  </si>
  <si>
    <t>20303-2200</t>
  </si>
  <si>
    <t>Removal of pavement, asphalt, 150mm depth</t>
  </si>
  <si>
    <t>REMOVAL OF PAVEMENT, ASPHALT, 6-INCH DEPTH</t>
  </si>
  <si>
    <t>20303-2300</t>
  </si>
  <si>
    <t>Removal of pavement, concrete</t>
  </si>
  <si>
    <t>REMOVAL OF PAVEMENT, CONCRETE</t>
  </si>
  <si>
    <t>20303-2700</t>
  </si>
  <si>
    <t>Removal of pavement, concrete, 100mm depth</t>
  </si>
  <si>
    <t>REMOVAL OF PAVEMENT, CONCRETE, 4-INCH DEPTH</t>
  </si>
  <si>
    <t>20303-2800</t>
  </si>
  <si>
    <t>Removal of pavement, concrete, 125mm depth</t>
  </si>
  <si>
    <t>REMOVAL OF PAVEMENT, CONCRETE, 5-INCH DEPTH</t>
  </si>
  <si>
    <t>20303-2900</t>
  </si>
  <si>
    <t>Removal of pavement, concrete, 150mm depth</t>
  </si>
  <si>
    <t>REMOVAL OF PAVEMENT, CONCRETE, 6-INCH DEPTH</t>
  </si>
  <si>
    <t>20303-2910</t>
  </si>
  <si>
    <t>Removal of pavement, concrete, 200mm depth</t>
  </si>
  <si>
    <t>REMOVAL OF PAVEMENT, CONCRETE, 8-INCH DEPTH</t>
  </si>
  <si>
    <t>20303-2920</t>
  </si>
  <si>
    <t>Removal of pavement, concrete, 225mm depth</t>
  </si>
  <si>
    <t>REMOVAL OF PAVEMENT, CONCRETE, 9-INCH DEPTH</t>
  </si>
  <si>
    <t>20303-3000</t>
  </si>
  <si>
    <t>Removal of sidewalk, asphalt</t>
  </si>
  <si>
    <t>REMOVAL OF SIDEWALK, ASPHALT</t>
  </si>
  <si>
    <t>20303-3100</t>
  </si>
  <si>
    <t>Removal of sidewalk, brick</t>
  </si>
  <si>
    <t>REMOVAL OF SIDEWALK, BRICK</t>
  </si>
  <si>
    <t>20303-3200</t>
  </si>
  <si>
    <t>Removal of sidewalk, concrete</t>
  </si>
  <si>
    <t>REMOVAL OF SIDEWALK, CONCRETE</t>
  </si>
  <si>
    <t>20303-3300</t>
  </si>
  <si>
    <t>Removal of sidewalk, stone</t>
  </si>
  <si>
    <t>REMOVAL OF SIDEWALK, STONE</t>
  </si>
  <si>
    <t>20303-3500</t>
  </si>
  <si>
    <t>Removal of stone masonry</t>
  </si>
  <si>
    <t>REMOVAL OF STONE MASONRY</t>
  </si>
  <si>
    <t>20303-3600</t>
  </si>
  <si>
    <t>Removal of wall</t>
  </si>
  <si>
    <t>REMOVAL OF WALL</t>
  </si>
  <si>
    <t>20303-3700</t>
  </si>
  <si>
    <t>20304-1000</t>
  </si>
  <si>
    <t>20304-2000</t>
  </si>
  <si>
    <t>20304-3000</t>
  </si>
  <si>
    <t>20304-4000</t>
  </si>
  <si>
    <t>Removal of bridge superstructure</t>
  </si>
  <si>
    <t>REMOVAL OF BRIDGE SUPERSTRUCTURE</t>
  </si>
  <si>
    <t>20304-5000</t>
  </si>
  <si>
    <t>Removal of building</t>
  </si>
  <si>
    <t>REMOVAL OF BUILDING</t>
  </si>
  <si>
    <t>20304-7000</t>
  </si>
  <si>
    <t>Removal of utility conduits</t>
  </si>
  <si>
    <t>REMOVAL OF UTILITY CONDUITS</t>
  </si>
  <si>
    <t>20304-7500</t>
  </si>
  <si>
    <t>Removal of siphon system</t>
  </si>
  <si>
    <t>REMOVAL OF SIPHON SYSTEM</t>
  </si>
  <si>
    <t>20304-9000</t>
  </si>
  <si>
    <t>Removal of stream debris</t>
  </si>
  <si>
    <t>REMOVAL OF STREAM DEBRIS</t>
  </si>
  <si>
    <t>20305-1000</t>
  </si>
  <si>
    <t>20305-2000</t>
  </si>
  <si>
    <t>20305-3000</t>
  </si>
  <si>
    <t>20310-1000</t>
  </si>
  <si>
    <t>Plug, existing pipe</t>
  </si>
  <si>
    <t>PLUG, EXISTING PIPE</t>
  </si>
  <si>
    <t>20315-0000</t>
  </si>
  <si>
    <t>Sawcutting pavement</t>
  </si>
  <si>
    <t>SAWCUTTING PAVEMENT</t>
  </si>
  <si>
    <t>20401-0000</t>
  </si>
  <si>
    <t>Roadway excavation</t>
  </si>
  <si>
    <t>ROADWAY EXCAVATION</t>
  </si>
  <si>
    <t>20402-0000</t>
  </si>
  <si>
    <t>Subexcavation</t>
  </si>
  <si>
    <t>SUBEXCAVATION</t>
  </si>
  <si>
    <t>20403-0000</t>
  </si>
  <si>
    <t>Unclassified borrow</t>
  </si>
  <si>
    <t>UNCLASSIFIED BORROW</t>
  </si>
  <si>
    <t>20404-0000</t>
  </si>
  <si>
    <t>20410-0000</t>
  </si>
  <si>
    <t>Select borrow</t>
  </si>
  <si>
    <t>SELECT BORROW</t>
  </si>
  <si>
    <t>20411-0000</t>
  </si>
  <si>
    <t>Embankment construction</t>
  </si>
  <si>
    <t>EMBANKMENT CONSTRUCTION</t>
  </si>
  <si>
    <t>20420-0000</t>
  </si>
  <si>
    <t>20421-0000</t>
  </si>
  <si>
    <t>Rock excavation</t>
  </si>
  <si>
    <t>ROCK EXCAVATION</t>
  </si>
  <si>
    <t>20425-1000</t>
  </si>
  <si>
    <t>Ditch, excavation</t>
  </si>
  <si>
    <t>DITCH, EXCAVATION</t>
  </si>
  <si>
    <t>20425-2000</t>
  </si>
  <si>
    <t>Ditch, excavation, furrow ditch</t>
  </si>
  <si>
    <t>DITCH, EXCAVATION, FURROW DITCH</t>
  </si>
  <si>
    <t>20426-1000</t>
  </si>
  <si>
    <t>20430-1000</t>
  </si>
  <si>
    <t>Shoulder, excavation</t>
  </si>
  <si>
    <t>SHOULDER, EXCAVATION</t>
  </si>
  <si>
    <t>20431-1000</t>
  </si>
  <si>
    <t>20435-1000</t>
  </si>
  <si>
    <t>Backfill, select granular</t>
  </si>
  <si>
    <t>BACKFILL, SELECT GRANULAR</t>
  </si>
  <si>
    <t>20435-2000</t>
  </si>
  <si>
    <t>Backfill, granular</t>
  </si>
  <si>
    <t>BACKFILL, GRANULAR</t>
  </si>
  <si>
    <t>20435-2500</t>
  </si>
  <si>
    <t>Backfill, permeable</t>
  </si>
  <si>
    <t>BACKFILL, PERMEABLE</t>
  </si>
  <si>
    <t>20435-3000</t>
  </si>
  <si>
    <t>Backfill, curb</t>
  </si>
  <si>
    <t>BACKFILL, CURB</t>
  </si>
  <si>
    <t>20441-0000</t>
  </si>
  <si>
    <t>Waste</t>
  </si>
  <si>
    <t>WASTE</t>
  </si>
  <si>
    <t>Slope scaling</t>
  </si>
  <si>
    <t>SLOPE SCALING</t>
  </si>
  <si>
    <t>20443-0000</t>
  </si>
  <si>
    <t>Berms</t>
  </si>
  <si>
    <t>BERMS</t>
  </si>
  <si>
    <t>20444-0000</t>
  </si>
  <si>
    <t>Slope grading</t>
  </si>
  <si>
    <t>SLOPE GRADING</t>
  </si>
  <si>
    <t>20450-1000</t>
  </si>
  <si>
    <t>Borrow, rock</t>
  </si>
  <si>
    <t>BORROW, ROCK</t>
  </si>
  <si>
    <t>20451-1000</t>
  </si>
  <si>
    <t>20466-0000</t>
  </si>
  <si>
    <t>Conserve and stockpile topsoil</t>
  </si>
  <si>
    <t>CONSERVE AND STOCKPILE TOPSOIL</t>
  </si>
  <si>
    <t>20501-0000</t>
  </si>
  <si>
    <t>Controlled blast hole</t>
  </si>
  <si>
    <t>CONTROLLED BLAST HOLE</t>
  </si>
  <si>
    <t>20502-0000</t>
  </si>
  <si>
    <t>Controlled blasting</t>
  </si>
  <si>
    <t>CONTROLLED BLASTING</t>
  </si>
  <si>
    <t>20503-0000</t>
  </si>
  <si>
    <t>Controlled vibration monitoring</t>
  </si>
  <si>
    <t>CONTROLLED VIBRATION MONITORING</t>
  </si>
  <si>
    <t>20504-0000</t>
  </si>
  <si>
    <t>Blasting consultant</t>
  </si>
  <si>
    <t>BLASTING CONSULTANT</t>
  </si>
  <si>
    <t>20701-1000</t>
  </si>
  <si>
    <t>Geogrid</t>
  </si>
  <si>
    <t>GEOGRID</t>
  </si>
  <si>
    <t>Geogrid, uniaxial</t>
  </si>
  <si>
    <t>GEOGRID, UNIAXIAL</t>
  </si>
  <si>
    <t>Geogrid, stabilization</t>
  </si>
  <si>
    <t>GEOGRID, STABILIZATION</t>
  </si>
  <si>
    <t>20704-0000</t>
  </si>
  <si>
    <t>Geomembrane</t>
  </si>
  <si>
    <t>GEOMEMBRANE</t>
  </si>
  <si>
    <t>Insulation board, polystyrene foam</t>
  </si>
  <si>
    <t>INSULATION BOARD, POLYSTYRENE FOAM</t>
  </si>
  <si>
    <t>Geosynthetic clay liner</t>
  </si>
  <si>
    <t>GEOSYNTHETIC CLAY LINER</t>
  </si>
  <si>
    <t>Reinforcement geosynthetic, type 1</t>
  </si>
  <si>
    <t>REINFORCEMENT GEOSYNTHETIC, TYPE 1</t>
  </si>
  <si>
    <t>Reinforcement geosynthetic, type 2</t>
  </si>
  <si>
    <t>REINFORCEMENT GEOSYNTHETIC, TYPE 2</t>
  </si>
  <si>
    <t>Reinforcement geosynthetic, type 3</t>
  </si>
  <si>
    <t>REINFORCEMENT GEOSYNTHETIC, TYPE 3</t>
  </si>
  <si>
    <t>Reinforcement geosynthetic, type 4</t>
  </si>
  <si>
    <t>REINFORCEMENT GEOSYNTHETIC, TYPE 4</t>
  </si>
  <si>
    <t>Reinforcement geosynthetic, type 5</t>
  </si>
  <si>
    <t>REINFORCEMENT GEOSYNTHETIC, TYPE 5</t>
  </si>
  <si>
    <t>Reinforcement geosynthetic, type 6</t>
  </si>
  <si>
    <t>REINFORCEMENT GEOSYNTHETIC, TYPE 6</t>
  </si>
  <si>
    <t>20801-0000</t>
  </si>
  <si>
    <t>Structure excavation</t>
  </si>
  <si>
    <t>STRUCTURE EXCAVATION</t>
  </si>
  <si>
    <t>20802-0000</t>
  </si>
  <si>
    <t>Foundation fill</t>
  </si>
  <si>
    <t>FOUNDATION FILL</t>
  </si>
  <si>
    <t>20803-0000</t>
  </si>
  <si>
    <t>Structural backfill</t>
  </si>
  <si>
    <t>STRUCTURAL BACKFILL</t>
  </si>
  <si>
    <t>20804-0000</t>
  </si>
  <si>
    <t>20810-0000</t>
  </si>
  <si>
    <t>Shoring and bracing</t>
  </si>
  <si>
    <t>SHORING AND BRACING</t>
  </si>
  <si>
    <t>20811-0000</t>
  </si>
  <si>
    <t>20815-0000</t>
  </si>
  <si>
    <t>Cofferdams</t>
  </si>
  <si>
    <t>COFFERDAMS</t>
  </si>
  <si>
    <t>20816-0000</t>
  </si>
  <si>
    <t>20820-0000</t>
  </si>
  <si>
    <t>Dewatering</t>
  </si>
  <si>
    <t>DEWATERING</t>
  </si>
  <si>
    <t>21101-1000</t>
  </si>
  <si>
    <t>Roadway obliteration, method 1</t>
  </si>
  <si>
    <t>ROADWAY OBLITERATION, METHOD 1</t>
  </si>
  <si>
    <t>21101-2000</t>
  </si>
  <si>
    <t>Roadway obliteration, method 2</t>
  </si>
  <si>
    <t>ROADWAY OBLITERATION, METHOD 2</t>
  </si>
  <si>
    <t>21102-1000</t>
  </si>
  <si>
    <t>21102-2000</t>
  </si>
  <si>
    <t>21102-3000</t>
  </si>
  <si>
    <t>Roadway obliteration, method 3</t>
  </si>
  <si>
    <t>ROADWAY OBLITERATION, METHOD 3</t>
  </si>
  <si>
    <t>21201-0000</t>
  </si>
  <si>
    <t>Linear grading</t>
  </si>
  <si>
    <t>LINEAR GRADING</t>
  </si>
  <si>
    <t>21202-0000</t>
  </si>
  <si>
    <t>Site grading</t>
  </si>
  <si>
    <t>SITE GRADING</t>
  </si>
  <si>
    <t>21301-0000</t>
  </si>
  <si>
    <t>Subgrade stabilization</t>
  </si>
  <si>
    <t>SUBGRADE STABILIZATION</t>
  </si>
  <si>
    <t>21302-0000</t>
  </si>
  <si>
    <t>Lime</t>
  </si>
  <si>
    <t>LIME</t>
  </si>
  <si>
    <t>21303-0000</t>
  </si>
  <si>
    <t>Hydraulic cement</t>
  </si>
  <si>
    <t>HYDRAULIC CEMENT</t>
  </si>
  <si>
    <t>21304-0000</t>
  </si>
  <si>
    <t>Fly ash</t>
  </si>
  <si>
    <t>FLY ASH</t>
  </si>
  <si>
    <t>25101-0000</t>
  </si>
  <si>
    <t>25101-0100</t>
  </si>
  <si>
    <t>25101-0200</t>
  </si>
  <si>
    <t>25101-0300</t>
  </si>
  <si>
    <t>25101-0400</t>
  </si>
  <si>
    <t>25101-0500</t>
  </si>
  <si>
    <t>25101-0600</t>
  </si>
  <si>
    <t>25101-0700</t>
  </si>
  <si>
    <t>25101-0800</t>
  </si>
  <si>
    <t>25101-0900</t>
  </si>
  <si>
    <t>25101-1000</t>
  </si>
  <si>
    <t>25102-0000</t>
  </si>
  <si>
    <t>25102-0100</t>
  </si>
  <si>
    <t>25102-0200</t>
  </si>
  <si>
    <t>25102-0300</t>
  </si>
  <si>
    <t>25102-0400</t>
  </si>
  <si>
    <t>25102-0500</t>
  </si>
  <si>
    <t>25102-0600</t>
  </si>
  <si>
    <t>25102-0700</t>
  </si>
  <si>
    <t>25102-0800</t>
  </si>
  <si>
    <t>25102-0900</t>
  </si>
  <si>
    <t>25102-1000</t>
  </si>
  <si>
    <t>25105-0000</t>
  </si>
  <si>
    <t>25105-0100</t>
  </si>
  <si>
    <t>25105-0200</t>
  </si>
  <si>
    <t>25105-0300</t>
  </si>
  <si>
    <t>25105-0400</t>
  </si>
  <si>
    <t>25105-0500</t>
  </si>
  <si>
    <t>25105-0600</t>
  </si>
  <si>
    <t>25105-0700</t>
  </si>
  <si>
    <t>25105-0800</t>
  </si>
  <si>
    <t>25105-0900</t>
  </si>
  <si>
    <t>25105-1000</t>
  </si>
  <si>
    <t>25106-0000</t>
  </si>
  <si>
    <t>25106-0100</t>
  </si>
  <si>
    <t>25106-0200</t>
  </si>
  <si>
    <t>25106-0300</t>
  </si>
  <si>
    <t>25106-0400</t>
  </si>
  <si>
    <t>25106-0500</t>
  </si>
  <si>
    <t>25106-0600</t>
  </si>
  <si>
    <t>25106-0700</t>
  </si>
  <si>
    <t>25106-0800</t>
  </si>
  <si>
    <t>25106-0900</t>
  </si>
  <si>
    <t>25106-1000</t>
  </si>
  <si>
    <t>25110-0000</t>
  </si>
  <si>
    <t>25110-0100</t>
  </si>
  <si>
    <t>25110-0200</t>
  </si>
  <si>
    <t>25110-0300</t>
  </si>
  <si>
    <t>25110-0400</t>
  </si>
  <si>
    <t>25110-0500</t>
  </si>
  <si>
    <t>25110-0600</t>
  </si>
  <si>
    <t>25110-0700</t>
  </si>
  <si>
    <t>25110-0800</t>
  </si>
  <si>
    <t>25110-0900</t>
  </si>
  <si>
    <t>25110-1000</t>
  </si>
  <si>
    <t>25111-0000</t>
  </si>
  <si>
    <t>25111-0100</t>
  </si>
  <si>
    <t>25111-0200</t>
  </si>
  <si>
    <t>25111-0300</t>
  </si>
  <si>
    <t>25111-0400</t>
  </si>
  <si>
    <t>25111-0500</t>
  </si>
  <si>
    <t>25111-0600</t>
  </si>
  <si>
    <t>25111-0700</t>
  </si>
  <si>
    <t>25111-0800</t>
  </si>
  <si>
    <t>25111-0900</t>
  </si>
  <si>
    <t>25111-1000</t>
  </si>
  <si>
    <t>25112-0200</t>
  </si>
  <si>
    <t>25112-0300</t>
  </si>
  <si>
    <t>25112-0400</t>
  </si>
  <si>
    <t>25120-0000</t>
  </si>
  <si>
    <t>25120-0100</t>
  </si>
  <si>
    <t>25120-0200</t>
  </si>
  <si>
    <t>25120-0300</t>
  </si>
  <si>
    <t>25120-0400</t>
  </si>
  <si>
    <t>25120-0500</t>
  </si>
  <si>
    <t>25120-0600</t>
  </si>
  <si>
    <t>25120-0700</t>
  </si>
  <si>
    <t>25120-0800</t>
  </si>
  <si>
    <t>25120-0900</t>
  </si>
  <si>
    <t>25120-1000</t>
  </si>
  <si>
    <t>River cobbles</t>
  </si>
  <si>
    <t>RIVER COBBLES</t>
  </si>
  <si>
    <t>Boulder</t>
  </si>
  <si>
    <t>BOULDER</t>
  </si>
  <si>
    <t>Remove and reset boulder</t>
  </si>
  <si>
    <t>REMOVE AND RESET BOULDER</t>
  </si>
  <si>
    <t>25201-0000</t>
  </si>
  <si>
    <t>Special rock embankment</t>
  </si>
  <si>
    <t>SPECIAL ROCK EMBANKMENT</t>
  </si>
  <si>
    <t>25201-1000</t>
  </si>
  <si>
    <t>Special rock embankment, mechanically-placed</t>
  </si>
  <si>
    <t>SPECIAL ROCK EMBANKMENT, MECHANICALLY-PLACED</t>
  </si>
  <si>
    <t>25201-2000</t>
  </si>
  <si>
    <t>Special rock embankment, hand-placed</t>
  </si>
  <si>
    <t>SPECIAL ROCK EMBANKMENT, HAND-PLACED</t>
  </si>
  <si>
    <t>25202-0000</t>
  </si>
  <si>
    <t>25202-1000</t>
  </si>
  <si>
    <t>25202-2000</t>
  </si>
  <si>
    <t>25205-0000</t>
  </si>
  <si>
    <t>Rock buttress</t>
  </si>
  <si>
    <t>ROCK BUTTRESS</t>
  </si>
  <si>
    <t>25205-1000</t>
  </si>
  <si>
    <t>Rock buttress, mechanically-placed</t>
  </si>
  <si>
    <t>ROCK BUTTRESS, MECHANICALLY-PLACED</t>
  </si>
  <si>
    <t>25205-2000</t>
  </si>
  <si>
    <t>Rock buttress, hand-placed</t>
  </si>
  <si>
    <t>ROCK BUTTRESS, HAND-PLACED</t>
  </si>
  <si>
    <t>25206-0000</t>
  </si>
  <si>
    <t>25206-1000</t>
  </si>
  <si>
    <t>25206-2000</t>
  </si>
  <si>
    <t>25210-0000</t>
  </si>
  <si>
    <t>Rockery</t>
  </si>
  <si>
    <t>ROCKERY</t>
  </si>
  <si>
    <t>25301-0000</t>
  </si>
  <si>
    <t>Gabions</t>
  </si>
  <si>
    <t>GABIONS</t>
  </si>
  <si>
    <t>25301-1000</t>
  </si>
  <si>
    <t>Gabions, galvanized or aluminized coated</t>
  </si>
  <si>
    <t>GABIONS, GALVANIZED OR ALUMINIZED COATED</t>
  </si>
  <si>
    <t>25301-2000</t>
  </si>
  <si>
    <t>Gabions, polyvinyl chloride coated</t>
  </si>
  <si>
    <t>GABIONS, POLYVINYL CHLORIDE COATED</t>
  </si>
  <si>
    <t>25302-1000</t>
  </si>
  <si>
    <t>25302-2000</t>
  </si>
  <si>
    <t>25305-1000</t>
  </si>
  <si>
    <t>Revet mattress, galvanized or aluminized coated</t>
  </si>
  <si>
    <t>REVET MATTRESS, GALVANIZED OR ALUMINIZED COATED</t>
  </si>
  <si>
    <t>25305-2000</t>
  </si>
  <si>
    <t>Revet mattress, polyvinyl chloride coated</t>
  </si>
  <si>
    <t>REVET MATTRESS, POLYVINYL CHLORIDE COATED</t>
  </si>
  <si>
    <t>25401-0000</t>
  </si>
  <si>
    <t>Bin wall</t>
  </si>
  <si>
    <t>BIN WALL</t>
  </si>
  <si>
    <t>Precast concrete block retaining wall</t>
  </si>
  <si>
    <t>PRECAST CONCRETE BLOCK RETAINING WALL</t>
  </si>
  <si>
    <t>25501-0000</t>
  </si>
  <si>
    <t>Mechanically stabilized earth wall</t>
  </si>
  <si>
    <t>MECHANICALLY STABILIZED EARTH WALL</t>
  </si>
  <si>
    <t>25501-1000</t>
  </si>
  <si>
    <t>Mechanically stabilized earth wall, welded wire face</t>
  </si>
  <si>
    <t>MECHANICALLY STABILIZED EARTH WALL, WELDED WIRE FACE</t>
  </si>
  <si>
    <t>25501-2000</t>
  </si>
  <si>
    <t>Mechanically stabilized earth wall, gabion face</t>
  </si>
  <si>
    <t>MECHANICALLY STABILIZED EARTH WALL, GABION FACE</t>
  </si>
  <si>
    <t>25501-3000</t>
  </si>
  <si>
    <t>25501-4000</t>
  </si>
  <si>
    <t>Mechanically stabilized earth wall, precast concrete panel faced</t>
  </si>
  <si>
    <t>MECHANICALLY STABILIZED EARTH WALL, PRECAST CONCRETE PANEL FACED</t>
  </si>
  <si>
    <t>25505-1000</t>
  </si>
  <si>
    <t>Shored mechanically stabilized earth wall</t>
  </si>
  <si>
    <t>SHORED MECHANICALLY STABILIZED EARTH WALL</t>
  </si>
  <si>
    <t>25510-0000</t>
  </si>
  <si>
    <t>Select granular backfill</t>
  </si>
  <si>
    <t>SELECT GRANULAR BACKFILL</t>
  </si>
  <si>
    <t>25601-0000</t>
  </si>
  <si>
    <t>Ground anchor</t>
  </si>
  <si>
    <t>GROUND ANCHOR</t>
  </si>
  <si>
    <t>25602-0000</t>
  </si>
  <si>
    <t>25605-0000</t>
  </si>
  <si>
    <t>Performance test</t>
  </si>
  <si>
    <t>PERFORMANCE TEST</t>
  </si>
  <si>
    <t>25610-0000</t>
  </si>
  <si>
    <t>Anchor pad</t>
  </si>
  <si>
    <t>ANCHOR PAD</t>
  </si>
  <si>
    <t>25701-0000</t>
  </si>
  <si>
    <t>25801-0000</t>
  </si>
  <si>
    <t>Reinforced concrete retaining wall</t>
  </si>
  <si>
    <t>REINFORCED CONCRETE RETAINING WALL</t>
  </si>
  <si>
    <t>25801-0100</t>
  </si>
  <si>
    <t>Reinforced concrete retaining wall, 1.5m</t>
  </si>
  <si>
    <t>REINFORCED CONCRETE RETAINING WALL, 4 FEET</t>
  </si>
  <si>
    <t>25801-0200</t>
  </si>
  <si>
    <t>Reinforced concrete retaining wall, 2.0m</t>
  </si>
  <si>
    <t>REINFORCED CONCRETE RETAINING WALL, 6 FEET</t>
  </si>
  <si>
    <t>25801-0300</t>
  </si>
  <si>
    <t>Reinforced concrete retaining wall, 2.5m</t>
  </si>
  <si>
    <t>REINFORCED CONCRETE RETAINING WALL, 8 FEET</t>
  </si>
  <si>
    <t>25801-0400</t>
  </si>
  <si>
    <t>Reinforced concrete retaining wall, 3.0m</t>
  </si>
  <si>
    <t>REINFORCED CONCRETE RETAINING WALL, 10 FEET</t>
  </si>
  <si>
    <t>25801-0500</t>
  </si>
  <si>
    <t>Reinforced concrete retaining wall, 3.5m</t>
  </si>
  <si>
    <t>REINFORCED CONCRETE RETAINING WALL, 12 FEET</t>
  </si>
  <si>
    <t>25801-0600</t>
  </si>
  <si>
    <t>Reinforced concrete retaining wall, 4.0m</t>
  </si>
  <si>
    <t>REINFORCED CONCRETE RETAINING WALL, 14 FEET</t>
  </si>
  <si>
    <t>25801-0700</t>
  </si>
  <si>
    <t>Reinforced concrete retaining wall, 4.5m</t>
  </si>
  <si>
    <t>REINFORCED CONCRETE RETAINING WALL, 15 FEET</t>
  </si>
  <si>
    <t>25801-0800</t>
  </si>
  <si>
    <t>Reinforced concrete retaining wall, 5.0m</t>
  </si>
  <si>
    <t>REINFORCED CONCRETE RETAINING WALL, 16 FEET</t>
  </si>
  <si>
    <t>25801-1000</t>
  </si>
  <si>
    <t>Reinforced concrete retaining wall, 5.5m</t>
  </si>
  <si>
    <t>REINFORCED CONCRETE RETAINING WALL, 18 FEET</t>
  </si>
  <si>
    <t>25801-1100</t>
  </si>
  <si>
    <t>Reinforced concrete retaining wall, 6.0m</t>
  </si>
  <si>
    <t>REINFORCED CONCRETE RETAINING WALL, 20 FEET</t>
  </si>
  <si>
    <t>25801-1400</t>
  </si>
  <si>
    <t>Reinforced concrete retaining wall, 7.5m</t>
  </si>
  <si>
    <t>REINFORCED CONCRETE RETAINING WALL, 25 FEET</t>
  </si>
  <si>
    <t>25901-0000</t>
  </si>
  <si>
    <t>Soil nail</t>
  </si>
  <si>
    <t>SOIL NAIL</t>
  </si>
  <si>
    <t>25902-0000</t>
  </si>
  <si>
    <t>Soil nail retaining wall</t>
  </si>
  <si>
    <t>SOIL NAIL RETAINING WALL</t>
  </si>
  <si>
    <t>25903-0000</t>
  </si>
  <si>
    <t>Verification test nail</t>
  </si>
  <si>
    <t>VERIFICATION TEST NAIL</t>
  </si>
  <si>
    <t>26001-0000</t>
  </si>
  <si>
    <t>Rock bolt</t>
  </si>
  <si>
    <t>ROCK BOLT</t>
  </si>
  <si>
    <t>26002-0000</t>
  </si>
  <si>
    <t>Rock dowel</t>
  </si>
  <si>
    <t>ROCK DOWEL</t>
  </si>
  <si>
    <t>26005-0000</t>
  </si>
  <si>
    <t>Shear pin</t>
  </si>
  <si>
    <t>SHEAR PIN</t>
  </si>
  <si>
    <t>26101-0000</t>
  </si>
  <si>
    <t>Reinforced soil slope</t>
  </si>
  <si>
    <t>REINFORCED SOIL SLOPE</t>
  </si>
  <si>
    <t>26101-1000</t>
  </si>
  <si>
    <t>Reinforced soil slope, welded wire face</t>
  </si>
  <si>
    <t>REINFORCED SOIL SLOPE, WELDED WIRE FACE</t>
  </si>
  <si>
    <t>26102-0000</t>
  </si>
  <si>
    <t>Reinforced shoulder stabilization</t>
  </si>
  <si>
    <t>REINFORCED SHOULDER STABILIZATION</t>
  </si>
  <si>
    <t>26110-0000</t>
  </si>
  <si>
    <t>26201-0000</t>
  </si>
  <si>
    <t>Geosynthetic reinforced soil (GRS) retaining wall</t>
  </si>
  <si>
    <t>GEOSYNTHETIC REINFORCED SOIL (GRS) RETAINING WALL</t>
  </si>
  <si>
    <t>27001-0000</t>
  </si>
  <si>
    <t>Grout</t>
  </si>
  <si>
    <t>GROUT</t>
  </si>
  <si>
    <t>27001-1000</t>
  </si>
  <si>
    <t>Grout, cement</t>
  </si>
  <si>
    <t>GROUT, CEMENT</t>
  </si>
  <si>
    <t>27002-0000</t>
  </si>
  <si>
    <t>Grout pipe</t>
  </si>
  <si>
    <t>GROUT PIPE</t>
  </si>
  <si>
    <t>27003-0000</t>
  </si>
  <si>
    <t>Drilled hole</t>
  </si>
  <si>
    <t>DRILLED HOLE</t>
  </si>
  <si>
    <t>27004-2000</t>
  </si>
  <si>
    <t>Grout, polyurethane</t>
  </si>
  <si>
    <t>GROUT, POLYURETHANE</t>
  </si>
  <si>
    <t>27101-0000</t>
  </si>
  <si>
    <t>Inclinometer casing</t>
  </si>
  <si>
    <t>INCLINOMETER CASING</t>
  </si>
  <si>
    <t>27102-0100</t>
  </si>
  <si>
    <t>Geotechnical instrumentation, piezometer</t>
  </si>
  <si>
    <t>GEOTECHNICAL INSTRUMENTATION, PIEZOMETER</t>
  </si>
  <si>
    <t>27102-0200</t>
  </si>
  <si>
    <t>Geotechnical instrumentation, crack monitor</t>
  </si>
  <si>
    <t>GEOTECHNICAL INSTRUMENTATION, CRACK MONITOR</t>
  </si>
  <si>
    <t>27301-0000</t>
  </si>
  <si>
    <t>Polyurethane resin injection</t>
  </si>
  <si>
    <t>POLYURETHANE RESIN INJECTION</t>
  </si>
  <si>
    <t>27302-0000</t>
  </si>
  <si>
    <t>Polyurethane resin monitoring and clean-up</t>
  </si>
  <si>
    <t>POLYURETHANE RESIN MONITORING AND CLEAN-UP</t>
  </si>
  <si>
    <t>27401-1000</t>
  </si>
  <si>
    <t>Vibro columns, concrete</t>
  </si>
  <si>
    <t>VIBRO COLUMNS, CONCRETE</t>
  </si>
  <si>
    <t>27402-0000</t>
  </si>
  <si>
    <t>Vibro column load test</t>
  </si>
  <si>
    <t>VIBRO COLUMN LOAD TEST</t>
  </si>
  <si>
    <t>27403-0000</t>
  </si>
  <si>
    <t>Vibro column predrilling</t>
  </si>
  <si>
    <t>VIBRO COLUMN PREDRILLING</t>
  </si>
  <si>
    <t>27501-1000</t>
  </si>
  <si>
    <t>Geofoam, lightweight fill material</t>
  </si>
  <si>
    <t>GEOFOAM, LIGHTWEIGHT FILL MATERIAL</t>
  </si>
  <si>
    <t>27601-0000</t>
  </si>
  <si>
    <t>Geotechnical ground improvement</t>
  </si>
  <si>
    <t>GEOTECHNICAL GROUND IMPROVEMENT</t>
  </si>
  <si>
    <t>30101-0000</t>
  </si>
  <si>
    <t>Aggregate base</t>
  </si>
  <si>
    <t>AGGREGATE BASE</t>
  </si>
  <si>
    <t>NM</t>
  </si>
  <si>
    <t>30101-1000</t>
  </si>
  <si>
    <t>Aggregate base grading C</t>
  </si>
  <si>
    <t>AGGREGATE BASE GRADING C</t>
  </si>
  <si>
    <t>30101-2000</t>
  </si>
  <si>
    <t>Aggregate base grading D</t>
  </si>
  <si>
    <t>AGGREGATE BASE GRADING D</t>
  </si>
  <si>
    <t>30101-3000</t>
  </si>
  <si>
    <t>Aggregate base grading E</t>
  </si>
  <si>
    <t>AGGREGATE BASE GRADING E</t>
  </si>
  <si>
    <t>30101-4000</t>
  </si>
  <si>
    <t>Aggregate base grading C or D</t>
  </si>
  <si>
    <t>AGGREGATE BASE GRADING C OR D</t>
  </si>
  <si>
    <t>30102-0000</t>
  </si>
  <si>
    <t>30102-0100</t>
  </si>
  <si>
    <t>Aggregate base grading C, 100mm depth</t>
  </si>
  <si>
    <t>AGGREGATE BASE GRADING C, 4-INCH DEPTH</t>
  </si>
  <si>
    <t>30102-0200</t>
  </si>
  <si>
    <t>Aggregate base grading C, 150mm depth</t>
  </si>
  <si>
    <t>AGGREGATE BASE GRADING C, 6-INCH DEPTH</t>
  </si>
  <si>
    <t>30102-0300</t>
  </si>
  <si>
    <t>Aggregate base grading C, 200mm depth</t>
  </si>
  <si>
    <t>AGGREGATE BASE GRADING C, 8-INCH DEPTH</t>
  </si>
  <si>
    <t>30102-0400</t>
  </si>
  <si>
    <t>Aggregate base grading C, 250mm depth</t>
  </si>
  <si>
    <t>AGGREGATE BASE GRADING C, 10-INCH DEPTH</t>
  </si>
  <si>
    <t>30102-0500</t>
  </si>
  <si>
    <t>Aggregate base grading C, 300mm depth</t>
  </si>
  <si>
    <t>AGGREGATE BASE GRADING C, 12-INCH DEPTH</t>
  </si>
  <si>
    <t>30102-0600</t>
  </si>
  <si>
    <t>Aggregate base grading D, 100mm depth</t>
  </si>
  <si>
    <t>AGGREGATE BASE GRADING D, 4-INCH DEPTH</t>
  </si>
  <si>
    <t>30102-0700</t>
  </si>
  <si>
    <t>Aggregate base grading D, 150mm depth</t>
  </si>
  <si>
    <t>AGGREGATE BASE GRADING D, 6-INCH DEPTH</t>
  </si>
  <si>
    <t>30102-0800</t>
  </si>
  <si>
    <t>Aggregate base grading D, 200mm depth</t>
  </si>
  <si>
    <t>AGGREGATE BASE GRADING D, 8-INCH DEPTH</t>
  </si>
  <si>
    <t>30102-0900</t>
  </si>
  <si>
    <t>Aggregate base grading D, 250mm depth</t>
  </si>
  <si>
    <t>AGGREGATE BASE GRADING D, 10-INCH DEPTH</t>
  </si>
  <si>
    <t>30102-1000</t>
  </si>
  <si>
    <t>Aggregate base grading D, 300mm depth</t>
  </si>
  <si>
    <t>AGGREGATE BASE GRADING D, 12-INCH DEPTH</t>
  </si>
  <si>
    <t>30102-1100</t>
  </si>
  <si>
    <t>Aggregate base grading E, 100mm depth</t>
  </si>
  <si>
    <t>AGGREGATE BASE GRADING E, 4-INCH DEPTH</t>
  </si>
  <si>
    <t>30102-1200</t>
  </si>
  <si>
    <t>Aggregate base grading E, 150mm depth</t>
  </si>
  <si>
    <t>AGGREGATE BASE GRADING E, 6-INCH DEPTH</t>
  </si>
  <si>
    <t>30102-1300</t>
  </si>
  <si>
    <t>Aggregate base grading E, 200mm depth</t>
  </si>
  <si>
    <t>AGGREGATE BASE GRADING E, 8-INCH DEPTH</t>
  </si>
  <si>
    <t>30102-1400</t>
  </si>
  <si>
    <t>Aggregate base grading E, 250mm depth</t>
  </si>
  <si>
    <t>AGGREGATE BASE GRADING E, 10-INCH DEPTH</t>
  </si>
  <si>
    <t>30102-1500</t>
  </si>
  <si>
    <t>Aggregate base grading E, 300mm depth</t>
  </si>
  <si>
    <t>AGGREGATE BASE GRADING E, 12-INCH DEPTH</t>
  </si>
  <si>
    <t>30102-1600</t>
  </si>
  <si>
    <t>Aggregate base grading C or D, 50mm depth</t>
  </si>
  <si>
    <t>AGGREGATE BASE GRADING C OR D, 2-INCH DEPTH</t>
  </si>
  <si>
    <t>30102-1700</t>
  </si>
  <si>
    <t>Aggregate base grading C or D, 75mm depth</t>
  </si>
  <si>
    <t>AGGREGATE BASE GRADING C OR D, 3-INCH DEPTH</t>
  </si>
  <si>
    <t>30102-1800</t>
  </si>
  <si>
    <t>Aggregate base grading C or D, 100mm depth</t>
  </si>
  <si>
    <t>AGGREGATE BASE GRADING C OR D, 4-INCH DEPTH</t>
  </si>
  <si>
    <t>30102-1900</t>
  </si>
  <si>
    <t>Aggregate base grading C or D, 125mm depth</t>
  </si>
  <si>
    <t>AGGREGATE BASE GRADING C OR D, 5-INCH DEPTH</t>
  </si>
  <si>
    <t>30102-2000</t>
  </si>
  <si>
    <t>Aggregate base grading C or D, 150mm depth</t>
  </si>
  <si>
    <t>AGGREGATE BASE GRADING C OR D, 6-INCH DEPTH</t>
  </si>
  <si>
    <t>30102-2100</t>
  </si>
  <si>
    <t>Aggregate base grading C or D, 200mm depth</t>
  </si>
  <si>
    <t>AGGREGATE BASE GRADING C OR D, 8-INCH DEPTH</t>
  </si>
  <si>
    <t>30102-2150</t>
  </si>
  <si>
    <t>Aggregate base grading C or D, 225mm depth</t>
  </si>
  <si>
    <t>AGGREGATE BASE GRADING C OR D, 9-INCH DEPTH</t>
  </si>
  <si>
    <t>30102-2200</t>
  </si>
  <si>
    <t>Aggregate base grading C or D, 250mm depth</t>
  </si>
  <si>
    <t>AGGREGATE BASE GRADING C OR D, 10-INCH DEPTH</t>
  </si>
  <si>
    <t>30102-2300</t>
  </si>
  <si>
    <t>Aggregate base grading C or D, 300mm depth</t>
  </si>
  <si>
    <t>AGGREGATE BASE GRADING C OR D, 12-INCH DEPTH</t>
  </si>
  <si>
    <t>30102-2400</t>
  </si>
  <si>
    <t>Aggregate base grading C or D, 400mm depth</t>
  </si>
  <si>
    <t>AGGREGATE BASE GRADING C OR D, 16-INCH DEPTH</t>
  </si>
  <si>
    <t>30103-0000</t>
  </si>
  <si>
    <t>30103-1000</t>
  </si>
  <si>
    <t>30103-2000</t>
  </si>
  <si>
    <t>30103-3000</t>
  </si>
  <si>
    <t>30103-4000</t>
  </si>
  <si>
    <t>30105-0000</t>
  </si>
  <si>
    <t>Subbase</t>
  </si>
  <si>
    <t>SUBBASE</t>
  </si>
  <si>
    <t>30105-1000</t>
  </si>
  <si>
    <t>Subbase grading A</t>
  </si>
  <si>
    <t>SUBBASE GRADING A</t>
  </si>
  <si>
    <t>30105-2000</t>
  </si>
  <si>
    <t>Subbase grading B</t>
  </si>
  <si>
    <t>SUBBASE GRADING B</t>
  </si>
  <si>
    <t>30106-0100</t>
  </si>
  <si>
    <t>Subbase grading A, 100mm depth</t>
  </si>
  <si>
    <t>SUBBASE GRADING A, 4-INCH DEPTH</t>
  </si>
  <si>
    <t>30106-0200</t>
  </si>
  <si>
    <t>Subbase grading A, 150mm depth</t>
  </si>
  <si>
    <t>SUBBASE GRADING A, 6-INCH DEPTH</t>
  </si>
  <si>
    <t>30106-0300</t>
  </si>
  <si>
    <t>Subbase grading A, 200mm depth</t>
  </si>
  <si>
    <t>SUBBASE GRADING A, 8-INCH DEPTH</t>
  </si>
  <si>
    <t>30106-0400</t>
  </si>
  <si>
    <t>Subbase grading A, 250mm depth</t>
  </si>
  <si>
    <t>SUBBASE GRADING A, 10-INCH DEPTH</t>
  </si>
  <si>
    <t>30106-0500</t>
  </si>
  <si>
    <t>Subbase grading A, 300mm depth</t>
  </si>
  <si>
    <t>SUBBASE GRADING A, 12-INCH DEPTH</t>
  </si>
  <si>
    <t>30106-0600</t>
  </si>
  <si>
    <t>Subbase grading B, 100mm depth</t>
  </si>
  <si>
    <t>SUBBASE GRADING B, 4-INCH DEPTH</t>
  </si>
  <si>
    <t>30106-0700</t>
  </si>
  <si>
    <t>Subbase grading B, 150mm depth</t>
  </si>
  <si>
    <t>SUBBASE GRADING B, 6-INCH DEPTH</t>
  </si>
  <si>
    <t>30106-0800</t>
  </si>
  <si>
    <t>Subbase grading B, 200mm depth</t>
  </si>
  <si>
    <t>SUBBASE GRADING B, 8-INCH DEPTH</t>
  </si>
  <si>
    <t>30106-0900</t>
  </si>
  <si>
    <t>Subbase grading B, 250mm depth</t>
  </si>
  <si>
    <t>SUBBASE GRADING B, 10-INCH DEPTH</t>
  </si>
  <si>
    <t>30106-1000</t>
  </si>
  <si>
    <t>Subbase grading B, 300mm depth</t>
  </si>
  <si>
    <t>SUBBASE GRADING B, 12-INCH DEPTH</t>
  </si>
  <si>
    <t>30107-0000</t>
  </si>
  <si>
    <t>30107-1000</t>
  </si>
  <si>
    <t>30107-2000</t>
  </si>
  <si>
    <t>30110-0000</t>
  </si>
  <si>
    <t>Aggregate surface course</t>
  </si>
  <si>
    <t>AGGREGATE SURFACE COURSE</t>
  </si>
  <si>
    <t>30111-1000</t>
  </si>
  <si>
    <t>30112-0000</t>
  </si>
  <si>
    <t>30201-1000</t>
  </si>
  <si>
    <t>Roadway aggregate, method 1</t>
  </si>
  <si>
    <t>ROADWAY AGGREGATE, METHOD 1</t>
  </si>
  <si>
    <t>30201-2000</t>
  </si>
  <si>
    <t>Roadway aggregate, method 2</t>
  </si>
  <si>
    <t>ROADWAY AGGREGATE, METHOD 2</t>
  </si>
  <si>
    <t>30202-1000</t>
  </si>
  <si>
    <t>30202-2000</t>
  </si>
  <si>
    <t>30202-2100</t>
  </si>
  <si>
    <t>Roadway aggregate, method 2, surface course</t>
  </si>
  <si>
    <t>ROADWAY AGGREGATE, METHOD 2, SURFACE COURSE</t>
  </si>
  <si>
    <t>30203-1000</t>
  </si>
  <si>
    <t>30203-2000</t>
  </si>
  <si>
    <t>30203-2100</t>
  </si>
  <si>
    <t>30203-2120</t>
  </si>
  <si>
    <t>Roadway aggregate, method 2, surface course, 100mm depth</t>
  </si>
  <si>
    <t>ROADWAY AGGREGATE, METHOD 2, SURFACE COURSE, 4-INCH DEPTH</t>
  </si>
  <si>
    <t>30203-2140</t>
  </si>
  <si>
    <t>Roadway aggregate, method 2, surface course, 150mm depth</t>
  </si>
  <si>
    <t>ROADWAY AGGREGATE, METHOD 2, SURFACE COURSE, 6-INCH DEPTH</t>
  </si>
  <si>
    <t>30204-0000</t>
  </si>
  <si>
    <t>Roadway aggregate, crushed shells</t>
  </si>
  <si>
    <t>ROADWAY AGGREGATE, CRUSHED SHELLS</t>
  </si>
  <si>
    <t>30205-0500</t>
  </si>
  <si>
    <t>Roadway aggregate, shoulder finishing</t>
  </si>
  <si>
    <t>ROADWAY AGGREGATE, SHOULDER FINISHING</t>
  </si>
  <si>
    <t>30206-0500</t>
  </si>
  <si>
    <t>30210-0000</t>
  </si>
  <si>
    <t>Bedding and backfill aggregate</t>
  </si>
  <si>
    <t>BEDDING AND BACKFILL AGGREGATE</t>
  </si>
  <si>
    <t>30301-1000</t>
  </si>
  <si>
    <t>Ditch reconditioning</t>
  </si>
  <si>
    <t>DITCH RECONDITIONING</t>
  </si>
  <si>
    <t>30301-2000</t>
  </si>
  <si>
    <t>Shoulder reconditioning</t>
  </si>
  <si>
    <t>SHOULDER RECONDITIONING</t>
  </si>
  <si>
    <t>30301-3000</t>
  </si>
  <si>
    <t>Shoulder and ditch reconditioning</t>
  </si>
  <si>
    <t>SHOULDER AND DITCH RECONDITIONING</t>
  </si>
  <si>
    <t>30301-4000</t>
  </si>
  <si>
    <t>Roadbed reconditioning</t>
  </si>
  <si>
    <t>ROADBED RECONDITIONING</t>
  </si>
  <si>
    <t>30301-5000</t>
  </si>
  <si>
    <t>Aggregate surface reconditioning</t>
  </si>
  <si>
    <t>AGGREGATE SURFACE RECONDITIONING</t>
  </si>
  <si>
    <t>30301-6000</t>
  </si>
  <si>
    <t>Roadway reconditioning</t>
  </si>
  <si>
    <t>ROADWAY RECONDITIONING</t>
  </si>
  <si>
    <t>30302-1000</t>
  </si>
  <si>
    <t>30302-2000</t>
  </si>
  <si>
    <t>30302-3000</t>
  </si>
  <si>
    <t>30302-4000</t>
  </si>
  <si>
    <t>30302-5000</t>
  </si>
  <si>
    <t>30302-6000</t>
  </si>
  <si>
    <t>30303-1000</t>
  </si>
  <si>
    <t>30303-2000</t>
  </si>
  <si>
    <t>30303-3000</t>
  </si>
  <si>
    <t>30303-4000</t>
  </si>
  <si>
    <t>30401-1000</t>
  </si>
  <si>
    <t>Full depth reclamation, method 1</t>
  </si>
  <si>
    <t>FULL DEPTH RECLAMATION, METHOD 1</t>
  </si>
  <si>
    <t>30401-1300</t>
  </si>
  <si>
    <t>Full depth reclamation, method 1, 150mm depth</t>
  </si>
  <si>
    <t>FULL DEPTH RECLAMATION, METHOD 1, 6-INCH DEPTH</t>
  </si>
  <si>
    <t>30401-1500</t>
  </si>
  <si>
    <t>Full depth reclamation, method 1, 200mm depth</t>
  </si>
  <si>
    <t>FULL DEPTH RECLAMATION, METHOD 1, 8-INCH DEPTH</t>
  </si>
  <si>
    <t>30401-1700</t>
  </si>
  <si>
    <t>Full depth reclamation, method 1, 250mm depth</t>
  </si>
  <si>
    <t>FULL DEPTH RECLAMATION, METHOD 1, 10-INCH DEPTH</t>
  </si>
  <si>
    <t>30401-1900</t>
  </si>
  <si>
    <t>Full depth reclamation, method 1, 3000mm depth</t>
  </si>
  <si>
    <t>FULL DEPTH RECLAMATION, METHOD 1, 12-INCH DEPTH</t>
  </si>
  <si>
    <t>30401-5000</t>
  </si>
  <si>
    <t>Full depth reclamation, method 2</t>
  </si>
  <si>
    <t>FULL DEPTH RECLAMATION, METHOD 2</t>
  </si>
  <si>
    <t>30401-5300</t>
  </si>
  <si>
    <t>Full depth reclamation, method 2, 150mm depth</t>
  </si>
  <si>
    <t>FULL DEPTH RECLAMATION, METHOD 2, 6-INCH DEPTH</t>
  </si>
  <si>
    <t>30401-5500</t>
  </si>
  <si>
    <t>Full depth reclamation, method 2, 200mm depth</t>
  </si>
  <si>
    <t>FULL DEPTH RECLAMATION, METHOD 2, 8-INCH DEPTH</t>
  </si>
  <si>
    <t>30401-5600</t>
  </si>
  <si>
    <t>Full depth reclamation, method 2, 225mm depth</t>
  </si>
  <si>
    <t>FULL DEPTH RECLAMATION, METHOD 2, 9-INCH DEPTH</t>
  </si>
  <si>
    <t>30401-5700</t>
  </si>
  <si>
    <t>Full depth reclamation, method 2, 250mm depth</t>
  </si>
  <si>
    <t>FULL DEPTH RECLAMATION, METHOD 2, 10-INCH DEPTH</t>
  </si>
  <si>
    <t>30401-5900</t>
  </si>
  <si>
    <t>Full depth reclamation, method 2, 3000mm depth</t>
  </si>
  <si>
    <t>FULL DEPTH RECLAMATION, METHOD 2, 12-INCH DEPTH</t>
  </si>
  <si>
    <t>30402-1000</t>
  </si>
  <si>
    <t>30402-1300</t>
  </si>
  <si>
    <t>30402-1500</t>
  </si>
  <si>
    <t>30402-1700</t>
  </si>
  <si>
    <t>30402-1900</t>
  </si>
  <si>
    <t>30402-5000</t>
  </si>
  <si>
    <t>30402-5100</t>
  </si>
  <si>
    <t>Full depth reclamation, method 2, 75mm depth</t>
  </si>
  <si>
    <t>FULL DEPTH RECLAMATION, METHOD 2, 3-INCH DEPTH</t>
  </si>
  <si>
    <t>30402-5200</t>
  </si>
  <si>
    <t>Full depth reclamation, method 2, 100mm depth</t>
  </si>
  <si>
    <t>FULL DEPTH RECLAMATION, METHOD 2, 4-INCH DEPTH</t>
  </si>
  <si>
    <t>30402-5300</t>
  </si>
  <si>
    <t>30402-5500</t>
  </si>
  <si>
    <t>30402-5600</t>
  </si>
  <si>
    <t>30402-5700</t>
  </si>
  <si>
    <t>30402-5900</t>
  </si>
  <si>
    <t>30501-0000</t>
  </si>
  <si>
    <t>Full depth reclamation with cement</t>
  </si>
  <si>
    <t>FULL DEPTH RECLAMATION WITH CEMENT</t>
  </si>
  <si>
    <t>30501-0400</t>
  </si>
  <si>
    <t>Full depth reclamation with cement, 100mm depth</t>
  </si>
  <si>
    <t>FULL DEPTH RECLAMATION WITH CEMENT, 4-INCH DEPTH</t>
  </si>
  <si>
    <t>30501-0600</t>
  </si>
  <si>
    <t>Full depth reclamation with cement, 150mm depth</t>
  </si>
  <si>
    <t>FULL DEPTH RECLAMATION WITH CEMENT, 6-INCH DEPTH</t>
  </si>
  <si>
    <t>30501-0800</t>
  </si>
  <si>
    <t>Full depth reclamation with cement, 200mm depth</t>
  </si>
  <si>
    <t>FULL DEPTH RECLAMATION WITH CEMENT, 8-INCH DEPTH</t>
  </si>
  <si>
    <t>30501-1000</t>
  </si>
  <si>
    <t>Full depth reclamation with cement, 250mm depth</t>
  </si>
  <si>
    <t>FULL DEPTH RECLAMATION WITH CEMENT, 10-INCH DEPTH</t>
  </si>
  <si>
    <t>30502-0000</t>
  </si>
  <si>
    <t>30502-0400</t>
  </si>
  <si>
    <t>30502-0600</t>
  </si>
  <si>
    <t>30502-0800</t>
  </si>
  <si>
    <t>30502-1000</t>
  </si>
  <si>
    <t>30510-0000</t>
  </si>
  <si>
    <t>Cementitious material</t>
  </si>
  <si>
    <t>CEMENTITIOUS MATERIAL</t>
  </si>
  <si>
    <t>30601-0000</t>
  </si>
  <si>
    <t>Full depth reclamation with emulsified asphalt</t>
  </si>
  <si>
    <t>FULL DEPTH RECLAMATION WITH EMULSIFIED ASPHALT</t>
  </si>
  <si>
    <t>30601-0400</t>
  </si>
  <si>
    <t>Full depth reclamation with emulsified asphalt, 100mm depth</t>
  </si>
  <si>
    <t>FULL DEPTH RECLAMATION WITH EMULSIFIED ASPHALT, 4-INCH DEPTH</t>
  </si>
  <si>
    <t>30601-0600</t>
  </si>
  <si>
    <t>Full depth reclamation with emulsified asphalt, 150mm depth</t>
  </si>
  <si>
    <t>FULL DEPTH RECLAMATION WITH EMULSIFIED ASPHALT, 6-INCH DEPTH</t>
  </si>
  <si>
    <t>30601-0800</t>
  </si>
  <si>
    <t>Full depth reclamation with emulsified asphalt, 200mm depth</t>
  </si>
  <si>
    <t>FULL DEPTH RECLAMATION WITH EMULSIFIED ASPHALT, 8-INCH DEPTH</t>
  </si>
  <si>
    <t>30601-1000</t>
  </si>
  <si>
    <t>Full depth reclamation with emulsified asphalt, 250mm depth</t>
  </si>
  <si>
    <t>FULL DEPTH RECLAMATION WITH EMULSIFIED ASPHALT, 10-INCH DEPTH</t>
  </si>
  <si>
    <t>30602-0000</t>
  </si>
  <si>
    <t>30602-0400</t>
  </si>
  <si>
    <t>30602-0600</t>
  </si>
  <si>
    <t>30602-0800</t>
  </si>
  <si>
    <t>30602-1000</t>
  </si>
  <si>
    <t>30603-0000</t>
  </si>
  <si>
    <t>Full depth reclamation with foamed asphalt</t>
  </si>
  <si>
    <t>FULL DEPTH RECLAMATION WITH FOAMED ASPHALT</t>
  </si>
  <si>
    <t>30603-0400</t>
  </si>
  <si>
    <t>Full depth reclamation with foamed asphalt, 100mm depth</t>
  </si>
  <si>
    <t>FULL DEPTH RECLAMATION WITH FOAMED ASPHALT, 4-INCH DEPTH</t>
  </si>
  <si>
    <t>30603-0600</t>
  </si>
  <si>
    <t>Full depth reclamation with foamed asphalt, 150mm depth</t>
  </si>
  <si>
    <t>FULL DEPTH RECLAMATION WITH FOAMED ASPHALT, 6-INCH DEPTH</t>
  </si>
  <si>
    <t>30603-0800</t>
  </si>
  <si>
    <t>Full depth reclamation with foamed asphalt, 200mm depth</t>
  </si>
  <si>
    <t>FULL DEPTH RECLAMATION WITH FOAMED ASPHALT, 8-INCH DEPTH</t>
  </si>
  <si>
    <t>30603-1000</t>
  </si>
  <si>
    <t>Full depth reclamation with foamed asphalt, 250mm depth</t>
  </si>
  <si>
    <t>FULL DEPTH RECLAMATION WITH FOAMED ASPHALT, 10-INCH DEPTH</t>
  </si>
  <si>
    <t>30604-0000</t>
  </si>
  <si>
    <t>30604-0400</t>
  </si>
  <si>
    <t>30604-0600</t>
  </si>
  <si>
    <t>30604-0800</t>
  </si>
  <si>
    <t>30604-1000</t>
  </si>
  <si>
    <t>30610-0000</t>
  </si>
  <si>
    <t>30611-0000</t>
  </si>
  <si>
    <t>Cement</t>
  </si>
  <si>
    <t>CEMENT</t>
  </si>
  <si>
    <t>30612-0000</t>
  </si>
  <si>
    <t>30613-0000</t>
  </si>
  <si>
    <t>Asphalt binder</t>
  </si>
  <si>
    <t>ASPHALT BINDER</t>
  </si>
  <si>
    <t>30614-0000</t>
  </si>
  <si>
    <t>Emulsified asphalt</t>
  </si>
  <si>
    <t>EMULSIFIED ASPHALT</t>
  </si>
  <si>
    <t>30705-0000</t>
  </si>
  <si>
    <t>Cementitious treated aggregate course</t>
  </si>
  <si>
    <t>CEMENTITIOUS TREATED AGGREGATE COURSE</t>
  </si>
  <si>
    <t>30706-0000</t>
  </si>
  <si>
    <t>30715-0000</t>
  </si>
  <si>
    <t>30716-0000</t>
  </si>
  <si>
    <t>30801-0000</t>
  </si>
  <si>
    <t>Recycled aggregate base</t>
  </si>
  <si>
    <t>RECYCLED AGGREGATE BASE</t>
  </si>
  <si>
    <t>30801-1000</t>
  </si>
  <si>
    <t>30801-2000</t>
  </si>
  <si>
    <t>30801-3000</t>
  </si>
  <si>
    <t>30801-4000</t>
  </si>
  <si>
    <t>30802-0000</t>
  </si>
  <si>
    <t>30803-0000</t>
  </si>
  <si>
    <t>30810-0000</t>
  </si>
  <si>
    <t>30901-0000</t>
  </si>
  <si>
    <t>Emulsified asphalt treated aggregate base, grading C</t>
  </si>
  <si>
    <t>31001-1000</t>
  </si>
  <si>
    <t>Cold in-place recycled asphalt base course, type A</t>
  </si>
  <si>
    <t>COLD IN-PLACE RECYCLED ASPHALT BASE COURSE, TYPE A</t>
  </si>
  <si>
    <t>31001-2000</t>
  </si>
  <si>
    <t>Cold in-place recycled asphalt base course, type B</t>
  </si>
  <si>
    <t>COLD IN-PLACE RECYCLED ASPHALT BASE COURSE, TYPE B</t>
  </si>
  <si>
    <t>31002-1000</t>
  </si>
  <si>
    <t>31002-2000</t>
  </si>
  <si>
    <t>31010-0000</t>
  </si>
  <si>
    <t>31011-0000</t>
  </si>
  <si>
    <t>31012-0000</t>
  </si>
  <si>
    <t>31013-0000</t>
  </si>
  <si>
    <t>Blotter</t>
  </si>
  <si>
    <t>BLOTTER</t>
  </si>
  <si>
    <t>31101-1000</t>
  </si>
  <si>
    <t>31101-2000</t>
  </si>
  <si>
    <t>Stabilized aggregate surface course, in-place aggregate</t>
  </si>
  <si>
    <t>STABILIZED AGGREGATE SURFACE COURSE, IN-PLACE AGGREGATE</t>
  </si>
  <si>
    <t>31101-3000</t>
  </si>
  <si>
    <t>31101-4000</t>
  </si>
  <si>
    <t>Stabilized aggregate surface course, calcium chloride, in-place aggregate</t>
  </si>
  <si>
    <t>STABILIZED AGGREGATE SURFACE COURSE, CALCIUM CHLORIDE, IN-PLACE AGGREGATE</t>
  </si>
  <si>
    <t>31102-1000</t>
  </si>
  <si>
    <t>31102-2000</t>
  </si>
  <si>
    <t>31102-3000</t>
  </si>
  <si>
    <t>31102-4000</t>
  </si>
  <si>
    <t>31103-1000</t>
  </si>
  <si>
    <t>31103-3000</t>
  </si>
  <si>
    <t>31110-0000</t>
  </si>
  <si>
    <t>Calcium chloride</t>
  </si>
  <si>
    <t>CALCIUM CHLORIDE</t>
  </si>
  <si>
    <t>31201-0000</t>
  </si>
  <si>
    <t>Dust palliative application</t>
  </si>
  <si>
    <t>DUST PALLIATIVE APPLICATION</t>
  </si>
  <si>
    <t>31202-0000</t>
  </si>
  <si>
    <t>31203-0000</t>
  </si>
  <si>
    <t>31211-0000</t>
  </si>
  <si>
    <t>31212-0000</t>
  </si>
  <si>
    <t>31213-0000</t>
  </si>
  <si>
    <t>Magnesium chloride</t>
  </si>
  <si>
    <t>MAGNESIUM CHLORIDE</t>
  </si>
  <si>
    <t>31301-0000</t>
  </si>
  <si>
    <t>Aggregate-topsoil course</t>
  </si>
  <si>
    <t>AGGREGATE-TOPSOIL COURSE</t>
  </si>
  <si>
    <t>31302-0000</t>
  </si>
  <si>
    <t>31302-0100</t>
  </si>
  <si>
    <t>Aggregate-topsoil course, 25mm depth</t>
  </si>
  <si>
    <t>AGGREGATE-TOPSOIL COURSE, 1-INCH DEPTH</t>
  </si>
  <si>
    <t>31302-0150</t>
  </si>
  <si>
    <t>Aggregate-topsoil course, 40mm depth</t>
  </si>
  <si>
    <t>AGGREGATE-TOPSOIL COURSE, 1 1/2-INCH DEPTH</t>
  </si>
  <si>
    <t>31302-0200</t>
  </si>
  <si>
    <t>Aggregate-topsoil course, 50mm depth</t>
  </si>
  <si>
    <t>AGGREGATE-TOPSOIL COURSE, 2-INCH DEPTH</t>
  </si>
  <si>
    <t>31302-0250</t>
  </si>
  <si>
    <t>Aggregate-topsoil course, 65mm depth</t>
  </si>
  <si>
    <t>AGGREGATE-TOPSOIL COURSE, 2 1/2-INCH DEPTH</t>
  </si>
  <si>
    <t>31302-0300</t>
  </si>
  <si>
    <t>Aggregate-topsoil course, 75mm depth</t>
  </si>
  <si>
    <t>AGGREGATE-TOPSOIL COURSE, 3-INCH DEPTH</t>
  </si>
  <si>
    <t>31302-0350</t>
  </si>
  <si>
    <t>Aggregate-topsoil course, 90mm depth</t>
  </si>
  <si>
    <t>AGGREGATE-TOPSOIL COURSE, 3 1/2-INCH DEPTH</t>
  </si>
  <si>
    <t>31302-0400</t>
  </si>
  <si>
    <t>Aggregate-topsoil course, 100mm depth</t>
  </si>
  <si>
    <t>AGGREGATE-TOPSOIL COURSE, 4-INCH DEPTH</t>
  </si>
  <si>
    <t>31302-0450</t>
  </si>
  <si>
    <t>Aggregate-topsoil course, 115mm depth</t>
  </si>
  <si>
    <t>AGGREGATE-TOPSOIL COURSE, 4 1/2-INCH DEPTH</t>
  </si>
  <si>
    <t>31302-0500</t>
  </si>
  <si>
    <t>Aggregate-topsoil course, 125mm depth</t>
  </si>
  <si>
    <t>AGGREGATE-TOPSOIL COURSE, 5-INCH DEPTH</t>
  </si>
  <si>
    <t>31302-0600</t>
  </si>
  <si>
    <t>Aggregate-topsoil course, 150mm depth</t>
  </si>
  <si>
    <t>AGGREGATE-TOPSOIL COURSE, 6-INCH DEPTH</t>
  </si>
  <si>
    <t>31303-0000</t>
  </si>
  <si>
    <t>31401-0000</t>
  </si>
  <si>
    <t>Stockpiled aggregate</t>
  </si>
  <si>
    <t>STOCKPILED AGGREGATE</t>
  </si>
  <si>
    <t>31402-0000</t>
  </si>
  <si>
    <t>31403-0000</t>
  </si>
  <si>
    <t>Bentonite</t>
  </si>
  <si>
    <t>BENTONITE</t>
  </si>
  <si>
    <t>40101-0080</t>
  </si>
  <si>
    <t>Asphalt concrete pavement, gyratory mix, 4.75mm nominal maximum size aggregate, {0.3 million ESAL</t>
  </si>
  <si>
    <t>ASPHALT CONCRETE PAVEMENT, GYRATORY MIX, NO. 4 SIEVE NOMINAL MAXIMUM SIZE AGGREGATE, {0.3 MILLION ESAL</t>
  </si>
  <si>
    <t>NR</t>
  </si>
  <si>
    <t>40101-0100</t>
  </si>
  <si>
    <t>Asphalt concrete pavement, gyratory mix, 9.5mm nominal maximum size aggregate, {0.3 million ESAL</t>
  </si>
  <si>
    <t>ASPHALT CONCRETE PAVEMENT, GYRATORY MIX, 3/8-INCH NOMINAL MAXIMUM SIZE AGGREGATE, {0.3 MILLION ESAL</t>
  </si>
  <si>
    <t>40101-0200</t>
  </si>
  <si>
    <t>Asphalt concrete pavement, gyratory mix, 9.5mm nominal maximum size aggregate, 0.3 to {3 million ESAL</t>
  </si>
  <si>
    <t>ASPHALT CONCRETE PAVEMENT, GYRATORY MIX, 3/8-INCH NOMINAL MAXIMUM SIZE AGGREGATE, 0.3 TO {3 MILLION ESAL</t>
  </si>
  <si>
    <t>40101-0300</t>
  </si>
  <si>
    <t>Asphalt concrete pavement, gyratory mix, 9.5mm nominal maximum size aggregate, 3 to {30 million ESAL</t>
  </si>
  <si>
    <t>ASPHALT CONCRETE PAVEMENT, GYRATORY MIX, 3/8-INCH NOMINAL MAXIMUM SIZE AGGREGATE, 3 TO {30 MILLION ESAL</t>
  </si>
  <si>
    <t>40101-0500</t>
  </si>
  <si>
    <t>Asphalt concrete pavement, gyratory mix, 12.5mm nominal maximum size aggregate, {0.3 million ESAL</t>
  </si>
  <si>
    <t>ASPHALT CONCRETE PAVEMENT, GYRATORY MIX, 1/2-INCH NOMINAL MAXIMUM SIZE AGGREGATE, {0.3 MILLION ESAL</t>
  </si>
  <si>
    <t>40101-0600</t>
  </si>
  <si>
    <t>Asphalt concrete pavement, gyratory mix, 12.5mm nominal maximum size aggregate, 0.3 to {3 million ESAL</t>
  </si>
  <si>
    <t>ASPHALT CONCRETE PAVEMENT, GYRATORY MIX, 1/2-INCH NOMINAL MAXIMUM SIZE AGGREGATE, 0.3 TO {3 MILLION ESAL</t>
  </si>
  <si>
    <t>40101-0700</t>
  </si>
  <si>
    <t>Asphalt concrete pavement, gyratory mix, 12.5mm nominal maximum size aggregate, 3 to {30 million ESAL</t>
  </si>
  <si>
    <t>ASPHALT CONCRETE PAVEMENT, GYRATORY MIX, 1/2-INCH NOMINAL MAXIMUM SIZE AGGREGATE, 3 TO {30 MILLION ESAL</t>
  </si>
  <si>
    <t>40101-0900</t>
  </si>
  <si>
    <t>Asphalt concrete pavement, gyratory mix, 19mm nominal maximum size aggregate, {0.3 million ESAL</t>
  </si>
  <si>
    <t>ASPHALT CONCRETE PAVEMENT, GYRATORY MIX, 3/4-INCH NOMINAL MAXIMUM SIZE AGGREGATE, {0.3 MILLION ESAL</t>
  </si>
  <si>
    <t>40101-1000</t>
  </si>
  <si>
    <t>Asphalt concrete pavement, gyratory mix, 19mm nominal maximum size aggregate, 0.3 to {3 million ESAL</t>
  </si>
  <si>
    <t>ASPHALT CONCRETE PAVEMENT, GYRATORY MIX, 3/4-INCH NOMINAL MAXIMUM SIZE AGGREGATE, 0.3 TO {3 MILLION ESAL</t>
  </si>
  <si>
    <t>40101-1100</t>
  </si>
  <si>
    <t>Asphalt concrete pavement, gyratory mix, 19mm nominal maximum size aggregate, 3 to {30 million ESAL</t>
  </si>
  <si>
    <t>ASPHALT CONCRETE PAVEMENT, GYRATORY MIX, 3/4-INCH NOMINAL MAXIMUM SIZE AGGREGATE, 3 TO {30 MILLION ESAL</t>
  </si>
  <si>
    <t>40101-1300</t>
  </si>
  <si>
    <t>Asphalt concrete pavement, gyratory mix, 25mm nominal maximum size aggregate, {0.3 million ESAL</t>
  </si>
  <si>
    <t>ASPHALT CONCRETE PAVEMENT, GYRATORY MIX, 1-INCH NOMINAL MAXIMUM SIZE AGGREGATE, {0.3 MILLION ESAL</t>
  </si>
  <si>
    <t>40101-1400</t>
  </si>
  <si>
    <t>Asphalt concrete pavement, gyratory mix, 25mm nominal maximum size aggregate, 0.3 to {3 million ESAL</t>
  </si>
  <si>
    <t>ASPHALT CONCRETE PAVEMENT, GYRATORY MIX, 1-INCH NOMINAL MAXIMUM SIZE AGGREGATE, 0.3 TO {3 MILLION ESAL</t>
  </si>
  <si>
    <t>40101-1500</t>
  </si>
  <si>
    <t>Asphalt concrete pavement, gyratory mix, 25mm nominal maximum size aggregate, 3 to {30 million ESAL</t>
  </si>
  <si>
    <t>ASPHALT CONCRETE PAVEMENT, GYRATORY MIX, 1-INCH NOMINAL MAXIMUM SIZE AGGREGATE, 3 TO {30 MILLION ESAL</t>
  </si>
  <si>
    <t>40101-5500</t>
  </si>
  <si>
    <t>Asphalt concrete pavement, gyratory mix, 12.5mm or 19mm nominal maximum size aggregate, {0.3 million ESAL</t>
  </si>
  <si>
    <t>ASPHALT CONCRETE PAVEMENT, GYRATORY MIX, 1/2-INCH OR 3/4-INCH NOMINAL MAXIMUM SIZE AGGREGATE, {0.3 MILLION ESAL</t>
  </si>
  <si>
    <t>40101-5600</t>
  </si>
  <si>
    <t>Asphalt concrete pavement, gyratory mix, 12.5mm or 19mm nominal maximum size aggregate, 0.3 to {3 million ESAL</t>
  </si>
  <si>
    <t>ASPHALT CONCRETE PAVEMENT, GYRATORY MIX, 1/2-INCH OR 3/4-INCH NOMINAL MAXIMUM SIZE AGGREGATE, 0.3 TO {3 MILLION ESAL</t>
  </si>
  <si>
    <t>40101-5700</t>
  </si>
  <si>
    <t>Asphalt concrete pavement, gyratory mix, 12.5mm or 19mm nominal maximum size aggregate, 3 to {30 million ESAL</t>
  </si>
  <si>
    <t>ASPHALT CONCRETE PAVEMENT, GYRATORY MIX, 1/2-INCH OR 3/4-INCH NOMINAL MAXIMUM SIZE AGGREGATE, 3 TO {30 MILLION ESAL</t>
  </si>
  <si>
    <t>40102-0100</t>
  </si>
  <si>
    <t>Asphalt concrete pavement, gyratory mix, 9.5mm nominal maximum size aggregate, wedge and leveling course</t>
  </si>
  <si>
    <t>ASPHALT CONCRETE PAVEMENT, GYRATORY MIX, 3/8-INCH NOMINAL MAXIMUM SIZE AGGREGATE, WEDGE AND LEVELING COURSE</t>
  </si>
  <si>
    <t>40102-0500</t>
  </si>
  <si>
    <t>Asphalt concrete pavement, gyratory mix, 12.5mm nominal maximum size aggregate, wedge and leveling course</t>
  </si>
  <si>
    <t>ASPHALT CONCRETE PAVEMENT, GYRATORY MIX, 1/2-INCH NOMINAL MAXIMUM SIZE AGGREGATE, WEDGE AND LEVELING COURSE</t>
  </si>
  <si>
    <t>40102-0900</t>
  </si>
  <si>
    <t>Asphalt concrete pavement, gyratory mix, 19mm nominal maximum size aggregate, wedge and leveling course</t>
  </si>
  <si>
    <t>ASPHALT CONCRETE PAVEMENT, GYRATORY MIX, 3/4-INCH NOMINAL MAXIMUM SIZE AGGREGATE, WEDGE AND LEVELING COURSE</t>
  </si>
  <si>
    <t>40102-1300</t>
  </si>
  <si>
    <t>Asphalt concrete pavement, gyratory mix, 25mm nominal maximum size aggregate, wedge and leveling course</t>
  </si>
  <si>
    <t>ASPHALT CONCRETE PAVEMENT, GYRATORY MIX, 1-INCH NOMINAL MAXIMUM SIZE AGGREGATE, WEDGE AND LEVELING COURSE</t>
  </si>
  <si>
    <t>40102-5500</t>
  </si>
  <si>
    <t>Asphalt concrete pavement, gyratory mix, 12.5mm or 19mm nominal maximum size aggregate, wedge and leveling course</t>
  </si>
  <si>
    <t>ASPHALT CONCRETE PAVEMENT, GYRATORY MIX, 1/2-INCH OR 3/4-INCH NOMINAL MAXIMUM SIZE AGGREGATE, WEDGE AND LEVELING COURSE</t>
  </si>
  <si>
    <t>40105-1000</t>
  </si>
  <si>
    <t>Antistrip additive, type 1</t>
  </si>
  <si>
    <t>ANTISTRIP ADDITIVE, TYPE 1</t>
  </si>
  <si>
    <t>40105-2000</t>
  </si>
  <si>
    <t>Antistrip additive, type 2</t>
  </si>
  <si>
    <t>ANTISTRIP ADDITIVE, TYPE 2</t>
  </si>
  <si>
    <t>40105-3000</t>
  </si>
  <si>
    <t>Antistrip additive, type 3</t>
  </si>
  <si>
    <t>ANTISTRIP ADDITIVE, TYPE 3</t>
  </si>
  <si>
    <t>40106-0000</t>
  </si>
  <si>
    <t>Mineral filler</t>
  </si>
  <si>
    <t>MINERAL FILLER</t>
  </si>
  <si>
    <t>40199-0002</t>
  </si>
  <si>
    <t>Incentive, roughness</t>
  </si>
  <si>
    <t>INCENTIVE, ROUGHNESS</t>
  </si>
  <si>
    <t>DI</t>
  </si>
  <si>
    <t>40201-0100</t>
  </si>
  <si>
    <t>Asphalt concrete pavement, marshall mix, class A</t>
  </si>
  <si>
    <t>ASPHALT CONCRETE PAVEMENT, MARSHALL MIX, CLASS A</t>
  </si>
  <si>
    <t>40201-0200</t>
  </si>
  <si>
    <t>Asphalt concrete pavement, marshall mix, class B</t>
  </si>
  <si>
    <t>ASPHALT CONCRETE PAVEMENT, MARSHALL MIX, CLASS B</t>
  </si>
  <si>
    <t>40201-0300</t>
  </si>
  <si>
    <t>Asphalt concrete pavement, marshall mix, class C</t>
  </si>
  <si>
    <t>ASPHALT CONCRETE PAVEMENT, MARSHALL MIX, CLASS C</t>
  </si>
  <si>
    <t>40201-2500</t>
  </si>
  <si>
    <t>Asphalt concrete pavement, hveem mix, class A</t>
  </si>
  <si>
    <t>ASPHALT CONCRETE PAVEMENT, HVEEM MIX, CLASS A</t>
  </si>
  <si>
    <t>40201-2600</t>
  </si>
  <si>
    <t>Asphalt concrete pavement, hveem mix, class B</t>
  </si>
  <si>
    <t>ASPHALT CONCRETE PAVEMENT, HVEEM MIX, CLASS B</t>
  </si>
  <si>
    <t>40201-2700</t>
  </si>
  <si>
    <t>Asphalt concrete pavement, hveem mix, class C</t>
  </si>
  <si>
    <t>ASPHALT CONCRETE PAVEMENT, HVEEM MIX, CLASS C</t>
  </si>
  <si>
    <t>40202-0100</t>
  </si>
  <si>
    <t>Asphalt concrete pavement, marshall mix, wedge and leveling course</t>
  </si>
  <si>
    <t>ASPHALT CONCRETE PAVEMENT, MARSHALL MIX, WEDGE AND LEVELING COURSE</t>
  </si>
  <si>
    <t>40202-2500</t>
  </si>
  <si>
    <t>Asphalt concrete pavement, hveem mix, wedge and leveling course</t>
  </si>
  <si>
    <t>ASPHALT CONCRETE PAVEMENT, HVEEM MIX, WEDGE AND LEVELING COURSE</t>
  </si>
  <si>
    <t>40205-1000</t>
  </si>
  <si>
    <t>40205-2000</t>
  </si>
  <si>
    <t>40205-3000</t>
  </si>
  <si>
    <t>40206-0000</t>
  </si>
  <si>
    <t>40299-0002</t>
  </si>
  <si>
    <t>40301-0000</t>
  </si>
  <si>
    <t>Asphalt concrete pavement</t>
  </si>
  <si>
    <t>ASPHALT CONCRETE PAVEMENT</t>
  </si>
  <si>
    <t>40301-0100</t>
  </si>
  <si>
    <t>Asphalt concrete pavement, type 1</t>
  </si>
  <si>
    <t>ASPHALT CONCRETE PAVEMENT, TYPE 1</t>
  </si>
  <si>
    <t>40301-0200</t>
  </si>
  <si>
    <t>Asphalt concrete pavement, type 2</t>
  </si>
  <si>
    <t>ASPHALT CONCRETE PAVEMENT, TYPE 2</t>
  </si>
  <si>
    <t>40302-0000</t>
  </si>
  <si>
    <t>40302-0100</t>
  </si>
  <si>
    <t>40302-0200</t>
  </si>
  <si>
    <t>40303-0100</t>
  </si>
  <si>
    <t>Asphalt concrete pavement, type 1, wedge and leveling course</t>
  </si>
  <si>
    <t>ASPHALT CONCRETE PAVEMENT, TYPE 1, WEDGE AND LEVELING COURSE</t>
  </si>
  <si>
    <t>40303-0200</t>
  </si>
  <si>
    <t>Asphalt concrete pavement, type 2, wedge and leveling course</t>
  </si>
  <si>
    <t>ASPHALT CONCRETE PAVEMENT, TYPE 2, WEDGE AND LEVELING COURSE</t>
  </si>
  <si>
    <t>40501-0100</t>
  </si>
  <si>
    <t>Open-graded asphalt friction course, grading A or B</t>
  </si>
  <si>
    <t>OPEN-GRADED ASPHALT FRICTION COURSE, GRADING A OR B</t>
  </si>
  <si>
    <t>40504-0000</t>
  </si>
  <si>
    <t>40505-1000</t>
  </si>
  <si>
    <t>40505-2000</t>
  </si>
  <si>
    <t>40505-3000</t>
  </si>
  <si>
    <t>40506-0000</t>
  </si>
  <si>
    <t>40601-0000</t>
  </si>
  <si>
    <t>Fog seal</t>
  </si>
  <si>
    <t>FOG SEAL</t>
  </si>
  <si>
    <t>40602-0000</t>
  </si>
  <si>
    <t>40605-0000</t>
  </si>
  <si>
    <t>40606-0000</t>
  </si>
  <si>
    <t>40701-0100</t>
  </si>
  <si>
    <t>Chip seal, type 1A</t>
  </si>
  <si>
    <t>CHIP SEAL, TYPE 1A</t>
  </si>
  <si>
    <t>40701-0200</t>
  </si>
  <si>
    <t>Chip seal, type 1B</t>
  </si>
  <si>
    <t>CHIP SEAL, TYPE 1B</t>
  </si>
  <si>
    <t>40701-0300</t>
  </si>
  <si>
    <t>Chip seal, type 1C</t>
  </si>
  <si>
    <t>CHIP SEAL, TYPE 1C</t>
  </si>
  <si>
    <t>40701-0400</t>
  </si>
  <si>
    <t>Chip seal, type 1D</t>
  </si>
  <si>
    <t>CHIP SEAL, TYPE 1D</t>
  </si>
  <si>
    <t>40701-1100</t>
  </si>
  <si>
    <t>Chip seal, type 2A, grading A</t>
  </si>
  <si>
    <t>CHIP SEAL, TYPE 2A, GRADING A</t>
  </si>
  <si>
    <t>40701-1200</t>
  </si>
  <si>
    <t>Chip seal, type 2A, grading C</t>
  </si>
  <si>
    <t>CHIP SEAL, TYPE 2A, GRADING C</t>
  </si>
  <si>
    <t>40701-1300</t>
  </si>
  <si>
    <t>Chip seal, type 2B, grading B</t>
  </si>
  <si>
    <t>CHIP SEAL, TYPE 2B, GRADING B</t>
  </si>
  <si>
    <t>40701-1400</t>
  </si>
  <si>
    <t>Chip seal, type 2B, grading C</t>
  </si>
  <si>
    <t>CHIP SEAL, TYPE 2B, GRADING C</t>
  </si>
  <si>
    <t>40701-1500</t>
  </si>
  <si>
    <t>Chip seal, type 2C, grading C</t>
  </si>
  <si>
    <t>CHIP SEAL, TYPE 2C, GRADING C</t>
  </si>
  <si>
    <t>40701-1600</t>
  </si>
  <si>
    <t>Chip seal, type 2C, grading D</t>
  </si>
  <si>
    <t>CHIP SEAL, TYPE 2C, GRADING D</t>
  </si>
  <si>
    <t>40702-0100</t>
  </si>
  <si>
    <t>40702-0200</t>
  </si>
  <si>
    <t>40702-0300</t>
  </si>
  <si>
    <t>40702-0400</t>
  </si>
  <si>
    <t>40702-1100</t>
  </si>
  <si>
    <t>Chip seal, type 2A</t>
  </si>
  <si>
    <t>CHIP SEAL, TYPE 2A</t>
  </si>
  <si>
    <t>40702-1200</t>
  </si>
  <si>
    <t>Chip seal, type 2B</t>
  </si>
  <si>
    <t>CHIP SEAL, TYPE 2B</t>
  </si>
  <si>
    <t>40702-1300</t>
  </si>
  <si>
    <t>Chip seal, type 2C</t>
  </si>
  <si>
    <t>CHIP SEAL, TYPE 2C</t>
  </si>
  <si>
    <t>40710-0000</t>
  </si>
  <si>
    <t>40711-0000</t>
  </si>
  <si>
    <t>40712-0000</t>
  </si>
  <si>
    <t>40713-0000</t>
  </si>
  <si>
    <t>40801-0000</t>
  </si>
  <si>
    <t>Cold recycled asphalt base course</t>
  </si>
  <si>
    <t>COLD RECYCLED ASPHALT BASE COURSE</t>
  </si>
  <si>
    <t>Cold recycled asphalt base course, 50mm depth</t>
  </si>
  <si>
    <t>COLD RECYCLED ASPHALT BASE COURSE, 2-INCH DEPTH</t>
  </si>
  <si>
    <t>Cold recycled asphalt base course, 75mm depth</t>
  </si>
  <si>
    <t>COLD RECYCLED ASPHALT BASE COURSE, 3-INCH DEPTH</t>
  </si>
  <si>
    <t>Cold recycled asphalt base course, 100mm depth</t>
  </si>
  <si>
    <t>COLD RECYCLED ASPHALT BASE COURSE, 4-INCH DEPTH</t>
  </si>
  <si>
    <t>Cold recycled asphalt base course, 125mm depth</t>
  </si>
  <si>
    <t>COLD RECYCLED ASPHALT BASE COURSE, 5-INCH DEPTH</t>
  </si>
  <si>
    <t>Cold recycled asphalt base course, 150mm depth</t>
  </si>
  <si>
    <t>COLD RECYCLED ASPHALT BASE COURSE, 6-INCH DEPTH</t>
  </si>
  <si>
    <t>Cold recycled asphalt base course, 175mm depth</t>
  </si>
  <si>
    <t>COLD RECYCLED ASPHALT BASE COURSE, 7-INCH DEPTH</t>
  </si>
  <si>
    <t>Cold recycled asphalt base course, 200mm depth</t>
  </si>
  <si>
    <t>COLD RECYCLED ASPHALT BASE COURSE, 8-INCH DEPTH</t>
  </si>
  <si>
    <t>Cold recycled asphalt base course, 250mm depth</t>
  </si>
  <si>
    <t>COLD RECYCLED ASPHALT BASE COURSE, 10-INCH DEPTH</t>
  </si>
  <si>
    <t>40805-0000</t>
  </si>
  <si>
    <t>40901-1000</t>
  </si>
  <si>
    <t>Micro surfacing, type 1</t>
  </si>
  <si>
    <t>MICRO SURFACING, TYPE 1</t>
  </si>
  <si>
    <t>40901-2000</t>
  </si>
  <si>
    <t>Micro surfacing, type 2</t>
  </si>
  <si>
    <t>MICRO SURFACING, TYPE 2</t>
  </si>
  <si>
    <t>40901-3000</t>
  </si>
  <si>
    <t>Micro surfacing, type 3</t>
  </si>
  <si>
    <t>MICRO SURFACING, TYPE 3</t>
  </si>
  <si>
    <t>40902-1000</t>
  </si>
  <si>
    <t>40902-2000</t>
  </si>
  <si>
    <t>40902-3000</t>
  </si>
  <si>
    <t>41001-1000</t>
  </si>
  <si>
    <t>Slurry seal, type 1</t>
  </si>
  <si>
    <t>SLURRY SEAL, TYPE 1</t>
  </si>
  <si>
    <t>41001-2000</t>
  </si>
  <si>
    <t>Slurry seal, type 2</t>
  </si>
  <si>
    <t>SLURRY SEAL, TYPE 2</t>
  </si>
  <si>
    <t>41001-3000</t>
  </si>
  <si>
    <t>Slurry seal, type 3</t>
  </si>
  <si>
    <t>SLURRY SEAL, TYPE 3</t>
  </si>
  <si>
    <t>41101-0000</t>
  </si>
  <si>
    <t>Prime coat</t>
  </si>
  <si>
    <t>PRIME COAT</t>
  </si>
  <si>
    <t>41101-1000</t>
  </si>
  <si>
    <t>Prime coat, method 1</t>
  </si>
  <si>
    <t>PRIME COAT, METHOD 1</t>
  </si>
  <si>
    <t>41101-2000</t>
  </si>
  <si>
    <t>Prime coat, method 2</t>
  </si>
  <si>
    <t>PRIME COAT, METHOD 2</t>
  </si>
  <si>
    <t>41102-0000</t>
  </si>
  <si>
    <t>41102-1000</t>
  </si>
  <si>
    <t>41102-2000</t>
  </si>
  <si>
    <t>41105-0000</t>
  </si>
  <si>
    <t>41106-0000</t>
  </si>
  <si>
    <t>Crushed aggregate</t>
  </si>
  <si>
    <t>CRUSHED AGGREGATE</t>
  </si>
  <si>
    <t>41201-0000</t>
  </si>
  <si>
    <t>Tack coat</t>
  </si>
  <si>
    <t>TACK COAT</t>
  </si>
  <si>
    <t>41202-0000</t>
  </si>
  <si>
    <t>41301-0000</t>
  </si>
  <si>
    <t>Asphalt pavement milling</t>
  </si>
  <si>
    <t>ASPHALT PAVEMENT MILLING</t>
  </si>
  <si>
    <t>41301-0100</t>
  </si>
  <si>
    <t>Asphalt pavement milling, 20mm depth</t>
  </si>
  <si>
    <t>ASPHALT PAVEMENT MILLING, 3/4-INCH DEPTH</t>
  </si>
  <si>
    <t>41301-0200</t>
  </si>
  <si>
    <t>Asphalt pavement milling, 25mm depth</t>
  </si>
  <si>
    <t>ASPHALT PAVEMENT MILLING, 1-INCH DEPTH</t>
  </si>
  <si>
    <t>41301-0400</t>
  </si>
  <si>
    <t>Asphalt pavement milling, 40mm depth</t>
  </si>
  <si>
    <t>ASPHALT PAVEMENT MILLING, 1 1/2-INCH DEPTH</t>
  </si>
  <si>
    <t>41301-0600</t>
  </si>
  <si>
    <t>Asphalt pavement milling, 50mm depth</t>
  </si>
  <si>
    <t>ASPHALT PAVEMENT MILLING, 2-INCH DEPTH</t>
  </si>
  <si>
    <t>41301-0700</t>
  </si>
  <si>
    <t>Asphalt pavement milling, 65mm depth</t>
  </si>
  <si>
    <t>ASPHALT PAVEMENT MILLING, 2 1/2-INCH DEPTH</t>
  </si>
  <si>
    <t>41301-0800</t>
  </si>
  <si>
    <t>Asphalt pavement milling, 75mm depth</t>
  </si>
  <si>
    <t>ASPHALT PAVEMENT MILLING, 3-INCH DEPTH</t>
  </si>
  <si>
    <t>41301-0900</t>
  </si>
  <si>
    <t>Asphalt pavement milling, 90mm depth</t>
  </si>
  <si>
    <t>ASPHALT PAVEMENT MILLING, 3 1/2-INCH DEPTH</t>
  </si>
  <si>
    <t>41301-1000</t>
  </si>
  <si>
    <t>Asphalt pavement milling, 100mm depth</t>
  </si>
  <si>
    <t>ASPHALT PAVEMENT MILLING, 4-INCH DEPTH</t>
  </si>
  <si>
    <t>41301-1100</t>
  </si>
  <si>
    <t>Asphalt pavement milling, 115mm depth</t>
  </si>
  <si>
    <t>ASPHALT PAVEMENT MILLING, 4 1/2-INCH DEPTH</t>
  </si>
  <si>
    <t>41301-1200</t>
  </si>
  <si>
    <t>Asphalt pavement milling, 125mm depth</t>
  </si>
  <si>
    <t>ASPHALT PAVEMENT MILLING, 5-INCH DEPTH</t>
  </si>
  <si>
    <t>41301-1300</t>
  </si>
  <si>
    <t>Asphalt pavement milling, 150mm depth</t>
  </si>
  <si>
    <t>ASPHALT PAVEMENT MILLING, 6-INCH DEPTH</t>
  </si>
  <si>
    <t>41301-1400</t>
  </si>
  <si>
    <t>Asphalt pavement milling, 200mm depth</t>
  </si>
  <si>
    <t>ASPHALT PAVEMENT MILLING, 8-INCH DEPTH</t>
  </si>
  <si>
    <t>41302-0000</t>
  </si>
  <si>
    <t>41401-1000</t>
  </si>
  <si>
    <t>Cracks, routing, cleaning and sealing</t>
  </si>
  <si>
    <t>CRACKS, ROUTING, CLEANING AND SEALING</t>
  </si>
  <si>
    <t>41401-2000</t>
  </si>
  <si>
    <t>Cracks, cleaning and sealing</t>
  </si>
  <si>
    <t>CRACKS, CLEANING AND SEALING</t>
  </si>
  <si>
    <t>41401-3000</t>
  </si>
  <si>
    <t>Cracks, cleaning and filling</t>
  </si>
  <si>
    <t>CRACKS, CLEANING AND FILLING</t>
  </si>
  <si>
    <t>41402-1000</t>
  </si>
  <si>
    <t>41402-2000</t>
  </si>
  <si>
    <t>41402-3000</t>
  </si>
  <si>
    <t>41501-0000</t>
  </si>
  <si>
    <t>Paving geotextile</t>
  </si>
  <si>
    <t>PAVING GEOTEXTILE</t>
  </si>
  <si>
    <t>41505-0000</t>
  </si>
  <si>
    <t>41701-0000</t>
  </si>
  <si>
    <t>Emulsified asphalt pavement</t>
  </si>
  <si>
    <t>EMULSIFIED ASPHALT PAVEMENT</t>
  </si>
  <si>
    <t>41702-0000</t>
  </si>
  <si>
    <t>Open-graded emulsified asphalt pavement</t>
  </si>
  <si>
    <t>OPEN-GRADED EMULSIFIED ASPHALT PAVEMENT</t>
  </si>
  <si>
    <t>41705-0000</t>
  </si>
  <si>
    <t>41706-0000</t>
  </si>
  <si>
    <t>41707-0000</t>
  </si>
  <si>
    <t>Choker aggregate</t>
  </si>
  <si>
    <t>CHOKER AGGREGATE</t>
  </si>
  <si>
    <t>41801-1000</t>
  </si>
  <si>
    <t>Asphalt concrete pavement patch, type 1</t>
  </si>
  <si>
    <t>ASPHALT CONCRETE PAVEMENT PATCH, TYPE 1</t>
  </si>
  <si>
    <t>41801-2000</t>
  </si>
  <si>
    <t>Asphalt concrete pavement patch, type 2</t>
  </si>
  <si>
    <t>ASPHALT CONCRETE PAVEMENT PATCH, TYPE 2</t>
  </si>
  <si>
    <t>41801-3000</t>
  </si>
  <si>
    <t>Asphalt concrete pavement patch, type 3</t>
  </si>
  <si>
    <t>ASPHALT CONCRETE PAVEMENT PATCH, TYPE 3</t>
  </si>
  <si>
    <t>41802-3000</t>
  </si>
  <si>
    <t>42001-0000</t>
  </si>
  <si>
    <t>Pavement preservation treatment</t>
  </si>
  <si>
    <t>PAVEMENT PRESERVATION TREATMENT</t>
  </si>
  <si>
    <t>42101-0000</t>
  </si>
  <si>
    <t>Scrub Seal</t>
  </si>
  <si>
    <t>SCRUB SEAL</t>
  </si>
  <si>
    <t>42109-0000</t>
  </si>
  <si>
    <t>42110-0000</t>
  </si>
  <si>
    <t>Polymer modified rejuvenating asphaltic emulsion</t>
  </si>
  <si>
    <t>POLYMER MODIFIED REJUVENATING ASPHALTIC EMULSION</t>
  </si>
  <si>
    <t>42111-0000</t>
  </si>
  <si>
    <t>42801-0000</t>
  </si>
  <si>
    <t>Hydroblasting</t>
  </si>
  <si>
    <t>HYDROBLASTING</t>
  </si>
  <si>
    <t>Polymer modified emulsion membrane</t>
  </si>
  <si>
    <t>POLYMER MODIFIED EMULSION MEMBRANE</t>
  </si>
  <si>
    <t>43001-0000</t>
  </si>
  <si>
    <t>High friction surface treatment</t>
  </si>
  <si>
    <t>HIGH FRICTION SURFACE TREATMENT</t>
  </si>
  <si>
    <t>50101-0600</t>
  </si>
  <si>
    <t>MINOR CONCRETE PAVEMENT, REINFORCED, 6-INCH DEPTH</t>
  </si>
  <si>
    <t>50101-0700</t>
  </si>
  <si>
    <t>Minor concrete pavement, reinforced, 175mm depth</t>
  </si>
  <si>
    <t>MINOR CONCRETE PAVEMENT, REINFORCED, 7-INCH DEPTH</t>
  </si>
  <si>
    <t>50101-0800</t>
  </si>
  <si>
    <t>Minor concrete pavement, reinforced, 200mm depth</t>
  </si>
  <si>
    <t>MINOR CONCRETE PAVEMENT, REINFORCED, 8-INCH DEPTH</t>
  </si>
  <si>
    <t>50101-0900</t>
  </si>
  <si>
    <t>Minor concrete pavement, reinforced, 225mm depth</t>
  </si>
  <si>
    <t>MINOR CONCRETE PAVEMENT, REINFORCED, 9-INCH DEPTH</t>
  </si>
  <si>
    <t>50101-1000</t>
  </si>
  <si>
    <t>Minor concrete pavement, reinforced, 250mm depth</t>
  </si>
  <si>
    <t>MINOR CONCRETE PAVEMENT, REINFORCED, 10-INCH DEPTH</t>
  </si>
  <si>
    <t>50101-1100</t>
  </si>
  <si>
    <t>Minor concrete pavement, reinforced, 275mm depth</t>
  </si>
  <si>
    <t>MINOR CONCRETE PAVEMENT, REINFORCED, 11-INCH DEPTH</t>
  </si>
  <si>
    <t>50101-1200</t>
  </si>
  <si>
    <t>Minor concrete pavement, reinforced, 300mm depth</t>
  </si>
  <si>
    <t>MINOR CONCRETE PAVEMENT, REINFORCED, 12-INCH DEPTH</t>
  </si>
  <si>
    <t>50101-2500</t>
  </si>
  <si>
    <t>Minor concrete pavement, plain, 125mm depth</t>
  </si>
  <si>
    <t>MINOR CONCRETE PAVEMENT, PLAIN, 5-INCH DEPTH</t>
  </si>
  <si>
    <t>50101-2600</t>
  </si>
  <si>
    <t>Minor concrete pavement, plain, 150mm depth</t>
  </si>
  <si>
    <t>MINOR CONCRETE PAVEMENT, PLAIN, 6-INCH DEPTH</t>
  </si>
  <si>
    <t>50101-2700</t>
  </si>
  <si>
    <t>Minor concrete pavement, plain, 175mm depth</t>
  </si>
  <si>
    <t>MINOR CONCRETE PAVEMENT, PLAIN, 7-INCH DEPTH</t>
  </si>
  <si>
    <t>50101-2800</t>
  </si>
  <si>
    <t>Minor concrete pavement, plain, 200mm depth</t>
  </si>
  <si>
    <t>MINOR CONCRETE PAVEMENT, PLAIN, 8-INCH DEPTH</t>
  </si>
  <si>
    <t>50101-2900</t>
  </si>
  <si>
    <t>Minor concrete pavement, plain, 225mm depth</t>
  </si>
  <si>
    <t>MINOR CONCRETE PAVEMENT, PLAIN, 9-INCH DEPTH</t>
  </si>
  <si>
    <t>50101-3000</t>
  </si>
  <si>
    <t>Minor concrete pavement, plain, 250mm depth</t>
  </si>
  <si>
    <t>MINOR CONCRETE PAVEMENT, PLAIN, 10-INCH DEPTH</t>
  </si>
  <si>
    <t>50101-3100</t>
  </si>
  <si>
    <t>Minor concrete pavement, plain, 275mm depth</t>
  </si>
  <si>
    <t>MINOR CONCRETE PAVEMENT, PLAIN, 11-INCH DEPTH</t>
  </si>
  <si>
    <t>50101-3200</t>
  </si>
  <si>
    <t>Minor concrete pavement, plain, 300mm depth</t>
  </si>
  <si>
    <t>MINOR CONCRETE PAVEMENT, PLAIN, 12-INCH DEPTH</t>
  </si>
  <si>
    <t>50201-0000</t>
  </si>
  <si>
    <t>50202-0000</t>
  </si>
  <si>
    <t>Sealing joints and cracks</t>
  </si>
  <si>
    <t>SEALING JOINTS AND CRACKS</t>
  </si>
  <si>
    <t>50203-0000</t>
  </si>
  <si>
    <t>50204-0000</t>
  </si>
  <si>
    <t>50205-0000</t>
  </si>
  <si>
    <t>Surface diamond grinding</t>
  </si>
  <si>
    <t>SURFACE DIAMOND GRINDING</t>
  </si>
  <si>
    <t>Concrete pavement restoration, breaking and seating pavement</t>
  </si>
  <si>
    <t>CONCRETE PAVEMENT RESTORATION, BREAKING AND SEATING PAVEMENT</t>
  </si>
  <si>
    <t>50207-0000</t>
  </si>
  <si>
    <t>Concrete pavement restoration, cracking and seating pavement</t>
  </si>
  <si>
    <t>CONCRETE PAVEMENT RESTORATION, CRACKING AND SEATING PAVEMENT</t>
  </si>
  <si>
    <t>Concrete pavement restoration, rubblizing and compacting pavement</t>
  </si>
  <si>
    <t>CONCRETE PAVEMENT RESTORATION, RUBBLIZING AND COMPACTING PAVEMENT</t>
  </si>
  <si>
    <t>55101-0200</t>
  </si>
  <si>
    <t>Concrete filled steel pipe pile, in place</t>
  </si>
  <si>
    <t>CONCRETE FILLED STEEL PIPE PILE, IN PLACE</t>
  </si>
  <si>
    <t>55101-0300</t>
  </si>
  <si>
    <t>Precast prestressed concrete pile, in place</t>
  </si>
  <si>
    <t>PRECAST PRESTRESSED CONCRETE PILE, IN PLACE</t>
  </si>
  <si>
    <t>55101-0400</t>
  </si>
  <si>
    <t>Precast prestressed concrete pile, 255mm x 255mm, in place</t>
  </si>
  <si>
    <t>PRECAST PRESTRESSED CONCRETE PILE, 10-INCH X 10-INCH, IN PLACE</t>
  </si>
  <si>
    <t>55101-0500</t>
  </si>
  <si>
    <t>Precast prestressed concrete pile, 305mm x 305mm, in place</t>
  </si>
  <si>
    <t>PRECAST PRESTRESSED CONCRETE PILE, 12-INCH X 12-INCH, IN PLACE</t>
  </si>
  <si>
    <t>55101-0600</t>
  </si>
  <si>
    <t>Precast prestressed concrete pile, 355mm x 355mm, in place</t>
  </si>
  <si>
    <t>PRECAST PRESTRESSED CONCRETE PILE, 14-INCH X 14-INCH, IN PLACE</t>
  </si>
  <si>
    <t>55101-0700</t>
  </si>
  <si>
    <t>Precast prestressed concrete pile, 405mm x 405mm, in place</t>
  </si>
  <si>
    <t>PRECAST PRESTRESSED CONCRETE PILE, 16-INCH X 16-INCH, IN PLACE</t>
  </si>
  <si>
    <t>55101-0800</t>
  </si>
  <si>
    <t>Precast prestressed concrete pile, 460mm x 460mm, in place</t>
  </si>
  <si>
    <t>PRECAST PRESTRESSED CONCRETE PILE, 18-INCH X 18-INCH, IN PLACE</t>
  </si>
  <si>
    <t>55101-0900</t>
  </si>
  <si>
    <t>Precast prestressed concrete pile, 510mm x 510mm, in place</t>
  </si>
  <si>
    <t>PRECAST PRESTRESSED CONCRETE PILE, 20-INCH X 20-INCH, IN PLACE</t>
  </si>
  <si>
    <t>55101-1000</t>
  </si>
  <si>
    <t>Precast prestressed concrete pile, 610mm x 610mm, in place</t>
  </si>
  <si>
    <t>PRECAST PRESTRESSED CONCRETE PILE, 24-INCH X 24-INCH, IN PLACE</t>
  </si>
  <si>
    <t>55101-1100</t>
  </si>
  <si>
    <t>Steel H-pile, in place</t>
  </si>
  <si>
    <t>STEEL H-PILE, IN PLACE</t>
  </si>
  <si>
    <t>55101-1200</t>
  </si>
  <si>
    <t>Steel H-pile, 250 x 62, in place</t>
  </si>
  <si>
    <t>STEEL H-PILE, 10 X 42, IN PLACE</t>
  </si>
  <si>
    <t>55101-1300</t>
  </si>
  <si>
    <t>Steel H-pile, 250 x 85, in place</t>
  </si>
  <si>
    <t>STEEL H-PILE, 10 X 57, IN PLACE</t>
  </si>
  <si>
    <t>55101-1400</t>
  </si>
  <si>
    <t>Steel H-pile, 310 x 79, in place</t>
  </si>
  <si>
    <t>STEEL H-PILE, 12 X 53, IN PLACE</t>
  </si>
  <si>
    <t>55101-1500</t>
  </si>
  <si>
    <t>Steel H-pile, 310 x 94, in place</t>
  </si>
  <si>
    <t>STEEL H-PILE, 12 X 63, IN PLACE</t>
  </si>
  <si>
    <t>55101-1600</t>
  </si>
  <si>
    <t>Steel H-pile, 310 x 110, in place</t>
  </si>
  <si>
    <t>STEEL H-PILE, 12 X 74, IN PLACE</t>
  </si>
  <si>
    <t>55101-1700</t>
  </si>
  <si>
    <t>Steel H-pile, 310 x 125, in place</t>
  </si>
  <si>
    <t>STEEL H-PILE, 12 X 84, IN PLACE</t>
  </si>
  <si>
    <t>55101-1800</t>
  </si>
  <si>
    <t>Steel H-pile, 360 x 108, in place</t>
  </si>
  <si>
    <t>STEEL H-PILE, 14 X 73, IN PLACE</t>
  </si>
  <si>
    <t>55101-1900</t>
  </si>
  <si>
    <t>Steel H-pile, 360 x 132, in place</t>
  </si>
  <si>
    <t>STEEL H-PILE, 14 X 89, IN PLACE</t>
  </si>
  <si>
    <t>55101-2000</t>
  </si>
  <si>
    <t>Steel H-pile, 360 x 152, in place</t>
  </si>
  <si>
    <t>STEEL H-PILE, 14 X 102, IN PLACE</t>
  </si>
  <si>
    <t>55101-2100</t>
  </si>
  <si>
    <t>Steel H-pile, 360 x 174, in place</t>
  </si>
  <si>
    <t>55101-2200</t>
  </si>
  <si>
    <t>Steel pipe pile, in place</t>
  </si>
  <si>
    <t>STEEL PIPE PILE, IN PLACE</t>
  </si>
  <si>
    <t>55101-2300</t>
  </si>
  <si>
    <t>Treated timber pile, in place</t>
  </si>
  <si>
    <t>TREATED TIMBER PILE, IN PLACE</t>
  </si>
  <si>
    <t>55101-2400</t>
  </si>
  <si>
    <t>Untreated timber pile, in place</t>
  </si>
  <si>
    <t>UNTREATED TIMBER PILE, IN PLACE</t>
  </si>
  <si>
    <t>55101-3000</t>
  </si>
  <si>
    <t>Sheet pile, in place</t>
  </si>
  <si>
    <t>SHEET PILE, IN PLACE</t>
  </si>
  <si>
    <t>55102-1100</t>
  </si>
  <si>
    <t>55102-2200</t>
  </si>
  <si>
    <t>55102-2300</t>
  </si>
  <si>
    <t>55102-2400</t>
  </si>
  <si>
    <t>55103-1000</t>
  </si>
  <si>
    <t>55104-1000</t>
  </si>
  <si>
    <t>Dynamic pile load test</t>
  </si>
  <si>
    <t>DYNAMIC PILE LOAD TEST</t>
  </si>
  <si>
    <t>55104-2000</t>
  </si>
  <si>
    <t>Static pile load test</t>
  </si>
  <si>
    <t>STATIC PILE LOAD TEST</t>
  </si>
  <si>
    <t>55105-1000</t>
  </si>
  <si>
    <t>55105-2000</t>
  </si>
  <si>
    <t>55106-1000</t>
  </si>
  <si>
    <t>55115-1000</t>
  </si>
  <si>
    <t>Preboring</t>
  </si>
  <si>
    <t>PREBORING</t>
  </si>
  <si>
    <t>55115-2000</t>
  </si>
  <si>
    <t>Preboring, blast hole</t>
  </si>
  <si>
    <t>PREBORING, BLAST HOLE</t>
  </si>
  <si>
    <t>55116-0000</t>
  </si>
  <si>
    <t>Splice</t>
  </si>
  <si>
    <t>SPLICE</t>
  </si>
  <si>
    <t>55117-0000</t>
  </si>
  <si>
    <t>55120-0000</t>
  </si>
  <si>
    <t>Test pile</t>
  </si>
  <si>
    <t>TEST PILE</t>
  </si>
  <si>
    <t>55121-0000</t>
  </si>
  <si>
    <t>55125-0000</t>
  </si>
  <si>
    <t>Pile stress monitoring</t>
  </si>
  <si>
    <t>PILE STRESS MONITORING</t>
  </si>
  <si>
    <t>55201-0100</t>
  </si>
  <si>
    <t>Structural concrete, class A</t>
  </si>
  <si>
    <t>STRUCTURAL CONCRETE, CLASS A</t>
  </si>
  <si>
    <t>55201-0200</t>
  </si>
  <si>
    <t>Structural concrete, class A (AE)</t>
  </si>
  <si>
    <t>STRUCTURAL CONCRETE, CLASS A (AE)</t>
  </si>
  <si>
    <t>55201-0500</t>
  </si>
  <si>
    <t>Structural concrete, class C</t>
  </si>
  <si>
    <t>STRUCTURAL CONCRETE, CLASS C</t>
  </si>
  <si>
    <t>55201-0600</t>
  </si>
  <si>
    <t>Structural concrete, class C (AE)</t>
  </si>
  <si>
    <t>STRUCTURAL CONCRETE, CLASS C (AE)</t>
  </si>
  <si>
    <t>55201-0800</t>
  </si>
  <si>
    <t>Structural concrete, class D (AE)</t>
  </si>
  <si>
    <t>STRUCTURAL CONCRETE, CLASS D (AE)</t>
  </si>
  <si>
    <t>55201-1200</t>
  </si>
  <si>
    <t>Structural concrete, class S (seal)</t>
  </si>
  <si>
    <t>STRUCTURAL CONCRETE, CLASS S (SEAL)</t>
  </si>
  <si>
    <t>55201-1500</t>
  </si>
  <si>
    <t>Structural concrete, class StateDOT</t>
  </si>
  <si>
    <t>STRUCTURAL CONCRETE, CLASS STATEDOT</t>
  </si>
  <si>
    <t>55203-1000</t>
  </si>
  <si>
    <t>Precast structural concrete</t>
  </si>
  <si>
    <t>PRECAST STRUCTURAL CONCRETE</t>
  </si>
  <si>
    <t>Precast structural concrete, class A, abutment</t>
  </si>
  <si>
    <t>PRECAST STRUCTURAL CONCRETE, CLASS A, ABUTMENT</t>
  </si>
  <si>
    <t>Precast structural concrete, class A, deck</t>
  </si>
  <si>
    <t>PRECAST STRUCTURAL CONCRETE, CLASS A, DECK</t>
  </si>
  <si>
    <t>Precast structural concrete, class A, pier</t>
  </si>
  <si>
    <t>PRECAST STRUCTURAL CONCRETE, CLASS A, PIER</t>
  </si>
  <si>
    <t>Precast structural concrete, class A(AE), abutment</t>
  </si>
  <si>
    <t>PRECAST STRUCTURAL CONCRETE, CLASS A(AE), ABUTMENT</t>
  </si>
  <si>
    <t>Precast structural concrete, class A(AE), deck</t>
  </si>
  <si>
    <t>PRECAST STRUCTURAL CONCRETE, CLASS A(AE), DECK</t>
  </si>
  <si>
    <t>Precast structural concrete, class A(AE), pier</t>
  </si>
  <si>
    <t>PRECAST STRUCTURAL CONCRETE, CLASS A(AE), PIER</t>
  </si>
  <si>
    <t>Precast structural concrete, class C, abutment</t>
  </si>
  <si>
    <t>PRECAST STRUCTURAL CONCRETE, CLASS C, ABUTMENT</t>
  </si>
  <si>
    <t>Precast structural concrete, class C, deck</t>
  </si>
  <si>
    <t>PRECAST STRUCTURAL CONCRETE, CLASS C, DECK</t>
  </si>
  <si>
    <t>Precast structural concrete, class C, pier</t>
  </si>
  <si>
    <t>PRECAST STRUCTURAL CONCRETE, CLASS C, PIER</t>
  </si>
  <si>
    <t>Precast structural concrete, class C (AE), abutment</t>
  </si>
  <si>
    <t>PRECAST STRUCTURAL CONCRETE, CLASS C (AE), ABUTMENT</t>
  </si>
  <si>
    <t>Precast structural concrete, class C (AE), deck</t>
  </si>
  <si>
    <t>PRECAST STRUCTURAL CONCRETE, CLASS C (AE), DECK</t>
  </si>
  <si>
    <t>Precast structural concrete, class C (AE), pier</t>
  </si>
  <si>
    <t>PRECAST STRUCTURAL CONCRETE, CLASS C (AE), PIER</t>
  </si>
  <si>
    <t>Precast structural concrete, class D (AE), abutment</t>
  </si>
  <si>
    <t>PRECAST STRUCTURAL CONCRETE, CLASS D (AE), ABUTMENT</t>
  </si>
  <si>
    <t>Precast structural concrete, class D (AE), deck</t>
  </si>
  <si>
    <t>PRECAST STRUCTURAL CONCRETE, CLASS D (AE), DECK</t>
  </si>
  <si>
    <t>Precast structural concrete, class D (AE), pier</t>
  </si>
  <si>
    <t>PRECAST STRUCTURAL CONCRETE, CLASS D (AE), PIER</t>
  </si>
  <si>
    <t>Repair concrete</t>
  </si>
  <si>
    <t>REPAIR CONCRETE</t>
  </si>
  <si>
    <t>Seal concrete surface</t>
  </si>
  <si>
    <t>SEAL CONCRETE SURFACE</t>
  </si>
  <si>
    <t>Clean and reseal joints</t>
  </si>
  <si>
    <t>CLEAN AND RESEAL JOINTS</t>
  </si>
  <si>
    <t>Clean concrete surface</t>
  </si>
  <si>
    <t>CLEAN CONCRETE SURFACE</t>
  </si>
  <si>
    <t>55230-0000</t>
  </si>
  <si>
    <t>Concrete color finish</t>
  </si>
  <si>
    <t>CONCRETE COLOR FINISH</t>
  </si>
  <si>
    <t>55231-0000</t>
  </si>
  <si>
    <t>Concrete color agent</t>
  </si>
  <si>
    <t>CONCRETE COLOR AGENT</t>
  </si>
  <si>
    <t>55235-0000</t>
  </si>
  <si>
    <t>Expansion joints</t>
  </si>
  <si>
    <t>EXPANSION JOINTS</t>
  </si>
  <si>
    <t>55236-0000</t>
  </si>
  <si>
    <t>Expansion joint repair</t>
  </si>
  <si>
    <t>EXPANSION JOINT REPAIR</t>
  </si>
  <si>
    <t>55301-0100</t>
  </si>
  <si>
    <t>Precast, prestressed concrete AASHTO girder, non-standard</t>
  </si>
  <si>
    <t>PRECAST, PRESTRESSED CONCRETE AASHTO GIRDER, NON-STANDARD</t>
  </si>
  <si>
    <t>55301-3200</t>
  </si>
  <si>
    <t>Precast, prestressed concrete girder</t>
  </si>
  <si>
    <t>PRECAST, PRESTRESSED CONCRETE GIRDER</t>
  </si>
  <si>
    <t>55301-3300</t>
  </si>
  <si>
    <t>Precast, prestressed concrete AASHTO girder</t>
  </si>
  <si>
    <t>PRECAST, PRESTRESSED CONCRETE AASHTO GIRDER</t>
  </si>
  <si>
    <t>55301-3400</t>
  </si>
  <si>
    <t>Precast, prestressed concrete box beam</t>
  </si>
  <si>
    <t>PRECAST, PRESTRESSED CONCRETE BOX BEAM</t>
  </si>
  <si>
    <t>55301-3500</t>
  </si>
  <si>
    <t>Precast, prestressed concrete slab</t>
  </si>
  <si>
    <t>PRECAST, PRESTRESSED CONCRETE SLAB</t>
  </si>
  <si>
    <t>55301-3600</t>
  </si>
  <si>
    <t>55301-3700</t>
  </si>
  <si>
    <t>55302-0100</t>
  </si>
  <si>
    <t>55302-0200</t>
  </si>
  <si>
    <t>Precast, prestressed concrete slabs, 900mm non-voided</t>
  </si>
  <si>
    <t>PRECAST, PRESTRESSED CONCRETE SLABS, 36-INCH NON-VOIDED</t>
  </si>
  <si>
    <t>55302-0300</t>
  </si>
  <si>
    <t>Precast, prestressed concrete slabs, 1200mm non-voided</t>
  </si>
  <si>
    <t>PRECAST, PRESTRESSED CONCRETE SLABS, 48-INCH NON-VOIDED</t>
  </si>
  <si>
    <t>55302-0400</t>
  </si>
  <si>
    <t>Precast, prestressed concrete slabs, 900mm voided</t>
  </si>
  <si>
    <t>PRECAST, PRESTRESSED CONCRETE SLABS, 36-INCH VOIDED</t>
  </si>
  <si>
    <t>55302-0500</t>
  </si>
  <si>
    <t>Precast, prestressed concrete slabs, 1200mm voided</t>
  </si>
  <si>
    <t>PRECAST, PRESTRESSED CONCRETE SLABS, 48-INCH VOIDED</t>
  </si>
  <si>
    <t>55302-0600</t>
  </si>
  <si>
    <t>Precast, prestressed concrete box beam, type B1-36</t>
  </si>
  <si>
    <t>PRECAST, PRESTRESSED CONCRETE BOX BEAM, TYPE B1-36</t>
  </si>
  <si>
    <t>55302-0700</t>
  </si>
  <si>
    <t>Precast, prestressed concrete box beam, type B2-36</t>
  </si>
  <si>
    <t>PRECAST, PRESTRESSED CONCRETE BOX BEAM, TYPE B2-36</t>
  </si>
  <si>
    <t>55302-0800</t>
  </si>
  <si>
    <t>Precast, prestressed concrete box beam, type B3-36</t>
  </si>
  <si>
    <t>PRECAST, PRESTRESSED CONCRETE BOX BEAM, TYPE B3-36</t>
  </si>
  <si>
    <t>55302-0900</t>
  </si>
  <si>
    <t>Precast, prestressed concrete box beam, type B4-36</t>
  </si>
  <si>
    <t>PRECAST, PRESTRESSED CONCRETE BOX BEAM, TYPE B4-36</t>
  </si>
  <si>
    <t>55302-1000</t>
  </si>
  <si>
    <t>Precast, prestressed concrete box beam, type B1-48</t>
  </si>
  <si>
    <t>PRECAST, PRESTRESSED CONCRETE BOX BEAM, TYPE B1-48</t>
  </si>
  <si>
    <t>55302-1100</t>
  </si>
  <si>
    <t>Precast, prestressed concrete box beam, type B2-48</t>
  </si>
  <si>
    <t>PRECAST, PRESTRESSED CONCRETE BOX BEAM, TYPE B2-48</t>
  </si>
  <si>
    <t>55302-1200</t>
  </si>
  <si>
    <t>Precast, prestressed concrete box beam, type B3-48</t>
  </si>
  <si>
    <t>PRECAST, PRESTRESSED CONCRETE BOX BEAM, TYPE B3-48</t>
  </si>
  <si>
    <t>55302-1300</t>
  </si>
  <si>
    <t>Precast, prestressed concrete box beam, type B4-48</t>
  </si>
  <si>
    <t>PRECAST, PRESTRESSED CONCRETE BOX BEAM, TYPE B4-48</t>
  </si>
  <si>
    <t>55302-1500</t>
  </si>
  <si>
    <t>55302-1600</t>
  </si>
  <si>
    <t>55302-1700</t>
  </si>
  <si>
    <t>55302-1800</t>
  </si>
  <si>
    <t>55302-1900</t>
  </si>
  <si>
    <t>55302-2000</t>
  </si>
  <si>
    <t>55302-2100</t>
  </si>
  <si>
    <t>55302-2200</t>
  </si>
  <si>
    <t>55302-2300</t>
  </si>
  <si>
    <t>55302-2400</t>
  </si>
  <si>
    <t>55302-2500</t>
  </si>
  <si>
    <t>55302-2600</t>
  </si>
  <si>
    <t>55302-2700</t>
  </si>
  <si>
    <t>55302-2800</t>
  </si>
  <si>
    <t>55302-2900</t>
  </si>
  <si>
    <t>55302-3000</t>
  </si>
  <si>
    <t>55302-3100</t>
  </si>
  <si>
    <t>55302-3200</t>
  </si>
  <si>
    <t>55302-3300</t>
  </si>
  <si>
    <t>55302-3400</t>
  </si>
  <si>
    <t>55302-3500</t>
  </si>
  <si>
    <t>55302-3600</t>
  </si>
  <si>
    <t>55302-3700</t>
  </si>
  <si>
    <t>55303-0000</t>
  </si>
  <si>
    <t>Prestressing system</t>
  </si>
  <si>
    <t>PRESTRESSING SYSTEM</t>
  </si>
  <si>
    <t>55310-0100</t>
  </si>
  <si>
    <t>Post-tensioning tendon repair</t>
  </si>
  <si>
    <t>POST-TENSIONING TENDON REPAIR</t>
  </si>
  <si>
    <t>55311-0100</t>
  </si>
  <si>
    <t>Post-tensioning anchorage repair</t>
  </si>
  <si>
    <t>POST-TENSIONING ANCHORAGE REPAIR</t>
  </si>
  <si>
    <t>55401-1000</t>
  </si>
  <si>
    <t>Reinforcing steel</t>
  </si>
  <si>
    <t>REINFORCING STEEL</t>
  </si>
  <si>
    <t>55401-2000</t>
  </si>
  <si>
    <t>55401-2500</t>
  </si>
  <si>
    <t>Reinforcing steel, galvanized</t>
  </si>
  <si>
    <t>REINFORCING STEEL, GALVANIZED</t>
  </si>
  <si>
    <t>55401-3000</t>
  </si>
  <si>
    <t>Reinforcing steel, stainless steel</t>
  </si>
  <si>
    <t>REINFORCING STEEL, STAINLESS STEEL</t>
  </si>
  <si>
    <t>55401-4000</t>
  </si>
  <si>
    <t>55501-0000</t>
  </si>
  <si>
    <t>Structural steel</t>
  </si>
  <si>
    <t>STRUCTURAL STEEL</t>
  </si>
  <si>
    <t>55501-1000</t>
  </si>
  <si>
    <t>Structural steel, salvaged, modified, and erected</t>
  </si>
  <si>
    <t>STRUCTURAL STEEL, SALVAGED, MODIFIED, AND ERECTED</t>
  </si>
  <si>
    <t>55501-2000</t>
  </si>
  <si>
    <t>Structural steel, evaluate gusset plate</t>
  </si>
  <si>
    <t>STRUCTURAL STEEL, EVALUATE GUSSET PLATE</t>
  </si>
  <si>
    <t>55501-2100</t>
  </si>
  <si>
    <t>Structural steel, repair gusset plate</t>
  </si>
  <si>
    <t>STRUCTURAL STEEL, REPAIR GUSSET PLATE</t>
  </si>
  <si>
    <t>55502-0000</t>
  </si>
  <si>
    <t>55504-0000</t>
  </si>
  <si>
    <t>Structural steel soldier pile</t>
  </si>
  <si>
    <t>STRUCTURAL STEEL SOLDIER PILE</t>
  </si>
  <si>
    <t>55506-0000</t>
  </si>
  <si>
    <t>Miscellaneous steel</t>
  </si>
  <si>
    <t>MISCELLANEOUS STEEL</t>
  </si>
  <si>
    <t>55506-0100</t>
  </si>
  <si>
    <t>Miscellaneous steel, scupper extension</t>
  </si>
  <si>
    <t>MISCELLANEOUS STEEL, SCUPPER EXTENSION</t>
  </si>
  <si>
    <t>55601-0100</t>
  </si>
  <si>
    <t>Bridge railing, aluminum</t>
  </si>
  <si>
    <t>BRIDGE RAILING, ALUMINUM</t>
  </si>
  <si>
    <t>55601-0200</t>
  </si>
  <si>
    <t>Bridge railing, aluminum, one rail</t>
  </si>
  <si>
    <t>BRIDGE RAILING, ALUMINUM, ONE RAIL</t>
  </si>
  <si>
    <t>55601-0300</t>
  </si>
  <si>
    <t>Bridge railing, aluminum, two rail</t>
  </si>
  <si>
    <t>BRIDGE RAILING, ALUMINUM, TWO RAIL</t>
  </si>
  <si>
    <t>55601-0400</t>
  </si>
  <si>
    <t>Bridge railing, aluminum, three rail</t>
  </si>
  <si>
    <t>BRIDGE RAILING, ALUMINUM, THREE RAIL</t>
  </si>
  <si>
    <t>55601-0500</t>
  </si>
  <si>
    <t>Bridge railing, concrete</t>
  </si>
  <si>
    <t>BRIDGE RAILING, CONCRETE</t>
  </si>
  <si>
    <t>55601-0600</t>
  </si>
  <si>
    <t>Bridge railing, concrete, beam rail</t>
  </si>
  <si>
    <t>BRIDGE RAILING, CONCRETE, BEAM RAIL</t>
  </si>
  <si>
    <t>55601-0700</t>
  </si>
  <si>
    <t>Bridge railing, concrete, Natchez Trace Rail</t>
  </si>
  <si>
    <t>BRIDGE RAILING, CONCRETE, NATCHEZ TRACE RAIL</t>
  </si>
  <si>
    <t>55601-0800</t>
  </si>
  <si>
    <t>Bridge railing, concrete, New Jersey safety shape</t>
  </si>
  <si>
    <t>BRIDGE RAILING, CONCRETE, NEW JERSEY SAFETY SHAPE</t>
  </si>
  <si>
    <t>55601-0900</t>
  </si>
  <si>
    <t>Bridge railing, steel</t>
  </si>
  <si>
    <t>BRIDGE RAILING, STEEL</t>
  </si>
  <si>
    <t>55601-1000</t>
  </si>
  <si>
    <t>Bridge railing, steel, one rail</t>
  </si>
  <si>
    <t>BRIDGE RAILING, STEEL, ONE RAIL</t>
  </si>
  <si>
    <t>55601-1100</t>
  </si>
  <si>
    <t>Bridge railing, steel, two rail</t>
  </si>
  <si>
    <t>BRIDGE RAILING, STEEL, TWO RAIL</t>
  </si>
  <si>
    <t>55601-1200</t>
  </si>
  <si>
    <t>Bridge railing, steel, three rail</t>
  </si>
  <si>
    <t>BRIDGE RAILING, STEEL, THREE RAIL</t>
  </si>
  <si>
    <t>55601-1300</t>
  </si>
  <si>
    <t>Bridge railing, timber</t>
  </si>
  <si>
    <t>BRIDGE RAILING, TIMBER</t>
  </si>
  <si>
    <t>55601-1400</t>
  </si>
  <si>
    <t>Bridge railing, timber, steel-backed</t>
  </si>
  <si>
    <t>BRIDGE RAILING, TIMBER, STEEL-BACKED</t>
  </si>
  <si>
    <t>55602-1000</t>
  </si>
  <si>
    <t>Remove and reset bridge railing</t>
  </si>
  <si>
    <t>REMOVE AND RESET BRIDGE RAILING</t>
  </si>
  <si>
    <t>55603-1000</t>
  </si>
  <si>
    <t>55701-1000</t>
  </si>
  <si>
    <t>Structural timber and lumber, untreated</t>
  </si>
  <si>
    <t>STRUCTURAL TIMBER AND LUMBER, UNTREATED</t>
  </si>
  <si>
    <t>55701-2000</t>
  </si>
  <si>
    <t>Structural timber and lumber, treated</t>
  </si>
  <si>
    <t>STRUCTURAL TIMBER AND LUMBER, TREATED</t>
  </si>
  <si>
    <t>55701-3000</t>
  </si>
  <si>
    <t>Structural timber and lumber, composite</t>
  </si>
  <si>
    <t>STRUCTURAL TIMBER AND LUMBER, COMPOSITE</t>
  </si>
  <si>
    <t>55702-1000</t>
  </si>
  <si>
    <t>Structural timber and lumber, treated, pedestrian bridge</t>
  </si>
  <si>
    <t>STRUCTURAL TIMBER AND LUMBER, TREATED, PEDESTRIAN BRIDGE</t>
  </si>
  <si>
    <t>55703-1000</t>
  </si>
  <si>
    <t>Structural timber and lumber, treated, boardwalk</t>
  </si>
  <si>
    <t>STRUCTURAL TIMBER AND LUMBER, TREATED, BOARDWALK</t>
  </si>
  <si>
    <t>55703-2000</t>
  </si>
  <si>
    <t>Structural timber and lumber, treated, decking</t>
  </si>
  <si>
    <t>STRUCTURAL TIMBER AND LUMBER, TREATED, DECKING</t>
  </si>
  <si>
    <t>55706-1000</t>
  </si>
  <si>
    <t>55706-2000</t>
  </si>
  <si>
    <t>55707-1000</t>
  </si>
  <si>
    <t>Hardware, prefabricated aluminum ramp</t>
  </si>
  <si>
    <t>HARDWARE, PREFABRICATED ALUMINUM RAMP</t>
  </si>
  <si>
    <t>55720-0000</t>
  </si>
  <si>
    <t>Repair structural timber and lumber</t>
  </si>
  <si>
    <t>REPAIR STRUCTURAL TIMBER AND LUMBER</t>
  </si>
  <si>
    <t>55801-0000</t>
  </si>
  <si>
    <t>Dampproofing</t>
  </si>
  <si>
    <t>DAMPPROOFING</t>
  </si>
  <si>
    <t>55901-0000</t>
  </si>
  <si>
    <t>Membrane waterproofing</t>
  </si>
  <si>
    <t>MEMBRANE WATERPROOFING</t>
  </si>
  <si>
    <t>55901-1000</t>
  </si>
  <si>
    <t>55901-2000</t>
  </si>
  <si>
    <t>56001-0000</t>
  </si>
  <si>
    <t>Removal of concrete by hydrodemolition</t>
  </si>
  <si>
    <t>REMOVAL OF CONCRETE BY HYDRODEMOLITION</t>
  </si>
  <si>
    <t>56003-0000</t>
  </si>
  <si>
    <t>56101-0000</t>
  </si>
  <si>
    <t>56201-0000</t>
  </si>
  <si>
    <t>Bridge erection system</t>
  </si>
  <si>
    <t>BRIDGE ERECTION SYSTEM</t>
  </si>
  <si>
    <t>56202-0000</t>
  </si>
  <si>
    <t>Temporary support structure</t>
  </si>
  <si>
    <t>TEMPORARY SUPPORT STRUCTURE</t>
  </si>
  <si>
    <t>56203-0000</t>
  </si>
  <si>
    <t>Debris shield</t>
  </si>
  <si>
    <t>DEBRIS SHIELD</t>
  </si>
  <si>
    <t>56205-0000</t>
  </si>
  <si>
    <t>56301-1000</t>
  </si>
  <si>
    <t>56301-2000</t>
  </si>
  <si>
    <t>56301-3000</t>
  </si>
  <si>
    <t>56302-1000</t>
  </si>
  <si>
    <t>56302-2000</t>
  </si>
  <si>
    <t>56303-1000</t>
  </si>
  <si>
    <t>56304-0100</t>
  </si>
  <si>
    <t>56311-1000</t>
  </si>
  <si>
    <t>Weathering agent, desert application</t>
  </si>
  <si>
    <t>WEATHERING AGENT, DESERT APPLICATION</t>
  </si>
  <si>
    <t>56311-2000</t>
  </si>
  <si>
    <t>Weathering agent, wall application</t>
  </si>
  <si>
    <t>WEATHERING AGENT, WALL APPLICATION</t>
  </si>
  <si>
    <t>56312-1000</t>
  </si>
  <si>
    <t>Weathering agent, boulder application</t>
  </si>
  <si>
    <t>WEATHERING AGENT, BOULDER APPLICATION</t>
  </si>
  <si>
    <t>56320-0000</t>
  </si>
  <si>
    <t>Containment system and worker protection plan</t>
  </si>
  <si>
    <t>CONTAINMENT SYSTEM AND WORKER PROTECTION PLAN</t>
  </si>
  <si>
    <t>56401-0000</t>
  </si>
  <si>
    <t>Bearing device</t>
  </si>
  <si>
    <t>BEARING DEVICE</t>
  </si>
  <si>
    <t>56401-1000</t>
  </si>
  <si>
    <t>Bearing device, elastomeric</t>
  </si>
  <si>
    <t>BEARING DEVICE, ELASTOMERIC</t>
  </si>
  <si>
    <t>56401-2000</t>
  </si>
  <si>
    <t>Bearing device, pot</t>
  </si>
  <si>
    <t>BEARING DEVICE, POT</t>
  </si>
  <si>
    <t>56401-3000</t>
  </si>
  <si>
    <t>56401-4000</t>
  </si>
  <si>
    <t>56501-0000</t>
  </si>
  <si>
    <t>Drilled shaft</t>
  </si>
  <si>
    <t>DRILLED SHAFT</t>
  </si>
  <si>
    <t>56501-0100</t>
  </si>
  <si>
    <t>Drilled shaft, 450mm diameter</t>
  </si>
  <si>
    <t>DRILLED SHAFT, 18-INCH DIAMETER</t>
  </si>
  <si>
    <t>56501-0200</t>
  </si>
  <si>
    <t>Drilled shaft, 600mm diameter</t>
  </si>
  <si>
    <t>DRILLED SHAFT, 24-INCH DIAMETER</t>
  </si>
  <si>
    <t>56501-0300</t>
  </si>
  <si>
    <t>Drilled shaft, 750mm diameter</t>
  </si>
  <si>
    <t>DRILLED SHAFT, 30-INCH DIAMETER</t>
  </si>
  <si>
    <t>56501-0310</t>
  </si>
  <si>
    <t>Drilled shaft, 750mm diameter, H-pile core</t>
  </si>
  <si>
    <t>DRILLED SHAFT, 30-INCH DIAMETER, H-PILE CORE</t>
  </si>
  <si>
    <t>56501-0400</t>
  </si>
  <si>
    <t>Drilled shaft, 900mm diameter</t>
  </si>
  <si>
    <t>DRILLED SHAFT, 36-INCH DIAMETER</t>
  </si>
  <si>
    <t>56501-0500</t>
  </si>
  <si>
    <t>Drilled shaft, 1050mm diameter</t>
  </si>
  <si>
    <t>DRILLED SHAFT, 42-INCH DIAMETER</t>
  </si>
  <si>
    <t>56501-0600</t>
  </si>
  <si>
    <t>Drilled shaft, 1200mm diameter</t>
  </si>
  <si>
    <t>DRILLED SHAFT, 48-INCH DIAMETER</t>
  </si>
  <si>
    <t>56501-0700</t>
  </si>
  <si>
    <t>Drilled shaft, 1350mm diameter</t>
  </si>
  <si>
    <t>DRILLED SHAFT, 54-INCH DIAMETER</t>
  </si>
  <si>
    <t>56501-0800</t>
  </si>
  <si>
    <t>Drilled shaft, 1500mm diameter</t>
  </si>
  <si>
    <t>DRILLED SHAFT, 60-INCH DIAMETER</t>
  </si>
  <si>
    <t>56501-0900</t>
  </si>
  <si>
    <t>Drilled shaft, 1800mm diameter</t>
  </si>
  <si>
    <t>DRILLED SHAFT, 72-INCH DIAMETER</t>
  </si>
  <si>
    <t>56501-0950</t>
  </si>
  <si>
    <t>Drilled shaft, 1950mm diameter</t>
  </si>
  <si>
    <t>DRILLED SHAFT, 78-INCH DIAMETER</t>
  </si>
  <si>
    <t>56501-1000</t>
  </si>
  <si>
    <t>Drilled shaft, 2100mm diameter</t>
  </si>
  <si>
    <t>DRILLED SHAFT, 84-INCH DIAMETER</t>
  </si>
  <si>
    <t>56502-0000</t>
  </si>
  <si>
    <t>Trial drilled shaft</t>
  </si>
  <si>
    <t>TRIAL DRILLED SHAFT</t>
  </si>
  <si>
    <t>56502-0100</t>
  </si>
  <si>
    <t>Trial drilled shaft, 450mm diameter</t>
  </si>
  <si>
    <t>TRIAL DRILLED SHAFT, 18-INCH DIAMETER</t>
  </si>
  <si>
    <t>56502-0200</t>
  </si>
  <si>
    <t>Trial drilled shaft, 600mm diameter</t>
  </si>
  <si>
    <t>TRIAL DRILLED SHAFT, 24-INCH DIAMETER</t>
  </si>
  <si>
    <t>56502-0300</t>
  </si>
  <si>
    <t>Trial drilled shaft, 750mm diameter</t>
  </si>
  <si>
    <t>TRIAL DRILLED SHAFT, 30-INCH DIAMETER</t>
  </si>
  <si>
    <t>56502-0400</t>
  </si>
  <si>
    <t>Trial drilled shaft, 900mm diameter</t>
  </si>
  <si>
    <t>TRIAL DRILLED SHAFT, 36-INCH DIAMETER</t>
  </si>
  <si>
    <t>56502-0500</t>
  </si>
  <si>
    <t>Trial drilled shaft, 1050mm diameter</t>
  </si>
  <si>
    <t>TRIAL DRILLED SHAFT, 42-INCH DIAMETER</t>
  </si>
  <si>
    <t>56502-0600</t>
  </si>
  <si>
    <t>Trial drilled shaft, 1200mm diameter</t>
  </si>
  <si>
    <t>TRIAL DRILLED SHAFT, 48-INCH DIAMETER</t>
  </si>
  <si>
    <t>56502-0700</t>
  </si>
  <si>
    <t>Trial drilled shaft, 1350mm diameter</t>
  </si>
  <si>
    <t>TRIAL DRILLED SHAFT, 54-INCH DIAMETER</t>
  </si>
  <si>
    <t>56502-0800</t>
  </si>
  <si>
    <t>Trial drilled shaft, 1500mm diameter</t>
  </si>
  <si>
    <t>TRIAL DRILLED SHAFT, 60-INCH DIAMETER</t>
  </si>
  <si>
    <t>56502-0900</t>
  </si>
  <si>
    <t>Trial drilled shaft, 1800mm diameter</t>
  </si>
  <si>
    <t>TRIAL DRILLED SHAFT, 72-INCH DIAMETER</t>
  </si>
  <si>
    <t>56502-1000</t>
  </si>
  <si>
    <t>Trial drilled shaft, 2100mm diameter</t>
  </si>
  <si>
    <t>TRIAL DRILLED SHAFT, 84-INCH DIAMETER</t>
  </si>
  <si>
    <t>56503-0000</t>
  </si>
  <si>
    <t>Secant pile</t>
  </si>
  <si>
    <t>SECANT PILE</t>
  </si>
  <si>
    <t>56503-0400</t>
  </si>
  <si>
    <t>Secant pile, 900mm diameter</t>
  </si>
  <si>
    <t>SECANT PILE, 36-INCH DIAMETER</t>
  </si>
  <si>
    <t>56503-0500</t>
  </si>
  <si>
    <t>Secant pile, 1050mm diameter</t>
  </si>
  <si>
    <t>SECANT PILE, 42-INCH DIAMETER</t>
  </si>
  <si>
    <t>56503-0600</t>
  </si>
  <si>
    <t>Secant pile, 1200mm diameter</t>
  </si>
  <si>
    <t>SECANT PILE, 48-INCH DIAMETER</t>
  </si>
  <si>
    <t>56505-0000</t>
  </si>
  <si>
    <t>Crosshole sonic logging</t>
  </si>
  <si>
    <t>CROSSHOLE SONIC LOGGING</t>
  </si>
  <si>
    <t>56506-0000</t>
  </si>
  <si>
    <t>Coring/pressure grouting</t>
  </si>
  <si>
    <t>CORING/PRESSURE GROUTING</t>
  </si>
  <si>
    <t>56507-0000</t>
  </si>
  <si>
    <t>Temporary casing</t>
  </si>
  <si>
    <t>TEMPORARY CASING</t>
  </si>
  <si>
    <t>56601-0000</t>
  </si>
  <si>
    <t>Shotcrete</t>
  </si>
  <si>
    <t>SHOTCRETE</t>
  </si>
  <si>
    <t>56601-0100</t>
  </si>
  <si>
    <t>Shotcrete, grading A</t>
  </si>
  <si>
    <t>SHOTCRETE, GRADING A</t>
  </si>
  <si>
    <t>56601-0200</t>
  </si>
  <si>
    <t>Shotcrete, grading B</t>
  </si>
  <si>
    <t>SHOTCRETE, GRADING B</t>
  </si>
  <si>
    <t>56601-1000</t>
  </si>
  <si>
    <t>Shotcrete, 50mm depth</t>
  </si>
  <si>
    <t>SHOTCRETE, 2-INCH DEPTH</t>
  </si>
  <si>
    <t>56601-1100</t>
  </si>
  <si>
    <t>Shotcrete, grading A, 50mm depth</t>
  </si>
  <si>
    <t>SHOTCRETE, GRADING A, 2-INCH DEPTH</t>
  </si>
  <si>
    <t>56601-1200</t>
  </si>
  <si>
    <t>Shotcrete, grading B, 50mm depth</t>
  </si>
  <si>
    <t>SHOTCRETE, GRADING B, 2-INCH DEPTH</t>
  </si>
  <si>
    <t>56601-2000</t>
  </si>
  <si>
    <t>Shotcrete, 100mm depth</t>
  </si>
  <si>
    <t>SHOTCRETE, 4-INCH DEPTH</t>
  </si>
  <si>
    <t>56601-2100</t>
  </si>
  <si>
    <t>Shotcrete, grading A, 100mm depth</t>
  </si>
  <si>
    <t>SHOTCRETE, GRADING A, 4-INCH DEPTH</t>
  </si>
  <si>
    <t>56601-2200</t>
  </si>
  <si>
    <t>Shotcrete, grading B, 100mm depth</t>
  </si>
  <si>
    <t>SHOTCRETE, GRADING B, 4-INCH DEPTH</t>
  </si>
  <si>
    <t>56601-3000</t>
  </si>
  <si>
    <t>Shotcrete, 150mm depth</t>
  </si>
  <si>
    <t>SHOTCRETE, 6-INCH DEPTH</t>
  </si>
  <si>
    <t>56601-3100</t>
  </si>
  <si>
    <t>Shotcrete, grading A, 150mm depth</t>
  </si>
  <si>
    <t>SHOTCRETE, GRADING A, 6-INCH DEPTH</t>
  </si>
  <si>
    <t>56601-3200</t>
  </si>
  <si>
    <t>Shotcrete, grading B, 150mm depth</t>
  </si>
  <si>
    <t>SHOTCRETE, GRADING B, 6-INCH DEPTH</t>
  </si>
  <si>
    <t>56602-0000</t>
  </si>
  <si>
    <t>56602-0100</t>
  </si>
  <si>
    <t>56602-0200</t>
  </si>
  <si>
    <t>56603-0000</t>
  </si>
  <si>
    <t>Reinforced shotcrete</t>
  </si>
  <si>
    <t>REINFORCED SHOTCRETE</t>
  </si>
  <si>
    <t>56603-0100</t>
  </si>
  <si>
    <t>Reinforced shotcrete, grading A</t>
  </si>
  <si>
    <t>REINFORCED SHOTCRETE, GRADING A</t>
  </si>
  <si>
    <t>56603-0200</t>
  </si>
  <si>
    <t>Reinforced shotcrete, grading B</t>
  </si>
  <si>
    <t>REINFORCED SHOTCRETE, GRADING B</t>
  </si>
  <si>
    <t>56603-1000</t>
  </si>
  <si>
    <t>Reinforced shotcrete, 50mm depth</t>
  </si>
  <si>
    <t>REINFORCED SHOTCRETE, 2-INCH DEPTH</t>
  </si>
  <si>
    <t>56603-1100</t>
  </si>
  <si>
    <t>Reinforced shotcrete, grading A, 50mm depth</t>
  </si>
  <si>
    <t>REINFORCED SHOTCRETE, GRADING A, 2-INCH DEPTH</t>
  </si>
  <si>
    <t>56603-1200</t>
  </si>
  <si>
    <t>Reinforced shotcrete, grading B, 50mm depth</t>
  </si>
  <si>
    <t>REINFORCED SHOTCRETE, GRADING B, 2-INCH DEPTH</t>
  </si>
  <si>
    <t>56603-2000</t>
  </si>
  <si>
    <t>Reinforced shotcrete, 100mm depth</t>
  </si>
  <si>
    <t>REINFORCED SHOTCRETE, 4-INCH DEPTH</t>
  </si>
  <si>
    <t>56603-2100</t>
  </si>
  <si>
    <t>Reinforced shotcrete, grading A, 100mm depth</t>
  </si>
  <si>
    <t>REINFORCED SHOTCRETE, GRADING A, 4-INCH DEPTH</t>
  </si>
  <si>
    <t>56603-2200</t>
  </si>
  <si>
    <t>Reinforced shotcrete, grading B, 100mm depth</t>
  </si>
  <si>
    <t>REINFORCED SHOTCRETE, GRADING B, 4-INCH DEPTH</t>
  </si>
  <si>
    <t>56603-3000</t>
  </si>
  <si>
    <t>Reinforced shotcrete, 150mm depth</t>
  </si>
  <si>
    <t>REINFORCED SHOTCRETE, 6-INCH DEPTH</t>
  </si>
  <si>
    <t>56603-3100</t>
  </si>
  <si>
    <t>Reinforced shotcrete, grading A, 150mm depth</t>
  </si>
  <si>
    <t>REINFORCED SHOTCRETE, GRADING A, 6-INCH DEPTH</t>
  </si>
  <si>
    <t>56603-3200</t>
  </si>
  <si>
    <t>Reinforced shotcrete, grading B, 150mm depth</t>
  </si>
  <si>
    <t>REINFORCED SHOTCRETE, GRADING B, 6-INCH DEPTH</t>
  </si>
  <si>
    <t>56603-4000</t>
  </si>
  <si>
    <t>Reinforced shotcrete, 200mm depth</t>
  </si>
  <si>
    <t>REINFORCED SHOTCRETE, 8-INCH DEPTH</t>
  </si>
  <si>
    <t>56603-4100</t>
  </si>
  <si>
    <t>Reinforced shotcrete, grading A, 200mm depth</t>
  </si>
  <si>
    <t>REINFORCED SHOTCRETE, GRADING A, 8-INCH DEPTH</t>
  </si>
  <si>
    <t>56603-4200</t>
  </si>
  <si>
    <t>Reinforced shotcrete, grading B, 200mm depth</t>
  </si>
  <si>
    <t>REINFORCED SHOTCRETE, GRADING B, 8-INCH DEPTH</t>
  </si>
  <si>
    <t>56603-5000</t>
  </si>
  <si>
    <t>Reinforced shotcrete, 250mm depth</t>
  </si>
  <si>
    <t>REINFORCED SHOTCRETE, 10-INCH DEPTH</t>
  </si>
  <si>
    <t>56603-5100</t>
  </si>
  <si>
    <t>Reinforced shotcrete, grading A, 250mm depth</t>
  </si>
  <si>
    <t>REINFORCED SHOTCRETE, GRADING A, 10-INCH DEPTH</t>
  </si>
  <si>
    <t>56603-5200</t>
  </si>
  <si>
    <t>Reinforced shotcrete, grading B, 250mm depth</t>
  </si>
  <si>
    <t>REINFORCED SHOTCRETE, GRADING B, 10-INCH DEPTH</t>
  </si>
  <si>
    <t>56603-6000</t>
  </si>
  <si>
    <t>Reinforced shotcrete, 300mm depth</t>
  </si>
  <si>
    <t>REINFORCED SHOTCRETE, 12-INCH DEPTH</t>
  </si>
  <si>
    <t>56603-6100</t>
  </si>
  <si>
    <t>Reinforced shotcrete, grading A, 300mm depth</t>
  </si>
  <si>
    <t>REINFORCED SHOTCRETE, GRADING A, 12-INCH DEPTH</t>
  </si>
  <si>
    <t>56603-6200</t>
  </si>
  <si>
    <t>Reinforced shotcrete, grading B, 300mm depth</t>
  </si>
  <si>
    <t>REINFORCED SHOTCRETE, GRADING B, 12-INCH DEPTH</t>
  </si>
  <si>
    <t>56604-0000</t>
  </si>
  <si>
    <t>56604-0100</t>
  </si>
  <si>
    <t>56604-0200</t>
  </si>
  <si>
    <t>56701-0000</t>
  </si>
  <si>
    <t>Micropile</t>
  </si>
  <si>
    <t>MICROPILE</t>
  </si>
  <si>
    <t>56702-0000</t>
  </si>
  <si>
    <t>56703-0000</t>
  </si>
  <si>
    <t>Micropile, additional length</t>
  </si>
  <si>
    <t>MICROPILE, ADDITIONAL LENGTH</t>
  </si>
  <si>
    <t>56705-0000</t>
  </si>
  <si>
    <t>Micropile load verification test</t>
  </si>
  <si>
    <t>MICROPILE LOAD VERIFICATION TEST</t>
  </si>
  <si>
    <t>56706-0000</t>
  </si>
  <si>
    <t>Micropile proof load test</t>
  </si>
  <si>
    <t>MICROPILE PROOF LOAD TEST</t>
  </si>
  <si>
    <t>56801-0000</t>
  </si>
  <si>
    <t>56802-0000</t>
  </si>
  <si>
    <t>56901-0000</t>
  </si>
  <si>
    <t>Concrete overlay</t>
  </si>
  <si>
    <t>CONCRETE OVERLAY</t>
  </si>
  <si>
    <t>56901-1000</t>
  </si>
  <si>
    <t>Concrete overlay, class LMC</t>
  </si>
  <si>
    <t>CONCRETE OVERLAY, CLASS LMC</t>
  </si>
  <si>
    <t>56901-1500</t>
  </si>
  <si>
    <t>Concrete overlay, class HPC(O)</t>
  </si>
  <si>
    <t>57401-0000</t>
  </si>
  <si>
    <t>GRS-IBS, geosynthetic reinforcement</t>
  </si>
  <si>
    <t>GRS-IBS, GEOSYNTHETIC REINFORCEMENT</t>
  </si>
  <si>
    <t>57402-0000</t>
  </si>
  <si>
    <t>GRS-IBS, open-graded backfill</t>
  </si>
  <si>
    <t>GRS-IBS, OPEN-GRADED BACKFILL</t>
  </si>
  <si>
    <t>57403-0000</t>
  </si>
  <si>
    <t>GRS-IBS, concrete masonry unit</t>
  </si>
  <si>
    <t>GRS-IBS, CONCRETE MASONRY UNIT</t>
  </si>
  <si>
    <t>57403-1000</t>
  </si>
  <si>
    <t>GRS-IBS, segmental retaining wall unit (SRWU)</t>
  </si>
  <si>
    <t>GRS-IBS, SEGMENTAL RETAINING WALL UNIT (SRWU)</t>
  </si>
  <si>
    <t>Minor bridge work</t>
  </si>
  <si>
    <t>MINOR BRIDGE WORK</t>
  </si>
  <si>
    <t>57502-0000</t>
  </si>
  <si>
    <t>Temporary bridge</t>
  </si>
  <si>
    <t>TEMPORARY BRIDGE</t>
  </si>
  <si>
    <t>57520-0000</t>
  </si>
  <si>
    <t>Temporary bridge rental</t>
  </si>
  <si>
    <t>TEMPORARY BRIDGE RENTAL</t>
  </si>
  <si>
    <t>57601-0000</t>
  </si>
  <si>
    <t>Pile encapsulation</t>
  </si>
  <si>
    <t>PILE ENCAPSULATION</t>
  </si>
  <si>
    <t>57601-1000</t>
  </si>
  <si>
    <t>Pile encapsulation with cathodic protection</t>
  </si>
  <si>
    <t>PILE ENCAPSULATION WITH CATHODIC PROTECTION</t>
  </si>
  <si>
    <t>57701-0100</t>
  </si>
  <si>
    <t>Polymer structure, pedestrian bridge</t>
  </si>
  <si>
    <t>POLYMER STRUCTURE, PEDESTRIAN BRIDGE</t>
  </si>
  <si>
    <t>57705-0100</t>
  </si>
  <si>
    <t>Fiber reinforced polymer (FRP), strengthening system</t>
  </si>
  <si>
    <t>FIBER REINFORCED POLYMER (FRP), STRENGTHENING SYSTEM</t>
  </si>
  <si>
    <t>58001-0000</t>
  </si>
  <si>
    <t>Alternate bridge</t>
  </si>
  <si>
    <t>ALTERNATE BRIDGE</t>
  </si>
  <si>
    <t>58101-1000</t>
  </si>
  <si>
    <t>Cables and anchor components, main cable system</t>
  </si>
  <si>
    <t>CABLES AND ANCHOR COMPONENTS, MAIN CABLE SYSTEM</t>
  </si>
  <si>
    <t>58101-2000</t>
  </si>
  <si>
    <t>Cables and anchor components, wind cable system</t>
  </si>
  <si>
    <t>CABLES AND ANCHOR COMPONENTS, WIND CABLE SYSTEM</t>
  </si>
  <si>
    <t>58101-3000</t>
  </si>
  <si>
    <t>Cables and anchor components, steel corrosion protection</t>
  </si>
  <si>
    <t>CABLES AND ANCHOR COMPONENTS, STEEL CORROSION PROTECTION</t>
  </si>
  <si>
    <t>58301-0000</t>
  </si>
  <si>
    <t>Carbon fiber reinforced polymer</t>
  </si>
  <si>
    <t>CARBON FIBER REINFORCED POLYMER</t>
  </si>
  <si>
    <t>58302-0000</t>
  </si>
  <si>
    <t>Carbon fiber reinforced polymer test</t>
  </si>
  <si>
    <t>CARBON FIBER REINFORCED POLYMER TEST</t>
  </si>
  <si>
    <t>58401-0000</t>
  </si>
  <si>
    <t>GLASS FIBER REINFORCED POLYMER (GFRP) REINFORCING BARS</t>
  </si>
  <si>
    <t>58405-1000</t>
  </si>
  <si>
    <t>Fiberglass reinforced plastic, grating</t>
  </si>
  <si>
    <t>FIBERGLASS REINFORCED PLASTIC, GRATING</t>
  </si>
  <si>
    <t>60101-0000</t>
  </si>
  <si>
    <t>Concrete</t>
  </si>
  <si>
    <t>CONCRETE</t>
  </si>
  <si>
    <t>60102-0000</t>
  </si>
  <si>
    <t>60103-0000</t>
  </si>
  <si>
    <t>Concrete, headwall</t>
  </si>
  <si>
    <t>CONCRETE, HEADWALL</t>
  </si>
  <si>
    <t>60103-0020</t>
  </si>
  <si>
    <t>Concrete, headwall for 150mm pipe culvert</t>
  </si>
  <si>
    <t>CONCRETE, HEADWALL FOR 6-INCH PIPE CULVERT</t>
  </si>
  <si>
    <t>60103-0040</t>
  </si>
  <si>
    <t>Concrete, headwall for 200mm pipe culvert</t>
  </si>
  <si>
    <t>CONCRETE, HEADWALL FOR 8-INCH PIPE CULVERT</t>
  </si>
  <si>
    <t>60103-0060</t>
  </si>
  <si>
    <t>Concrete, headwall for 300mm pipe culvert</t>
  </si>
  <si>
    <t>CONCRETE, HEADWALL FOR 12-INCH PIPE CULVERT</t>
  </si>
  <si>
    <t>60103-0080</t>
  </si>
  <si>
    <t>Concrete, headwall for 375mm pipe culvert</t>
  </si>
  <si>
    <t>CONCRETE, HEADWALL FOR 15-INCH PIPE CULVERT</t>
  </si>
  <si>
    <t>60103-0100</t>
  </si>
  <si>
    <t>Concrete, headwall for 450mm pipe culvert</t>
  </si>
  <si>
    <t>CONCRETE, HEADWALL FOR 18-INCH PIPE CULVERT</t>
  </si>
  <si>
    <t>60103-0120</t>
  </si>
  <si>
    <t>Concrete, headwall for 525mm pipe culvert</t>
  </si>
  <si>
    <t>CONCRETE, HEADWALL FOR 21-INCH PIPE CULVERT</t>
  </si>
  <si>
    <t>60103-0140</t>
  </si>
  <si>
    <t>Concrete, headwall for 600mm pipe culvert</t>
  </si>
  <si>
    <t>CONCRETE, HEADWALL FOR 24-INCH PIPE CULVERT</t>
  </si>
  <si>
    <t>60103-0160</t>
  </si>
  <si>
    <t>Concrete, headwall for 750mm pipe culvert</t>
  </si>
  <si>
    <t>CONCRETE, HEADWALL FOR 30-INCH PIPE CULVERT</t>
  </si>
  <si>
    <t>60103-0180</t>
  </si>
  <si>
    <t>Concrete, headwall for 900mm pipe culvert</t>
  </si>
  <si>
    <t>CONCRETE, HEADWALL FOR 36-INCH PIPE CULVERT</t>
  </si>
  <si>
    <t>60103-0200</t>
  </si>
  <si>
    <t>Concrete, headwall for 1050mm pipe culvert</t>
  </si>
  <si>
    <t>CONCRETE, HEADWALL FOR 42-INCH PIPE CULVERT</t>
  </si>
  <si>
    <t>60103-0220</t>
  </si>
  <si>
    <t>Concrete, headwall for 1200mm pipe culvert</t>
  </si>
  <si>
    <t>CONCRETE, HEADWALL FOR 48-INCH PIPE CULVERT</t>
  </si>
  <si>
    <t>60103-0240</t>
  </si>
  <si>
    <t>Concrete, headwall for 1350mm pipe culvert</t>
  </si>
  <si>
    <t>CONCRETE, HEADWALL FOR 54-INCH PIPE CULVERT</t>
  </si>
  <si>
    <t>60103-0260</t>
  </si>
  <si>
    <t>Concrete, headwall for 1500mm pipe culvert</t>
  </si>
  <si>
    <t>CONCRETE, HEADWALL FOR 60-INCH PIPE CULVERT</t>
  </si>
  <si>
    <t>60103-0280</t>
  </si>
  <si>
    <t>Concrete, headwall for 1650mm pipe culvert</t>
  </si>
  <si>
    <t>CONCRETE, HEADWALL FOR 66-INCH PIPE CULVERT</t>
  </si>
  <si>
    <t>60103-0300</t>
  </si>
  <si>
    <t>Concrete, headwall for 1800mm pipe culvert</t>
  </si>
  <si>
    <t>CONCRETE, HEADWALL FOR 72-INCH PIPE CULVERT</t>
  </si>
  <si>
    <t>60103-0320</t>
  </si>
  <si>
    <t>Concrete, headwall for 1950mm pipe culvert</t>
  </si>
  <si>
    <t>CONCRETE, HEADWALL FOR 78-INCH PIPE CULVERT</t>
  </si>
  <si>
    <t>60103-0340</t>
  </si>
  <si>
    <t>Concrete, headwall for 2100mm pipe culvert</t>
  </si>
  <si>
    <t>CONCRETE, HEADWALL FOR 84-INCH PIPE CULVERT</t>
  </si>
  <si>
    <t>60103-0360</t>
  </si>
  <si>
    <t>Concrete, headwall for 2250mm pipe culvert</t>
  </si>
  <si>
    <t>CONCRETE, HEADWALL FOR 90-INCH PIPE CULVERT</t>
  </si>
  <si>
    <t>60103-0380</t>
  </si>
  <si>
    <t>Concrete, headwall for 2400mm pipe culvert</t>
  </si>
  <si>
    <t>CONCRETE, HEADWALL FOR 96-INCH PIPE CULVERT</t>
  </si>
  <si>
    <t>60103-0400</t>
  </si>
  <si>
    <t>Concrete, headwall for 2550mm pipe culvert</t>
  </si>
  <si>
    <t>CONCRETE, HEADWALL FOR 102-INCH PIPE CULVERT</t>
  </si>
  <si>
    <t>60103-0420</t>
  </si>
  <si>
    <t>Concrete, headwall for 3000mm pipe culvert</t>
  </si>
  <si>
    <t>CONCRETE, HEADWALL FOR 120-INCH PIPE CULVERT</t>
  </si>
  <si>
    <t>60103-0440</t>
  </si>
  <si>
    <t>Concrete, headwall for 3600mm pipe culvert</t>
  </si>
  <si>
    <t>CONCRETE, HEADWALL FOR 144-INCH PIPE CULVERT</t>
  </si>
  <si>
    <t>60103-0500</t>
  </si>
  <si>
    <t>Concrete, headwall for double 150mm pipe culvert</t>
  </si>
  <si>
    <t>CONCRETE, HEADWALL FOR DOUBLE 6-INCH PIPE CULVERT</t>
  </si>
  <si>
    <t>60103-0520</t>
  </si>
  <si>
    <t>Concrete, headwall for double 200mm pipe culvert</t>
  </si>
  <si>
    <t>CONCRETE, HEADWALL FOR DOUBLE 8-INCH PIPE CULVERT</t>
  </si>
  <si>
    <t>60103-0540</t>
  </si>
  <si>
    <t>Concrete, headwall for double 300mm pipe culvert</t>
  </si>
  <si>
    <t>CONCRETE, HEADWALL FOR DOUBLE 12-INCH PIPE CULVERT</t>
  </si>
  <si>
    <t>60103-0560</t>
  </si>
  <si>
    <t>Concrete, headwall for double 375mm pipe culvert</t>
  </si>
  <si>
    <t>CONCRETE, HEADWALL FOR DOUBLE 15-INCH PIPE CULVERT</t>
  </si>
  <si>
    <t>60103-0580</t>
  </si>
  <si>
    <t>Concrete, headwall for double 450mm pipe culvert</t>
  </si>
  <si>
    <t>CONCRETE, HEADWALL FOR DOUBLE 18-INCH PIPE CULVERT</t>
  </si>
  <si>
    <t>60103-0600</t>
  </si>
  <si>
    <t>Concrete, headwall for double 525mm pipe culvert</t>
  </si>
  <si>
    <t>CONCRETE, HEADWALL FOR DOUBLE 21-INCH PIPE CULVERT</t>
  </si>
  <si>
    <t>60103-0620</t>
  </si>
  <si>
    <t>Concrete, headwall for double 600mm pipe culvert</t>
  </si>
  <si>
    <t>CONCRETE, HEADWALL FOR DOUBLE 24-INCH PIPE CULVERT</t>
  </si>
  <si>
    <t>60103-0640</t>
  </si>
  <si>
    <t>Concrete, headwall for double 750mm pipe culvert</t>
  </si>
  <si>
    <t>CONCRETE, HEADWALL FOR DOUBLE 30-INCH PIPE CULVERT</t>
  </si>
  <si>
    <t>60103-0660</t>
  </si>
  <si>
    <t>Concrete, headwall for double 900mm pipe culvert</t>
  </si>
  <si>
    <t>CONCRETE, HEADWALL FOR DOUBLE 36-INCH PIPE CULVERT</t>
  </si>
  <si>
    <t>60103-0680</t>
  </si>
  <si>
    <t>Concrete, headwall for double 1050mm pipe culvert</t>
  </si>
  <si>
    <t>CONCRETE, HEADWALL FOR DOUBLE 42-INCH PIPE CULVERT</t>
  </si>
  <si>
    <t>60103-0700</t>
  </si>
  <si>
    <t>Concrete, headwall for double 1200mm pipe culvert</t>
  </si>
  <si>
    <t>CONCRETE, HEADWALL FOR DOUBLE 48-INCH PIPE CULVERT</t>
  </si>
  <si>
    <t>60103-0720</t>
  </si>
  <si>
    <t>Concrete, headwall for double 1350mm pipe culvert</t>
  </si>
  <si>
    <t>CONCRETE, HEADWALL FOR DOUBLE 54-INCH PIPE CULVERT</t>
  </si>
  <si>
    <t>60103-0740</t>
  </si>
  <si>
    <t>Concrete, headwall for double 1500mm pipe culvert</t>
  </si>
  <si>
    <t>CONCRETE, HEADWALL FOR DOUBLE 60-INCH PIPE CULVERT</t>
  </si>
  <si>
    <t>60103-0760</t>
  </si>
  <si>
    <t>Concrete, headwall for double 1650mm pipe culvert</t>
  </si>
  <si>
    <t>CONCRETE, HEADWALL FOR DOUBLE 66-INCH PIPE CULVERT</t>
  </si>
  <si>
    <t>60103-0780</t>
  </si>
  <si>
    <t>Concrete, headwall for double 1800mm pipe culvert</t>
  </si>
  <si>
    <t>CONCRETE, HEADWALL FOR DOUBLE 72-INCH PIPE CULVERT</t>
  </si>
  <si>
    <t>60103-0800</t>
  </si>
  <si>
    <t>Concrete, headwall for double 1950mm pipe culvert</t>
  </si>
  <si>
    <t>CONCRETE, HEADWALL FOR DOUBLE 78-INCH PIPE CULVERT</t>
  </si>
  <si>
    <t>60103-0820</t>
  </si>
  <si>
    <t>Concrete, headwall for double 2100mm pipe culvert</t>
  </si>
  <si>
    <t>CONCRETE, HEADWALL FOR DOUBLE 84-INCH PIPE CULVERT</t>
  </si>
  <si>
    <t>60103-0840</t>
  </si>
  <si>
    <t>Concrete, headwall for double 2250mm pipe culvert</t>
  </si>
  <si>
    <t>CONCRETE, HEADWALL FOR DOUBLE 90-INCH PIPE CULVERT</t>
  </si>
  <si>
    <t>60103-0860</t>
  </si>
  <si>
    <t>Concrete, headwall for double 2400mm pipe culvert</t>
  </si>
  <si>
    <t>CONCRETE, HEADWALL FOR DOUBLE 96-INCH PIPE CULVERT</t>
  </si>
  <si>
    <t>60103-0880</t>
  </si>
  <si>
    <t>Concrete, headwall for double 2550mm pipe culvert</t>
  </si>
  <si>
    <t>CONCRETE, HEADWALL FOR DOUBLE 102-INCH PIPE CULVERT</t>
  </si>
  <si>
    <t>60103-0900</t>
  </si>
  <si>
    <t>Concrete, headwall for double 3000mm pipe culvert</t>
  </si>
  <si>
    <t>CONCRETE, HEADWALL FOR DOUBLE 120-INCH PIPE CULVERT</t>
  </si>
  <si>
    <t>60103-0920</t>
  </si>
  <si>
    <t>Concrete, headwall for double 3600mm pipe culvert</t>
  </si>
  <si>
    <t>CONCRETE, HEADWALL FOR DOUBLE 144-INCH PIPE CULVERT</t>
  </si>
  <si>
    <t>60103-1220</t>
  </si>
  <si>
    <t>Concrete, headwall for triple 600mm pipe culvert</t>
  </si>
  <si>
    <t>CONCRETE, HEADWALL FOR TRIPLE 24-INCH PIPE CULVERT</t>
  </si>
  <si>
    <t>60103-1240</t>
  </si>
  <si>
    <t>Concrete, headwall for triple 750mm pipe culvert</t>
  </si>
  <si>
    <t>CONCRETE, HEADWALL FOR TRIPLE 30-INCH PIPE CULVERT</t>
  </si>
  <si>
    <t>60103-1260</t>
  </si>
  <si>
    <t>Concrete, headwall for triple 900mm pipe culvert</t>
  </si>
  <si>
    <t>CONCRETE, HEADWALL FOR TRIPLE 36-INCH PIPE CULVERT</t>
  </si>
  <si>
    <t>60103-1800</t>
  </si>
  <si>
    <t>Concrete, headwall for 150mm equivalent diameter pipe culvert</t>
  </si>
  <si>
    <t>CONCRETE, HEADWALL FOR 6-INCH EQUIVALENT DIAMETER PIPE CULVERT</t>
  </si>
  <si>
    <t>60103-1820</t>
  </si>
  <si>
    <t>Concrete, headwall for 200mm equivalent diameter pipe culvert</t>
  </si>
  <si>
    <t>CONCRETE, HEADWALL FOR 8-INCH EQUIVALENT DIAMETER PIPE CULVERT</t>
  </si>
  <si>
    <t>60103-1840</t>
  </si>
  <si>
    <t>Concrete, headwall for 300mm equivalent diameter pipe culvert</t>
  </si>
  <si>
    <t>CONCRETE, HEADWALL FOR 12-INCH EQUIVALENT DIAMETER PIPE CULVERT</t>
  </si>
  <si>
    <t>60103-1860</t>
  </si>
  <si>
    <t>Concrete, headwall for 375mm equivalent diameter pipe culvert</t>
  </si>
  <si>
    <t>CONCRETE, HEADWALL FOR 15-INCH EQUIVALENT DIAMETER PIPE CULVERT</t>
  </si>
  <si>
    <t>60103-1880</t>
  </si>
  <si>
    <t>Concrete, headwall for 450mm equivalent diameter pipe culvert</t>
  </si>
  <si>
    <t>CONCRETE, HEADWALL FOR 18-INCH EQUIVALENT DIAMETER PIPE CULVERT</t>
  </si>
  <si>
    <t>60103-1900</t>
  </si>
  <si>
    <t>Concrete, headwall for 525mm equivalent diameter pipe culvert</t>
  </si>
  <si>
    <t>CONCRETE, HEADWALL FOR 21-INCH EQUIVALENT DIAMETER PIPE CULVERT</t>
  </si>
  <si>
    <t>60103-1920</t>
  </si>
  <si>
    <t>Concrete, headwall for 600mm equivalent diameter pipe culvert</t>
  </si>
  <si>
    <t>CONCRETE, HEADWALL FOR 24-INCH EQUIVALENT DIAMETER PIPE CULVERT</t>
  </si>
  <si>
    <t>60103-1940</t>
  </si>
  <si>
    <t>Concrete, headwall for 750mm equivalent diameter pipe culvert</t>
  </si>
  <si>
    <t>CONCRETE, HEADWALL FOR 30-INCH EQUIVALENT DIAMETER PIPE CULVERT</t>
  </si>
  <si>
    <t>60103-1960</t>
  </si>
  <si>
    <t>Concrete, headwall for 900mm equivalent diameter pipe culvert</t>
  </si>
  <si>
    <t>CONCRETE, HEADWALL FOR 36-INCH EQUIVALENT DIAMETER PIPE CULVERT</t>
  </si>
  <si>
    <t>60103-1980</t>
  </si>
  <si>
    <t>Concrete, headwall for 1050mm equivalent diameter pipe culvert</t>
  </si>
  <si>
    <t>CONCRETE, HEADWALL FOR 42-INCH EQUIVALENT DIAMETER PIPE CULVERT</t>
  </si>
  <si>
    <t>60103-2000</t>
  </si>
  <si>
    <t>Concrete, headwall for 1200mm equivalent diameter pipe culvert</t>
  </si>
  <si>
    <t>CONCRETE, HEADWALL FOR 48-INCH EQUIVALENT DIAMETER PIPE CULVERT</t>
  </si>
  <si>
    <t>60103-2020</t>
  </si>
  <si>
    <t>Concrete, headwall for 1350mm equivalent diameter pipe culvert</t>
  </si>
  <si>
    <t>CONCRETE, HEADWALL FOR 54-INCH EQUIVALENT DIAMETER PIPE CULVERT</t>
  </si>
  <si>
    <t>60103-2040</t>
  </si>
  <si>
    <t>Concrete, headwall for 1500mm equivalent diameter pipe culvert</t>
  </si>
  <si>
    <t>CONCRETE, HEADWALL FOR 60-INCH EQUIVALENT DIAMETER PIPE CULVERT</t>
  </si>
  <si>
    <t>60103-2060</t>
  </si>
  <si>
    <t>Concrete, headwall for 1650mm equivalent diameter pipe culvert</t>
  </si>
  <si>
    <t>CONCRETE, HEADWALL FOR 66-INCH EQUIVALENT DIAMETER PIPE CULVERT</t>
  </si>
  <si>
    <t>60103-2080</t>
  </si>
  <si>
    <t>Concrete, headwall for 1800mm equivalent diameter pipe culvert</t>
  </si>
  <si>
    <t>CONCRETE, HEADWALL FOR 72-INCH EQUIVALENT DIAMETER PIPE CULVERT</t>
  </si>
  <si>
    <t>60103-2100</t>
  </si>
  <si>
    <t>Concrete, headwall for 1950mm equivalent diameter pipe culvert</t>
  </si>
  <si>
    <t>CONCRETE, HEADWALL FOR 78-INCH EQUIVALENT DIAMETER PIPE CULVERT</t>
  </si>
  <si>
    <t>60103-2120</t>
  </si>
  <si>
    <t>Concrete, headwall for 2100mm equivalent diameter pipe culvert</t>
  </si>
  <si>
    <t>CONCRETE, HEADWALL FOR 84-INCH EQUIVALENT DIAMETER PIPE CULVERT</t>
  </si>
  <si>
    <t>60103-2140</t>
  </si>
  <si>
    <t>Concrete, headwall for 2250mm equivalent diameter pipe culvert</t>
  </si>
  <si>
    <t>CONCRETE, HEADWALL FOR 90-INCH EQUIVALENT DIAMETER PIPE CULVERT</t>
  </si>
  <si>
    <t>60103-2160</t>
  </si>
  <si>
    <t>Concrete, headwall for 2400mm equivalent diameter pipe culvert</t>
  </si>
  <si>
    <t>CONCRETE, HEADWALL FOR 96-INCH EQUIVALENT DIAMETER PIPE CULVERT</t>
  </si>
  <si>
    <t>60103-2180</t>
  </si>
  <si>
    <t>Concrete, headwall for 2550mm equivalent diameter pipe culvert</t>
  </si>
  <si>
    <t>CONCRETE, HEADWALL FOR 102-INCH EQUIVALENT DIAMETER PIPE CULVERT</t>
  </si>
  <si>
    <t>60103-2186</t>
  </si>
  <si>
    <t>Concrete, headwall for 2850mm equivalent diameter pipe culvert</t>
  </si>
  <si>
    <t>CONCRETE, HEADWALL FOR 114-INCH EQUIVALENT DIAMETER PIPE CULVERT</t>
  </si>
  <si>
    <t>60103-2200</t>
  </si>
  <si>
    <t>Concrete, headwall for 3000mm equivalent diameter pipe culvert</t>
  </si>
  <si>
    <t>CONCRETE, HEADWALL FOR 120-INCH EQUIVALENT DIAMETER PIPE CULVERT</t>
  </si>
  <si>
    <t>60103-2220</t>
  </si>
  <si>
    <t>Concrete, headwall for 3600mm equivalent diameter pipe culvert</t>
  </si>
  <si>
    <t>CONCRETE, HEADWALL FOR 144-INCH EQUIVALENT DIAMETER PIPE CULVERT</t>
  </si>
  <si>
    <t>60103-3000</t>
  </si>
  <si>
    <t>Concrete, sloped and flared box inlet/outlet for 600mm pipe culvert</t>
  </si>
  <si>
    <t>CONCRETE, SLOPED AND FLARED BOX INLET/OUTLET FOR 24-INCH PIPE CULVERT</t>
  </si>
  <si>
    <t>60103-3020</t>
  </si>
  <si>
    <t>Concrete, sloped and flared box inlet/outlet for 750mm pipe culvert</t>
  </si>
  <si>
    <t>CONCRETE, SLOPED AND FLARED BOX INLET/OUTLET FOR 30-INCH PIPE CULVERT</t>
  </si>
  <si>
    <t>60103-3040</t>
  </si>
  <si>
    <t>Concrete, sloped and flared box inlet/outlet for 900mm pipe culvert</t>
  </si>
  <si>
    <t>CONCRETE, SLOPED AND FLARED BOX INLET/OUTLET FOR 36-INCH PIPE CULVERT</t>
  </si>
  <si>
    <t>60103-4000</t>
  </si>
  <si>
    <t>Concrete, foundation, light pole</t>
  </si>
  <si>
    <t>CONCRETE, FOUNDATION, LIGHT POLE</t>
  </si>
  <si>
    <t>60103-4200</t>
  </si>
  <si>
    <t>Concrete, plank</t>
  </si>
  <si>
    <t>CONCRETE, PLANK</t>
  </si>
  <si>
    <t>60201-0100</t>
  </si>
  <si>
    <t>100mm pipe culvert</t>
  </si>
  <si>
    <t>4-INCH PIPE CULVERT</t>
  </si>
  <si>
    <t>60201-0200</t>
  </si>
  <si>
    <t>150mm pipe culvert</t>
  </si>
  <si>
    <t>6-INCH PIPE CULVERT</t>
  </si>
  <si>
    <t>60201-0300</t>
  </si>
  <si>
    <t>200mm pipe culvert</t>
  </si>
  <si>
    <t>8-INCH PIPE CULVERT</t>
  </si>
  <si>
    <t>60201-0350</t>
  </si>
  <si>
    <t>250mm pipe culvert</t>
  </si>
  <si>
    <t>10-INCH PIPE CULVERT</t>
  </si>
  <si>
    <t>60201-0400</t>
  </si>
  <si>
    <t>300mm pipe culvert</t>
  </si>
  <si>
    <t>12-INCH PIPE CULVERT</t>
  </si>
  <si>
    <t>60201-0500</t>
  </si>
  <si>
    <t>375mm pipe culvert</t>
  </si>
  <si>
    <t>15-INCH PIPE CULVERT</t>
  </si>
  <si>
    <t>60201-0550</t>
  </si>
  <si>
    <t>400mm pipe culvert</t>
  </si>
  <si>
    <t>16-INCH PIPE CULVERT</t>
  </si>
  <si>
    <t>60201-0600</t>
  </si>
  <si>
    <t>450mm pipe culvert</t>
  </si>
  <si>
    <t>18-INCH PIPE CULVERT</t>
  </si>
  <si>
    <t>60201-0700</t>
  </si>
  <si>
    <t>525mm pipe culvert</t>
  </si>
  <si>
    <t>21-INCH PIPE CULVERT</t>
  </si>
  <si>
    <t>60201-0800</t>
  </si>
  <si>
    <t>600mm pipe culvert</t>
  </si>
  <si>
    <t>24-INCH PIPE CULVERT</t>
  </si>
  <si>
    <t>60201-0900</t>
  </si>
  <si>
    <t>750mm pipe culvert</t>
  </si>
  <si>
    <t>30-INCH PIPE CULVERT</t>
  </si>
  <si>
    <t>60201-1000</t>
  </si>
  <si>
    <t>900mm pipe culvert</t>
  </si>
  <si>
    <t>36-INCH PIPE CULVERT</t>
  </si>
  <si>
    <t>60201-1100</t>
  </si>
  <si>
    <t>1050mm pipe culvert</t>
  </si>
  <si>
    <t>42-INCH PIPE CULVERT</t>
  </si>
  <si>
    <t>60201-1200</t>
  </si>
  <si>
    <t>1200mm pipe culvert</t>
  </si>
  <si>
    <t>48-INCH PIPE CULVERT</t>
  </si>
  <si>
    <t>60201-1300</t>
  </si>
  <si>
    <t>1350mm pipe culvert</t>
  </si>
  <si>
    <t>54-INCH PIPE CULVERT</t>
  </si>
  <si>
    <t>60201-1400</t>
  </si>
  <si>
    <t>1500mm pipe culvert</t>
  </si>
  <si>
    <t>60-INCH PIPE CULVERT</t>
  </si>
  <si>
    <t>60201-1500</t>
  </si>
  <si>
    <t>1650mm pipe culvert</t>
  </si>
  <si>
    <t>66-INCH PIPE CULVERT</t>
  </si>
  <si>
    <t>60201-1600</t>
  </si>
  <si>
    <t>1800mm pipe culvert</t>
  </si>
  <si>
    <t>72-INCH PIPE CULVERT</t>
  </si>
  <si>
    <t>60201-1700</t>
  </si>
  <si>
    <t>1950mm pipe culvert</t>
  </si>
  <si>
    <t>78-INCH PIPE CULVERT</t>
  </si>
  <si>
    <t>60201-1800</t>
  </si>
  <si>
    <t>2100mm pipe culvert</t>
  </si>
  <si>
    <t>84-INCH PIPE CULVERT</t>
  </si>
  <si>
    <t>60201-1900</t>
  </si>
  <si>
    <t>2250mm pipe culvert</t>
  </si>
  <si>
    <t>90-INCH PIPE CULVERT</t>
  </si>
  <si>
    <t>60201-2000</t>
  </si>
  <si>
    <t>2400mm pipe culvert</t>
  </si>
  <si>
    <t>96-INCH PIPE CULVERT</t>
  </si>
  <si>
    <t>60201-2100</t>
  </si>
  <si>
    <t>2550mm pipe culvert</t>
  </si>
  <si>
    <t>102-INCH PIPE CULVERT</t>
  </si>
  <si>
    <t>60201-2200</t>
  </si>
  <si>
    <t>2700mm pipe culvert</t>
  </si>
  <si>
    <t>108-INCH PIPE CULVERT</t>
  </si>
  <si>
    <t>60201-2250</t>
  </si>
  <si>
    <t>2850mm pipe culvert</t>
  </si>
  <si>
    <t>114-INCH PIPE CULVERT</t>
  </si>
  <si>
    <t>60201-2300</t>
  </si>
  <si>
    <t>3000mm pipe culvert</t>
  </si>
  <si>
    <t>120-INCH PIPE CULVERT</t>
  </si>
  <si>
    <t>60201-2400</t>
  </si>
  <si>
    <t>3300mm pipe culvert</t>
  </si>
  <si>
    <t>132-INCH PIPE CULVERT</t>
  </si>
  <si>
    <t>60201-2500</t>
  </si>
  <si>
    <t>3600mm pipe culvert</t>
  </si>
  <si>
    <t>144-INCH PIPE CULVERT</t>
  </si>
  <si>
    <t>60202-0100</t>
  </si>
  <si>
    <t>375mm equivalent diameter arch or elliptical pipe culvert</t>
  </si>
  <si>
    <t>15-INCH EQUIVALENT DIAMETER ARCH OR ELLIPTICAL PIPE CULVERT</t>
  </si>
  <si>
    <t>60202-0200</t>
  </si>
  <si>
    <t>450mm equivalent diameter arch or elliptical pipe culvert</t>
  </si>
  <si>
    <t>18-INCH EQUIVALENT DIAMETER ARCH OR ELLIPTICAL PIPE CULVERT</t>
  </si>
  <si>
    <t>60202-0300</t>
  </si>
  <si>
    <t>525mm equivalent diameter arch or elliptical pipe culvert</t>
  </si>
  <si>
    <t>21-INCH EQUIVALENT DIAMETER ARCH OR ELLIPTICAL PIPE CULVERT</t>
  </si>
  <si>
    <t>60202-0400</t>
  </si>
  <si>
    <t>600mm equivalent diameter arch or elliptical pipe culvert</t>
  </si>
  <si>
    <t>24-INCH EQUIVALENT DIAMETER ARCH OR ELLIPTICAL PIPE CULVERT</t>
  </si>
  <si>
    <t>60202-0500</t>
  </si>
  <si>
    <t>750mm equivalent diameter arch or elliptical pipe culvert</t>
  </si>
  <si>
    <t>30-INCH EQUIVALENT DIAMETER ARCH OR ELLIPTICAL PIPE CULVERT</t>
  </si>
  <si>
    <t>60202-0600</t>
  </si>
  <si>
    <t>900mm equivalent diameter arch or elliptical pipe culvert</t>
  </si>
  <si>
    <t>36-INCH EQUIVALENT DIAMETER ARCH OR ELLIPTICAL PIPE CULVERT</t>
  </si>
  <si>
    <t>60202-0700</t>
  </si>
  <si>
    <t>1050mm equivalent diameter arch or elliptical pipe culvert</t>
  </si>
  <si>
    <t>42-INCH EQUIVALENT DIAMETER ARCH OR ELLIPTICAL PIPE CULVERT</t>
  </si>
  <si>
    <t>60202-0800</t>
  </si>
  <si>
    <t>1200mm equivalent diameter arch or elliptical pipe culvert</t>
  </si>
  <si>
    <t>48-INCH EQUIVALENT DIAMETER ARCH OR ELLIPTICAL PIPE CULVERT</t>
  </si>
  <si>
    <t>60202-0900</t>
  </si>
  <si>
    <t>1350mm equivalent diameter arch or elliptical pipe culvert</t>
  </si>
  <si>
    <t>54-INCH EQUIVALENT DIAMETER ARCH OR ELLIPTICAL PIPE CULVERT</t>
  </si>
  <si>
    <t>60202-1000</t>
  </si>
  <si>
    <t>1500mm equivalent diameter arch or elliptical pipe culvert</t>
  </si>
  <si>
    <t>60-INCH EQUIVALENT DIAMETER ARCH OR ELLIPTICAL PIPE CULVERT</t>
  </si>
  <si>
    <t>60202-1100</t>
  </si>
  <si>
    <t>1650mm equivalent diameter arch or elliptical pipe culvert</t>
  </si>
  <si>
    <t>66-INCH EQUIVALENT DIAMETER ARCH OR ELLIPTICAL PIPE CULVERT</t>
  </si>
  <si>
    <t>60202-1200</t>
  </si>
  <si>
    <t>1800mm equivalent diameter arch or elliptical pipe culvert</t>
  </si>
  <si>
    <t>72-INCH EQUIVALENT DIAMETER ARCH OR ELLIPTICAL PIPE CULVERT</t>
  </si>
  <si>
    <t>60202-1300</t>
  </si>
  <si>
    <t>1950mm equivalent diameter arch or elliptical pipe culvert</t>
  </si>
  <si>
    <t>78-INCH EQUIVALENT DIAMETER ARCH OR ELLIPTICAL PIPE CULVERT</t>
  </si>
  <si>
    <t>60202-1400</t>
  </si>
  <si>
    <t>2100mm equivalent diameter arch or elliptical pipe culvert</t>
  </si>
  <si>
    <t>84-INCH EQUIVALENT DIAMETER ARCH OR ELLIPTICAL PIPE CULVERT</t>
  </si>
  <si>
    <t>60202-1500</t>
  </si>
  <si>
    <t>2250mm equivalent diameter arch or elliptical pipe culvert</t>
  </si>
  <si>
    <t>90-INCH EQUIVALENT DIAMETER ARCH OR ELLIPTICAL PIPE CULVERT</t>
  </si>
  <si>
    <t>60202-1600</t>
  </si>
  <si>
    <t>2400mm equivalent diameter arch or elliptical pipe culvert</t>
  </si>
  <si>
    <t>96-INCH EQUIVALENT DIAMETER ARCH OR ELLIPTICAL PIPE CULVERT</t>
  </si>
  <si>
    <t>60202-1700</t>
  </si>
  <si>
    <t>2550mm equivalent diameter arch or elliptical pipe culvert</t>
  </si>
  <si>
    <t>102-INCH EQUIVALENT DIAMETER ARCH OR ELLIPTICAL PIPE CULVERT</t>
  </si>
  <si>
    <t>60202-1800</t>
  </si>
  <si>
    <t>2700mm equivalent diameter arch or elliptical pipe culvert</t>
  </si>
  <si>
    <t>108-INCH EQUIVALENT DIAMETER ARCH OR ELLIPTICAL PIPE CULVERT</t>
  </si>
  <si>
    <t>60202-1850</t>
  </si>
  <si>
    <t>2850mm equivalent diameter arch or elliptical pipe culvert</t>
  </si>
  <si>
    <t>114-INCH EQUIVALENT DIAMETER ARCH OR ELLIPTICAL PIPE CULVERT</t>
  </si>
  <si>
    <t>60202-1900</t>
  </si>
  <si>
    <t>3000mm equivalent diameter arch or elliptical pipe culvert</t>
  </si>
  <si>
    <t>120-INCH EQUIVALENT DIAMETER ARCH OR ELLIPTICAL PIPE CULVERT</t>
  </si>
  <si>
    <t>60202-2000</t>
  </si>
  <si>
    <t>3300mm equivalent diameter arch or elliptical pipe culvert</t>
  </si>
  <si>
    <t>132-INCH EQUIVALENT DIAMETER ARCH OR ELLIPTICAL PIPE CULVERT</t>
  </si>
  <si>
    <t>60202-2100</t>
  </si>
  <si>
    <t>3600mm equivalent diameter arch or elliptical pipe culvert</t>
  </si>
  <si>
    <t>144-INCH EQUIVALENT DIAMETER ARCH OR ELLIPTICAL PIPE CULVERT</t>
  </si>
  <si>
    <t>60203-0100</t>
  </si>
  <si>
    <t>100mm slotted drain pipe</t>
  </si>
  <si>
    <t>4-INCH SLOTTED DRAIN PIPE</t>
  </si>
  <si>
    <t>60203-0200</t>
  </si>
  <si>
    <t>150mm slotted drain pipe</t>
  </si>
  <si>
    <t>6-INCH SLOTTED DRAIN PIPE</t>
  </si>
  <si>
    <t>60203-0300</t>
  </si>
  <si>
    <t>200mm slotted drain pipe</t>
  </si>
  <si>
    <t>8-INCH SLOTTED DRAIN PIPE</t>
  </si>
  <si>
    <t>60203-0400</t>
  </si>
  <si>
    <t>300mm slotted drain pipe</t>
  </si>
  <si>
    <t>12-INCH SLOTTED DRAIN PIPE</t>
  </si>
  <si>
    <t>60203-0500</t>
  </si>
  <si>
    <t>375mm slotted drain pipe</t>
  </si>
  <si>
    <t>15-INCH SLOTTED DRAIN PIPE</t>
  </si>
  <si>
    <t>60203-0600</t>
  </si>
  <si>
    <t>450mm slotted drain pipe</t>
  </si>
  <si>
    <t>18-INCH SLOTTED DRAIN PIPE</t>
  </si>
  <si>
    <t>60203-0700</t>
  </si>
  <si>
    <t>525mm slotted drain pipe</t>
  </si>
  <si>
    <t>21-INCH SLOTTED DRAIN PIPE</t>
  </si>
  <si>
    <t>60203-0800</t>
  </si>
  <si>
    <t>600mm slotted drain pipe</t>
  </si>
  <si>
    <t>24-INCH SLOTTED DRAIN PIPE</t>
  </si>
  <si>
    <t>60203-0900</t>
  </si>
  <si>
    <t>750mm slotted drain pipe</t>
  </si>
  <si>
    <t>30-INCH SLOTTED DRAIN PIPE</t>
  </si>
  <si>
    <t>60203-1000</t>
  </si>
  <si>
    <t>900mm slotted drain pipe</t>
  </si>
  <si>
    <t>36-INCH SLOTTED DRAIN PIPE</t>
  </si>
  <si>
    <t>60204-0600</t>
  </si>
  <si>
    <t>Flume downdrain, 450mm</t>
  </si>
  <si>
    <t>FLUME DOWNDRAIN 18-INCH</t>
  </si>
  <si>
    <t>60204-0700</t>
  </si>
  <si>
    <t>Flume downdrain, 600mm</t>
  </si>
  <si>
    <t>FLUME DOWNDRAIN 24-INCH</t>
  </si>
  <si>
    <t>60210-0100</t>
  </si>
  <si>
    <t>End section for 100mm pipe culvert</t>
  </si>
  <si>
    <t>END SECTION FOR 4-INCH PIPE CULVERT</t>
  </si>
  <si>
    <t>60210-0200</t>
  </si>
  <si>
    <t>End section for 150mm pipe culvert</t>
  </si>
  <si>
    <t>END SECTION FOR 6-INCH PIPE CULVERT</t>
  </si>
  <si>
    <t>60210-0300</t>
  </si>
  <si>
    <t>End section for 200mm pipe culvert</t>
  </si>
  <si>
    <t>END SECTION FOR 8-INCH PIPE CULVERT</t>
  </si>
  <si>
    <t>60210-0400</t>
  </si>
  <si>
    <t>End section for 300mm pipe culvert</t>
  </si>
  <si>
    <t>END SECTION FOR 12-INCH PIPE CULVERT</t>
  </si>
  <si>
    <t>60210-0500</t>
  </si>
  <si>
    <t>End section for 375mm pipe culvert</t>
  </si>
  <si>
    <t>END SECTION FOR 15-INCH PIPE CULVERT</t>
  </si>
  <si>
    <t>60210-0600</t>
  </si>
  <si>
    <t>End section for 450mm pipe culvert</t>
  </si>
  <si>
    <t>END SECTION FOR 18-INCH PIPE CULVERT</t>
  </si>
  <si>
    <t>60210-0700</t>
  </si>
  <si>
    <t>End section for 525mm pipe culvert</t>
  </si>
  <si>
    <t>END SECTION FOR 21-INCH PIPE CULVERT</t>
  </si>
  <si>
    <t>60210-0800</t>
  </si>
  <si>
    <t>End section for 600mm pipe culvert</t>
  </si>
  <si>
    <t>END SECTION FOR 24-INCH PIPE CULVERT</t>
  </si>
  <si>
    <t>60210-0900</t>
  </si>
  <si>
    <t>End section for 750mm pipe culvert</t>
  </si>
  <si>
    <t>END SECTION FOR 30-INCH PIPE CULVERT</t>
  </si>
  <si>
    <t>60210-1000</t>
  </si>
  <si>
    <t>End section for 900mm pipe culvert</t>
  </si>
  <si>
    <t>END SECTION FOR 36-INCH PIPE CULVERT</t>
  </si>
  <si>
    <t>60210-1100</t>
  </si>
  <si>
    <t>End section for 1050mm pipe culvert</t>
  </si>
  <si>
    <t>END SECTION FOR 42-INCH PIPE CULVERT</t>
  </si>
  <si>
    <t>60210-1200</t>
  </si>
  <si>
    <t>End section for 1200mm pipe culvert</t>
  </si>
  <si>
    <t>END SECTION FOR 48-INCH PIPE CULVERT</t>
  </si>
  <si>
    <t>60210-1300</t>
  </si>
  <si>
    <t>End section for 1350mm pipe culvert</t>
  </si>
  <si>
    <t>END SECTION FOR 54-INCH PIPE CULVERT</t>
  </si>
  <si>
    <t>60210-1400</t>
  </si>
  <si>
    <t>End section for 1500mm pipe culvert</t>
  </si>
  <si>
    <t>END SECTION FOR 60-INCH PIPE CULVERT</t>
  </si>
  <si>
    <t>60210-1500</t>
  </si>
  <si>
    <t>End section for 1650mm pipe culvert</t>
  </si>
  <si>
    <t>END SECTION FOR 66-INCH PIPE CULVERT</t>
  </si>
  <si>
    <t>60210-1600</t>
  </si>
  <si>
    <t>End section for 1800mm pipe culvert</t>
  </si>
  <si>
    <t>END SECTION FOR 72-INCH PIPE CULVERT</t>
  </si>
  <si>
    <t>60211-0100</t>
  </si>
  <si>
    <t>End section for 100mm equivalent diameter arch or elliptical pipe culvert</t>
  </si>
  <si>
    <t>END SECTION FOR 4-INCH EQUIVALENT DIAMETER ARCH OR ELLIPTICAL PIPE CULVERT</t>
  </si>
  <si>
    <t>60211-0200</t>
  </si>
  <si>
    <t>End section for 150mm equivalent diameter arch or elliptical pipe culvert</t>
  </si>
  <si>
    <t>END SECTION FOR 6-INCH EQUIVALENT DIAMETER ARCH OR ELLIPTICAL PIPE CULVERT</t>
  </si>
  <si>
    <t>60211-0300</t>
  </si>
  <si>
    <t>End section for 200mm equivalent diameter arch or elliptical pipe culvert</t>
  </si>
  <si>
    <t>END SECTION FOR 8-INCH EQUIVALENT DIAMETER ARCH OR ELLIPTICAL PIPE CULVERT</t>
  </si>
  <si>
    <t>60211-0400</t>
  </si>
  <si>
    <t>End section for 300mm equivalent diameter arch or elliptical pipe culvert</t>
  </si>
  <si>
    <t>END SECTION FOR 12-INCH EQUIVALENT DIAMETER ARCH OR ELLIPTICAL PIPE CULVERT</t>
  </si>
  <si>
    <t>60211-0500</t>
  </si>
  <si>
    <t>End section for 375mm equivalent diameter arch or elliptical pipe culvert</t>
  </si>
  <si>
    <t>END SECTION FOR 15-INCH EQUIVALENT DIAMETER ARCH OR ELLIPTICAL PIPE CULVERT</t>
  </si>
  <si>
    <t>60211-0600</t>
  </si>
  <si>
    <t>End section for 450mm equivalent diameter arch or elliptical pipe culvert</t>
  </si>
  <si>
    <t>END SECTION FOR 18-INCH EQUIVALENT DIAMETER ARCH OR ELLIPTICAL PIPE CULVERT</t>
  </si>
  <si>
    <t>60211-0700</t>
  </si>
  <si>
    <t>End section for 525mm equivalent diameter arch or elliptical pipe culvert</t>
  </si>
  <si>
    <t>END SECTION FOR 21-INCH EQUIVALENT DIAMETER ARCH OR ELLIPTICAL PIPE CULVERT</t>
  </si>
  <si>
    <t>60211-0800</t>
  </si>
  <si>
    <t>End section for 600mm equivalent diameter arch or elliptical pipe culvert</t>
  </si>
  <si>
    <t>END SECTION FOR 24-INCH EQUIVALENT DIAMETER ARCH OR ELLIPTICAL PIPE CULVERT</t>
  </si>
  <si>
    <t>60211-0900</t>
  </si>
  <si>
    <t>End section for 750mm equivalent diameter arch or elliptical pipe culvert</t>
  </si>
  <si>
    <t>END SECTION FOR 30-INCH EQUIVALENT DIAMETER ARCH OR ELLIPTICAL PIPE CULVERT</t>
  </si>
  <si>
    <t>60211-1000</t>
  </si>
  <si>
    <t>End section for 900mm equivalent diameter arch or elliptical pipe culvert</t>
  </si>
  <si>
    <t>END SECTION FOR 36-INCH EQUIVALENT DIAMETER ARCH OR ELLIPTICAL PIPE CULVERT</t>
  </si>
  <si>
    <t>60211-1100</t>
  </si>
  <si>
    <t>End section for 1050mm equivalent diameter arch or elliptical pipe culvert</t>
  </si>
  <si>
    <t>END SECTION FOR 42-INCH EQUIVALENT DIAMETER ARCH OR ELLIPTICAL PIPE CULVERT</t>
  </si>
  <si>
    <t>60211-1200</t>
  </si>
  <si>
    <t>End section for 1200mm equivalent diameter arch or elliptical pipe culvert</t>
  </si>
  <si>
    <t>END SECTION FOR 48-INCH EQUIVALENT DIAMETER ARCH OR ELLIPTICAL PIPE CULVERT</t>
  </si>
  <si>
    <t>60211-1300</t>
  </si>
  <si>
    <t>End section for 1350mm equivalent diameter arch or elliptical pipe culvert</t>
  </si>
  <si>
    <t>END SECTION FOR 54-INCH EQUIVALENT DIAMETER ARCH OR ELLIPTICAL PIPE CULVERT</t>
  </si>
  <si>
    <t>60211-1400</t>
  </si>
  <si>
    <t>End section for 1500mm equivalent diameter arch or elliptical pipe culvert</t>
  </si>
  <si>
    <t>END SECTION FOR 60-INCH EQUIVALENT DIAMETER ARCH OR ELLIPTICAL PIPE CULVERT</t>
  </si>
  <si>
    <t>60211-1500</t>
  </si>
  <si>
    <t>End section for 1650mm equivalent diameter arch or elliptical pipe culvert</t>
  </si>
  <si>
    <t>END SECTION FOR 66-INCH EQUIVALENT DIAMETER ARCH OR ELLIPTICAL PIPE CULVERT</t>
  </si>
  <si>
    <t>60211-1600</t>
  </si>
  <si>
    <t>End section for 1800mm equivalent diameter arch or elliptical pipe culvert</t>
  </si>
  <si>
    <t>END SECTION FOR 72-INCH EQUIVALENT DIAMETER ARCH OR ELLIPTICAL PIPE CULVERT</t>
  </si>
  <si>
    <t>60212-0000</t>
  </si>
  <si>
    <t>Elbow</t>
  </si>
  <si>
    <t>ELBOW</t>
  </si>
  <si>
    <t>60212-0100</t>
  </si>
  <si>
    <t>Elbow, 100mm</t>
  </si>
  <si>
    <t>ELBOW, 4-INCH</t>
  </si>
  <si>
    <t>60212-0200</t>
  </si>
  <si>
    <t>Elbow, 150mm</t>
  </si>
  <si>
    <t>ELBOW, 6-INCH</t>
  </si>
  <si>
    <t>60212-0300</t>
  </si>
  <si>
    <t>Elbow, 200mm</t>
  </si>
  <si>
    <t>ELBOW, 8-INCH</t>
  </si>
  <si>
    <t>60212-0400</t>
  </si>
  <si>
    <t>Elbow, 300mm</t>
  </si>
  <si>
    <t>ELBOW, 12-INCH</t>
  </si>
  <si>
    <t>60212-0500</t>
  </si>
  <si>
    <t>Elbow, 375mm</t>
  </si>
  <si>
    <t>ELBOW, 15-INCH</t>
  </si>
  <si>
    <t>60212-0600</t>
  </si>
  <si>
    <t>Elbow, 450mm</t>
  </si>
  <si>
    <t>ELBOW, 18-INCH</t>
  </si>
  <si>
    <t>60212-0700</t>
  </si>
  <si>
    <t>Elbow, 525mm</t>
  </si>
  <si>
    <t>ELBOW, 21-INCH</t>
  </si>
  <si>
    <t>60212-0800</t>
  </si>
  <si>
    <t>Elbow, 600mm</t>
  </si>
  <si>
    <t>ELBOW, 24-INCH</t>
  </si>
  <si>
    <t>60212-0900</t>
  </si>
  <si>
    <t>Elbow, 750mm</t>
  </si>
  <si>
    <t>ELBOW, 30-INCH</t>
  </si>
  <si>
    <t>60212-1000</t>
  </si>
  <si>
    <t>Elbow, 900mm</t>
  </si>
  <si>
    <t>ELBOW, 36-INCH</t>
  </si>
  <si>
    <t>60212-1100</t>
  </si>
  <si>
    <t>Elbow, 1050mm</t>
  </si>
  <si>
    <t>ELBOW, 42-INCH</t>
  </si>
  <si>
    <t>60212-1200</t>
  </si>
  <si>
    <t>Elbow, 1200mm</t>
  </si>
  <si>
    <t>ELBOW, 48-INCH</t>
  </si>
  <si>
    <t>60212-1300</t>
  </si>
  <si>
    <t>Elbow, 1350mm</t>
  </si>
  <si>
    <t>ELBOW, 54-INCH</t>
  </si>
  <si>
    <t>60212-1400</t>
  </si>
  <si>
    <t>Elbow, 1500mm</t>
  </si>
  <si>
    <t>ELBOW, 60-INCH</t>
  </si>
  <si>
    <t>60212-1500</t>
  </si>
  <si>
    <t>Elbow, 1650mm</t>
  </si>
  <si>
    <t>ELBOW, 66-INCH</t>
  </si>
  <si>
    <t>60212-1600</t>
  </si>
  <si>
    <t>Elbow, 1800mm</t>
  </si>
  <si>
    <t>ELBOW, 72-INCH</t>
  </si>
  <si>
    <t>60213-0100</t>
  </si>
  <si>
    <t>Branch connection, 100mm</t>
  </si>
  <si>
    <t>BRANCH CONNECTION, 4-INCH</t>
  </si>
  <si>
    <t>60213-0200</t>
  </si>
  <si>
    <t>Branch connection, 150mm</t>
  </si>
  <si>
    <t>BRANCH CONNECTION, 6-INCH</t>
  </si>
  <si>
    <t>60213-0300</t>
  </si>
  <si>
    <t>Branch connection, 200mm</t>
  </si>
  <si>
    <t>BRANCH CONNECTION, 8-INCH</t>
  </si>
  <si>
    <t>60213-0400</t>
  </si>
  <si>
    <t>Branch connection, 300mm</t>
  </si>
  <si>
    <t>BRANCH CONNECTION, 12-INCH</t>
  </si>
  <si>
    <t>60213-0500</t>
  </si>
  <si>
    <t>Branch connection, 375mm</t>
  </si>
  <si>
    <t>BRANCH CONNECTION, 15-INCH</t>
  </si>
  <si>
    <t>60213-0600</t>
  </si>
  <si>
    <t>Branch connection, 450mm</t>
  </si>
  <si>
    <t>BRANCH CONNECTION, 18-INCH</t>
  </si>
  <si>
    <t>60213-0700</t>
  </si>
  <si>
    <t>Branch connection, 525mm</t>
  </si>
  <si>
    <t>BRANCH CONNECTION, 21-INCH</t>
  </si>
  <si>
    <t>60213-0800</t>
  </si>
  <si>
    <t>Branch connection, 600mm</t>
  </si>
  <si>
    <t>BRANCH CONNECTION, 24-INCH</t>
  </si>
  <si>
    <t>60213-0900</t>
  </si>
  <si>
    <t>Branch connection, 750mm</t>
  </si>
  <si>
    <t>BRANCH CONNECTION, 30-INCH</t>
  </si>
  <si>
    <t>60213-1000</t>
  </si>
  <si>
    <t>Branch connection, 900mm</t>
  </si>
  <si>
    <t>BRANCH CONNECTION, 36-INCH</t>
  </si>
  <si>
    <t>60213-1100</t>
  </si>
  <si>
    <t>Branch connection, 1050mm</t>
  </si>
  <si>
    <t>BRANCH CONNECTION, 42-INCH</t>
  </si>
  <si>
    <t>60213-1200</t>
  </si>
  <si>
    <t>Branch connection, 1200mm</t>
  </si>
  <si>
    <t>BRANCH CONNECTION, 48-INCH</t>
  </si>
  <si>
    <t>60213-1300</t>
  </si>
  <si>
    <t>Branch connection, 1350mm</t>
  </si>
  <si>
    <t>BRANCH CONNECTION, 54-INCH</t>
  </si>
  <si>
    <t>60213-1400</t>
  </si>
  <si>
    <t>Branch connection, 1500mm</t>
  </si>
  <si>
    <t>BRANCH CONNECTION, 60-INCH</t>
  </si>
  <si>
    <t>60213-1500</t>
  </si>
  <si>
    <t>Branch connection, 1650mm</t>
  </si>
  <si>
    <t>BRANCH CONNECTION, 66-INCH</t>
  </si>
  <si>
    <t>60213-1600</t>
  </si>
  <si>
    <t>Branch connection, 1800mm</t>
  </si>
  <si>
    <t>BRANCH CONNECTION, 72-INCH</t>
  </si>
  <si>
    <t>60216-0000</t>
  </si>
  <si>
    <t>Large precast concrete arch culvert</t>
  </si>
  <si>
    <t>LARGE PRECAST CONCRETE ARCH CULVERT</t>
  </si>
  <si>
    <t>60220-0000</t>
  </si>
  <si>
    <t>Precast reinforced concrete box culvert</t>
  </si>
  <si>
    <t>PRECAST REINFORCED CONCRETE BOX CULVERT</t>
  </si>
  <si>
    <t>60220-0100</t>
  </si>
  <si>
    <t>900mm span, 900mm rise precast reinforced concrete box culvert</t>
  </si>
  <si>
    <t>3 FEET SPAN, 3 FEET RISE PRECAST REINFORCED CONCRETE BOX CULVERT</t>
  </si>
  <si>
    <t>60220-0150</t>
  </si>
  <si>
    <t>900mm span, 1200mm rise precast reinforced concrete box culvert</t>
  </si>
  <si>
    <t>3 FEET SPAN, 4 FEET RISE PRECAST REINFORCED CONCRETE BOX CULVERT</t>
  </si>
  <si>
    <t>60220-0200</t>
  </si>
  <si>
    <t>900mm span, 1500mm rise precast reinforced concrete box culvert</t>
  </si>
  <si>
    <t>3 FEET SPAN, 5 FEET RISE PRECAST REINFORCED CONCRETE BOX CULVERT</t>
  </si>
  <si>
    <t>60220-0250</t>
  </si>
  <si>
    <t>900mm span, 1800mm rise precast reinforced concrete box culvert</t>
  </si>
  <si>
    <t>3 FEET SPAN, 6 FEET RISE PRECAST REINFORCED CONCRETE BOX CULVERT</t>
  </si>
  <si>
    <t>60220-0290</t>
  </si>
  <si>
    <t>1200mm span, 600mm rise precast reinforced concrete box culvert</t>
  </si>
  <si>
    <t>4 FEET SPAN, 2 FEET RISE PRECAST REINFORCED CONCRETE BOX CULVERT</t>
  </si>
  <si>
    <t>60220-0300</t>
  </si>
  <si>
    <t>1200mm span, 900mm rise precast reinforced concrete box culvert</t>
  </si>
  <si>
    <t>4 FEET SPAN, 3 FEET RISE PRECAST REINFORCED CONCRETE BOX CULVERT</t>
  </si>
  <si>
    <t>60220-0350</t>
  </si>
  <si>
    <t>1200mm span, 1200mm rise precast reinforced concrete box culvert</t>
  </si>
  <si>
    <t>4 FEET SPAN, 4 FEET RISE PRECAST REINFORCED CONCRETE BOX CULVERT</t>
  </si>
  <si>
    <t>60220-0400</t>
  </si>
  <si>
    <t>1200mm span, 1500mm rise precast reinforced concrete box culvert</t>
  </si>
  <si>
    <t>4 FEET SPAN, 5 FEET RISE PRECAST REINFORCED CONCRETE BOX CULVERT</t>
  </si>
  <si>
    <t>60220-0450</t>
  </si>
  <si>
    <t>1200mm span, 1800mm rise precast reinforced concrete box culvert</t>
  </si>
  <si>
    <t>4 FEET SPAN, 6 FEET RISE PRECAST REINFORCED CONCRETE BOX CULVERT</t>
  </si>
  <si>
    <t>60220-0500</t>
  </si>
  <si>
    <t>1200mm span, 2100mm rise precast reinforced concrete box culvert</t>
  </si>
  <si>
    <t>4 FEET SPAN, 7 FEET RISE PRECAST REINFORCED CONCRETE BOX CULVERT</t>
  </si>
  <si>
    <t>60220-0520</t>
  </si>
  <si>
    <t>1500mm span, 600mm rise precast reinforced concrete box culvert</t>
  </si>
  <si>
    <t>5 FEET SPAN, 2 FEET RISE PRECAST REINFORCED CONCRETE BOX CULVERT</t>
  </si>
  <si>
    <t>60220-0550</t>
  </si>
  <si>
    <t>1500mm span, 900mm rise precast reinforced concrete box culvert</t>
  </si>
  <si>
    <t>5 FEET SPAN, 3 FEET RISE PRECAST REINFORCED CONCRETE BOX CULVERT</t>
  </si>
  <si>
    <t>60220-0600</t>
  </si>
  <si>
    <t>1500mm span, 1200mm rise precast reinforced concrete box culvert</t>
  </si>
  <si>
    <t>5 FEET SPAN, 4 FEET RISE PRECAST REINFORCED CONCRETE BOX CULVERT</t>
  </si>
  <si>
    <t>60220-0650</t>
  </si>
  <si>
    <t>1500mm span, 1500mm rise precast reinforced concrete box culvert</t>
  </si>
  <si>
    <t>5 FEET SPAN, 5 FEET RISE PRECAST REINFORCED CONCRETE BOX CULVERT</t>
  </si>
  <si>
    <t>60220-0700</t>
  </si>
  <si>
    <t>1500mm span, 1800mm rise precast reinforced concrete box culvert</t>
  </si>
  <si>
    <t>5 FEET SPAN, 6 FEET RISE PRECAST REINFORCED CONCRETE BOX CULVERT</t>
  </si>
  <si>
    <t>60220-0750</t>
  </si>
  <si>
    <t>1500mm span, 2100mm rise precast reinforced concrete box culvert</t>
  </si>
  <si>
    <t>5 FEET SPAN, 7 FEET RISE PRECAST REINFORCED CONCRETE BOX CULVERT</t>
  </si>
  <si>
    <t>60220-0800</t>
  </si>
  <si>
    <t>1500mm span, 2400mm rise precast reinforced concrete box culvert</t>
  </si>
  <si>
    <t>5 FEET SPAN, 8 FEET RISE PRECAST REINFORCED CONCRETE BOX CULVERT</t>
  </si>
  <si>
    <t>60220-0850</t>
  </si>
  <si>
    <t>1500mm span, 2700mm rise precast reinforced concrete box culvert</t>
  </si>
  <si>
    <t>5 FEET SPAN, 9 FEET RISE PRECAST REINFORCED CONCRETE BOX CULVERT</t>
  </si>
  <si>
    <t>60220-0900</t>
  </si>
  <si>
    <t>1500mm span, 3000mm rise precast reinforced concrete box culvert</t>
  </si>
  <si>
    <t>5 FEET SPAN, 10 FEET RISE PRECAST REINFORCED CONCRETE BOX CULVERT</t>
  </si>
  <si>
    <t>60220-0950</t>
  </si>
  <si>
    <t>1500mm span, 3300mm rise precast reinforced concrete box culvert</t>
  </si>
  <si>
    <t>5 FEET SPAN, 11 FEET RISE PRECAST REINFORCED CONCRETE BOX CULVERT</t>
  </si>
  <si>
    <t>60220-1000</t>
  </si>
  <si>
    <t>1500mm span, 3600mm rise precast reinforced concrete box culvert</t>
  </si>
  <si>
    <t>5 FEET SPAN, 12 FEET RISE PRECAST REINFORCED CONCRETE BOX CULVERT</t>
  </si>
  <si>
    <t>60220-1050</t>
  </si>
  <si>
    <t>1500mm span, 4200mm rise precast reinforced concrete box culvert</t>
  </si>
  <si>
    <t>5 FEET SPAN, 14 FEET RISE PRECAST REINFORCED CONCRETE BOX CULVERT</t>
  </si>
  <si>
    <t>60220-1100</t>
  </si>
  <si>
    <t>1500mm span, 4800mm rise precast reinforced concrete box culvert</t>
  </si>
  <si>
    <t>5 FEET SPAN, 16 FEET RISE PRECAST REINFORCED CONCRETE BOX CULVERT</t>
  </si>
  <si>
    <t>60220-1150</t>
  </si>
  <si>
    <t>1800mm span, 900mm rise precast reinforced concrete box culvert</t>
  </si>
  <si>
    <t>6 FEET SPAN, 3 FEET RISE PRECAST REINFORCED CONCRETE BOX CULVERT</t>
  </si>
  <si>
    <t>60220-1200</t>
  </si>
  <si>
    <t>1800mm span, 1200mm rise precast reinforced concrete box culvert</t>
  </si>
  <si>
    <t>6 FEET SPAN, 4 FEET RISE PRECAST REINFORCED CONCRETE BOX CULVERT</t>
  </si>
  <si>
    <t>60220-1250</t>
  </si>
  <si>
    <t>1800mm span, 1500mm rise precast reinforced concrete box culvert</t>
  </si>
  <si>
    <t>6 FEET SPAN, 5 FEET RISE PRECAST REINFORCED CONCRETE BOX CULVERT</t>
  </si>
  <si>
    <t>60220-1300</t>
  </si>
  <si>
    <t>1800mm span, 1800mm rise precast reinforced concrete box culvert</t>
  </si>
  <si>
    <t>6 FEET SPAN, 6 FEET RISE PRECAST REINFORCED CONCRETE BOX CULVERT</t>
  </si>
  <si>
    <t>60220-1350</t>
  </si>
  <si>
    <t>1800mm span, 2100mm rise precast reinforced concrete box culvert</t>
  </si>
  <si>
    <t>6 FEET SPAN, 7 FEET RISE PRECAST REINFORCED CONCRETE BOX CULVERT</t>
  </si>
  <si>
    <t>60220-1400</t>
  </si>
  <si>
    <t>1800mm span, 2400mm rise precast reinforced concrete box culvert</t>
  </si>
  <si>
    <t>6 FEET SPAN, 8 FEET RISE PRECAST REINFORCED CONCRETE BOX CULVERT</t>
  </si>
  <si>
    <t>60220-1450</t>
  </si>
  <si>
    <t>1800mm span, 2700mm rise precast reinforced concrete box culvert</t>
  </si>
  <si>
    <t>6 FEET SPAN, 9 FEET RISE PRECAST REINFORCED CONCRETE BOX CULVERT</t>
  </si>
  <si>
    <t>60220-1500</t>
  </si>
  <si>
    <t>1800mm span, 3000mm rise precast reinforced concrete box culvert</t>
  </si>
  <si>
    <t>6 FEET SPAN, 10 FEET RISE PRECAST REINFORCED CONCRETE BOX CULVERT</t>
  </si>
  <si>
    <t>60220-1550</t>
  </si>
  <si>
    <t>1800mm span, 3300mm rise precast reinforced concrete box culvert</t>
  </si>
  <si>
    <t>6 FEET SPAN, 11 FEET RISE PRECAST REINFORCED CONCRETE BOX CULVERT</t>
  </si>
  <si>
    <t>60220-1600</t>
  </si>
  <si>
    <t>1800mm span, 3600mm rise precast reinforced concrete box culvert</t>
  </si>
  <si>
    <t>6 FEET SPAN, 12 FEET RISE PRECAST REINFORCED CONCRETE BOX CULVERT</t>
  </si>
  <si>
    <t>60220-1650</t>
  </si>
  <si>
    <t>1800mm span, 4200mm rise precast reinforced concrete box culvert</t>
  </si>
  <si>
    <t>6 FEET SPAN, 14 FEET RISE PRECAST REINFORCED CONCRETE BOX CULVERT</t>
  </si>
  <si>
    <t>60220-1700</t>
  </si>
  <si>
    <t>1800mm span, 4800mm rise precast reinforced concrete box culvert</t>
  </si>
  <si>
    <t>6 FEET SPAN, 16 FEET RISE PRECAST REINFORCED CONCRETE BOX CULVERT</t>
  </si>
  <si>
    <t>60220-1720</t>
  </si>
  <si>
    <t>2100mm span, 1200mm rise precast reinforced concrete box culvert</t>
  </si>
  <si>
    <t>7 FEET SPAN, 4 FEET RISE PRECAST REINFORCED CONCRETE BOX CULVERT</t>
  </si>
  <si>
    <t>60220-1727</t>
  </si>
  <si>
    <t>2100mm span, 2100mm rise precast reinforced concrete box culvert</t>
  </si>
  <si>
    <t>7 FEET SPAN, 7 FEET RISE PRECAST REINFORCED CONCRETE BOX CULVERT</t>
  </si>
  <si>
    <t>60220-1750</t>
  </si>
  <si>
    <t>2400mm span, 900mm rise precast reinforced concrete box culvert</t>
  </si>
  <si>
    <t>8 FEET SPAN, 3 FEET RISE PRECAST REINFORCED CONCRETE BOX CULVERT</t>
  </si>
  <si>
    <t>60220-1800</t>
  </si>
  <si>
    <t>2400mm span, 1200mm rise precast reinforced concrete box culvert</t>
  </si>
  <si>
    <t>8 FEET SPAN, 4 FEET RISE PRECAST REINFORCED CONCRETE BOX CULVERT</t>
  </si>
  <si>
    <t>60220-1850</t>
  </si>
  <si>
    <t>2400mm span, 1500mm rise precast reinforced concrete box culvert</t>
  </si>
  <si>
    <t>8 FEET SPAN, 5 FEET RISE PRECAST REINFORCED CONCRETE BOX CULVERT</t>
  </si>
  <si>
    <t>60220-1900</t>
  </si>
  <si>
    <t>2400mm span, 1800mm rise precast reinforced concrete box culvert</t>
  </si>
  <si>
    <t>8 FEET SPAN, 6 FEET RISE PRECAST REINFORCED CONCRETE BOX CULVERT</t>
  </si>
  <si>
    <t>60220-1950</t>
  </si>
  <si>
    <t>2400mm span, 2100mm rise precast reinforced concrete box culvert</t>
  </si>
  <si>
    <t>8 FEET SPAN, 7 FEET RISE PRECAST REINFORCED CONCRETE BOX CULVERT</t>
  </si>
  <si>
    <t>60220-2000</t>
  </si>
  <si>
    <t>2400mm span, 2400mm rise precast reinforced concrete box culvert</t>
  </si>
  <si>
    <t>8 FEET SPAN, 8 FEET RISE PRECAST REINFORCED CONCRETE BOX CULVERT</t>
  </si>
  <si>
    <t>60220-2050</t>
  </si>
  <si>
    <t>2400mm span, 2700mm rise precast reinforced concrete box culvert</t>
  </si>
  <si>
    <t>8 FEET SPAN, 9 FEET RISE PRECAST REINFORCED CONCRETE BOX CULVERT</t>
  </si>
  <si>
    <t>60220-2100</t>
  </si>
  <si>
    <t>2400mm span, 3000mm rise precast reinforced concrete box culvert</t>
  </si>
  <si>
    <t>8 FEET SPAN, 10 FEET RISE PRECAST REINFORCED CONCRETE BOX CULVERT</t>
  </si>
  <si>
    <t>60220-2150</t>
  </si>
  <si>
    <t>2400mm span, 3300mm rise precast reinforced concrete box culvert</t>
  </si>
  <si>
    <t>8 FEET SPAN, 11 FEET RISE PRECAST REINFORCED CONCRETE BOX CULVERT</t>
  </si>
  <si>
    <t>60220-2200</t>
  </si>
  <si>
    <t>2400mm span, 3600mm rise precast reinforced concrete box culvert</t>
  </si>
  <si>
    <t>8 FEET SPAN, 12 FEET RISE PRECAST REINFORCED CONCRETE BOX CULVERT</t>
  </si>
  <si>
    <t>60220-2250</t>
  </si>
  <si>
    <t>2400mm span, 4200mm rise precast reinforced concrete box culvert</t>
  </si>
  <si>
    <t>8 FEET SPAN, 14 FEET RISE PRECAST REINFORCED CONCRETE BOX CULVERT</t>
  </si>
  <si>
    <t>60220-2300</t>
  </si>
  <si>
    <t>2700mm span, 900mm rise precast reinforced concrete box culvert</t>
  </si>
  <si>
    <t>9 FEET SPAN, 3 FEET RISE PRECAST REINFORCED CONCRETE BOX CULVERT</t>
  </si>
  <si>
    <t>60220-2350</t>
  </si>
  <si>
    <t>2700mm span, 1200mm rise precast reinforced concrete box culvert</t>
  </si>
  <si>
    <t>9 FEET SPAN, 4 FEET RISE PRECAST REINFORCED CONCRETE BOX CULVERT</t>
  </si>
  <si>
    <t>60220-2400</t>
  </si>
  <si>
    <t>2700mm span, 1500mm rise precast reinforced concrete box culvert</t>
  </si>
  <si>
    <t>9 FEET SPAN, 5 FEET RISE PRECAST REINFORCED CONCRETE BOX CULVERT</t>
  </si>
  <si>
    <t>60220-2450</t>
  </si>
  <si>
    <t>2700mm span, 1800mm rise precast reinforced concrete box culvert</t>
  </si>
  <si>
    <t>9 FEET SPAN, 6 FEET RISE PRECAST REINFORCED CONCRETE BOX CULVERT</t>
  </si>
  <si>
    <t>60220-2500</t>
  </si>
  <si>
    <t>2700mm span, 2100mm rise precast reinforced concrete box culvert</t>
  </si>
  <si>
    <t>9 FEET SPAN, 7 FEET RISE PRECAST REINFORCED CONCRETE BOX CULVERT</t>
  </si>
  <si>
    <t>60220-2550</t>
  </si>
  <si>
    <t>2700mm span, 2400mm rise precast reinforced concrete box culvert</t>
  </si>
  <si>
    <t>9 FEET SPAN, 8 FEET RISE PRECAST REINFORCED CONCRETE BOX CULVERT</t>
  </si>
  <si>
    <t>60220-2600</t>
  </si>
  <si>
    <t>2700mm span, 2700mm rise precast reinforced concrete box culvert</t>
  </si>
  <si>
    <t>9 FEET SPAN, 9 FEET RISE PRECAST REINFORCED CONCRETE BOX CULVERT</t>
  </si>
  <si>
    <t>60220-2650</t>
  </si>
  <si>
    <t>2700mm span, 3000mm rise precast reinforced concrete box culvert</t>
  </si>
  <si>
    <t>9 FEET SPAN, 10 FEET RISE PRECAST REINFORCED CONCRETE BOX CULVERT</t>
  </si>
  <si>
    <t>60220-2700</t>
  </si>
  <si>
    <t>2700mm span, 3300mm rise precast reinforced concrete box culvert</t>
  </si>
  <si>
    <t>9 FEET SPAN, 11 FEET RISE PRECAST REINFORCED CONCRETE BOX CULVERT</t>
  </si>
  <si>
    <t>60220-2750</t>
  </si>
  <si>
    <t>2700mm span, 3600mm rise precast reinforced concrete box culvert</t>
  </si>
  <si>
    <t>9 FEET SPAN, 12 FEET RISE PRECAST REINFORCED CONCRETE BOX CULVERT</t>
  </si>
  <si>
    <t>60220-2800</t>
  </si>
  <si>
    <t>2700mm span, 4200mm rise precast reinforced concrete box culvert</t>
  </si>
  <si>
    <t>9 FEET SPAN, 14 FEET RISE PRECAST REINFORCED CONCRETE BOX CULVERT</t>
  </si>
  <si>
    <t>60220-2850</t>
  </si>
  <si>
    <t>2700mm span, 4800mm rise precast reinforced concrete box culvert</t>
  </si>
  <si>
    <t>9 FEET SPAN, 16 FEET RISE PRECAST REINFORCED CONCRETE BOX CULVERT</t>
  </si>
  <si>
    <t>60220-2900</t>
  </si>
  <si>
    <t>3000mm span, 900mm rise precast reinforced concrete box culvert</t>
  </si>
  <si>
    <t>10 FEET SPAN, 3 FEET RISE PRECAST REINFORCED CONCRETE BOX CULVERT</t>
  </si>
  <si>
    <t>60220-2950</t>
  </si>
  <si>
    <t>3000mm span, 1200mm rise precast reinforced concrete box culvert</t>
  </si>
  <si>
    <t>10 FEET SPAN, 4 FEET RISE PRECAST REINFORCED CONCRETE BOX CULVERT</t>
  </si>
  <si>
    <t>60220-3000</t>
  </si>
  <si>
    <t>3000mm span, 1500mm rise precast reinforced concrete box culvert</t>
  </si>
  <si>
    <t>10 FEET SPAN, 5 FEET RISE PRECAST REINFORCED CONCRETE BOX CULVERT</t>
  </si>
  <si>
    <t>60220-3050</t>
  </si>
  <si>
    <t>3000mm span, 1800mm rise precast reinforced concrete box culvert</t>
  </si>
  <si>
    <t>10 FEET SPAN, 6 FEET RISE PRECAST REINFORCED CONCRETE BOX CULVERT</t>
  </si>
  <si>
    <t>60220-3100</t>
  </si>
  <si>
    <t>3000mm span, 2100mm rise precast reinforced concrete box culvert</t>
  </si>
  <si>
    <t>10 FEET SPAN, 7 FEET RISE PRECAST REINFORCED CONCRETE BOX CULVERT</t>
  </si>
  <si>
    <t>60220-3150</t>
  </si>
  <si>
    <t>3000mm span, 2400mm rise precast reinforced concrete box culvert</t>
  </si>
  <si>
    <t>10 FEET SPAN, 8 FEET RISE PRECAST REINFORCED CONCRETE BOX CULVERT</t>
  </si>
  <si>
    <t>60220-3200</t>
  </si>
  <si>
    <t>3000mm span, 2700mm rise precast reinforced concrete box culvert</t>
  </si>
  <si>
    <t>10 FEET SPAN, 9 FEET RISE PRECAST REINFORCED CONCRETE BOX CULVERT</t>
  </si>
  <si>
    <t>60220-3250</t>
  </si>
  <si>
    <t>3000mm span, 3000mm rise precast reinforced concrete box culvert</t>
  </si>
  <si>
    <t>10 FEET SPAN, 10 FEET RISE PRECAST REINFORCED CONCRETE BOX CULVERT</t>
  </si>
  <si>
    <t>60220-3300</t>
  </si>
  <si>
    <t>3000mm span, 3300mm rise precast reinforced concrete box culvert</t>
  </si>
  <si>
    <t>10 FEET SPAN, 11 FEET RISE PRECAST REINFORCED CONCRETE BOX CULVERT</t>
  </si>
  <si>
    <t>60220-3350</t>
  </si>
  <si>
    <t>3000mm span, 3600mm rise precast reinforced concrete box culvert</t>
  </si>
  <si>
    <t>10 FEET SPAN, 12 FEET RISE PRECAST REINFORCED CONCRETE BOX CULVERT</t>
  </si>
  <si>
    <t>60220-3400</t>
  </si>
  <si>
    <t>3000mm span, 4200mm rise precast reinforced concrete box culvert</t>
  </si>
  <si>
    <t>10 FEET SPAN, 14 FEET RISE PRECAST REINFORCED CONCRETE BOX CULVERT</t>
  </si>
  <si>
    <t>60220-3450</t>
  </si>
  <si>
    <t>3000mm span, 4800mm rise precast reinforced concrete box culvert</t>
  </si>
  <si>
    <t>10 FEET SPAN, 16 FEET RISE PRECAST REINFORCED CONCRETE BOX CULVERT</t>
  </si>
  <si>
    <t>60220-3500</t>
  </si>
  <si>
    <t>3300mm span, 1500mm rise precast reinforced concrete box culvert</t>
  </si>
  <si>
    <t>11 FEET SPAN, 5 FEET RISE PRECAST REINFORCED CONCRETE BOX CULVERT</t>
  </si>
  <si>
    <t>60220-3550</t>
  </si>
  <si>
    <t>3300mm span, 1800mm rise precast reinforced concrete box culvert</t>
  </si>
  <si>
    <t>11 FEET SPAN, 6 FEET RISE PRECAST REINFORCED CONCRETE BOX CULVERT</t>
  </si>
  <si>
    <t>60220-3600</t>
  </si>
  <si>
    <t>3300mm span, 2100mm rise precast reinforced concrete box culvert</t>
  </si>
  <si>
    <t>11 FEET SPAN, 7 FEET RISE PRECAST REINFORCED CONCRETE BOX CULVERT</t>
  </si>
  <si>
    <t>60220-3650</t>
  </si>
  <si>
    <t>3300mm span, 2400mm rise precast reinforced concrete box culvert</t>
  </si>
  <si>
    <t>11 FEET SPAN, 8 FEET RISE PRECAST REINFORCED CONCRETE BOX CULVERT</t>
  </si>
  <si>
    <t>60220-3700</t>
  </si>
  <si>
    <t>3300mm span, 2700mm rise precast reinforced concrete box culvert</t>
  </si>
  <si>
    <t>11 FEET SPAN, 9 FEET RISE PRECAST REINFORCED CONCRETE BOX CULVERT</t>
  </si>
  <si>
    <t>60220-3750</t>
  </si>
  <si>
    <t>3300mm span, 3000mm rise precast reinforced concrete box culvert</t>
  </si>
  <si>
    <t>11 FEET SPAN, 10 FEET RISE PRECAST REINFORCED CONCRETE BOX CULVERT</t>
  </si>
  <si>
    <t>60220-3800</t>
  </si>
  <si>
    <t>3300mm span, 3300mm rise precast reinforced concrete box culvert</t>
  </si>
  <si>
    <t>11 FEET SPAN, 11 FEET RISE PRECAST REINFORCED CONCRETE BOX CULVERT</t>
  </si>
  <si>
    <t>60220-3850</t>
  </si>
  <si>
    <t>3300mm span, 3600mm rise precast reinforced concrete box culvert</t>
  </si>
  <si>
    <t>11 FEET SPAN, 12 FEET RISE PRECAST REINFORCED CONCRETE BOX CULVERT</t>
  </si>
  <si>
    <t>60220-3900</t>
  </si>
  <si>
    <t>3300mm span, 4200mm rise precast reinforced concrete box culvert</t>
  </si>
  <si>
    <t>11 FEET SPAN, 14 FEET RISE PRECAST REINFORCED CONCRETE BOX CULVERT</t>
  </si>
  <si>
    <t>60220-3950</t>
  </si>
  <si>
    <t>3300mm span, 4800mm rise precast reinforced concrete box culvert</t>
  </si>
  <si>
    <t>11 FEET SPAN, 16 FEET RISE PRECAST REINFORCED CONCRETE BOX CULVERT</t>
  </si>
  <si>
    <t>60220-3960</t>
  </si>
  <si>
    <t>3600mm span, 900mm rise precast reinforced concrete box culvert</t>
  </si>
  <si>
    <t>12 FEET SPAN, 3 FEET RISE, PRECAST REINFORCED CONCRETE BOX CULVERT</t>
  </si>
  <si>
    <t>60220-3965</t>
  </si>
  <si>
    <t>3600mm span, 1200mm rise precast reinforced concrete box culvert</t>
  </si>
  <si>
    <t>12 FEET SPAN, 4 FEET RISE, PRECAST REINFORCED CONCRETE BOX CULVERT</t>
  </si>
  <si>
    <t>60220-3970</t>
  </si>
  <si>
    <t>3600mm span, 1500mm rise precast reinforced concrete box culvert</t>
  </si>
  <si>
    <t>12 FEET SPAN, 5 FEET RISE, PRECAST REINFORCED CONCRETE BOX CULVERT</t>
  </si>
  <si>
    <t>60220-3975</t>
  </si>
  <si>
    <t>3600mm span, 1800mm rise precast reinforced concrete box culvert</t>
  </si>
  <si>
    <t>12 FEET SPAN, 6 FEET RISE, PRECAST REINFORCED CONCRETE BOX CULVERT</t>
  </si>
  <si>
    <t>60220-4000</t>
  </si>
  <si>
    <t>3600mm span, 2100mm rise precast reinforced concrete box culvert</t>
  </si>
  <si>
    <t>12 FEET SPAN, 7 FEET RISE PRECAST REINFORCED CONCRETE BOX CULVERT</t>
  </si>
  <si>
    <t>60220-4050</t>
  </si>
  <si>
    <t>3600mm span, 2400mm rise precast reinforced concrete box culvert</t>
  </si>
  <si>
    <t>12 FEET SPAN, 8 FEET RISE PRECAST REINFORCED CONCRETE BOX CULVERT</t>
  </si>
  <si>
    <t>60220-4100</t>
  </si>
  <si>
    <t>3600mm span, 2700mm rise precast reinforced concrete box culvert</t>
  </si>
  <si>
    <t>12 FEET SPAN, 9 FEET RISE PRECAST REINFORCED CONCRETE BOX CULVERT</t>
  </si>
  <si>
    <t>60220-4150</t>
  </si>
  <si>
    <t>3600mm span, 3000mm rise precast reinforced concrete box culvert</t>
  </si>
  <si>
    <t>12 FEET SPAN, 10 FEET RISE PRECAST REINFORCED CONCRETE BOX CULVERT</t>
  </si>
  <si>
    <t>60220-4200</t>
  </si>
  <si>
    <t>3600mm span, 3300mm rise precast reinforced concrete box culvert</t>
  </si>
  <si>
    <t>12 FEET SPAN, 11 FEET RISE PRECAST REINFORCED CONCRETE BOX CULVERT</t>
  </si>
  <si>
    <t>60220-4250</t>
  </si>
  <si>
    <t>3600mm span, 3600mm rise precast reinforced concrete box culvert</t>
  </si>
  <si>
    <t>12 FEET SPAN, 12 FEET RISE PRECAST REINFORCED CONCRETE BOX CULVERT</t>
  </si>
  <si>
    <t>60220-4300</t>
  </si>
  <si>
    <t>3600mm span, 4200mm rise precast reinforced concrete box culvert</t>
  </si>
  <si>
    <t>12 FEET SPAN, 14 FEET RISE PRECAST REINFORCED CONCRETE BOX CULVERT</t>
  </si>
  <si>
    <t>60220-4350</t>
  </si>
  <si>
    <t>4200mm span, 1800mm rise precast reinforced concrete box culvert</t>
  </si>
  <si>
    <t>14 FEET SPAN, 6 FEET RISE PRECAST REINFORCED CONCRETE BOX CULVERT</t>
  </si>
  <si>
    <t>60220-4400</t>
  </si>
  <si>
    <t>4200mm span, 2100mm rise precast reinforced concrete box culvert</t>
  </si>
  <si>
    <t>14 FEET SPAN, 7 FEET RISE PRECAST REINFORCED CONCRETE BOX CULVERT</t>
  </si>
  <si>
    <t>60220-4450</t>
  </si>
  <si>
    <t>4200mm span, 2400mm rise precast reinforced concrete box culvert</t>
  </si>
  <si>
    <t>14 FEET SPAN, 8 FEET RISE PRECAST REINFORCED CONCRETE BOX CULVERT</t>
  </si>
  <si>
    <t>60220-4500</t>
  </si>
  <si>
    <t>4200mm span, 2700mm rise precast reinforced concrete box culvert</t>
  </si>
  <si>
    <t>14 FEET SPAN, 9 FEET RISE PRECAST REINFORCED CONCRETE BOX CULVERT</t>
  </si>
  <si>
    <t>60220-4550</t>
  </si>
  <si>
    <t>4200mm span, 3000mm rise precast reinforced concrete box culvert</t>
  </si>
  <si>
    <t>14 FEET SPAN, 10 FEET RISE PRECAST REINFORCED CONCRETE BOX CULVERT</t>
  </si>
  <si>
    <t>60220-4600</t>
  </si>
  <si>
    <t>4200mm span, 3300mm rise precast reinforced concrete box culvert</t>
  </si>
  <si>
    <t>14 FEET SPAN, 11 FEET RISE PRECAST REINFORCED CONCRETE BOX CULVERT</t>
  </si>
  <si>
    <t>60220-4650</t>
  </si>
  <si>
    <t>4200mm span, 3600mm rise precast reinforced concrete box culvert</t>
  </si>
  <si>
    <t>14 FEET SPAN, 12 FEET RISE PRECAST REINFORCED CONCRETE BOX CULVERT</t>
  </si>
  <si>
    <t>60220-4700</t>
  </si>
  <si>
    <t>4200mm span, 4200mm rise precast reinforced concrete box culvert</t>
  </si>
  <si>
    <t>14 FEET SPAN, 14 FEET RISE PRECAST REINFORCED CONCRETE BOX CULVERT</t>
  </si>
  <si>
    <t>60220-4750</t>
  </si>
  <si>
    <t>4200mm span, 4800mm rise precast reinforced concrete box culvert</t>
  </si>
  <si>
    <t>14 FEET SPAN, 16 FEET RISE PRECAST REINFORCED CONCRETE BOX CULVERT</t>
  </si>
  <si>
    <t>60220-4760</t>
  </si>
  <si>
    <t>16 FEET SPAN, 8 FEET RISE PRECAST REINFORCED CONCRETE BOX CULVERT</t>
  </si>
  <si>
    <t>60220-4800</t>
  </si>
  <si>
    <t>7200mm span, 2400mm rise precast reinforced concrete box culvert</t>
  </si>
  <si>
    <t>24 FEET SPAN, 8 FEET RISE PRECAST REINFORCED CONCRETE BOX CULVERT</t>
  </si>
  <si>
    <t>60221-0100</t>
  </si>
  <si>
    <t>900mm span, 900mm rise reinforced concrete box culvert, single barrel</t>
  </si>
  <si>
    <t>3 FEET SPAN, 3 FEET RISE REINFORCED CONCRETE BOX CULVERT, SINGLE BARREL</t>
  </si>
  <si>
    <t>60221-0150</t>
  </si>
  <si>
    <t>900mm span, 1200mm rise reinforced concrete box culvert, single barrel</t>
  </si>
  <si>
    <t>3 FEET SPAN, 4 FEET RISE REINFORCED CONCRETE BOX CULVERT, SINGLE BARREL</t>
  </si>
  <si>
    <t>60221-0200</t>
  </si>
  <si>
    <t>900mm span, 1500mm rise reinforced concrete box culvert, single barrel</t>
  </si>
  <si>
    <t>3 FEET SPAN, 5 FEET RISE REINFORCED CONCRETE BOX CULVERT, SINGLE BARREL</t>
  </si>
  <si>
    <t>60221-0250</t>
  </si>
  <si>
    <t>900mm span, 1800mm rise reinforced concrete box culvert, single barrel</t>
  </si>
  <si>
    <t>3 FEET SPAN, 6 FEET RISE REINFORCED CONCRETE BOX CULVERT, SINGLE BARREL</t>
  </si>
  <si>
    <t>60221-0300</t>
  </si>
  <si>
    <t>1200mm span, 900mm rise reinforced concrete box culvert, single barrel</t>
  </si>
  <si>
    <t>4 FEET SPAN, 3 FEET RISE REINFORCED CONCRETE BOX CULVERT, SINGLE BARREL</t>
  </si>
  <si>
    <t>60221-0350</t>
  </si>
  <si>
    <t>1200mm span, 1200mm rise reinforced concrete box culvert, single barrel</t>
  </si>
  <si>
    <t>4 FEET SPAN, 4 FEET RISE REINFORCED CONCRETE BOX CULVERT, SINGLE BARREL</t>
  </si>
  <si>
    <t>60221-0400</t>
  </si>
  <si>
    <t>1200mm span, 1500mm rise reinforced concrete box culvert, single barrel</t>
  </si>
  <si>
    <t>4 FEET SPAN, 5 FEET RISE REINFORCED CONCRETE BOX CULVERT, SINGLE BARREL</t>
  </si>
  <si>
    <t>60221-0450</t>
  </si>
  <si>
    <t>1200mm span, 1800mm rise reinforced concrete box culvert, single barrel</t>
  </si>
  <si>
    <t>4 FEET SPAN, 6 FEET RISE REINFORCED CONCRETE BOX CULVERT, SINGLE BARREL</t>
  </si>
  <si>
    <t>60221-0500</t>
  </si>
  <si>
    <t>1200mm span, 2100mm rise reinforced concrete box culvert, single barrel</t>
  </si>
  <si>
    <t>4 FEET SPAN, 7 FEET RISE REINFORCED CONCRETE BOX CULVERT, SINGLE BARREL</t>
  </si>
  <si>
    <t>60221-0550</t>
  </si>
  <si>
    <t>1500mm span, 900mm rise reinforced concrete box culvert, single barrel</t>
  </si>
  <si>
    <t>5 FEET SPAN, 3 FEET RISE REINFORCED CONCRETE BOX CULVERT, SINGLE BARREL</t>
  </si>
  <si>
    <t>60221-0600</t>
  </si>
  <si>
    <t>1500mm span, 1200mm rise reinforced concrete box culvert, single barrel</t>
  </si>
  <si>
    <t>5 FEET SPAN, 4 FEET RISE REINFORCED CONCRETE BOX CULVERT, SINGLE BARREL</t>
  </si>
  <si>
    <t>60221-0650</t>
  </si>
  <si>
    <t>1500mm span, 1500mm rise reinforced concrete box culvert, single barrel</t>
  </si>
  <si>
    <t>5 FEET SPAN, 5 FEET RISE REINFORCED CONCRETE BOX CULVERT, SINGLE BARREL</t>
  </si>
  <si>
    <t>60221-0700</t>
  </si>
  <si>
    <t>1500mm span, 1800mm rise reinforced concrete box culvert, single barrel</t>
  </si>
  <si>
    <t>5 FEET SPAN, 6 FEET RISE REINFORCED CONCRETE BOX CULVERT, SINGLE BARREL</t>
  </si>
  <si>
    <t>60221-0750</t>
  </si>
  <si>
    <t>1500mm span, 2100mm rise reinforced concrete box culvert, single barrel</t>
  </si>
  <si>
    <t>5 FEET SPAN, 7 FEET RISE REINFORCED CONCRETE BOX CULVERT, SINGLE BARREL</t>
  </si>
  <si>
    <t>60221-0800</t>
  </si>
  <si>
    <t>1500mm span, 2400mm rise reinforced concrete box culvert, single barrel</t>
  </si>
  <si>
    <t>5 FEET SPAN, 8 FEET RISE REINFORCED CONCRETE BOX CULVERT, SINGLE BARREL</t>
  </si>
  <si>
    <t>60221-0850</t>
  </si>
  <si>
    <t>1500mm span, 2700mm rise reinforced concrete box culvert, single barrel</t>
  </si>
  <si>
    <t>5 FEET SPAN, 9 FEET RISE REINFORCED CONCRETE BOX CULVERT, SINGLE BARREL</t>
  </si>
  <si>
    <t>60221-0900</t>
  </si>
  <si>
    <t>1500mm span, 3000mm rise reinforced concrete box culvert, single barrel</t>
  </si>
  <si>
    <t>5 FEET SPAN, 10 FEET RISE REINFORCED CONCRETE BOX CULVERT, SINGLE BARREL</t>
  </si>
  <si>
    <t>60221-0950</t>
  </si>
  <si>
    <t>1500mm span, 3300mm rise reinforced concrete box culvert, single barrel</t>
  </si>
  <si>
    <t>5 FEET SPAN, 11 FEET RISE REINFORCED CONCRETE BOX CULVERT, SINGLE BARREL</t>
  </si>
  <si>
    <t>60221-1000</t>
  </si>
  <si>
    <t>1500mm span, 3600mm rise reinforced concrete box culvert, single barrel</t>
  </si>
  <si>
    <t>5 FEET SPAN, 12 FEET RISE REINFORCED CONCRETE BOX CULVERT, SINGLE BARREL</t>
  </si>
  <si>
    <t>60221-1050</t>
  </si>
  <si>
    <t>1500mm span, 4200mm rise reinforced concrete box culvert, single barrel</t>
  </si>
  <si>
    <t>5 FEET SPAN, 14 FEET RISE REINFORCED CONCRETE BOX CULVERT, SINGLE BARREL</t>
  </si>
  <si>
    <t>60221-1100</t>
  </si>
  <si>
    <t>1500mm span, 4800mm rise reinforced concrete box culvert, single barrel</t>
  </si>
  <si>
    <t>5 FEET SPAN, 16 FEET RISE REINFORCED CONCRETE BOX CULVERT, SINGLE BARREL</t>
  </si>
  <si>
    <t>60221-1150</t>
  </si>
  <si>
    <t>1800mm span, 900mm rise reinforced concrete box culvert, single barrel</t>
  </si>
  <si>
    <t>6 FEET SPAN, 3 FEET RISE REINFORCED CONCRETE BOX CULVERT, SINGLE BARREL</t>
  </si>
  <si>
    <t>60221-1200</t>
  </si>
  <si>
    <t>1800mm span, 1200mm rise reinforced concrete box culvert, single barrel</t>
  </si>
  <si>
    <t>6 FEET SPAN, 4 FEET RISE REINFORCED CONCRETE BOX CULVERT, SINGLE BARREL</t>
  </si>
  <si>
    <t>60221-1250</t>
  </si>
  <si>
    <t>1800mm span, 1500mm rise reinforced concrete box culvert, single barrel</t>
  </si>
  <si>
    <t>6 FEET SPAN, 5 FEET RISE REINFORCED CONCRETE BOX CULVERT, SINGLE BARREL</t>
  </si>
  <si>
    <t>60221-1300</t>
  </si>
  <si>
    <t>1800mm span, 1800mm rise reinforced concrete box culvert, single barrel</t>
  </si>
  <si>
    <t>6 FEET SPAN, 6 FEET RISE REINFORCED CONCRETE BOX CULVERT, SINGLE BARREL</t>
  </si>
  <si>
    <t>60221-1350</t>
  </si>
  <si>
    <t>1800mm span, 2100mm rise reinforced concrete box culvert, single barrel</t>
  </si>
  <si>
    <t>6 FEET SPAN, 7 FEET RISE REINFORCED CONCRETE BOX CULVERT, SINGLE BARREL</t>
  </si>
  <si>
    <t>60221-1400</t>
  </si>
  <si>
    <t>1800mm span, 2400mm rise reinforced concrete box culvert, single barrel</t>
  </si>
  <si>
    <t>6 FEET SPAN, 8 FEET RISE REINFORCED CONCRETE BOX CULVERT, SINGLE BARREL</t>
  </si>
  <si>
    <t>60221-1450</t>
  </si>
  <si>
    <t>1800mm span, 2700mm rise reinforced concrete box culvert, single barrel</t>
  </si>
  <si>
    <t>6 FEET SPAN, 9 FEET RISE REINFORCED CONCRETE BOX CULVERT, SINGLE BARREL</t>
  </si>
  <si>
    <t>60221-1500</t>
  </si>
  <si>
    <t>1800mm span, 3000mm rise reinforced concrete box culvert, single barrel</t>
  </si>
  <si>
    <t>6 FEET SPAN, 10 FEET RISE REINFORCED CONCRETE BOX CULVERT, SINGLE BARREL</t>
  </si>
  <si>
    <t>60221-1550</t>
  </si>
  <si>
    <t>1800mm span, 3300mm rise reinforced concrete box culvert, single barrel</t>
  </si>
  <si>
    <t>6 FEET SPAN, 11 FEET RISE REINFORCED CONCRETE BOX CULVERT, SINGLE BARREL</t>
  </si>
  <si>
    <t>60221-1600</t>
  </si>
  <si>
    <t>1800mm span, 3600mm rise reinforced concrete box culvert, single barrel</t>
  </si>
  <si>
    <t>6 FEET SPAN, 12 FEET RISE REINFORCED CONCRETE BOX CULVERT, SINGLE BARREL</t>
  </si>
  <si>
    <t>60221-1650</t>
  </si>
  <si>
    <t>1800mm span, 4200mm rise reinforced concrete box culvert, single barrel</t>
  </si>
  <si>
    <t>6 FEET SPAN, 14 FEET RISE REINFORCED CONCRETE BOX CULVERT, SINGLE BARREL</t>
  </si>
  <si>
    <t>60221-1700</t>
  </si>
  <si>
    <t>1800mm span, 4800mm rise reinforced concrete box culvert, single barrel</t>
  </si>
  <si>
    <t>6 FEET SPAN, 16 FEET RISE REINFORCED CONCRETE BOX CULVERT, SINGLE BARREL</t>
  </si>
  <si>
    <t>60221-1750</t>
  </si>
  <si>
    <t>2400mm span, 900mm rise reinforced concrete box culvert, single barrel</t>
  </si>
  <si>
    <t>8 FEET SPAN, 3 FEET RISE REINFORCED CONCRETE BOX CULVERT, SINGLE BARREL</t>
  </si>
  <si>
    <t>60221-1800</t>
  </si>
  <si>
    <t>2400mm span, 1200mm rise reinforced concrete box culvert, single barrel</t>
  </si>
  <si>
    <t>8 FEET SPAN, 4 FEET RISE REINFORCED CONCRETE BOX CULVERT, SINGLE BARREL</t>
  </si>
  <si>
    <t>60221-1850</t>
  </si>
  <si>
    <t>2400mm span, 1500mm rise reinforced concrete box culvert, single barrel</t>
  </si>
  <si>
    <t>8 FEET SPAN, 5 FEET RISE REINFORCED CONCRETE BOX CULVERT, SINGLE BARREL</t>
  </si>
  <si>
    <t>60221-1900</t>
  </si>
  <si>
    <t>2400mm span, 1800mm rise reinforced concrete box culvert, single barrel</t>
  </si>
  <si>
    <t>8 FEET SPAN, 6 FEET RISE REINFORCED CONCRETE BOX CULVERT, SINGLE BARREL</t>
  </si>
  <si>
    <t>60221-1950</t>
  </si>
  <si>
    <t>2400mm span, 2100mm rise reinforced concrete box culvert, single barrel</t>
  </si>
  <si>
    <t>8 FEET SPAN, 7 FEET RISE REINFORCED CONCRETE BOX CULVERT, SINGLE BARREL</t>
  </si>
  <si>
    <t>60221-2000</t>
  </si>
  <si>
    <t>2400mm span, 2400mm rise reinforced concrete box culvert, single barrel</t>
  </si>
  <si>
    <t>8 FEET SPAN, 8 FEET RISE REINFORCED CONCRETE BOX CULVERT, SINGLE BARREL</t>
  </si>
  <si>
    <t>60221-2050</t>
  </si>
  <si>
    <t>2400mm span, 2700mm rise reinforced concrete box culvert, single barrel</t>
  </si>
  <si>
    <t>8 FEET SPAN, 9 FEET RISE REINFORCED CONCRETE BOX CULVERT, SINGLE BARREL</t>
  </si>
  <si>
    <t>60221-2100</t>
  </si>
  <si>
    <t>2400mm span, 3000mm rise reinforced concrete box culvert, single barrel</t>
  </si>
  <si>
    <t>8 FEET SPAN, 10 FEET RISE REINFORCED CONCRETE BOX CULVERT, SINGLE BARREL</t>
  </si>
  <si>
    <t>60221-2150</t>
  </si>
  <si>
    <t>2400mm span, 3300mm rise reinforced concrete box culvert, single barrel</t>
  </si>
  <si>
    <t>8 FEET SPAN, 11 FEET RISE REINFORCED CONCRETE BOX CULVERT, SINGLE BARREL</t>
  </si>
  <si>
    <t>60221-2200</t>
  </si>
  <si>
    <t>2400mm span, 3600mm rise reinforced concrete box culvert, single barrel</t>
  </si>
  <si>
    <t>8 FEET SPAN, 12 FEET RISE REINFORCED CONCRETE BOX CULVERT, SINGLE BARREL</t>
  </si>
  <si>
    <t>60221-2250</t>
  </si>
  <si>
    <t>2400mm span, 4200mm rise reinforced concrete box culvert, single barrel</t>
  </si>
  <si>
    <t>8 FEET SPAN, 14 FEET RISE REINFORCED CONCRETE BOX CULVERT, SINGLE BARREL</t>
  </si>
  <si>
    <t>60221-2300</t>
  </si>
  <si>
    <t>2700mm span, 900mm rise reinforced concrete box culvert, single barrel</t>
  </si>
  <si>
    <t>9 FEET SPAN, 3 FEET RISE REINFORCED CONCRETE BOX CULVERT, SINGLE BARREL</t>
  </si>
  <si>
    <t>60221-2350</t>
  </si>
  <si>
    <t>2700mm span, 1200mm rise reinforced concrete box culvert, single barrel</t>
  </si>
  <si>
    <t>9 FEET SPAN, 4 FEET RISE REINFORCED CONCRETE BOX CULVERT, SINGLE BARREL</t>
  </si>
  <si>
    <t>60221-2400</t>
  </si>
  <si>
    <t>2700mm span, 1500mm rise reinforced concrete box culvert, single barrel</t>
  </si>
  <si>
    <t>9 FEET SPAN, 5 FEET RISE REINFORCED CONCRETE BOX CULVERT, SINGLE BARREL</t>
  </si>
  <si>
    <t>60221-2450</t>
  </si>
  <si>
    <t>2700mm span, 1800mm rise reinforced concrete box culvert, single barrel</t>
  </si>
  <si>
    <t>9 FEET SPAN, 6 FEET RISE REINFORCED CONCRETE BOX CULVERT, SINGLE BARREL</t>
  </si>
  <si>
    <t>60221-2500</t>
  </si>
  <si>
    <t>2700mm span, 2100mm rise reinforced concrete box culvert, single barrel</t>
  </si>
  <si>
    <t>9 FEET SPAN, 7 FEET RISE REINFORCED CONCRETE BOX CULVERT, SINGLE BARREL</t>
  </si>
  <si>
    <t>60221-2550</t>
  </si>
  <si>
    <t>2700mm span, 2400mm rise reinforced concrete box culvert, single barrel</t>
  </si>
  <si>
    <t>9 FEET SPAN, 8 FEET RISE REINFORCED CONCRETE BOX CULVERT, SINGLE BARREL</t>
  </si>
  <si>
    <t>60221-2600</t>
  </si>
  <si>
    <t>2700mm span, 2700mm rise reinforced concrete box culvert, single barrel</t>
  </si>
  <si>
    <t>9 FEET SPAN, 9 FEET RISE REINFORCED CONCRETE BOX CULVERT, SINGLE BARREL</t>
  </si>
  <si>
    <t>60221-2650</t>
  </si>
  <si>
    <t>2700mm span, 3000mm rise reinforced concrete box culvert, single barrel</t>
  </si>
  <si>
    <t>9 FEET SPAN, 10 FEET RISE REINFORCED CONCRETE BOX CULVERT, SINGLE BARREL</t>
  </si>
  <si>
    <t>60221-2700</t>
  </si>
  <si>
    <t>2700mm span, 3300mm rise reinforced concrete box culvert, single barrel</t>
  </si>
  <si>
    <t>9 FEET SPAN, 11 FEET RISE REINFORCED CONCRETE BOX CULVERT, SINGLE BARREL</t>
  </si>
  <si>
    <t>60221-2750</t>
  </si>
  <si>
    <t>2700mm span, 3600mm rise reinforced concrete box culvert, single barrel</t>
  </si>
  <si>
    <t>9 FEET SPAN, 12 FEET RISE REINFORCED CONCRETE BOX CULVERT, SINGLE BARREL</t>
  </si>
  <si>
    <t>60221-2800</t>
  </si>
  <si>
    <t>2700mm span, 4200mm rise reinforced concrete box culvert, single barrel</t>
  </si>
  <si>
    <t>9 FEET SPAN, 14 FEET RISE REINFORCED CONCRETE BOX CULVERT, SINGLE BARREL</t>
  </si>
  <si>
    <t>60221-2850</t>
  </si>
  <si>
    <t>2700mm span, 4800mm rise reinforced concrete box culvert, single barrel</t>
  </si>
  <si>
    <t>9 FEET SPAN, 16 FEET RISE REINFORCED CONCRETE BOX CULVERT, SINGLE BARREL</t>
  </si>
  <si>
    <t>60221-2900</t>
  </si>
  <si>
    <t>3000mm span, 900mm rise reinforced concrete box culvert, single barrel</t>
  </si>
  <si>
    <t>10 FEET SPAN, 3 FEET RISE REINFORCED CONCRETE BOX CULVERT, SINGLE BARREL</t>
  </si>
  <si>
    <t>60221-2950</t>
  </si>
  <si>
    <t>3000mm span, 1200mm rise reinforced concrete box culvert, single barrel</t>
  </si>
  <si>
    <t>10 FEET SPAN, 4 FEET RISE REINFORCED CONCRETE BOX CULVERT, SINGLE BARREL</t>
  </si>
  <si>
    <t>60221-3000</t>
  </si>
  <si>
    <t>3000mm span, 1500mm rise reinforced concrete box culvert, single barrel</t>
  </si>
  <si>
    <t>10 FEET SPAN, 5 FEET RISE REINFORCED CONCRETE BOX CULVERT, SINGLE BARREL</t>
  </si>
  <si>
    <t>60221-3050</t>
  </si>
  <si>
    <t>3000mm span, 1800mm rise reinforced concrete box culvert, single barrel</t>
  </si>
  <si>
    <t>10 FEET SPAN, 6 FEET RISE REINFORCED CONCRETE BOX CULVERT, SINGLE BARREL</t>
  </si>
  <si>
    <t>60221-3100</t>
  </si>
  <si>
    <t>3000mm span, 2100mm rise reinforced concrete box culvert, single barrel</t>
  </si>
  <si>
    <t>10 FEET SPAN, 7 FEET RISE REINFORCED CONCRETE BOX CULVERT, SINGLE BARREL</t>
  </si>
  <si>
    <t>60221-3150</t>
  </si>
  <si>
    <t>3000mm span, 2400mm rise reinforced concrete box culvert, single barrel</t>
  </si>
  <si>
    <t>10 FEET SPAN, 8 FEET RISE REINFORCED CONCRETE BOX CULVERT, SINGLE BARREL</t>
  </si>
  <si>
    <t>60221-3200</t>
  </si>
  <si>
    <t>3000mm span, 2700mm rise reinforced concrete box culvert, single barrel</t>
  </si>
  <si>
    <t>10 FEET SPAN, 9 FEET RISE REINFORCED CONCRETE BOX CULVERT, SINGLE BARREL</t>
  </si>
  <si>
    <t>60221-3250</t>
  </si>
  <si>
    <t>3000mm span, 3000mm rise reinforced concrete box culvert, single barrel</t>
  </si>
  <si>
    <t>10 FEET SPAN, 10 FEET RISE REINFORCED CONCRETE BOX CULVERT, SINGLE BARREL</t>
  </si>
  <si>
    <t>60221-3300</t>
  </si>
  <si>
    <t>3000mm span, 3300mm rise reinforced concrete box culvert, single barrel</t>
  </si>
  <si>
    <t>10 FEET SPAN, 11 FEET RISE REINFORCED CONCRETE BOX CULVERT, SINGLE BARREL</t>
  </si>
  <si>
    <t>60221-3350</t>
  </si>
  <si>
    <t>3000mm span, 3600mm rise reinforced concrete box culvert, single barrel</t>
  </si>
  <si>
    <t>10 FEET SPAN, 12 FEET RISE REINFORCED CONCRETE BOX CULVERT, SINGLE BARREL</t>
  </si>
  <si>
    <t>60221-3400</t>
  </si>
  <si>
    <t>3000mm span, 4200mm rise reinforced concrete box culvert, single barrel</t>
  </si>
  <si>
    <t>10 FEET SPAN, 14 FEET RISE REINFORCED CONCRETE BOX CULVERT, SINGLE BARREL</t>
  </si>
  <si>
    <t>60221-3450</t>
  </si>
  <si>
    <t>3000mm span, 4800mm rise reinforced concrete box culvert, single barrel</t>
  </si>
  <si>
    <t>10 FEET SPAN, 16 FEET RISE REINFORCED CONCRETE BOX CULVERT, SINGLE BARREL</t>
  </si>
  <si>
    <t>60221-3500</t>
  </si>
  <si>
    <t>3300mm span, 1500mm rise reinforced concrete box culvert, single barrel</t>
  </si>
  <si>
    <t>11 FEET SPAN, 5 FEET RISE REINFORCED CONCRETE BOX CULVERT, SINGLE BARREL</t>
  </si>
  <si>
    <t>60221-3550</t>
  </si>
  <si>
    <t>3300mm span, 1800mm rise reinforced concrete box culvert, single barrel</t>
  </si>
  <si>
    <t>11 FEET SPAN, 6 FEET RISE REINFORCED CONCRETE BOX CULVERT, SINGLE BARREL</t>
  </si>
  <si>
    <t>60221-3600</t>
  </si>
  <si>
    <t>3300mm span, 2100mm rise reinforced concrete box culvert, single barrel</t>
  </si>
  <si>
    <t>11 FEET SPAN, 7 FEET RISE REINFORCED CONCRETE BOX CULVERT, SINGLE BARREL</t>
  </si>
  <si>
    <t>60221-3650</t>
  </si>
  <si>
    <t>3300mm span, 2400mm rise reinforced concrete box culvert, single barrel</t>
  </si>
  <si>
    <t>11 FEET SPAN, 8 FEET RISE REINFORCED CONCRETE BOX CULVERT, SINGLE BARREL</t>
  </si>
  <si>
    <t>60221-3700</t>
  </si>
  <si>
    <t>3300mm span, 2700mm rise reinforced concrete box culvert, single barrel</t>
  </si>
  <si>
    <t>11 FEET SPAN, 9 FEET RISE REINFORCED CONCRETE BOX CULVERT, SINGLE BARREL</t>
  </si>
  <si>
    <t>60221-3750</t>
  </si>
  <si>
    <t>3300mm span, 3000mm rise reinforced concrete box culvert, single barrel</t>
  </si>
  <si>
    <t>11 FEET SPAN, 10 FEET RISE REINFORCED CONCRETE BOX CULVERT, SINGLE BARREL</t>
  </si>
  <si>
    <t>60221-3800</t>
  </si>
  <si>
    <t>3300mm span, 3300mm rise reinforced concrete box culvert, single barrel</t>
  </si>
  <si>
    <t>11 FEET SPAN, 11 FEET RISE REINFORCED CONCRETE BOX CULVERT, SINGLE BARREL</t>
  </si>
  <si>
    <t>60221-3850</t>
  </si>
  <si>
    <t>3300mm span, 3600mm rise reinforced concrete box culvert, single barrel</t>
  </si>
  <si>
    <t>11 FEET SPAN, 12 FEET RISE REINFORCED CONCRETE BOX CULVERT, SINGLE BARREL</t>
  </si>
  <si>
    <t>60221-3900</t>
  </si>
  <si>
    <t>3300mm span, 4200mm rise reinforced concrete box culvert, single barrel</t>
  </si>
  <si>
    <t>11 FEET SPAN, 14 FEET RISE REINFORCED CONCRETE BOX CULVERT, SINGLE BARREL</t>
  </si>
  <si>
    <t>60221-3950</t>
  </si>
  <si>
    <t>3300mm span, 4800mm rise reinforced concrete box culvert, single barrel</t>
  </si>
  <si>
    <t>11 FEET SPAN, 16 FEET RISE REINFORCED CONCRETE BOX CULVERT, SINGLE BARREL</t>
  </si>
  <si>
    <t>60221-3990</t>
  </si>
  <si>
    <t>3600mm span, 1200mm rise reinforced concrete box culvert, single barrel</t>
  </si>
  <si>
    <t>12 FEET SPAN, 4 FEET RISE REINFORCED CONCRETE BOX CULVERT, SINGLE BARREL</t>
  </si>
  <si>
    <t>60221-3996</t>
  </si>
  <si>
    <t>3600mm span, 1800mm rise reinforced concrete box culvert, single barrel</t>
  </si>
  <si>
    <t>12 FEET SPAN, 6 FEET RISE REINFORCED CONCRETE BOX CULVERT, SINGLE BARREL</t>
  </si>
  <si>
    <t>60221-4000</t>
  </si>
  <si>
    <t>3600mm span, 2100mm rise reinforced concrete box culvert, single barrel</t>
  </si>
  <si>
    <t>12 FEET SPAN, 7 FEET RISE REINFORCED CONCRETE BOX CULVERT, SINGLE BARREL</t>
  </si>
  <si>
    <t>60221-4050</t>
  </si>
  <si>
    <t>3600mm span, 2400mm rise reinforced concrete box culvert, single barrel</t>
  </si>
  <si>
    <t>12 FEET SPAN, 8 FEET RISE REINFORCED CONCRETE BOX CULVERT, SINGLE BARREL</t>
  </si>
  <si>
    <t>60221-4100</t>
  </si>
  <si>
    <t>3600mm span, 2700mm rise reinforced concrete box culvert, single barrel</t>
  </si>
  <si>
    <t>12 FEET SPAN, 9 FEET RISE REINFORCED CONCRETE BOX CULVERT, SINGLE BARREL</t>
  </si>
  <si>
    <t>60221-4150</t>
  </si>
  <si>
    <t>3600mm span, 3000mm rise reinforced concrete box culvert, single barrel</t>
  </si>
  <si>
    <t>12 FEET SPAN, 10 FEET RISE REINFORCED CONCRETE BOX CULVERT, SINGLE BARREL</t>
  </si>
  <si>
    <t>60221-4200</t>
  </si>
  <si>
    <t>3600mm span, 3300mm rise reinforced concrete box culvert, single barrel</t>
  </si>
  <si>
    <t>12 FEET SPAN, 11 FEET RISE REINFORCED CONCRETE BOX CULVERT, SINGLE BARREL</t>
  </si>
  <si>
    <t>60221-4250</t>
  </si>
  <si>
    <t>3600mm span, 3600mm rise reinforced concrete box culvert, single barrel</t>
  </si>
  <si>
    <t>12 FEET SPAN, 12 FEET RISE REINFORCED CONCRETE BOX CULVERT, SINGLE BARREL</t>
  </si>
  <si>
    <t>60221-4300</t>
  </si>
  <si>
    <t>3600mm span, 4200mm rise reinforced concrete box culvert, single barrel</t>
  </si>
  <si>
    <t>12 FEET SPAN, 14 FEET RISE REINFORCED CONCRETE BOX CULVERT, SINGLE BARREL</t>
  </si>
  <si>
    <t>60221-4350</t>
  </si>
  <si>
    <t>4200mm span, 1800mm rise reinforced concrete box culvert, single barrel</t>
  </si>
  <si>
    <t>14 FEET SPAN, 6 FEET RISE REINFORCED CONCRETE BOX CULVERT, SINGLE BARREL</t>
  </si>
  <si>
    <t>60221-4400</t>
  </si>
  <si>
    <t>4200mm span, 2100mm rise reinforced concrete box culvert, single barrel</t>
  </si>
  <si>
    <t>14 FEET SPAN, 7 FEET RISE REINFORCED CONCRETE BOX CULVERT, SINGLE BARREL</t>
  </si>
  <si>
    <t>60221-4450</t>
  </si>
  <si>
    <t>4200mm span, 2400mm rise reinforced concrete box culvert, single barrel</t>
  </si>
  <si>
    <t>14 FEET SPAN, 8 FEET RISE REINFORCED CONCRETE BOX CULVERT, SINGLE BARREL</t>
  </si>
  <si>
    <t>60221-4500</t>
  </si>
  <si>
    <t>4200mm span, 2700mm rise reinforced concrete box culvert, single barrel</t>
  </si>
  <si>
    <t>14 FEET SPAN, 9 FEET RISE REINFORCED CONCRETE BOX CULVERT, SINGLE BARREL</t>
  </si>
  <si>
    <t>60221-4550</t>
  </si>
  <si>
    <t>4200mm span, 3000mm rise reinforced concrete box culvert, single barrel</t>
  </si>
  <si>
    <t>14 FEET SPAN, 10 FEET RISE REINFORCED CONCRETE BOX CULVERT, SINGLE BARREL</t>
  </si>
  <si>
    <t>60221-4600</t>
  </si>
  <si>
    <t>4200mm span, 3300mm rise reinforced concrete box culvert, single barrel</t>
  </si>
  <si>
    <t>14 FEET SPAN, 11 FEET RISE REINFORCED CONCRETE BOX CULVERT, SINGLE BARREL</t>
  </si>
  <si>
    <t>60221-4650</t>
  </si>
  <si>
    <t>4200mm span, 3600mm rise reinforced concrete box culvert, single barrel</t>
  </si>
  <si>
    <t>14 FEET SPAN, 12 FEET RISE REINFORCED CONCRETE BOX CULVERT, SINGLE BARREL</t>
  </si>
  <si>
    <t>60221-4700</t>
  </si>
  <si>
    <t>4200mm span, 4200mm rise reinforced concrete box culvert, single barrel</t>
  </si>
  <si>
    <t>14 FEET SPAN, 14 FEET RISE REINFORCED CONCRETE BOX CULVERT, SINGLE BARREL</t>
  </si>
  <si>
    <t>60221-4750</t>
  </si>
  <si>
    <t>4200mm span, 4800mm rise reinforced concrete box culvert, single barrel</t>
  </si>
  <si>
    <t>14 FEET SPAN, 16 FEET RISE REINFORCED CONCRETE BOX CULVERT, SINGLE BARREL</t>
  </si>
  <si>
    <t>60221-4770</t>
  </si>
  <si>
    <t>4800mm span, 3000mm rise reinforced concrete box culvert, single barrel</t>
  </si>
  <si>
    <t>16 FEET SPAN, 10 FEET RISE REINFORCED CONCRETE BOX CULVERT, SINGLE BARREL</t>
  </si>
  <si>
    <t>60221-4800</t>
  </si>
  <si>
    <t>7200mm span, 2400mm rise reinforced concrete box culvert, single barrel</t>
  </si>
  <si>
    <t>24 FEET SPAN, 8 FEET RISE REINFORCED CONCRETE BOX CULVERT, SINGLE BARREL</t>
  </si>
  <si>
    <t>60222-0100</t>
  </si>
  <si>
    <t>900mm span, 900mm rise reinforced concrete box culvert, double barrel</t>
  </si>
  <si>
    <t>3 FEET SPAN, 3 FEET RISE REINFORCED CONCRETE BOX CULVERT, DOUBLE BARREL</t>
  </si>
  <si>
    <t>60222-0150</t>
  </si>
  <si>
    <t>900mm span, 1200mm rise reinforced concrete box culvert, double barrel</t>
  </si>
  <si>
    <t>3 FEET SPAN, 4 FEET RISE REINFORCED CONCRETE BOX CULVERT, DOUBLE BARREL</t>
  </si>
  <si>
    <t>60222-0200</t>
  </si>
  <si>
    <t>900mm span, 1500mm rise reinforced concrete box culvert, double barrel</t>
  </si>
  <si>
    <t>3 FEET SPAN, 5 FEET RISE REINFORCED CONCRETE BOX CULVERT, DOUBLE BARREL</t>
  </si>
  <si>
    <t>60222-0250</t>
  </si>
  <si>
    <t>900mm span, 1800mm rise reinforced concrete box culvert, double barrel</t>
  </si>
  <si>
    <t>3 FEET SPAN, 6 FEET RISE REINFORCED CONCRETE BOX CULVERT, DOUBLE BARREL</t>
  </si>
  <si>
    <t>60222-0300</t>
  </si>
  <si>
    <t>1200mm span, 900mm rise reinforced concrete box culvert, double barrel</t>
  </si>
  <si>
    <t>4 FEET SPAN, 3 FEET RISE REINFORCED CONCRETE BOX CULVERT, DOUBLE BARREL</t>
  </si>
  <si>
    <t>60222-0350</t>
  </si>
  <si>
    <t>1200mm span, 1200mm rise reinforced concrete box culvert, double barrel</t>
  </si>
  <si>
    <t>4 FEET SPAN, 4 FEET RISE REINFORCED CONCRETE BOX CULVERT, DOUBLE BARREL</t>
  </si>
  <si>
    <t>60222-0400</t>
  </si>
  <si>
    <t>1200mm span, 1500mm rise reinforced concrete box culvert, double barrel</t>
  </si>
  <si>
    <t>4 FEET SPAN, 5 FEET RISE REINFORCED CONCRETE BOX CULVERT, DOUBLE BARREL</t>
  </si>
  <si>
    <t>60222-0450</t>
  </si>
  <si>
    <t>1200mm span, 1800mm rise reinforced concrete box culvert, double barrel</t>
  </si>
  <si>
    <t>4 FEET SPAN, 6 FEET RISE REINFORCED CONCRETE BOX CULVERT, DOUBLE BARREL</t>
  </si>
  <si>
    <t>60222-0500</t>
  </si>
  <si>
    <t>1200mm span, 2100mm rise reinforced concrete box culvert, double barrel</t>
  </si>
  <si>
    <t>4 FEET SPAN, 7 FEET RISE REINFORCED CONCRETE BOX CULVERT, DOUBLE BARREL</t>
  </si>
  <si>
    <t>60222-0550</t>
  </si>
  <si>
    <t>1500mm span, 900mm rise reinforced concrete box culvert, double barrel</t>
  </si>
  <si>
    <t>5 FEET SPAN, 3 FEET RISE REINFORCED CONCRETE BOX CULVERT, DOUBLE BARREL</t>
  </si>
  <si>
    <t>60222-0600</t>
  </si>
  <si>
    <t>1500mm span, 1200mm rise reinforced concrete box culvert, double barrel</t>
  </si>
  <si>
    <t>5 FEET SPAN, 4 FEET RISE REINFORCED CONCRETE BOX CULVERT, DOUBLE BARREL</t>
  </si>
  <si>
    <t>60222-0650</t>
  </si>
  <si>
    <t>1500mm span, 1500mm rise reinforced concrete box culvert, double barrel</t>
  </si>
  <si>
    <t>5 FEET SPAN, 5 FEET RISE REINFORCED CONCRETE BOX CULVERT, DOUBLE BARREL</t>
  </si>
  <si>
    <t>60222-0700</t>
  </si>
  <si>
    <t>1500mm span, 1800mm rise reinforced concrete box culvert, double barrel</t>
  </si>
  <si>
    <t>5 FEET SPAN, 6 FEET RISE REINFORCED CONCRETE BOX CULVERT, DOUBLE BARREL</t>
  </si>
  <si>
    <t>60222-0750</t>
  </si>
  <si>
    <t>1500mm span, 2100mm rise reinforced concrete box culvert, double barrel</t>
  </si>
  <si>
    <t>5 FEET SPAN, 7 FEET RISE REINFORCED CONCRETE BOX CULVERT, DOUBLE BARREL</t>
  </si>
  <si>
    <t>60222-0800</t>
  </si>
  <si>
    <t>1500mm span, 2400mm rise reinforced concrete box culvert, double barrel</t>
  </si>
  <si>
    <t>5 FEET SPAN, 8 FEET RISE REINFORCED CONCRETE BOX CULVERT, DOUBLE BARREL</t>
  </si>
  <si>
    <t>60222-0850</t>
  </si>
  <si>
    <t>1500mm span, 2700mm rise reinforced concrete box culvert, double barrel</t>
  </si>
  <si>
    <t>5 FEET SPAN, 9 FEET RISE REINFORCED CONCRETE BOX CULVERT, DOUBLE BARREL</t>
  </si>
  <si>
    <t>60222-0900</t>
  </si>
  <si>
    <t>1500mm span, 3000mm rise reinforced concrete box culvert, double barrel</t>
  </si>
  <si>
    <t>5 FEET SPAN, 10 FEET RISE REINFORCED CONCRETE BOX CULVERT, DOUBLE BARREL</t>
  </si>
  <si>
    <t>60222-0950</t>
  </si>
  <si>
    <t>1500mm span, 3300mm rise reinforced concrete box culvert, double barrel</t>
  </si>
  <si>
    <t>5 FEET SPAN, 11 FEET RISE REINFORCED CONCRETE BOX CULVERT, DOUBLE BARREL</t>
  </si>
  <si>
    <t>60222-1000</t>
  </si>
  <si>
    <t>1500mm span, 3600mm rise reinforced concrete box culvert, double barrel</t>
  </si>
  <si>
    <t>5 FEET SPAN, 12 FEET RISE REINFORCED CONCRETE BOX CULVERT, DOUBLE BARREL</t>
  </si>
  <si>
    <t>60222-1050</t>
  </si>
  <si>
    <t>1500mm span, 4200mm rise reinforced concrete box culvert, double barrel</t>
  </si>
  <si>
    <t>5 FEET SPAN, 14 FEET RISE REINFORCED CONCRETE BOX CULVERT, DOUBLE BARREL</t>
  </si>
  <si>
    <t>60222-1100</t>
  </si>
  <si>
    <t>1500mm span, 4800mm rise reinforced concrete box culvert, double barrel</t>
  </si>
  <si>
    <t>5 FEET SPAN, 16 FEET RISE REINFORCED CONCRETE BOX CULVERT, DOUBLE BARREL</t>
  </si>
  <si>
    <t>60222-1150</t>
  </si>
  <si>
    <t>1800mm span, 900mm rise reinforced concrete box culvert, double barrel</t>
  </si>
  <si>
    <t>6 FEET SPAN, 3 FEET RISE REINFORCED CONCRETE BOX CULVERT, DOUBLE BARREL</t>
  </si>
  <si>
    <t>60222-1200</t>
  </si>
  <si>
    <t>1800mm span, 1200mm rise reinforced concrete box culvert, double barrel</t>
  </si>
  <si>
    <t>6 FEET SPAN, 4 FEET RISE REINFORCED CONCRETE BOX CULVERT, DOUBLE BARREL</t>
  </si>
  <si>
    <t>60222-1250</t>
  </si>
  <si>
    <t>1800mm span, 1500mm rise reinforced concrete box culvert, double barrel</t>
  </si>
  <si>
    <t>6 FEET SPAN, 5 FEET RISE REINFORCED CONCRETE BOX CULVERT, DOUBLE BARREL</t>
  </si>
  <si>
    <t>60222-1300</t>
  </si>
  <si>
    <t>1800mm span, 1800mm rise reinforced concrete box culvert, double barrel</t>
  </si>
  <si>
    <t>6 FEET SPAN, 6 FEET RISE REINFORCED CONCRETE BOX CULVERT, DOUBLE BARREL</t>
  </si>
  <si>
    <t>60222-1350</t>
  </si>
  <si>
    <t>1800mm span, 2100mm rise reinforced concrete box culvert, double barrel</t>
  </si>
  <si>
    <t>6 FEET SPAN, 7 FEET RISE REINFORCED CONCRETE BOX CULVERT, DOUBLE BARREL</t>
  </si>
  <si>
    <t>60222-1400</t>
  </si>
  <si>
    <t>1800mm span, 2400mm rise reinforced concrete box culvert, double barrel</t>
  </si>
  <si>
    <t>6 FEET SPAN, 8 FEET RISE REINFORCED CONCRETE BOX CULVERT, DOUBLE BARREL</t>
  </si>
  <si>
    <t>60222-1450</t>
  </si>
  <si>
    <t>1800mm span, 2700mm rise reinforced concrete box culvert, double barrel</t>
  </si>
  <si>
    <t>6 FEET SPAN, 9 FEET RISE REINFORCED CONCRETE BOX CULVERT, DOUBLE BARREL</t>
  </si>
  <si>
    <t>60222-1500</t>
  </si>
  <si>
    <t>1800mm span, 3000mm rise reinforced concrete box culvert, double barrel</t>
  </si>
  <si>
    <t>6 FEET SPAN, 10 FEET RISE REINFORCED CONCRETE BOX CULVERT, DOUBLE BARREL</t>
  </si>
  <si>
    <t>60222-1550</t>
  </si>
  <si>
    <t>1800mm span, 3300mm rise reinforced concrete box culvert, double barrel</t>
  </si>
  <si>
    <t>6 FEET SPAN, 11 FEET RISE REINFORCED CONCRETE BOX CULVERT, DOUBLE BARREL</t>
  </si>
  <si>
    <t>60222-1600</t>
  </si>
  <si>
    <t>1800mm span, 3600mm rise reinforced concrete box culvert, double barrel</t>
  </si>
  <si>
    <t>6 FEET SPAN, 12 FEET RISE REINFORCED CONCRETE BOX CULVERT, DOUBLE BARREL</t>
  </si>
  <si>
    <t>60222-1650</t>
  </si>
  <si>
    <t>1800mm span, 4200mm rise reinforced concrete box culvert, double barrel</t>
  </si>
  <si>
    <t>6 FEET SPAN, 14 FEET RISE REINFORCED CONCRETE BOX CULVERT, DOUBLE BARREL</t>
  </si>
  <si>
    <t>60222-1700</t>
  </si>
  <si>
    <t>1800mm span, 4800mm rise reinforced concrete box culvert, double barrel</t>
  </si>
  <si>
    <t>6 FEET SPAN, 16 FEET RISE REINFORCED CONCRETE BOX CULVERT, DOUBLE BARREL</t>
  </si>
  <si>
    <t>60222-1750</t>
  </si>
  <si>
    <t>2400mm span, 900mm rise reinforced concrete box culvert, double barrel</t>
  </si>
  <si>
    <t>8 FEET SPAN, 3 FEET RISE REINFORCED CONCRETE BOX CULVERT, DOUBLE BARREL</t>
  </si>
  <si>
    <t>60222-1800</t>
  </si>
  <si>
    <t>2400mm span, 1200mm rise reinforced concrete box culvert, double barrel</t>
  </si>
  <si>
    <t>8 FEET SPAN, 4 FEET RISE REINFORCED CONCRETE BOX CULVERT, DOUBLE BARREL</t>
  </si>
  <si>
    <t>60222-1850</t>
  </si>
  <si>
    <t>2400mm span, 1500mm rise reinforced concrete box culvert, double barrel</t>
  </si>
  <si>
    <t>8 FEET SPAN, 5 FEET RISE REINFORCED CONCRETE BOX CULVERT, DOUBLE BARREL</t>
  </si>
  <si>
    <t>60222-1900</t>
  </si>
  <si>
    <t>2400mm span, 1800mm rise reinforced concrete box culvert, double barrel</t>
  </si>
  <si>
    <t>8 FEET SPAN, 6 FEET RISE REINFORCED CONCRETE BOX CULVERT, DOUBLE BARREL</t>
  </si>
  <si>
    <t>60222-1950</t>
  </si>
  <si>
    <t>2400mm span, 2100mm rise reinforced concrete box culvert, double barrel</t>
  </si>
  <si>
    <t>8 FEET SPAN, 7 FEET RISE REINFORCED CONCRETE BOX CULVERT, DOUBLE BARREL</t>
  </si>
  <si>
    <t>60222-2000</t>
  </si>
  <si>
    <t>2400mm span, 2400mm rise reinforced concrete box culvert, double barrel</t>
  </si>
  <si>
    <t>8 FEET SPAN, 8 FEET RISE REINFORCED CONCRETE BOX CULVERT, DOUBLE BARREL</t>
  </si>
  <si>
    <t>60222-2050</t>
  </si>
  <si>
    <t>2400mm span, 2700mm rise reinforced concrete box culvert, double barrel</t>
  </si>
  <si>
    <t>8 FEET SPAN, 9 FEET RISE REINFORCED CONCRETE BOX CULVERT, DOUBLE BARREL</t>
  </si>
  <si>
    <t>60222-2100</t>
  </si>
  <si>
    <t>2400mm span, 3000mm rise reinforced concrete box culvert, double barrel</t>
  </si>
  <si>
    <t>8 FEET SPAN, 10 FEET RISE REINFORCED CONCRETE BOX CULVERT, DOUBLE BARREL</t>
  </si>
  <si>
    <t>60222-2150</t>
  </si>
  <si>
    <t>2400mm span, 3300mm rise reinforced concrete box culvert, double barrel</t>
  </si>
  <si>
    <t>8 FEET SPAN, 11 FEET RISE REINFORCED CONCRETE BOX CULVERT, DOUBLE BARREL</t>
  </si>
  <si>
    <t>60222-2200</t>
  </si>
  <si>
    <t>2400mm span, 3600mm rise reinforced concrete box culvert, double barrel</t>
  </si>
  <si>
    <t>8 FEET SPAN, 12 FEET RISE REINFORCED CONCRETE BOX CULVERT, DOUBLE BARREL</t>
  </si>
  <si>
    <t>60222-2250</t>
  </si>
  <si>
    <t>2400mm span, 4200mm rise reinforced concrete box culvert, double barrel</t>
  </si>
  <si>
    <t>8 FEET SPAN, 14 FEET RISE REINFORCED CONCRETE BOX CULVERT, DOUBLE BARREL</t>
  </si>
  <si>
    <t>60222-2300</t>
  </si>
  <si>
    <t>2700mm span, 900mm rise reinforced concrete box culvert, double barrel</t>
  </si>
  <si>
    <t>9 FEET SPAN, 3 FEET RISE REINFORCED CONCRETE BOX CULVERT, DOUBLE BARREL</t>
  </si>
  <si>
    <t>60222-2350</t>
  </si>
  <si>
    <t>2700mm span, 1200mm rise reinforced concrete box culvert, double barrel</t>
  </si>
  <si>
    <t>9 FEET SPAN, 4 FEET RISE REINFORCED CONCRETE BOX CULVERT, DOUBLE BARREL</t>
  </si>
  <si>
    <t>60222-2400</t>
  </si>
  <si>
    <t>2700mm span, 1500mm rise reinforced concrete box culvert, double barrel</t>
  </si>
  <si>
    <t>9 FEET SPAN, 5 FEET RISE REINFORCED CONCRETE BOX CULVERT, DOUBLE BARREL</t>
  </si>
  <si>
    <t>60222-2450</t>
  </si>
  <si>
    <t>2700mm span, 1800mm rise reinforced concrete box culvert, double barrel</t>
  </si>
  <si>
    <t>9 FEET SPAN, 6 FEET RISE REINFORCED CONCRETE BOX CULVERT, DOUBLE BARREL</t>
  </si>
  <si>
    <t>60222-2500</t>
  </si>
  <si>
    <t>2700mm span, 2100mm rise reinforced concrete box culvert, double barrel</t>
  </si>
  <si>
    <t>9 FEET SPAN, 7 FEET RISE REINFORCED CONCRETE BOX CULVERT, DOUBLE BARREL</t>
  </si>
  <si>
    <t>60222-2550</t>
  </si>
  <si>
    <t>2700mm span, 2400mm rise reinforced concrete box culvert, double barrel</t>
  </si>
  <si>
    <t>9 FEET SPAN, 8 FEET RISE REINFORCED CONCRETE BOX CULVERT, DOUBLE BARREL</t>
  </si>
  <si>
    <t>60222-2600</t>
  </si>
  <si>
    <t>2700mm span, 2700mm rise reinforced concrete box culvert, double barrel</t>
  </si>
  <si>
    <t>9 FEET SPAN, 9 FEET RISE REINFORCED CONCRETE BOX CULVERT, DOUBLE BARREL</t>
  </si>
  <si>
    <t>60222-2650</t>
  </si>
  <si>
    <t>2700mm span, 3000mm rise reinforced concrete box culvert, double barrel</t>
  </si>
  <si>
    <t>9 FEET SPAN, 10 FEET RISE REINFORCED CONCRETE BOX CULVERT, DOUBLE BARREL</t>
  </si>
  <si>
    <t>60222-2700</t>
  </si>
  <si>
    <t>2700mm span, 3300mm rise reinforced concrete box culvert, double barrel</t>
  </si>
  <si>
    <t>9 FEET SPAN, 11 FEET RISE REINFORCED CONCRETE BOX CULVERT, DOUBLE BARREL</t>
  </si>
  <si>
    <t>60222-2750</t>
  </si>
  <si>
    <t>2700mm span, 3600mm rise reinforced concrete box culvert, double barrel</t>
  </si>
  <si>
    <t>9 FEET SPAN, 12 FEET RISE REINFORCED CONCRETE BOX CULVERT, DOUBLE BARREL</t>
  </si>
  <si>
    <t>60222-2800</t>
  </si>
  <si>
    <t>2700mm span, 4200mm rise reinforced concrete box culvert, double barrel</t>
  </si>
  <si>
    <t>9 FEET SPAN, 14 FEET RISE REINFORCED CONCRETE BOX CULVERT, DOUBLE BARREL</t>
  </si>
  <si>
    <t>60222-2850</t>
  </si>
  <si>
    <t>2700mm span, 4800mm rise reinforced concrete box culvert, double barrel</t>
  </si>
  <si>
    <t>9 FEET SPAN, 16 FEET RISE REINFORCED CONCRETE BOX CULVERT, DOUBLE BARREL</t>
  </si>
  <si>
    <t>60222-2900</t>
  </si>
  <si>
    <t>3000mm span, 900mm rise reinforced concrete box culvert, double barrel</t>
  </si>
  <si>
    <t>10 FEET SPAN, 3 FEET RISE REINFORCED CONCRETE BOX CULVERT, DOUBLE BARREL</t>
  </si>
  <si>
    <t>60222-2950</t>
  </si>
  <si>
    <t>3000mm span, 1200mm rise reinforced concrete box culvert, double barrel</t>
  </si>
  <si>
    <t>10 FEET SPAN, 4 FEET RISE REINFORCED CONCRETE BOX CULVERT, DOUBLE BARREL</t>
  </si>
  <si>
    <t>60222-3000</t>
  </si>
  <si>
    <t>3000mm span, 1500mm rise reinforced concrete box culvert, double barrel</t>
  </si>
  <si>
    <t>10 FEET SPAN, 5 FEET RISE REINFORCED CONCRETE BOX CULVERT, DOUBLE BARREL</t>
  </si>
  <si>
    <t>60222-3050</t>
  </si>
  <si>
    <t>3000mm span, 1800mm rise reinforced concrete box culvert, double barrel</t>
  </si>
  <si>
    <t>10 FEET SPAN, 6 FEET RISE REINFORCED CONCRETE BOX CULVERT, DOUBLE BARREL</t>
  </si>
  <si>
    <t>60222-3100</t>
  </si>
  <si>
    <t>3000mm span, 2100mm rise reinforced concrete box culvert, double barrel</t>
  </si>
  <si>
    <t>10 FEET SPAN, 7 FEET RISE REINFORCED CONCRETE BOX CULVERT, DOUBLE BARREL</t>
  </si>
  <si>
    <t>60222-3150</t>
  </si>
  <si>
    <t>3000mm span, 2400mm rise reinforced concrete box culvert, double barrel</t>
  </si>
  <si>
    <t>10 FEET SPAN, 8 FEET RISE REINFORCED CONCRETE BOX CULVERT, DOUBLE BARREL</t>
  </si>
  <si>
    <t>60222-3200</t>
  </si>
  <si>
    <t>3000mm span, 2700mm rise reinforced concrete box culvert, double barrel</t>
  </si>
  <si>
    <t>10 FEET SPAN, 9 FEET RISE REINFORCED CONCRETE BOX CULVERT, DOUBLE BARREL</t>
  </si>
  <si>
    <t>60222-3250</t>
  </si>
  <si>
    <t>3000mm span, 3000mm rise reinforced concrete box culvert, double barrel</t>
  </si>
  <si>
    <t>10 FEET SPAN, 10 FEET RISE REINFORCED CONCRETE BOX CULVERT, DOUBLE BARREL</t>
  </si>
  <si>
    <t>60222-3300</t>
  </si>
  <si>
    <t>3000mm span, 3300mm rise reinforced concrete box culvert, double barrel</t>
  </si>
  <si>
    <t>10 FEET SPAN, 11 FEET RISE REINFORCED CONCRETE BOX CULVERT, DOUBLE BARREL</t>
  </si>
  <si>
    <t>60222-3350</t>
  </si>
  <si>
    <t>3000mm span, 3600mm rise reinforced concrete box culvert, double barrel</t>
  </si>
  <si>
    <t>10 FEET SPAN, 12 FEET RISE REINFORCED CONCRETE BOX CULVERT, DOUBLE BARREL</t>
  </si>
  <si>
    <t>60222-3400</t>
  </si>
  <si>
    <t>3000mm span, 4200mm rise reinforced concrete box culvert, double barrel</t>
  </si>
  <si>
    <t>10 FEET SPAN, 14 FEET RISE REINFORCED CONCRETE BOX CULVERT, DOUBLE BARREL</t>
  </si>
  <si>
    <t>60222-3450</t>
  </si>
  <si>
    <t>3000mm span, 4800mm rise reinforced concrete box culvert, double barrel</t>
  </si>
  <si>
    <t>10 FEET SPAN, 16 FEET RISE REINFORCED CONCRETE BOX CULVERT, DOUBLE BARREL</t>
  </si>
  <si>
    <t>60222-3500</t>
  </si>
  <si>
    <t>3300mm span, 1500mm rise reinforced concrete box culvert, double barrel</t>
  </si>
  <si>
    <t>11 FEET SPAN, 5 FEET RISE REINFORCED CONCRETE BOX CULVERT, DOUBLE BARREL</t>
  </si>
  <si>
    <t>60222-3550</t>
  </si>
  <si>
    <t>3300mm span, 1800mm rise reinforced concrete box culvert, double barrel</t>
  </si>
  <si>
    <t>11 FEET SPAN, 6 FEET RISE REINFORCED CONCRETE BOX CULVERT, DOUBLE BARREL</t>
  </si>
  <si>
    <t>60222-3600</t>
  </si>
  <si>
    <t>3300mm span, 2100mm rise reinforced concrete box culvert, double barrel</t>
  </si>
  <si>
    <t>11 FEET SPAN, 7 FEET RISE REINFORCED CONCRETE BOX CULVERT, DOUBLE BARREL</t>
  </si>
  <si>
    <t>60222-3650</t>
  </si>
  <si>
    <t>3300mm span, 2400mm rise reinforced concrete box culvert, double barrel</t>
  </si>
  <si>
    <t>11 FEET SPAN, 8 FEET RISE REINFORCED CONCRETE BOX CULVERT, DOUBLE BARREL</t>
  </si>
  <si>
    <t>60222-3700</t>
  </si>
  <si>
    <t>3300mm span, 2700mm rise reinforced concrete box culvert, double barrel</t>
  </si>
  <si>
    <t>11 FEET SPAN, 9 FEET RISE REINFORCED CONCRETE BOX CULVERT, DOUBLE BARREL</t>
  </si>
  <si>
    <t>60222-3750</t>
  </si>
  <si>
    <t>3300mm span, 3000mm rise reinforced concrete box culvert, double barrel</t>
  </si>
  <si>
    <t>11 FEET SPAN, 10 FEET RISE REINFORCED CONCRETE BOX CULVERT, DOUBLE BARREL</t>
  </si>
  <si>
    <t>60222-3800</t>
  </si>
  <si>
    <t>3300mm span, 3300mm rise reinforced concrete box culvert, double barrel</t>
  </si>
  <si>
    <t>11 FEET SPAN, 11 FEET RISE REINFORCED CONCRETE BOX CULVERT, DOUBLE BARREL</t>
  </si>
  <si>
    <t>60222-3850</t>
  </si>
  <si>
    <t>3300mm span, 3600mm rise reinforced concrete box culvert, double barrel</t>
  </si>
  <si>
    <t>11 FEET SPAN, 12 FEET RISE REINFORCED CONCRETE BOX CULVERT, DOUBLE BARREL</t>
  </si>
  <si>
    <t>60222-3900</t>
  </si>
  <si>
    <t>3300mm span, 4200mm rise reinforced concrete box culvert, double barrel</t>
  </si>
  <si>
    <t>11 FEET SPAN, 14 FEET RISE REINFORCED CONCRETE BOX CULVERT, DOUBLE BARREL</t>
  </si>
  <si>
    <t>60222-3950</t>
  </si>
  <si>
    <t>3300mm span, 4800mm rise reinforced concrete box culvert, double barrel</t>
  </si>
  <si>
    <t>11 FEET SPAN, 16 FEET RISE REINFORCED CONCRETE BOX CULVERT, DOUBLE BARREL</t>
  </si>
  <si>
    <t>60222-4000</t>
  </si>
  <si>
    <t>3600mm span, 2100mm rise reinforced concrete box culvert, double barrel</t>
  </si>
  <si>
    <t>12 FEET SPAN, 7 FEET RISE REINFORCED CONCRETE BOX CULVERT, DOUBLE BARREL</t>
  </si>
  <si>
    <t>60222-4050</t>
  </si>
  <si>
    <t>3600mm span, 2400mm rise reinforced concrete box culvert, double barrel</t>
  </si>
  <si>
    <t>12 FEET SPAN, 8 FEET RISE REINFORCED CONCRETE BOX CULVERT, DOUBLE BARREL</t>
  </si>
  <si>
    <t>60222-4100</t>
  </si>
  <si>
    <t>3600mm span, 2700mm rise reinforced concrete box culvert, double barrel</t>
  </si>
  <si>
    <t>12 FEET SPAN, 9 FEET RISE REINFORCED CONCRETE BOX CULVERT, DOUBLE BARREL</t>
  </si>
  <si>
    <t>60222-4150</t>
  </si>
  <si>
    <t>3600mm span, 3000mm rise reinforced concrete box culvert, double barrel</t>
  </si>
  <si>
    <t>12 FEET SPAN, 10 FEET RISE REINFORCED CONCRETE BOX CULVERT, DOUBLE BARREL</t>
  </si>
  <si>
    <t>60222-4200</t>
  </si>
  <si>
    <t>3600mm span, 3300mm rise reinforced concrete box culvert, double barrel</t>
  </si>
  <si>
    <t>12 FEET SPAN, 11 FEET RISE REINFORCED CONCRETE BOX CULVERT, DOUBLE BARREL</t>
  </si>
  <si>
    <t>60222-4250</t>
  </si>
  <si>
    <t>3600mm span, 3600mm rise reinforced concrete box culvert, double barrel</t>
  </si>
  <si>
    <t>12 FEET SPAN, 12 FEET RISE REINFORCED CONCRETE BOX CULVERT, DOUBLE BARREL</t>
  </si>
  <si>
    <t>60222-4300</t>
  </si>
  <si>
    <t>3600mm span, 4200mm rise reinforced concrete box culvert, double barrel</t>
  </si>
  <si>
    <t>12 FEET SPAN, 14 FEET RISE REINFORCED CONCRETE BOX CULVERT, DOUBLE BARREL</t>
  </si>
  <si>
    <t>60222-4350</t>
  </si>
  <si>
    <t>4200mm span, 1800mm rise reinforced concrete box culvert, double barrel</t>
  </si>
  <si>
    <t>14 FEET SPAN, 6 FEET RISE REINFORCED CONCRETE BOX CULVERT, DOUBLE BARREL</t>
  </si>
  <si>
    <t>60222-4400</t>
  </si>
  <si>
    <t>4200mm span, 2100mm rise reinforced concrete box culvert, double barrel</t>
  </si>
  <si>
    <t>14 FEET SPAN, 7 FEET RISE REINFORCED CONCRETE BOX CULVERT, DOUBLE BARREL</t>
  </si>
  <si>
    <t>60222-4450</t>
  </si>
  <si>
    <t>4200mm span, 2400mm rise reinforced concrete box culvert, double barrel</t>
  </si>
  <si>
    <t>14 FEET SPAN, 8 FEET RISE REINFORCED CONCRETE BOX CULVERT, DOUBLE BARREL</t>
  </si>
  <si>
    <t>60222-4500</t>
  </si>
  <si>
    <t>4200mm span, 2700mm rise reinforced concrete box culvert, double barrel</t>
  </si>
  <si>
    <t>14 FEET SPAN, 9 FEET RISE REINFORCED CONCRETE BOX CULVERT, DOUBLE BARREL</t>
  </si>
  <si>
    <t>60222-4550</t>
  </si>
  <si>
    <t>4200mm span, 3000mm rise reinforced concrete box culvert, double barrel</t>
  </si>
  <si>
    <t>14 FEET SPAN, 10 FEET RISE REINFORCED CONCRETE BOX CULVERT, DOUBLE BARREL</t>
  </si>
  <si>
    <t>60222-4600</t>
  </si>
  <si>
    <t>4200mm span, 3300mm rise reinforced concrete box culvert, double barrel</t>
  </si>
  <si>
    <t>14 FEET SPAN, 11 FEET RISE REINFORCED CONCRETE BOX CULVERT, DOUBLE BARREL</t>
  </si>
  <si>
    <t>60222-4650</t>
  </si>
  <si>
    <t>4200mm span, 3600mm rise reinforced concrete box culvert, double barrel</t>
  </si>
  <si>
    <t>14 FEET SPAN, 12 FEET RISE REINFORCED CONCRETE BOX CULVERT, DOUBLE BARREL</t>
  </si>
  <si>
    <t>60222-4700</t>
  </si>
  <si>
    <t>4200mm span, 4200mm rise reinforced concrete box culvert, double barrel</t>
  </si>
  <si>
    <t>14 FEET SPAN, 14 FEET RISE REINFORCED CONCRETE BOX CULVERT, DOUBLE BARREL</t>
  </si>
  <si>
    <t>60222-4750</t>
  </si>
  <si>
    <t>4200mm span, 4800mm rise reinforced concrete box culvert, double barrel</t>
  </si>
  <si>
    <t>14 FEET SPAN, 16 FEET RISE REINFORCED CONCRETE BOX CULVERT, DOUBLE BARREL</t>
  </si>
  <si>
    <t>60222-4800</t>
  </si>
  <si>
    <t>7200mm span, 2400mm rise reinforced concrete box culvert, double barrel</t>
  </si>
  <si>
    <t>24 FEET SPAN, 8 FEET RISE REINFORCED CONCRETE BOX CULVERT, DOUBLE BARREL</t>
  </si>
  <si>
    <t>60223-0100</t>
  </si>
  <si>
    <t>900mm span, 900mm rise reinforced concrete box culvert, triple barrel</t>
  </si>
  <si>
    <t>3 FEET SPAN, 3 FEET RISE REINFORCED CONCRETE BOX CULVERT, TRIPLE BARREL</t>
  </si>
  <si>
    <t>60223-0150</t>
  </si>
  <si>
    <t>900mm span, 1200mm rise reinforced concrete box culvert, triple barrel</t>
  </si>
  <si>
    <t>3 FEET SPAN, 4 FEET RISE REINFORCED CONCRETE BOX CULVERT, TRIPLE BARREL</t>
  </si>
  <si>
    <t>60223-0200</t>
  </si>
  <si>
    <t>900mm span, 1500mm rise reinforced concrete box culvert, triple barrel</t>
  </si>
  <si>
    <t>3 FEET SPAN, 5 FEET RISE REINFORCED CONCRETE BOX CULVERT, TRIPLE BARREL</t>
  </si>
  <si>
    <t>60223-0250</t>
  </si>
  <si>
    <t>900mm span, 1800mm rise reinforced concrete box culvert, triple barrel</t>
  </si>
  <si>
    <t>3 FEET SPAN, 6 FEET RISE REINFORCED CONCRETE BOX CULVERT, TRIPLE BARREL</t>
  </si>
  <si>
    <t>60223-0300</t>
  </si>
  <si>
    <t>1200mm span, 900mm rise reinforced concrete box culvert, triple barrel</t>
  </si>
  <si>
    <t>4 FEET SPAN, 3 FEET RISE REINFORCED CONCRETE BOX CULVERT, TRIPLE BARREL</t>
  </si>
  <si>
    <t>60223-0350</t>
  </si>
  <si>
    <t>1200mm span, 1200mm rise reinforced concrete box culvert, triple barrel</t>
  </si>
  <si>
    <t>4 FEET SPAN, 4 FEET RISE REINFORCED CONCRETE BOX CULVERT, TRIPLE BARREL</t>
  </si>
  <si>
    <t>60223-0400</t>
  </si>
  <si>
    <t>1200mm span, 1500mm rise reinforced concrete box culvert, triple barrel</t>
  </si>
  <si>
    <t>4 FEET SPAN, 5 FEET RISE REINFORCED CONCRETE BOX CULVERT, TRIPLE BARREL</t>
  </si>
  <si>
    <t>60223-0450</t>
  </si>
  <si>
    <t>1200mm span, 1800mm rise reinforced concrete box culvert, triple barrel</t>
  </si>
  <si>
    <t>4 FEET SPAN, 6 FEET RISE REINFORCED CONCRETE BOX CULVERT, TRIPLE BARREL</t>
  </si>
  <si>
    <t>60223-0500</t>
  </si>
  <si>
    <t>1200mm span, 2100mm rise reinforced concrete box culvert, triple barrel</t>
  </si>
  <si>
    <t>4 FEET SPAN, 7 FEET RISE REINFORCED CONCRETE BOX CULVERT, TRIPLE BARREL</t>
  </si>
  <si>
    <t>60223-0550</t>
  </si>
  <si>
    <t>1500mm span, 900mm rise reinforced concrete box culvert, triple barrel</t>
  </si>
  <si>
    <t>5 FEET SPAN, 3 FEET RISE REINFORCED CONCRETE BOX CULVERT, TRIPLE BARREL</t>
  </si>
  <si>
    <t>60223-0600</t>
  </si>
  <si>
    <t>1500mm span, 1200mm rise reinforced concrete box culvert, triple barrel</t>
  </si>
  <si>
    <t>5 FEET SPAN, 4 FEET RISE REINFORCED CONCRETE BOX CULVERT, TRIPLE BARREL</t>
  </si>
  <si>
    <t>60223-0650</t>
  </si>
  <si>
    <t>1500mm span, 1500mm rise reinforced concrete box culvert, triple barrel</t>
  </si>
  <si>
    <t>5 FEET SPAN, 5 FEET RISE REINFORCED CONCRETE BOX CULVERT, TRIPLE BARREL</t>
  </si>
  <si>
    <t>60223-0700</t>
  </si>
  <si>
    <t>1500mm span, 1800mm rise reinforced concrete box culvert, triple barrel</t>
  </si>
  <si>
    <t>5 FEET SPAN, 6 FEET RISE REINFORCED CONCRETE BOX CULVERT, TRIPLE BARREL</t>
  </si>
  <si>
    <t>60223-0750</t>
  </si>
  <si>
    <t>1500mm span, 2100mm rise reinforced concrete box culvert, triple barrel</t>
  </si>
  <si>
    <t>5 FEET SPAN, 7 FEET RISE REINFORCED CONCRETE BOX CULVERT, TRIPLE BARREL</t>
  </si>
  <si>
    <t>60223-0800</t>
  </si>
  <si>
    <t>1500mm span, 2400mm rise reinforced concrete box culvert, triple barrel</t>
  </si>
  <si>
    <t>5 FEET SPAN, 8 FEET RISE REINFORCED CONCRETE BOX CULVERT, TRIPLE BARREL</t>
  </si>
  <si>
    <t>60223-0850</t>
  </si>
  <si>
    <t>1500mm span, 2700mm rise reinforced concrete box culvert, triple barrel</t>
  </si>
  <si>
    <t>5 FEET SPAN, 9 FEET RISE REINFORCED CONCRETE BOX CULVERT, TRIPLE BARREL</t>
  </si>
  <si>
    <t>60223-0900</t>
  </si>
  <si>
    <t>1500mm span, 3000mm rise reinforced concrete box culvert, triple barrel</t>
  </si>
  <si>
    <t>5 FEET SPAN, 10 FEET RISE REINFORCED CONCRETE BOX CULVERT, TRIPLE BARREL</t>
  </si>
  <si>
    <t>60223-0950</t>
  </si>
  <si>
    <t>1500mm span, 3300mm rise reinforced concrete box culvert, triple barrel</t>
  </si>
  <si>
    <t>5 FEET SPAN, 11 FEET RISE REINFORCED CONCRETE BOX CULVERT, TRIPLE BARREL</t>
  </si>
  <si>
    <t>60223-1000</t>
  </si>
  <si>
    <t>1500mm span, 3600mm rise reinforced concrete box culvert, triple barrel</t>
  </si>
  <si>
    <t>5 FEET SPAN, 12 FEET RISE REINFORCED CONCRETE BOX CULVERT, TRIPLE BARREL</t>
  </si>
  <si>
    <t>60223-1050</t>
  </si>
  <si>
    <t>1500mm span, 4200mm rise reinforced concrete box culvert, triple barrel</t>
  </si>
  <si>
    <t>5 FEET SPAN, 14 FEET RISE REINFORCED CONCRETE BOX CULVERT, TRIPLE BARREL</t>
  </si>
  <si>
    <t>60223-1100</t>
  </si>
  <si>
    <t>1500mm span, 4800mm rise reinforced concrete box culvert, triple barrel</t>
  </si>
  <si>
    <t>5 FEET SPAN, 16 FEET RISE REINFORCED CONCRETE BOX CULVERT, TRIPLE BARREL</t>
  </si>
  <si>
    <t>60223-1150</t>
  </si>
  <si>
    <t>1800mm span, 900mm rise reinforced concrete box culvert, triple barrel</t>
  </si>
  <si>
    <t>6 FEET SPAN, 3 FEET RISE REINFORCED CONCRETE BOX CULVERT, TRIPLE BARREL</t>
  </si>
  <si>
    <t>60223-1200</t>
  </si>
  <si>
    <t>1800mm span, 1200mm rise reinforced concrete box culvert, triple barrel</t>
  </si>
  <si>
    <t>6 FEET SPAN, 4 FEET RISE REINFORCED CONCRETE BOX CULVERT, TRIPLE BARREL</t>
  </si>
  <si>
    <t>60223-1250</t>
  </si>
  <si>
    <t>1800mm span, 1500mm rise reinforced concrete box culvert, triple barrel</t>
  </si>
  <si>
    <t>6 FEET SPAN, 5 FEET RISE REINFORCED CONCRETE BOX CULVERT, TRIPLE BARREL</t>
  </si>
  <si>
    <t>60223-1300</t>
  </si>
  <si>
    <t>1800mm span, 1800mm rise reinforced concrete box culvert, triple barrel</t>
  </si>
  <si>
    <t>6 FEET SPAN, 6 FEET RISE REINFORCED CONCRETE BOX CULVERT, TRIPLE BARREL</t>
  </si>
  <si>
    <t>60223-1350</t>
  </si>
  <si>
    <t>1800mm span, 2100mm rise reinforced concrete box culvert, triple barrel</t>
  </si>
  <si>
    <t>6 FEET SPAN, 7 FEET RISE REINFORCED CONCRETE BOX CULVERT, TRIPLE BARREL</t>
  </si>
  <si>
    <t>60223-1400</t>
  </si>
  <si>
    <t>1800mm span, 2400mm rise reinforced concrete box culvert, triple barrel</t>
  </si>
  <si>
    <t>6 FEET SPAN, 8 FEET RISE REINFORCED CONCRETE BOX CULVERT, TRIPLE BARREL</t>
  </si>
  <si>
    <t>60223-1450</t>
  </si>
  <si>
    <t>1800mm span, 2700mm rise reinforced concrete box culvert, triple barrel</t>
  </si>
  <si>
    <t>6 FEET SPAN, 9 FEET RISE REINFORCED CONCRETE BOX CULVERT, TRIPLE BARREL</t>
  </si>
  <si>
    <t>60223-1500</t>
  </si>
  <si>
    <t>1800mm span, 3000mm rise reinforced concrete box culvert, triple barrel</t>
  </si>
  <si>
    <t>6 FEET SPAN, 10 FEET RISE REINFORCED CONCRETE BOX CULVERT, TRIPLE BARREL</t>
  </si>
  <si>
    <t>60223-1550</t>
  </si>
  <si>
    <t>1800mm span, 3300mm rise reinforced concrete box culvert, triple barrel</t>
  </si>
  <si>
    <t>6 FEET SPAN, 11 FEET RISE REINFORCED CONCRETE BOX CULVERT, TRIPLE BARREL</t>
  </si>
  <si>
    <t>60223-1600</t>
  </si>
  <si>
    <t>1800mm span, 3600mm rise reinforced concrete box culvert, triple barrel</t>
  </si>
  <si>
    <t>6 FEET SPAN, 12 FEET RISE REINFORCED CONCRETE BOX CULVERT, TRIPLE BARREL</t>
  </si>
  <si>
    <t>60223-1650</t>
  </si>
  <si>
    <t>1800mm span, 4200mm rise reinforced concrete box culvert, triple barrel</t>
  </si>
  <si>
    <t>6 FEET SPAN, 14 FEET RISE REINFORCED CONCRETE BOX CULVERT, TRIPLE BARREL</t>
  </si>
  <si>
    <t>60223-1700</t>
  </si>
  <si>
    <t>1800mm span, 4800mm rise reinforced concrete box culvert, triple barrel</t>
  </si>
  <si>
    <t>6 FEET SPAN, 16 FEET RISE REINFORCED CONCRETE BOX CULVERT, TRIPLE BARREL</t>
  </si>
  <si>
    <t>60223-1750</t>
  </si>
  <si>
    <t>2400mm span, 900mm rise reinforced concrete box culvert, triple barrel</t>
  </si>
  <si>
    <t>8 FEET SPAN, 3 FEET RISE REINFORCED CONCRETE BOX CULVERT, TRIPLE BARREL</t>
  </si>
  <si>
    <t>60223-1800</t>
  </si>
  <si>
    <t>2400mm span, 1200mm rise reinforced concrete box culvert, triple barrel</t>
  </si>
  <si>
    <t>8 FEET SPAN, 4 FEET RISE REINFORCED CONCRETE BOX CULVERT, TRIPLE BARREL</t>
  </si>
  <si>
    <t>60223-1850</t>
  </si>
  <si>
    <t>2400mm span, 1500mm rise reinforced concrete box culvert, triple barrel</t>
  </si>
  <si>
    <t>8 FEET SPAN, 5 FEET RISE REINFORCED CONCRETE BOX CULVERT, TRIPLE BARREL</t>
  </si>
  <si>
    <t>60223-1900</t>
  </si>
  <si>
    <t>2400mm span, 1800mm rise reinforced concrete box culvert, triple barrel</t>
  </si>
  <si>
    <t>8 FEET SPAN, 6 FEET RISE REINFORCED CONCRETE BOX CULVERT, TRIPLE BARREL</t>
  </si>
  <si>
    <t>60223-1950</t>
  </si>
  <si>
    <t>2400mm span, 2100mm rise reinforced concrete box culvert, triple barrel</t>
  </si>
  <si>
    <t>8 FEET SPAN, 7 FEET RISE REINFORCED CONCRETE BOX CULVERT, TRIPLE BARREL</t>
  </si>
  <si>
    <t>60223-2000</t>
  </si>
  <si>
    <t>2400mm span, 2400mm rise reinforced concrete box culvert, triple barrel</t>
  </si>
  <si>
    <t>8 FEET SPAN, 8 FEET RISE REINFORCED CONCRETE BOX CULVERT, TRIPLE BARREL</t>
  </si>
  <si>
    <t>60223-2050</t>
  </si>
  <si>
    <t>2400mm span, 2700mm rise reinforced concrete box culvert, triple barrel</t>
  </si>
  <si>
    <t>8 FEET SPAN, 9 FEET RISE REINFORCED CONCRETE BOX CULVERT, TRIPLE BARREL</t>
  </si>
  <si>
    <t>60223-2100</t>
  </si>
  <si>
    <t>2400mm span, 3000mm rise reinforced concrete box culvert, triple barrel</t>
  </si>
  <si>
    <t>8 FEET SPAN, 10 FEET RISE REINFORCED CONCRETE BOX CULVERT, TRIPLE BARREL</t>
  </si>
  <si>
    <t>60223-2150</t>
  </si>
  <si>
    <t>2400mm span, 3300mm rise reinforced concrete box culvert, triple barrel</t>
  </si>
  <si>
    <t>8 FEET SPAN, 11 FEET RISE REINFORCED CONCRETE BOX CULVERT, TRIPLE BARREL</t>
  </si>
  <si>
    <t>60223-2200</t>
  </si>
  <si>
    <t>2400mm span, 3600mm rise reinforced concrete box culvert, triple barrel</t>
  </si>
  <si>
    <t>8 FEET SPAN, 12 FEET RISE REINFORCED CONCRETE BOX CULVERT, TRIPLE BARREL</t>
  </si>
  <si>
    <t>60223-2250</t>
  </si>
  <si>
    <t>2400mm span, 4200mm rise reinforced concrete box culvert, triple barrel</t>
  </si>
  <si>
    <t>8 FEET SPAN, 14 FEET RISE REINFORCED CONCRETE BOX CULVERT, TRIPLE BARREL</t>
  </si>
  <si>
    <t>60223-2300</t>
  </si>
  <si>
    <t>2700mm span, 900mm rise reinforced concrete box culvert, triple barrel</t>
  </si>
  <si>
    <t>9 FEET SPAN, 3 FEET RISE REINFORCED CONCRETE BOX CULVERT, TRIPLE BARREL</t>
  </si>
  <si>
    <t>60223-2350</t>
  </si>
  <si>
    <t>2700mm span, 1200mm rise reinforced concrete box culvert, triple barrel</t>
  </si>
  <si>
    <t>9 FEET SPAN, 4 FEET RISE REINFORCED CONCRETE BOX CULVERT, TRIPLE BARREL</t>
  </si>
  <si>
    <t>60223-2400</t>
  </si>
  <si>
    <t>2700mm span, 1500mm rise reinforced concrete box culvert, triple barrel</t>
  </si>
  <si>
    <t>9 FEET SPAN, 5 FEET RISE REINFORCED CONCRETE BOX CULVERT, TRIPLE BARREL</t>
  </si>
  <si>
    <t>60223-2450</t>
  </si>
  <si>
    <t>2700mm span, 1800mm rise reinforced concrete box culvert, triple barrel</t>
  </si>
  <si>
    <t>9 FEET SPAN, 6 FEET RISE REINFORCED CONCRETE BOX CULVERT, TRIPLE BARREL</t>
  </si>
  <si>
    <t>60223-2500</t>
  </si>
  <si>
    <t>2700mm span, 2100mm rise reinforced concrete box culvert, triple barrel</t>
  </si>
  <si>
    <t>9 FEET SPAN, 7 FEET RISE REINFORCED CONCRETE BOX CULVERT, TRIPLE BARREL</t>
  </si>
  <si>
    <t>60223-2550</t>
  </si>
  <si>
    <t>2700mm span, 2400mm rise reinforced concrete box culvert, triple barrel</t>
  </si>
  <si>
    <t>9 FEET SPAN, 8 FEET RISE REINFORCED CONCRETE BOX CULVERT, TRIPLE BARREL</t>
  </si>
  <si>
    <t>60223-2600</t>
  </si>
  <si>
    <t>2700mm span, 2700mm rise reinforced concrete box culvert, triple barrel</t>
  </si>
  <si>
    <t>9 FEET SPAN, 9 FEET RISE REINFORCED CONCRETE BOX CULVERT, TRIPLE BARREL</t>
  </si>
  <si>
    <t>60223-2650</t>
  </si>
  <si>
    <t>2700mm span, 3000mm rise reinforced concrete box culvert, triple barrel</t>
  </si>
  <si>
    <t>9 FEET SPAN, 10 FEET RISE REINFORCED CONCRETE BOX CULVERT, TRIPLE BARREL</t>
  </si>
  <si>
    <t>60223-2700</t>
  </si>
  <si>
    <t>2700mm span, 3300mm rise reinforced concrete box culvert, triple barrel</t>
  </si>
  <si>
    <t>9 FEET SPAN, 11 FEET RISE REINFORCED CONCRETE BOX CULVERT, TRIPLE BARREL</t>
  </si>
  <si>
    <t>60223-2750</t>
  </si>
  <si>
    <t>2700mm span, 3600mm rise reinforced concrete box culvert, triple barrel</t>
  </si>
  <si>
    <t>9 FEET SPAN, 12 FEET RISE REINFORCED CONCRETE BOX CULVERT, TRIPLE BARREL</t>
  </si>
  <si>
    <t>60223-2800</t>
  </si>
  <si>
    <t>2700mm span, 4200mm rise reinforced concrete box culvert, triple barrel</t>
  </si>
  <si>
    <t>9 FEET SPAN, 14 FEET RISE REINFORCED CONCRETE BOX CULVERT, TRIPLE BARREL</t>
  </si>
  <si>
    <t>60223-2850</t>
  </si>
  <si>
    <t>2700mm span, 4800mm rise reinforced concrete box culvert, triple barrel</t>
  </si>
  <si>
    <t>9 FEET SPAN, 16 FEET RISE REINFORCED CONCRETE BOX CULVERT, TRIPLE BARREL</t>
  </si>
  <si>
    <t>60223-2900</t>
  </si>
  <si>
    <t>3000mm span, 900mm rise reinforced concrete box culvert, triple barrel</t>
  </si>
  <si>
    <t>10 FEET SPAN, 3 FEET RISE REINFORCED CONCRETE BOX CULVERT, TRIPLE BARREL</t>
  </si>
  <si>
    <t>60223-2950</t>
  </si>
  <si>
    <t>3000mm span, 1200mm rise reinforced concrete box culvert, triple barrel</t>
  </si>
  <si>
    <t>10 FEET SPAN, 4 FEET RISE REINFORCED CONCRETE BOX CULVERT, TRIPLE BARREL</t>
  </si>
  <si>
    <t>60223-3000</t>
  </si>
  <si>
    <t>3000mm span, 1500mm rise reinforced concrete box culvert, triple barrel</t>
  </si>
  <si>
    <t>10 FEET SPAN, 5 FEET RISE REINFORCED CONCRETE BOX CULVERT, TRIPLE BARREL</t>
  </si>
  <si>
    <t>60223-3050</t>
  </si>
  <si>
    <t>3000mm span, 1800mm rise reinforced concrete box culvert, triple barrel</t>
  </si>
  <si>
    <t>10 FEET SPAN, 6 FEET RISE REINFORCED CONCRETE BOX CULVERT, TRIPLE BARREL</t>
  </si>
  <si>
    <t>60223-3100</t>
  </si>
  <si>
    <t>3000mm span, 2100mm rise reinforced concrete box culvert, triple barrel</t>
  </si>
  <si>
    <t>10 FEET SPAN, 7 FEET RISE REINFORCED CONCRETE BOX CULVERT, TRIPLE BARREL</t>
  </si>
  <si>
    <t>60223-3150</t>
  </si>
  <si>
    <t>3000mm span, 2400mm rise reinforced concrete box culvert, triple barrel</t>
  </si>
  <si>
    <t>10 FEET SPAN, 8 FEET RISE REINFORCED CONCRETE BOX CULVERT, TRIPLE BARREL</t>
  </si>
  <si>
    <t>60223-3200</t>
  </si>
  <si>
    <t>3000mm span, 2700mm rise reinforced concrete box culvert, triple barrel</t>
  </si>
  <si>
    <t>10 FEET SPAN, 9 FEET RISE REINFORCED CONCRETE BOX CULVERT, TRIPLE BARREL</t>
  </si>
  <si>
    <t>60223-3250</t>
  </si>
  <si>
    <t>3000mm span, 3000mm rise reinforced concrete box culvert, triple barrel</t>
  </si>
  <si>
    <t>10 FEET SPAN, 10 FEET RISE REINFORCED CONCRETE BOX CULVERT, TRIPLE BARREL</t>
  </si>
  <si>
    <t>60223-3300</t>
  </si>
  <si>
    <t>3000mm span, 3300mm rise reinforced concrete box culvert, triple barrel</t>
  </si>
  <si>
    <t>10 FEET SPAN, 11 FEET RISE REINFORCED CONCRETE BOX CULVERT, TRIPLE BARREL</t>
  </si>
  <si>
    <t>60223-3350</t>
  </si>
  <si>
    <t>3000mm span, 3600mm rise reinforced concrete box culvert, triple barrel</t>
  </si>
  <si>
    <t>10 FEET SPAN, 12 FEET RISE REINFORCED CONCRETE BOX CULVERT, TRIPLE BARREL</t>
  </si>
  <si>
    <t>60223-3400</t>
  </si>
  <si>
    <t>3000mm span, 4200mm rise reinforced concrete box culvert, triple barrel</t>
  </si>
  <si>
    <t>10 FEET SPAN, 14 FEET RISE REINFORCED CONCRETE BOX CULVERT, TRIPLE BARREL</t>
  </si>
  <si>
    <t>60223-3450</t>
  </si>
  <si>
    <t>3000mm span, 4800mm rise reinforced concrete box culvert, triple barrel</t>
  </si>
  <si>
    <t>10 FEET SPAN, 16 FEET RISE REINFORCED CONCRETE BOX CULVERT, TRIPLE BARREL</t>
  </si>
  <si>
    <t>60223-3500</t>
  </si>
  <si>
    <t>3300mm span, 1500mm rise reinforced concrete box culvert, triple barrel</t>
  </si>
  <si>
    <t>11 FEET SPAN, 5 FEET RISE REINFORCED CONCRETE BOX CULVERT, TRIPLE BARREL</t>
  </si>
  <si>
    <t>60223-3550</t>
  </si>
  <si>
    <t>3300mm span, 1800mm rise reinforced concrete box culvert, triple barrel</t>
  </si>
  <si>
    <t>11 FEET SPAN, 6 FEET RISE REINFORCED CONCRETE BOX CULVERT, TRIPLE BARREL</t>
  </si>
  <si>
    <t>60223-3600</t>
  </si>
  <si>
    <t>3300mm span, 2100mm rise reinforced concrete box culvert, triple barrel</t>
  </si>
  <si>
    <t>11 FEET SPAN, 7 FEET RISE REINFORCED CONCRETE BOX CULVERT, TRIPLE BARREL</t>
  </si>
  <si>
    <t>60223-3650</t>
  </si>
  <si>
    <t>3300mm span, 2400mm rise reinforced concrete box culvert, triple barrel</t>
  </si>
  <si>
    <t>11 FEET SPAN, 8 FEET RISE REINFORCED CONCRETE BOX CULVERT, TRIPLE BARREL</t>
  </si>
  <si>
    <t>60223-3700</t>
  </si>
  <si>
    <t>3300mm span, 2700mm rise reinforced concrete box culvert, triple barrel</t>
  </si>
  <si>
    <t>11 FEET SPAN, 9 FEET RISE REINFORCED CONCRETE BOX CULVERT, TRIPLE BARREL</t>
  </si>
  <si>
    <t>60223-3750</t>
  </si>
  <si>
    <t>3300mm span, 3000mm rise reinforced concrete box culvert, triple barrel</t>
  </si>
  <si>
    <t>11 FEET SPAN, 10 FEET RISE REINFORCED CONCRETE BOX CULVERT, TRIPLE BARREL</t>
  </si>
  <si>
    <t>60223-3800</t>
  </si>
  <si>
    <t>3300mm span, 3300mm rise reinforced concrete box culvert, triple barrel</t>
  </si>
  <si>
    <t>11 FEET SPAN, 11 FEET RISE REINFORCED CONCRETE BOX CULVERT, TRIPLE BARREL</t>
  </si>
  <si>
    <t>60223-3850</t>
  </si>
  <si>
    <t>3300mm span, 3600mm rise reinforced concrete box culvert, triple barrel</t>
  </si>
  <si>
    <t>11 FEET SPAN, 12 FEET RISE REINFORCED CONCRETE BOX CULVERT, TRIPLE BARREL</t>
  </si>
  <si>
    <t>60223-3900</t>
  </si>
  <si>
    <t>3300mm span, 4200mm rise reinforced concrete box culvert, triple barrel</t>
  </si>
  <si>
    <t>11 FEET SPAN, 14 FEET RISE REINFORCED CONCRETE BOX CULVERT, TRIPLE BARREL</t>
  </si>
  <si>
    <t>60223-3950</t>
  </si>
  <si>
    <t>3300mm span, 4800mm rise reinforced concrete box culvert, triple barrel</t>
  </si>
  <si>
    <t>11 FEET SPAN, 16 FEET RISE REINFORCED CONCRETE BOX CULVERT, TRIPLE BARREL</t>
  </si>
  <si>
    <t>60223-4000</t>
  </si>
  <si>
    <t>3600mm span, 2100mm rise reinforced concrete box culvert, triple barrel</t>
  </si>
  <si>
    <t>12 FEET SPAN, 7 FEET RISE REINFORCED CONCRETE BOX CULVERT, TRIPLE BARREL</t>
  </si>
  <si>
    <t>60223-4050</t>
  </si>
  <si>
    <t>3600mm span, 2400mm rise reinforced concrete box culvert, triple barrel</t>
  </si>
  <si>
    <t>12 FEET SPAN, 8 FEET RISE REINFORCED CONCRETE BOX CULVERT, TRIPLE BARREL</t>
  </si>
  <si>
    <t>60223-4100</t>
  </si>
  <si>
    <t>3600mm span, 2700mm rise reinforced concrete box culvert, triple barrel</t>
  </si>
  <si>
    <t>12 FEET SPAN, 9 FEET RISE REINFORCED CONCRETE BOX CULVERT, TRIPLE BARREL</t>
  </si>
  <si>
    <t>60223-4150</t>
  </si>
  <si>
    <t>3600mm span, 3000mm rise reinforced concrete box culvert, triple barrel</t>
  </si>
  <si>
    <t>12 FEET SPAN, 10 FEET RISE REINFORCED CONCRETE BOX CULVERT, TRIPLE BARREL</t>
  </si>
  <si>
    <t>60223-4200</t>
  </si>
  <si>
    <t>3600mm span, 3300mm rise reinforced concrete box culvert, triple barrel</t>
  </si>
  <si>
    <t>12 FEET SPAN, 11 FEET RISE REINFORCED CONCRETE BOX CULVERT, TRIPLE BARREL</t>
  </si>
  <si>
    <t>60223-4250</t>
  </si>
  <si>
    <t>3600mm span, 3600mm rise reinforced concrete box culvert, triple barrel</t>
  </si>
  <si>
    <t>12 FEET SPAN, 12 FEET RISE REINFORCED CONCRETE BOX CULVERT, TRIPLE BARREL</t>
  </si>
  <si>
    <t>60223-4300</t>
  </si>
  <si>
    <t>3600mm span, 4200mm rise reinforced concrete box culvert, triple barrel</t>
  </si>
  <si>
    <t>12 FEET SPAN, 14 FEET RISE REINFORCED CONCRETE BOX CULVERT, TRIPLE BARREL</t>
  </si>
  <si>
    <t>60223-4350</t>
  </si>
  <si>
    <t>4200mm span, 1800mm rise reinforced concrete box culvert, triple barrel</t>
  </si>
  <si>
    <t>14 FEET SPAN, 6 FEET RISE REINFORCED CONCRETE BOX CULVERT, TRIPLE BARREL</t>
  </si>
  <si>
    <t>60223-4400</t>
  </si>
  <si>
    <t>4200mm span, 2100mm rise reinforced concrete box culvert, triple barrel</t>
  </si>
  <si>
    <t>14 FEET SPAN, 7 FEET RISE REINFORCED CONCRETE BOX CULVERT, TRIPLE BARREL</t>
  </si>
  <si>
    <t>60223-4450</t>
  </si>
  <si>
    <t>4200mm span, 2400mm rise reinforced concrete box culvert, triple barrel</t>
  </si>
  <si>
    <t>14 FEET SPAN, 8 FEET RISE REINFORCED CONCRETE BOX CULVERT, TRIPLE BARREL</t>
  </si>
  <si>
    <t>60223-4500</t>
  </si>
  <si>
    <t>4200mm span, 2700mm rise reinforced concrete box culvert, triple barrel</t>
  </si>
  <si>
    <t>14 FEET SPAN, 9 FEET RISE REINFORCED CONCRETE BOX CULVERT, TRIPLE BARREL</t>
  </si>
  <si>
    <t>60223-4550</t>
  </si>
  <si>
    <t>4200mm span, 3000mm rise reinforced concrete box culvert, triple barrel</t>
  </si>
  <si>
    <t>14 FEET SPAN, 10 FEET RISE REINFORCED CONCRETE BOX CULVERT, TRIPLE BARREL</t>
  </si>
  <si>
    <t>60223-4600</t>
  </si>
  <si>
    <t>4200mm span, 3300mm rise reinforced concrete box culvert, triple barrel</t>
  </si>
  <si>
    <t>14 FEET SPAN, 11 FEET RISE REINFORCED CONCRETE BOX CULVERT, TRIPLE BARREL</t>
  </si>
  <si>
    <t>60223-4650</t>
  </si>
  <si>
    <t>4200mm span, 3600mm rise reinforced concrete box culvert, triple barrel</t>
  </si>
  <si>
    <t>14 FEET SPAN, 12 FEET RISE REINFORCED CONCRETE BOX CULVERT, TRIPLE BARREL</t>
  </si>
  <si>
    <t>60223-4700</t>
  </si>
  <si>
    <t>4200mm span, 4200mm rise reinforced concrete box culvert, triple barrel</t>
  </si>
  <si>
    <t>14 FEET SPAN, 14 FEET RISE REINFORCED CONCRETE BOX CULVERT, TRIPLE BARREL</t>
  </si>
  <si>
    <t>60223-4750</t>
  </si>
  <si>
    <t>4200mm span, 4800mm rise reinforced concrete box culvert, triple barrel</t>
  </si>
  <si>
    <t>14 FEET SPAN, 16 FEET RISE REINFORCED CONCRETE BOX CULVERT, TRIPLE BARREL</t>
  </si>
  <si>
    <t>60223-4800</t>
  </si>
  <si>
    <t>7200mm span, 2400mm rise reinforced concrete box culvert, triple barrel</t>
  </si>
  <si>
    <t>24 FEET SPAN, 8 FEET RISE REINFORCED CONCRETE BOX CULVERT, TRIPLE BARREL</t>
  </si>
  <si>
    <t>60225-1722</t>
  </si>
  <si>
    <t>2100mm span, 1500mm rise reinforced concrete box culvert, quintuple barrel</t>
  </si>
  <si>
    <t>7 FEET SPAN, 5 FEET RISE REINFORCED CONCRETE BOX CULVERT, QUINTUPLE BARREL</t>
  </si>
  <si>
    <t>60225-1725</t>
  </si>
  <si>
    <t>2100mm span, 1800mm rise reinforced concrete box culvert, quintuple barrel</t>
  </si>
  <si>
    <t>7 FEET SPAN, 6 FEET RISE REINFORCED CONCRETE BOX CULVERT, QUINTUPLE BARREL</t>
  </si>
  <si>
    <t>60226-0000</t>
  </si>
  <si>
    <t>End section for reinforced concrete box culvert</t>
  </si>
  <si>
    <t>END SECTION FOR REINFORCED CONCRETE BOX CULVERT</t>
  </si>
  <si>
    <t>60227-0000</t>
  </si>
  <si>
    <t>Reinforced concrete box culvert</t>
  </si>
  <si>
    <t>REINFORCED CONCRETE BOX CULVERT</t>
  </si>
  <si>
    <t>60230-0000</t>
  </si>
  <si>
    <t>Debris rack</t>
  </si>
  <si>
    <t>DEBRIS RACK</t>
  </si>
  <si>
    <t>Dissipator, pipe</t>
  </si>
  <si>
    <t>DISSIPATOR, PIPE</t>
  </si>
  <si>
    <t>60301-0100</t>
  </si>
  <si>
    <t>1500mm structural plate pipe</t>
  </si>
  <si>
    <t>60-INCH STRUCTURAL PLATE PIPE</t>
  </si>
  <si>
    <t>60301-0110</t>
  </si>
  <si>
    <t>1655mm structural plate pipe</t>
  </si>
  <si>
    <t>66-INCH STRUCTURAL PLATE PIPE</t>
  </si>
  <si>
    <t>60301-0120</t>
  </si>
  <si>
    <t>1810mm structural plate pipe</t>
  </si>
  <si>
    <t>72-INCH STRUCTURAL PLATE PIPE</t>
  </si>
  <si>
    <t>60301-0130</t>
  </si>
  <si>
    <t>1965mm structural plate pipe</t>
  </si>
  <si>
    <t>78-INCH STRUCTURAL PLATE PIPE</t>
  </si>
  <si>
    <t>60301-0140</t>
  </si>
  <si>
    <t>2120mm structural plate pipe</t>
  </si>
  <si>
    <t>84-INCH STRUCTURAL PLATE PIPE</t>
  </si>
  <si>
    <t>60301-0150</t>
  </si>
  <si>
    <t>2275mm structural plate pipe</t>
  </si>
  <si>
    <t>90-INCH STRUCTURAL PLATE PIPE</t>
  </si>
  <si>
    <t>60301-0160</t>
  </si>
  <si>
    <t>2430mm structural plate pipe</t>
  </si>
  <si>
    <t>96-INCH STRUCTURAL PLATE PIPE</t>
  </si>
  <si>
    <t>60301-0170</t>
  </si>
  <si>
    <t>2585mm structural plate pipe</t>
  </si>
  <si>
    <t>102-INCH STRUCTURAL PLATE PIPE</t>
  </si>
  <si>
    <t>60301-0180</t>
  </si>
  <si>
    <t>2740mm structural plate pipe</t>
  </si>
  <si>
    <t>108-INCH STRUCTURAL PLATE PIPE</t>
  </si>
  <si>
    <t>60301-0190</t>
  </si>
  <si>
    <t>2895mm structural plate pipe</t>
  </si>
  <si>
    <t>114-INCH STRUCTURAL PLATE PIPE</t>
  </si>
  <si>
    <t>60301-0200</t>
  </si>
  <si>
    <t>3050mm structural plate pipe</t>
  </si>
  <si>
    <t>120-INCH STRUCTURAL PLATE PIPE</t>
  </si>
  <si>
    <t>60301-0210</t>
  </si>
  <si>
    <t>3205mm structural plate pipe</t>
  </si>
  <si>
    <t>126-INCH STRUCTURAL PLATE PIPE</t>
  </si>
  <si>
    <t>60301-0220</t>
  </si>
  <si>
    <t>3360mm structural plate pipe</t>
  </si>
  <si>
    <t>132-INCH STRUCTURAL PLATE PIPE</t>
  </si>
  <si>
    <t>60301-0230</t>
  </si>
  <si>
    <t>3515mm structural plate pipe</t>
  </si>
  <si>
    <t>138-INCH STRUCTURAL PLATE PIPE</t>
  </si>
  <si>
    <t>60301-0240</t>
  </si>
  <si>
    <t>3670mm structural plate pipe</t>
  </si>
  <si>
    <t>144-INCH STRUCTURAL PLATE PIPE</t>
  </si>
  <si>
    <t>60301-0250</t>
  </si>
  <si>
    <t>3825mm structural plate pipe</t>
  </si>
  <si>
    <t>150-INCH STRUCTURAL PLATE PIPE</t>
  </si>
  <si>
    <t>60301-0260</t>
  </si>
  <si>
    <t>3980mm structural plate pipe</t>
  </si>
  <si>
    <t>156-INCH STRUCTURAL PLATE PIPE</t>
  </si>
  <si>
    <t>60301-0270</t>
  </si>
  <si>
    <t>4135mm structural plate pipe</t>
  </si>
  <si>
    <t>162-INCH STRUCTURAL PLATE PIPE</t>
  </si>
  <si>
    <t>60301-0280</t>
  </si>
  <si>
    <t>4290mm structural plate pipe</t>
  </si>
  <si>
    <t>168-INCH STRUCTURAL PLATE PIPE</t>
  </si>
  <si>
    <t>60301-0290</t>
  </si>
  <si>
    <t>4445mm structural plate pipe</t>
  </si>
  <si>
    <t>174-INCH STRUCTURAL PLATE PIPE</t>
  </si>
  <si>
    <t>60301-0300</t>
  </si>
  <si>
    <t>180-INCH STRUCTURAL PLATE PIPE</t>
  </si>
  <si>
    <t>60301-0360</t>
  </si>
  <si>
    <t>5530mm structural plate pipe</t>
  </si>
  <si>
    <t>216-INCH STRUCTURAL PLATE PIPE</t>
  </si>
  <si>
    <t>60301-0400</t>
  </si>
  <si>
    <t>6150mm structural plate pipe</t>
  </si>
  <si>
    <t>240-INCH STRUCTURAL PLATE PIPE</t>
  </si>
  <si>
    <t>60301-0480</t>
  </si>
  <si>
    <t>7315mm structural plate pipe</t>
  </si>
  <si>
    <t>288-INCH STRUCTURAL PLATE PIPE</t>
  </si>
  <si>
    <t>60302-0000</t>
  </si>
  <si>
    <t>60303-0000</t>
  </si>
  <si>
    <t>Structural plate underpass</t>
  </si>
  <si>
    <t>STRUCTURAL PLATE UNDERPASS</t>
  </si>
  <si>
    <t>60304-0000</t>
  </si>
  <si>
    <t>Structural plate arch</t>
  </si>
  <si>
    <t>STRUCTURAL PLATE ARCH</t>
  </si>
  <si>
    <t>60305-0000</t>
  </si>
  <si>
    <t>Structural plate box</t>
  </si>
  <si>
    <t>STRUCTURAL PLATE BOX</t>
  </si>
  <si>
    <t>60315-0000</t>
  </si>
  <si>
    <t>Structural plate headwall</t>
  </si>
  <si>
    <t>STRUCTURAL PLATE HEADWALL</t>
  </si>
  <si>
    <t>60401-0000</t>
  </si>
  <si>
    <t>Manhole</t>
  </si>
  <si>
    <t>MANHOLE</t>
  </si>
  <si>
    <t>60401-1000</t>
  </si>
  <si>
    <t>Manhole, flh</t>
  </si>
  <si>
    <t>MANHOLE, FLH</t>
  </si>
  <si>
    <t>60402-0000</t>
  </si>
  <si>
    <t>60402-1000</t>
  </si>
  <si>
    <t>60403-0000</t>
  </si>
  <si>
    <t>Inlet</t>
  </si>
  <si>
    <t>INLET</t>
  </si>
  <si>
    <t>60403-0800</t>
  </si>
  <si>
    <t>Inlet, flh type 4A</t>
  </si>
  <si>
    <t>INLET, FLH TYPE 4A</t>
  </si>
  <si>
    <t>60403-0900</t>
  </si>
  <si>
    <t>Inlet, flh type 4B</t>
  </si>
  <si>
    <t>INLET, FLH TYPE 4B</t>
  </si>
  <si>
    <t>60403-1000</t>
  </si>
  <si>
    <t>Inlet, flh type 4C</t>
  </si>
  <si>
    <t>INLET, FLH TYPE 4C</t>
  </si>
  <si>
    <t>60403-1100</t>
  </si>
  <si>
    <t>Inlet, flh type 4D</t>
  </si>
  <si>
    <t>INLET, FLH TYPE 4D</t>
  </si>
  <si>
    <t>60403-1200</t>
  </si>
  <si>
    <t>Inlet, flh type 5A</t>
  </si>
  <si>
    <t>INLET, FLH TYPE 5A</t>
  </si>
  <si>
    <t>60403-1300</t>
  </si>
  <si>
    <t>Inlet, flh type 5A modified</t>
  </si>
  <si>
    <t>INLET, FLH TYPE 5A MODIFIED</t>
  </si>
  <si>
    <t>60403-1400</t>
  </si>
  <si>
    <t>Inlet, flh type 5B</t>
  </si>
  <si>
    <t>INLET, FLH TYPE 5B</t>
  </si>
  <si>
    <t>60403-1700</t>
  </si>
  <si>
    <t>Inlet, flh type 6A</t>
  </si>
  <si>
    <t>INLET, FLH TYPE 6A</t>
  </si>
  <si>
    <t>60403-1800</t>
  </si>
  <si>
    <t>Inlet, flh type 6A modified</t>
  </si>
  <si>
    <t>INLET, FLH TYPE 6A MODIFIED</t>
  </si>
  <si>
    <t>60403-1900</t>
  </si>
  <si>
    <t>Inlet, flh type 6B</t>
  </si>
  <si>
    <t>INLET, FLH TYPE 6B</t>
  </si>
  <si>
    <t>60403-2200</t>
  </si>
  <si>
    <t>Inlet, flh type 7A</t>
  </si>
  <si>
    <t>INLET, FLH TYPE 7A</t>
  </si>
  <si>
    <t>60403-2300</t>
  </si>
  <si>
    <t>Inlet, flh type 7B</t>
  </si>
  <si>
    <t>INLET, FLH TYPE 7B</t>
  </si>
  <si>
    <t>60404-0000</t>
  </si>
  <si>
    <t>Catch basin</t>
  </si>
  <si>
    <t>CATCH BASIN</t>
  </si>
  <si>
    <t>60404-1000</t>
  </si>
  <si>
    <t>Catch basin, flh type 1</t>
  </si>
  <si>
    <t>CATCH BASIN, FLH TYPE 1</t>
  </si>
  <si>
    <t>60404-2000</t>
  </si>
  <si>
    <t>Catch basin, flh type 2</t>
  </si>
  <si>
    <t>CATCH BASIN, FLH TYPE 2</t>
  </si>
  <si>
    <t>60405-0000</t>
  </si>
  <si>
    <t>Manhole adjustment</t>
  </si>
  <si>
    <t>MANHOLE ADJUSTMENT</t>
  </si>
  <si>
    <t>60406-0000</t>
  </si>
  <si>
    <t>Inlet adjustment</t>
  </si>
  <si>
    <t>INLET ADJUSTMENT</t>
  </si>
  <si>
    <t>60407-0000</t>
  </si>
  <si>
    <t>Capping inlets and manholes</t>
  </si>
  <si>
    <t>CAPPING INLETS AND MANHOLES</t>
  </si>
  <si>
    <t>60408-0000</t>
  </si>
  <si>
    <t>Junction box</t>
  </si>
  <si>
    <t>JUNCTION BOX</t>
  </si>
  <si>
    <t>60409-0000</t>
  </si>
  <si>
    <t>Inlet top, metal frame and grate</t>
  </si>
  <si>
    <t>INLET TOP, METAL FRAME AND GRATE</t>
  </si>
  <si>
    <t>Inlet top</t>
  </si>
  <si>
    <t>INLET TOP</t>
  </si>
  <si>
    <t>60409-0100</t>
  </si>
  <si>
    <t>Inlet top, metal frame and grate, flh type A</t>
  </si>
  <si>
    <t>INLET TOP, METAL FRAME AND GRATE, FLH TYPE A</t>
  </si>
  <si>
    <t>60409-0200</t>
  </si>
  <si>
    <t>Inlet top, metal frame and grate, flh type B</t>
  </si>
  <si>
    <t>INLET TOP, METAL FRAME AND GRATE, FLH TYPE B</t>
  </si>
  <si>
    <t>60409-0600</t>
  </si>
  <si>
    <t>Inlet top, metal frame and grate, FLH type 5</t>
  </si>
  <si>
    <t>INLET TOP, METAL FRAME AND GRATE, FLH TYPE 5</t>
  </si>
  <si>
    <t>60409-0700</t>
  </si>
  <si>
    <t>Inlet top, metal frame and grate, FLH type 6A</t>
  </si>
  <si>
    <t>INLET TOP, METAL FRAME AND GRATE, FLH TYPE 6A</t>
  </si>
  <si>
    <t>60409-0800</t>
  </si>
  <si>
    <t>Inlet top, metal frame and grate, FLH type 6B</t>
  </si>
  <si>
    <t>INLET TOP, METAL FRAME AND GRATE , FLH TYPE 6B</t>
  </si>
  <si>
    <t>60409-0900</t>
  </si>
  <si>
    <t>Inlet top, metal frame and grate, FLH type 7</t>
  </si>
  <si>
    <t>INLET TOP, METAL FRAME AND GRATE, FLH TYPE 7</t>
  </si>
  <si>
    <t>60409-1000</t>
  </si>
  <si>
    <t>Inlet top, concrete</t>
  </si>
  <si>
    <t>INLET TOP, CONCRETE</t>
  </si>
  <si>
    <t>60409-1100</t>
  </si>
  <si>
    <t>Inlet top, granite</t>
  </si>
  <si>
    <t>INLET TOP, GRANITE</t>
  </si>
  <si>
    <t>60409-1200</t>
  </si>
  <si>
    <t>Inlet top, metal grate, FLH type 6A</t>
  </si>
  <si>
    <t>INLET TOP, METAL GRATE, FLH TYPE 6A</t>
  </si>
  <si>
    <t>60409-1300</t>
  </si>
  <si>
    <t>Inlet top, metal grate, FLH type 6B</t>
  </si>
  <si>
    <t>INLET TOP, METAL GRATE, FLH TYPE 6B</t>
  </si>
  <si>
    <t>60410-0000</t>
  </si>
  <si>
    <t>60411-0000</t>
  </si>
  <si>
    <t>Inlet modification</t>
  </si>
  <si>
    <t>INLET MODIFICATION</t>
  </si>
  <si>
    <t>60412-1000</t>
  </si>
  <si>
    <t>Remove and reset metal frame and grate</t>
  </si>
  <si>
    <t>REMOVE AND RESET METAL FRAME AND GRATE</t>
  </si>
  <si>
    <t>60412-2000</t>
  </si>
  <si>
    <t>Remove and reset manhole frame and cover</t>
  </si>
  <si>
    <t>REMOVE AND RESET MANHOLE FRAME AND COVER</t>
  </si>
  <si>
    <t>60413-0000</t>
  </si>
  <si>
    <t>Trench drain</t>
  </si>
  <si>
    <t>TRENCH DRAIN</t>
  </si>
  <si>
    <t>60414-0000</t>
  </si>
  <si>
    <t>60415-0000</t>
  </si>
  <si>
    <t>60417-0000</t>
  </si>
  <si>
    <t>Cleanout</t>
  </si>
  <si>
    <t>CLEANOUT</t>
  </si>
  <si>
    <t>60418-0000</t>
  </si>
  <si>
    <t>Storm water detention vault</t>
  </si>
  <si>
    <t>STORM WATER DETENTION VAULT</t>
  </si>
  <si>
    <t>60419-0000</t>
  </si>
  <si>
    <t>Level spreader</t>
  </si>
  <si>
    <t>LEVEL SPREADER</t>
  </si>
  <si>
    <t>60420-0000</t>
  </si>
  <si>
    <t>Outlet structure</t>
  </si>
  <si>
    <t>OUTLET STRUCTURE</t>
  </si>
  <si>
    <t>60421-0000</t>
  </si>
  <si>
    <t>Oil/grit separator</t>
  </si>
  <si>
    <t>OIL/GRIT SEPARATOR</t>
  </si>
  <si>
    <t>60422-0000</t>
  </si>
  <si>
    <t>Inlet trash screen</t>
  </si>
  <si>
    <t>INLET TRASH SCREEN</t>
  </si>
  <si>
    <t>60501-0000</t>
  </si>
  <si>
    <t>Standard underdrain system</t>
  </si>
  <si>
    <t>STANDARD UNDERDRAIN SYSTEM</t>
  </si>
  <si>
    <t>60502-0000</t>
  </si>
  <si>
    <t>Geocomposite underdrain system</t>
  </si>
  <si>
    <t>GEOCOMPOSITE UNDERDRAIN SYSTEM</t>
  </si>
  <si>
    <t>60503-0000</t>
  </si>
  <si>
    <t>Geocomposite pavement edge drain system</t>
  </si>
  <si>
    <t>GEOCOMPOSITE PAVEMENT EDGE DRAIN SYSTEM</t>
  </si>
  <si>
    <t>60504-0000</t>
  </si>
  <si>
    <t>Geocomposite sheet drain system</t>
  </si>
  <si>
    <t>GEOCOMPOSITE SHEET DRAIN SYSTEM</t>
  </si>
  <si>
    <t>60505-0000</t>
  </si>
  <si>
    <t>Geocomposite capillary break system</t>
  </si>
  <si>
    <t>GEOCOMPOSITE CAPILLARY BREAK SYSTEM</t>
  </si>
  <si>
    <t>60506-0000</t>
  </si>
  <si>
    <t>Standard or geocomposite underdrain system</t>
  </si>
  <si>
    <t>STANDARD OR GEOCOMPOSITE UNDERDRAIN SYSTEM</t>
  </si>
  <si>
    <t>60510-0100</t>
  </si>
  <si>
    <t>75mm collector pipe</t>
  </si>
  <si>
    <t>3-INCH COLLECTOR PIPE</t>
  </si>
  <si>
    <t>60510-0200</t>
  </si>
  <si>
    <t>75mm outlet pipe</t>
  </si>
  <si>
    <t>3-INCH OUTLET PIPE</t>
  </si>
  <si>
    <t>60510-0300</t>
  </si>
  <si>
    <t>100mm collector pipe</t>
  </si>
  <si>
    <t>4-INCH COLLECTOR PIPE</t>
  </si>
  <si>
    <t>60510-0400</t>
  </si>
  <si>
    <t>100mm outlet pipe</t>
  </si>
  <si>
    <t>4-INCH OUTLET PIPE</t>
  </si>
  <si>
    <t>60510-0500</t>
  </si>
  <si>
    <t>125mm collector pipe</t>
  </si>
  <si>
    <t>5-INCH COLLECTOR PIPE</t>
  </si>
  <si>
    <t>60510-0600</t>
  </si>
  <si>
    <t>125mm outlet pipe</t>
  </si>
  <si>
    <t>5-INCH OUTLET PIPE</t>
  </si>
  <si>
    <t>60510-0700</t>
  </si>
  <si>
    <t>150mm collector pipe</t>
  </si>
  <si>
    <t>6-INCH COLLECTOR PIPE</t>
  </si>
  <si>
    <t>60510-0800</t>
  </si>
  <si>
    <t>150mm outlet pipe</t>
  </si>
  <si>
    <t>6-INCH OUTLET PIPE</t>
  </si>
  <si>
    <t>60510-0900</t>
  </si>
  <si>
    <t>200mm collector pipe</t>
  </si>
  <si>
    <t>8-INCH COLLECTOR PIPE</t>
  </si>
  <si>
    <t>60510-1000</t>
  </si>
  <si>
    <t>200mm outlet pipe</t>
  </si>
  <si>
    <t>8-INCH OUTLET PIPE</t>
  </si>
  <si>
    <t>60510-1050</t>
  </si>
  <si>
    <t>250mm collector pipe</t>
  </si>
  <si>
    <t>10-INCH COLLECTOR PIPE</t>
  </si>
  <si>
    <t>60510-1060</t>
  </si>
  <si>
    <t>250mm outlet pipe</t>
  </si>
  <si>
    <t>10-INCH OUTLET PIPE</t>
  </si>
  <si>
    <t>60510-1100</t>
  </si>
  <si>
    <t>300mm collector pipe</t>
  </si>
  <si>
    <t>12-INCH COLLECTOR PIPE</t>
  </si>
  <si>
    <t>60510-1200</t>
  </si>
  <si>
    <t>300mm outlet pipe</t>
  </si>
  <si>
    <t>12-INCH OUTLET PIPE</t>
  </si>
  <si>
    <t>60515-0000</t>
  </si>
  <si>
    <t>Underdrain cleanout</t>
  </si>
  <si>
    <t>UNDERDRAIN CLEANOUT</t>
  </si>
  <si>
    <t>60515-0100</t>
  </si>
  <si>
    <t>Underdrain cleanout, 75mm</t>
  </si>
  <si>
    <t>UNDERDRAIN CLEANOUT, 3-INCH</t>
  </si>
  <si>
    <t>60515-0200</t>
  </si>
  <si>
    <t>Underdrain cleanout, 100mm</t>
  </si>
  <si>
    <t>UNDERDRAIN CLEANOUT, 4-INCH</t>
  </si>
  <si>
    <t>60515-0300</t>
  </si>
  <si>
    <t>Underdrain cleanout, 125mm</t>
  </si>
  <si>
    <t>UNDERDRAIN CLEANOUT, 5-INCH</t>
  </si>
  <si>
    <t>60515-0400</t>
  </si>
  <si>
    <t>Underdrain cleanout, 150mm</t>
  </si>
  <si>
    <t>UNDERDRAIN CLEANOUT, 6-INCH</t>
  </si>
  <si>
    <t>60515-0500</t>
  </si>
  <si>
    <t>Underdrain cleanout, 200mm</t>
  </si>
  <si>
    <t>UNDERDRAIN CLEANOUT, 8-INCH</t>
  </si>
  <si>
    <t>60515-0550</t>
  </si>
  <si>
    <t>Underdrain cleanout, 250mm</t>
  </si>
  <si>
    <t>UNDERDRAIN CLEANOUT, 10-INCH</t>
  </si>
  <si>
    <t>60515-0600</t>
  </si>
  <si>
    <t>Underdrain cleanout, 300mm</t>
  </si>
  <si>
    <t>UNDERDRAIN CLEANOUT, 12-INCH</t>
  </si>
  <si>
    <t>60520-0000</t>
  </si>
  <si>
    <t>60521-0000</t>
  </si>
  <si>
    <t>60522-0000</t>
  </si>
  <si>
    <t>Sand</t>
  </si>
  <si>
    <t>SAND</t>
  </si>
  <si>
    <t>60525-0000</t>
  </si>
  <si>
    <t>Subdrainage blanket</t>
  </si>
  <si>
    <t>SUBDRAINAGE BLANKET</t>
  </si>
  <si>
    <t>60526-0000</t>
  </si>
  <si>
    <t>Drainage chase</t>
  </si>
  <si>
    <t>DRAINAGE CHASE</t>
  </si>
  <si>
    <t>60601-0000</t>
  </si>
  <si>
    <t>Spillway assembly</t>
  </si>
  <si>
    <t>SPILLWAY ASSEMBLY</t>
  </si>
  <si>
    <t>60602-0100</t>
  </si>
  <si>
    <t>Pipe anchor assembly, 150mm</t>
  </si>
  <si>
    <t>PIPE ANCHOR ASSEMBLY, 6-INCH</t>
  </si>
  <si>
    <t>60602-0200</t>
  </si>
  <si>
    <t>Pipe anchor assembly, 200mm</t>
  </si>
  <si>
    <t>PIPE ANCHOR ASSEMBLY, 8-INCH</t>
  </si>
  <si>
    <t>60602-0300</t>
  </si>
  <si>
    <t>Pipe anchor assembly, 300mm</t>
  </si>
  <si>
    <t>PIPE ANCHOR ASSEMBLY, 12-INCH</t>
  </si>
  <si>
    <t>60602-0400</t>
  </si>
  <si>
    <t>Pipe anchor assembly, 375mm</t>
  </si>
  <si>
    <t>PIPE ANCHOR ASSEMBLY, 15-INCH</t>
  </si>
  <si>
    <t>60602-0500</t>
  </si>
  <si>
    <t>Pipe anchor assembly, 450mm</t>
  </si>
  <si>
    <t>PIPE ANCHOR ASSEMBLY, 18-INCH</t>
  </si>
  <si>
    <t>60602-0600</t>
  </si>
  <si>
    <t>Pipe anchor assembly, 525mm</t>
  </si>
  <si>
    <t>PIPE ANCHOR ASSEMBLY, 21-INCH</t>
  </si>
  <si>
    <t>60602-0700</t>
  </si>
  <si>
    <t>Pipe anchor assembly, 600mm</t>
  </si>
  <si>
    <t>PIPE ANCHOR ASSEMBLY, 24-INCH</t>
  </si>
  <si>
    <t>60602-0800</t>
  </si>
  <si>
    <t>Pipe anchor assembly, 750mm</t>
  </si>
  <si>
    <t>PIPE ANCHOR ASSEMBLY, 30-INCH</t>
  </si>
  <si>
    <t>60602-0900</t>
  </si>
  <si>
    <t>Pipe anchor assembly, 900mm</t>
  </si>
  <si>
    <t>PIPE ANCHOR ASSEMBLY, 36-INCH</t>
  </si>
  <si>
    <t>60602-1000</t>
  </si>
  <si>
    <t>Pipe anchor assembly, 1050mm</t>
  </si>
  <si>
    <t>PIPE ANCHOR ASSEMBLY, 42-INCH</t>
  </si>
  <si>
    <t>60602-1100</t>
  </si>
  <si>
    <t>Pipe anchor assembly, 1200mm</t>
  </si>
  <si>
    <t>PIPE ANCHOR ASSEMBLY, 48-INCH</t>
  </si>
  <si>
    <t>60602-1150</t>
  </si>
  <si>
    <t>Pipe anchor assembly, 1350mm</t>
  </si>
  <si>
    <t>PIPE ANCHOR ASSEMBLY, 54-INCH</t>
  </si>
  <si>
    <t>60602-1200</t>
  </si>
  <si>
    <t>Pipe anchor assembly, 1500mm</t>
  </si>
  <si>
    <t>PIPE ANCHOR ASSEMBLY, 60-INCH</t>
  </si>
  <si>
    <t>60602-1300</t>
  </si>
  <si>
    <t>Pipe anchor assembly, 1800mm</t>
  </si>
  <si>
    <t>PIPE ANCHOR ASSEMBLY, 72-INCH</t>
  </si>
  <si>
    <t>60602-1400</t>
  </si>
  <si>
    <t>Pipe anchor assembly, 2100mm</t>
  </si>
  <si>
    <t>PIPE ANCHOR ASSEMBLY, 84-INCH</t>
  </si>
  <si>
    <t>60701-1000</t>
  </si>
  <si>
    <t>Removing, cleaning, and stockpiling culvert</t>
  </si>
  <si>
    <t>REMOVING, CLEANING, AND STOCKPILING CULVERT</t>
  </si>
  <si>
    <t>60702-1000</t>
  </si>
  <si>
    <t>Removing, cleaning, and relaying culvert</t>
  </si>
  <si>
    <t>REMOVING, CLEANING, AND RELAYING CULVERT</t>
  </si>
  <si>
    <t>60703-0000</t>
  </si>
  <si>
    <t>Cleaning culverts in place</t>
  </si>
  <si>
    <t>CLEANING CULVERTS IN PLACE</t>
  </si>
  <si>
    <t>60704-0000</t>
  </si>
  <si>
    <t>Cleaning culvert in place</t>
  </si>
  <si>
    <t>CLEANING CULVERT IN PLACE</t>
  </si>
  <si>
    <t>60705-0000</t>
  </si>
  <si>
    <t>Repairing drainage structure</t>
  </si>
  <si>
    <t>REPAIRING DRAINAGE STRUCTURE</t>
  </si>
  <si>
    <t>60706-0000</t>
  </si>
  <si>
    <t>Cleaning drainage structure</t>
  </si>
  <si>
    <t>CLEANING DRAINAGE STRUCTURE</t>
  </si>
  <si>
    <t>60707-0200</t>
  </si>
  <si>
    <t>Lining 375mm pipe culvert</t>
  </si>
  <si>
    <t>LINING 15-INCH PIPE CULVERT</t>
  </si>
  <si>
    <t>60707-0300</t>
  </si>
  <si>
    <t>Lining 450mm pipe culvert</t>
  </si>
  <si>
    <t>LINING 18-INCH PIPE CULVERT</t>
  </si>
  <si>
    <t>60707-0400</t>
  </si>
  <si>
    <t>Lining 525mm pipe culvert</t>
  </si>
  <si>
    <t>LINING 21-INCH PIPE CULVERT</t>
  </si>
  <si>
    <t>60707-0500</t>
  </si>
  <si>
    <t>Lining 600mm pipe culvert</t>
  </si>
  <si>
    <t>LINING 24-INCH PIPE CULVERT</t>
  </si>
  <si>
    <t>60707-0600</t>
  </si>
  <si>
    <t>Lining 750mm pipe culvert</t>
  </si>
  <si>
    <t>LINING 30-INCH PIPE CULVERT</t>
  </si>
  <si>
    <t>60707-0700</t>
  </si>
  <si>
    <t>Lining 900mm pipe culvert</t>
  </si>
  <si>
    <t>LINING 36-INCH PIPE CULVERT</t>
  </si>
  <si>
    <t>60707-0800</t>
  </si>
  <si>
    <t>Lining 1050mm pipe culvert</t>
  </si>
  <si>
    <t>LINING 42-INCH PIPE CULVERT</t>
  </si>
  <si>
    <t>60707-0900</t>
  </si>
  <si>
    <t>Lining 1200mm pipe culvert</t>
  </si>
  <si>
    <t>LINING 48-INCH PIPE CULVERT</t>
  </si>
  <si>
    <t>60707-1000</t>
  </si>
  <si>
    <t>Lining 1350mm pipe culvert</t>
  </si>
  <si>
    <t>LINING 54-INCH PIPE CULVERT</t>
  </si>
  <si>
    <t>60707-1100</t>
  </si>
  <si>
    <t>Lining 1500mm pipe culvert</t>
  </si>
  <si>
    <t>LINING 60-INCH PIPE CULVERT</t>
  </si>
  <si>
    <t>60707-1200</t>
  </si>
  <si>
    <t>Lining 1650mm pipe culvert</t>
  </si>
  <si>
    <t>LINING 66-INCH PIPE CULVERT</t>
  </si>
  <si>
    <t>60707-1300</t>
  </si>
  <si>
    <t>Lining 1800mm pipe culvert</t>
  </si>
  <si>
    <t>LINING 72-INCH PIPE CULVERT</t>
  </si>
  <si>
    <t>60708-0000</t>
  </si>
  <si>
    <t>Concrete pipe joint repair</t>
  </si>
  <si>
    <t>CONCRETE PIPE JOINT REPAIR</t>
  </si>
  <si>
    <t>60709-0000</t>
  </si>
  <si>
    <t>Cleaning drainage structures in place</t>
  </si>
  <si>
    <t>CLEANING DRAINAGE STRUCTURES IN PLACE</t>
  </si>
  <si>
    <t>60711-0000</t>
  </si>
  <si>
    <t>60801-0100</t>
  </si>
  <si>
    <t>Paved waterway, type 1</t>
  </si>
  <si>
    <t>PAVED WATERWAY, TYPE 1</t>
  </si>
  <si>
    <t>60801-0200</t>
  </si>
  <si>
    <t>Paved waterway, type 2</t>
  </si>
  <si>
    <t>PAVED WATERWAY, TYPE 2</t>
  </si>
  <si>
    <t>60801-0300</t>
  </si>
  <si>
    <t>Paved waterway, type 3</t>
  </si>
  <si>
    <t>PAVED WATERWAY, TYPE 3</t>
  </si>
  <si>
    <t>60801-0400</t>
  </si>
  <si>
    <t>Paved waterway, type 4</t>
  </si>
  <si>
    <t>PAVED WATERWAY, TYPE 4</t>
  </si>
  <si>
    <t>60801-0500</t>
  </si>
  <si>
    <t>Paved waterway, type 5</t>
  </si>
  <si>
    <t>PAVED WATERWAY, TYPE 5</t>
  </si>
  <si>
    <t>60802-0100</t>
  </si>
  <si>
    <t>60802-0200</t>
  </si>
  <si>
    <t>60802-0300</t>
  </si>
  <si>
    <t>60802-0400</t>
  </si>
  <si>
    <t>60802-0500</t>
  </si>
  <si>
    <t>60803-0500</t>
  </si>
  <si>
    <t>60810-0000</t>
  </si>
  <si>
    <t>Drainage chute</t>
  </si>
  <si>
    <t>DRAINAGE CHUTES</t>
  </si>
  <si>
    <t>60811-0000</t>
  </si>
  <si>
    <t>DRAINAGE CHUTE</t>
  </si>
  <si>
    <t>60815-0100</t>
  </si>
  <si>
    <t>Recondition paved waterway, type 1</t>
  </si>
  <si>
    <t>RECONDITION PAVED WATERWAY, TYPE 1</t>
  </si>
  <si>
    <t>60815-0200</t>
  </si>
  <si>
    <t>Recondition paved waterway, type 2</t>
  </si>
  <si>
    <t>RECONDITION PAVED WATERWAY, TYPE 2</t>
  </si>
  <si>
    <t>60815-0300</t>
  </si>
  <si>
    <t>Recondition paved waterway, type 3</t>
  </si>
  <si>
    <t>RECONDITION PAVED WATERWAY, TYPE 3</t>
  </si>
  <si>
    <t>60815-0400</t>
  </si>
  <si>
    <t>Recondition paved waterway, type 4</t>
  </si>
  <si>
    <t>RECONDITION PAVED WATERWAY, TYPE 4</t>
  </si>
  <si>
    <t>60815-0500</t>
  </si>
  <si>
    <t>Recondition paved waterway, type 5</t>
  </si>
  <si>
    <t>RECONDITION PAVED WATERWAY, TYPE 5</t>
  </si>
  <si>
    <t>60901-0000</t>
  </si>
  <si>
    <t>Curb, concrete</t>
  </si>
  <si>
    <t>CURB, CONCRETE</t>
  </si>
  <si>
    <t>60901-0100</t>
  </si>
  <si>
    <t>Curb, concrete, 75mm depth</t>
  </si>
  <si>
    <t>CURB, CONCRETE, 3-INCH DEPTH</t>
  </si>
  <si>
    <t>60901-0200</t>
  </si>
  <si>
    <t>Curb, concrete, 100mm depth</t>
  </si>
  <si>
    <t>CURB, CONCRETE, 4-INCH DEPTH</t>
  </si>
  <si>
    <t>60901-0300</t>
  </si>
  <si>
    <t>Curb, concrete, 125mm depth</t>
  </si>
  <si>
    <t>CURB, CONCRETE, 5-INCH DEPTH</t>
  </si>
  <si>
    <t>60901-0400</t>
  </si>
  <si>
    <t>Curb, concrete, 150mm depth</t>
  </si>
  <si>
    <t>CURB, CONCRETE, 6-INCH DEPTH</t>
  </si>
  <si>
    <t>60901-0500</t>
  </si>
  <si>
    <t>Curb, concrete, 175mm depth</t>
  </si>
  <si>
    <t>CURB, CONCRETE, 7-INCH DEPTH</t>
  </si>
  <si>
    <t>60901-0600</t>
  </si>
  <si>
    <t>Curb, concrete, 200mm depth</t>
  </si>
  <si>
    <t>CURB, CONCRETE, 8-INCH DEPTH</t>
  </si>
  <si>
    <t>60901-0700</t>
  </si>
  <si>
    <t>Curb, concrete, 225mm depth</t>
  </si>
  <si>
    <t>CURB, CONCRETE, 9-INCH DEPTH</t>
  </si>
  <si>
    <t>60901-0800</t>
  </si>
  <si>
    <t>Curb, concrete, 250mm depth</t>
  </si>
  <si>
    <t>CURB, CONCRETE, 10-INCH DEPTH</t>
  </si>
  <si>
    <t>60901-0900</t>
  </si>
  <si>
    <t>Curb, concrete, 275mm depth</t>
  </si>
  <si>
    <t>CURB, CONCRETE, 11-INCH DEPTH</t>
  </si>
  <si>
    <t>60901-1000</t>
  </si>
  <si>
    <t>Curb, concrete, 300mm depth</t>
  </si>
  <si>
    <t>CURB, CONCRETE, 12-INCH DEPTH</t>
  </si>
  <si>
    <t>60901-1100</t>
  </si>
  <si>
    <t>Curb, concrete, 325mm depth</t>
  </si>
  <si>
    <t>CURB, CONCRETE, 13-INCH DEPTH</t>
  </si>
  <si>
    <t>60901-1200</t>
  </si>
  <si>
    <t>Curb, concrete, 350mm depth</t>
  </si>
  <si>
    <t>CURB, CONCRETE, 14-INCH DEPTH</t>
  </si>
  <si>
    <t>60901-1300</t>
  </si>
  <si>
    <t>Curb, concrete, 375mm depth</t>
  </si>
  <si>
    <t>CURB, CONCRETE, 15-INCH DEPTH</t>
  </si>
  <si>
    <t>60901-1500</t>
  </si>
  <si>
    <t>Curb, concrete, 400mm depth</t>
  </si>
  <si>
    <t>CURB, CONCRETE, 16-INCH DEPTH</t>
  </si>
  <si>
    <t>60901-1600</t>
  </si>
  <si>
    <t>Curb, concrete, 425mm depth</t>
  </si>
  <si>
    <t>CURB, CONCRETE, 17-INCH DEPTH</t>
  </si>
  <si>
    <t>60901-1700</t>
  </si>
  <si>
    <t>Curb, concrete, 450mm depth</t>
  </si>
  <si>
    <t>CURB, CONCRETE, 18-INCH DEPTH</t>
  </si>
  <si>
    <t>60901-1800</t>
  </si>
  <si>
    <t>Curb, concrete, 475mm depth</t>
  </si>
  <si>
    <t>CURB, CONCRETE, 19-INCH DEPTH</t>
  </si>
  <si>
    <t>60901-1900</t>
  </si>
  <si>
    <t>Curb, concrete, 500mm depth</t>
  </si>
  <si>
    <t>CURB, CONCRETE, 20-INCH DEPTH</t>
  </si>
  <si>
    <t>60901-2000</t>
  </si>
  <si>
    <t>Curb, asphalt, 75mm depth</t>
  </si>
  <si>
    <t>CURB, ASPHALT, 3-INCH DEPTH</t>
  </si>
  <si>
    <t>60901-2100</t>
  </si>
  <si>
    <t>Curb, asphalt, 100mm depth</t>
  </si>
  <si>
    <t>CURB, ASPHALT, 4-INCH DEPTH</t>
  </si>
  <si>
    <t>60901-2200</t>
  </si>
  <si>
    <t>Curb, asphalt, 125mm depth</t>
  </si>
  <si>
    <t>CURB, ASPHALT, 5-INCH DEPTH</t>
  </si>
  <si>
    <t>60901-2300</t>
  </si>
  <si>
    <t>Curb, asphalt, 150mm depth</t>
  </si>
  <si>
    <t>CURB, ASPHALT, 6-INCH DEPTH</t>
  </si>
  <si>
    <t>60901-2400</t>
  </si>
  <si>
    <t>Curb, asphalt, 175mm depth</t>
  </si>
  <si>
    <t>CURB, ASPHALT, 7-INCH DEPTH</t>
  </si>
  <si>
    <t>60901-2500</t>
  </si>
  <si>
    <t>Curb, asphalt, 200mm depth</t>
  </si>
  <si>
    <t>CURB, ASPHALT, 8-INCH DEPTH</t>
  </si>
  <si>
    <t>60901-2550</t>
  </si>
  <si>
    <t>Curb, asphalt, 250mm depth</t>
  </si>
  <si>
    <t>CURB, ASPHALT, 10-INCH DEPTH</t>
  </si>
  <si>
    <t>60901-2600</t>
  </si>
  <si>
    <t>Curb, stone, type 1, 75mm depth</t>
  </si>
  <si>
    <t>CURB, STONE, TYPE 1, 3-INCH DEPTH</t>
  </si>
  <si>
    <t>60901-2700</t>
  </si>
  <si>
    <t>Curb, stone, type 1, 100mm depth</t>
  </si>
  <si>
    <t>CURB, STONE, TYPE 1, 4-INCH DEPTH</t>
  </si>
  <si>
    <t>60901-2800</t>
  </si>
  <si>
    <t>Curb, stone, type 1, 125mm depth</t>
  </si>
  <si>
    <t>CURB, STONE, TYPE 1, 5-INCH DEPTH</t>
  </si>
  <si>
    <t>60901-2900</t>
  </si>
  <si>
    <t>Curb, stone, type 1, 150mm depth</t>
  </si>
  <si>
    <t>CURB, STONE, TYPE 1, 6-INCH DEPTH</t>
  </si>
  <si>
    <t>60901-3000</t>
  </si>
  <si>
    <t>Curb, stone, type 1, 175mm depth</t>
  </si>
  <si>
    <t>CURB, STONE, TYPE 1, 7-INCH DEPTH</t>
  </si>
  <si>
    <t>60901-3100</t>
  </si>
  <si>
    <t>Curb, stone, type 1, 200mm depth</t>
  </si>
  <si>
    <t>CURB, STONE, TYPE 1, 8-INCH DEPTH</t>
  </si>
  <si>
    <t>60901-3200</t>
  </si>
  <si>
    <t>Curb, stone, type 1, 225mm depth</t>
  </si>
  <si>
    <t>CURB, STONE, TYPE 1, 9-INCH DEPTH</t>
  </si>
  <si>
    <t>60901-3300</t>
  </si>
  <si>
    <t>Curb, stone, type 1, 250mm depth</t>
  </si>
  <si>
    <t>CURB, STONE, TYPE 1, 10-INCH DEPTH</t>
  </si>
  <si>
    <t>60901-3400</t>
  </si>
  <si>
    <t>Curb, stone, type 1, 275mm depth</t>
  </si>
  <si>
    <t>CURB, STONE, TYPE 1, 11-INCH DEPTH</t>
  </si>
  <si>
    <t>60901-3500</t>
  </si>
  <si>
    <t>Curb, stone, type 1, 300mm depth</t>
  </si>
  <si>
    <t>CURB, STONE, TYPE 1, 12-INCH DEPTH</t>
  </si>
  <si>
    <t>60901-3600</t>
  </si>
  <si>
    <t>Curb, stone, type 1, 325mm depth</t>
  </si>
  <si>
    <t>CURB, STONE, TYPE 1, 13-INCH DEPTH</t>
  </si>
  <si>
    <t>60901-3700</t>
  </si>
  <si>
    <t>Curb, stone, type 1, 350mm depth</t>
  </si>
  <si>
    <t>CURB, STONE, TYPE 1, 14-INCH DEPTH</t>
  </si>
  <si>
    <t>60901-3800</t>
  </si>
  <si>
    <t>Curb, stone, type 1, 375mm depth</t>
  </si>
  <si>
    <t>CURB, STONE, TYPE 1, 15-INCH DEPTH</t>
  </si>
  <si>
    <t>60901-4000</t>
  </si>
  <si>
    <t>Curb, stone, type 1, 400mm depth</t>
  </si>
  <si>
    <t>CURB, STONE, TYPE 1, 16-INCH DEPTH</t>
  </si>
  <si>
    <t>60901-4100</t>
  </si>
  <si>
    <t>Curb, stone, type 1, 425mm depth</t>
  </si>
  <si>
    <t>CURB, STONE, TYPE 1, 17-INCH DEPTH</t>
  </si>
  <si>
    <t>60901-4200</t>
  </si>
  <si>
    <t>Curb, stone, type 1, 450mm depth</t>
  </si>
  <si>
    <t>CURB, STONE, TYPE 1, 18-INCH DEPTH</t>
  </si>
  <si>
    <t>60901-4300</t>
  </si>
  <si>
    <t>Curb, stone, type 1, 475mm depth</t>
  </si>
  <si>
    <t>CURB, STONE, TYPE 1, 19-INCH DEPTH</t>
  </si>
  <si>
    <t>60901-4400</t>
  </si>
  <si>
    <t>Curb, stone, type 1, 500mm depth</t>
  </si>
  <si>
    <t>CURB, STONE, TYPE 1, 20-INCH DEPTH</t>
  </si>
  <si>
    <t>60901-4450</t>
  </si>
  <si>
    <t>Curb, stone, type 1, 600mm depth</t>
  </si>
  <si>
    <t>CURB, STONE, TYPE 1, 24-INCH DEPTH</t>
  </si>
  <si>
    <t>60901-4500</t>
  </si>
  <si>
    <t>Curb, stone, type 2, 75mm depth</t>
  </si>
  <si>
    <t>CURB, STONE, TYPE 2, 3-INCH DEPTH</t>
  </si>
  <si>
    <t>60901-4600</t>
  </si>
  <si>
    <t>Curb, stone, type 2, 100mm depth</t>
  </si>
  <si>
    <t>CURB, STONE, TYPE 2, 4-INCH DEPTH</t>
  </si>
  <si>
    <t>60901-4700</t>
  </si>
  <si>
    <t>Curb, stone, type 2, 125mm depth</t>
  </si>
  <si>
    <t>CURB, STONE, TYPE 2, 5-INCH DEPTH</t>
  </si>
  <si>
    <t>60901-4800</t>
  </si>
  <si>
    <t>Curb, stone, type 2, 150mm depth</t>
  </si>
  <si>
    <t>CURB, STONE, TYPE 2, 6-INCH DEPTH</t>
  </si>
  <si>
    <t>60901-4900</t>
  </si>
  <si>
    <t>Curb, stone, type 2, 175mm depth</t>
  </si>
  <si>
    <t>CURB, STONE, TYPE 2, 7-INCH DEPTH</t>
  </si>
  <si>
    <t>60901-5000</t>
  </si>
  <si>
    <t>Curb, stone, type 2, 200mm depth</t>
  </si>
  <si>
    <t>CURB, STONE, TYPE 2, 8-INCH DEPTH</t>
  </si>
  <si>
    <t>60901-5100</t>
  </si>
  <si>
    <t>Curb, stone, type 2, 225mm depth</t>
  </si>
  <si>
    <t>CURB, STONE, TYPE 2, 9-INCH DEPTH</t>
  </si>
  <si>
    <t>60901-5200</t>
  </si>
  <si>
    <t>Curb, stone, type 2, 250mm depth</t>
  </si>
  <si>
    <t>CURB, STONE, TYPE 2, 10-INCH DEPTH</t>
  </si>
  <si>
    <t>60901-5300</t>
  </si>
  <si>
    <t>Curb, stone, type 2, 275mm depth</t>
  </si>
  <si>
    <t>CURB, STONE, TYPE 2, 11-INCH DEPTH</t>
  </si>
  <si>
    <t>60901-5400</t>
  </si>
  <si>
    <t>Curb, stone, type 2, 300mm depth</t>
  </si>
  <si>
    <t>CURB, STONE, TYPE 2, 12-INCH DEPTH</t>
  </si>
  <si>
    <t>60901-5500</t>
  </si>
  <si>
    <t>Curb, stone, type 2, 325mm depth</t>
  </si>
  <si>
    <t>CURB, STONE, TYPE 2, 13-INCH DEPTH</t>
  </si>
  <si>
    <t>60901-5600</t>
  </si>
  <si>
    <t>Curb, stone, type 2, 350mm depth</t>
  </si>
  <si>
    <t>CURB, STONE, TYPE 2, 14-INCH DEPTH</t>
  </si>
  <si>
    <t>60901-5700</t>
  </si>
  <si>
    <t>Curb, stone, type 2, 375mm depth</t>
  </si>
  <si>
    <t>CURB, STONE, TYPE 2, 15-INCH DEPTH</t>
  </si>
  <si>
    <t>60901-5900</t>
  </si>
  <si>
    <t>Curb, stone, type 2, 400mm depth</t>
  </si>
  <si>
    <t>CURB, STONE, TYPE 2, 16-INCH DEPTH</t>
  </si>
  <si>
    <t>60901-6000</t>
  </si>
  <si>
    <t>Curb, stone, type 2, 425mm depth</t>
  </si>
  <si>
    <t>CURB, STONE, TYPE 2, 17-INCH DEPTH</t>
  </si>
  <si>
    <t>60901-6100</t>
  </si>
  <si>
    <t>Curb, stone, type 2, 450mm depth</t>
  </si>
  <si>
    <t>CURB, STONE, TYPE 2, 18-INCH DEPTH</t>
  </si>
  <si>
    <t>60901-6200</t>
  </si>
  <si>
    <t>Curb, stone, type 2, 475mm depth</t>
  </si>
  <si>
    <t>CURB, STONE, TYPE 2, 19-INCH DEPTH</t>
  </si>
  <si>
    <t>60901-6300</t>
  </si>
  <si>
    <t>Curb, stone, type 2, 500mm depth</t>
  </si>
  <si>
    <t>CURB, STONE, TYPE 2, 20-INCH DEPTH</t>
  </si>
  <si>
    <t>60901-6350</t>
  </si>
  <si>
    <t>Curb, stone, type 2, 600mm depth</t>
  </si>
  <si>
    <t>CURB, STONE, TYPE 2, 24-INCH DEPTH</t>
  </si>
  <si>
    <t>60901-7000</t>
  </si>
  <si>
    <t>Curb, log</t>
  </si>
  <si>
    <t>CURB, LOG</t>
  </si>
  <si>
    <t>60901-8000</t>
  </si>
  <si>
    <t>Curb, timber</t>
  </si>
  <si>
    <t>CURB, TIMBER</t>
  </si>
  <si>
    <t>60901-9000</t>
  </si>
  <si>
    <t>Curb, plastic</t>
  </si>
  <si>
    <t>CURB, PLASTIC</t>
  </si>
  <si>
    <t>60902-0500</t>
  </si>
  <si>
    <t>Curb and gutter, concrete, 175mm depth</t>
  </si>
  <si>
    <t>CURB AND GUTTER, CONCRETE, 7-INCH DEPTH</t>
  </si>
  <si>
    <t>60902-0600</t>
  </si>
  <si>
    <t>Curb and gutter, concrete, 200mm depth</t>
  </si>
  <si>
    <t>CURB AND GUTTER, CONCRETE, 8-INCH DEPTH</t>
  </si>
  <si>
    <t>60902-0700</t>
  </si>
  <si>
    <t>Curb and gutter, concrete, 225mm depth</t>
  </si>
  <si>
    <t>CURB AND GUTTER, CONCRETE, 9-INCH DEPTH</t>
  </si>
  <si>
    <t>60902-0800</t>
  </si>
  <si>
    <t>Curb and gutter, concrete, 250mm depth</t>
  </si>
  <si>
    <t>CURB AND GUTTER, CONCRETE, 10-INCH DEPTH</t>
  </si>
  <si>
    <t>60902-0900</t>
  </si>
  <si>
    <t>Curb and gutter, concrete, 275mm depth</t>
  </si>
  <si>
    <t>CURB AND GUTTER, CONCRETE, 11-INCH DEPTH</t>
  </si>
  <si>
    <t>60902-1000</t>
  </si>
  <si>
    <t>Curb and gutter, concrete, 300mm depth</t>
  </si>
  <si>
    <t>CURB AND GUTTER, CONCRETE, 12-INCH DEPTH</t>
  </si>
  <si>
    <t>60902-1100</t>
  </si>
  <si>
    <t>Curb and gutter, concrete, 325mm depth</t>
  </si>
  <si>
    <t>CURB AND GUTTER, CONCRETE, 13-INCH DEPTH</t>
  </si>
  <si>
    <t>60902-1200</t>
  </si>
  <si>
    <t>Curb and gutter, concrete, 350mm depth</t>
  </si>
  <si>
    <t>CURB AND GUTTER, CONCRETE, 14-INCH DEPTH</t>
  </si>
  <si>
    <t>60902-1300</t>
  </si>
  <si>
    <t>Curb and gutter, concrete, 375mm depth</t>
  </si>
  <si>
    <t>CURB AND GUTTER, CONCRETE, 15-INCH DEPTH</t>
  </si>
  <si>
    <t>60902-1500</t>
  </si>
  <si>
    <t>Curb and gutter, concrete, 400mm depth</t>
  </si>
  <si>
    <t>CURB AND GUTTER, CONCRETE, 16-INCH DEPTH</t>
  </si>
  <si>
    <t>60902-1600</t>
  </si>
  <si>
    <t>Curb and gutter, concrete, 425mm depth</t>
  </si>
  <si>
    <t>CURB AND GUTTER, CONCRETE, 17-INCH DEPTH</t>
  </si>
  <si>
    <t>60902-1700</t>
  </si>
  <si>
    <t>Curb and gutter, concrete, 450mm depth</t>
  </si>
  <si>
    <t>CURB AND GUTTER, CONCRETE, 18-INCH DEPTH</t>
  </si>
  <si>
    <t>60902-1800</t>
  </si>
  <si>
    <t>Curb and gutter, concrete, 475mm depth</t>
  </si>
  <si>
    <t>CURB AND GUTTER, CONCRETE, 19-INCH DEPTH</t>
  </si>
  <si>
    <t>60902-1900</t>
  </si>
  <si>
    <t>Curb and gutter, concrete, 500mm depth</t>
  </si>
  <si>
    <t>CURB AND GUTTER, CONCRETE, 20-INCH DEPTH</t>
  </si>
  <si>
    <t>60902-2500</t>
  </si>
  <si>
    <t>Curb and gutter, exposed aggregate, 300mm depth</t>
  </si>
  <si>
    <t>CURB AND GUTTER, EXPOSED AGGREGATE, 12-INCH DEPTH</t>
  </si>
  <si>
    <t>60905-1000</t>
  </si>
  <si>
    <t>Gutter, concrete</t>
  </si>
  <si>
    <t>GUTTER, CONCRETE</t>
  </si>
  <si>
    <t>60905-2000</t>
  </si>
  <si>
    <t>Gutter, brick</t>
  </si>
  <si>
    <t>GUTTER, BRICK</t>
  </si>
  <si>
    <t>60905-3000</t>
  </si>
  <si>
    <t>Gutter, asphalt</t>
  </si>
  <si>
    <t>GUTTER, ASPHALT</t>
  </si>
  <si>
    <t>60906-1000</t>
  </si>
  <si>
    <t>60906-2000</t>
  </si>
  <si>
    <t>60906-3000</t>
  </si>
  <si>
    <t>60910-0000</t>
  </si>
  <si>
    <t>Reset curb</t>
  </si>
  <si>
    <t>RESET CURB</t>
  </si>
  <si>
    <t>60911-0500</t>
  </si>
  <si>
    <t>Recondition curb</t>
  </si>
  <si>
    <t>RECONDITION CURB</t>
  </si>
  <si>
    <t>60911-1000</t>
  </si>
  <si>
    <t>Recondition gutter</t>
  </si>
  <si>
    <t>RECONDITION GUTTER</t>
  </si>
  <si>
    <t>60912-1000</t>
  </si>
  <si>
    <t>60915-1000</t>
  </si>
  <si>
    <t>Wheelstop, concrete</t>
  </si>
  <si>
    <t>WHEELSTOP, CONCRETE</t>
  </si>
  <si>
    <t>60915-2000</t>
  </si>
  <si>
    <t>Wheelstop, timber</t>
  </si>
  <si>
    <t>WHEELSTOP, TIMBER</t>
  </si>
  <si>
    <t>60915-3000</t>
  </si>
  <si>
    <t>Wheelstop, recycled plastic</t>
  </si>
  <si>
    <t>WHEELSTOP, RECYCLED PLASTIC</t>
  </si>
  <si>
    <t>60915-4000</t>
  </si>
  <si>
    <t>Wheelstop, rubber</t>
  </si>
  <si>
    <t>WHEELSTOP, RUBBER</t>
  </si>
  <si>
    <t>60920-0000</t>
  </si>
  <si>
    <t>Reset wheelstop</t>
  </si>
  <si>
    <t>RESET WHEELSTOP</t>
  </si>
  <si>
    <t>60925-0000</t>
  </si>
  <si>
    <t>60926-0000</t>
  </si>
  <si>
    <t>Horizontal drain pipe</t>
  </si>
  <si>
    <t>HORIZONTAL DRAIN PIPE</t>
  </si>
  <si>
    <t>Collector system</t>
  </si>
  <si>
    <t>COLLECTOR SYSTEM</t>
  </si>
  <si>
    <t>Horizontal drain jetting</t>
  </si>
  <si>
    <t>HORIZONTAL DRAIN JETTING</t>
  </si>
  <si>
    <t>Horizontal drain casing and collar</t>
  </si>
  <si>
    <t>HORIZONTAL DRAIN CASING AND COLLAR</t>
  </si>
  <si>
    <t>Drainage weep hole</t>
  </si>
  <si>
    <t>DRAINAGE WEEP HOLE</t>
  </si>
  <si>
    <t>Construct and remove temporary access and drill pads</t>
  </si>
  <si>
    <t>CONSTRUCT AND REMOVE TEMPORARY ACCESS AND DRILL PADS</t>
  </si>
  <si>
    <t>61101-0000</t>
  </si>
  <si>
    <t>Water system</t>
  </si>
  <si>
    <t>WATER SYSTEM</t>
  </si>
  <si>
    <t>61102-0100</t>
  </si>
  <si>
    <t>13mm waterline, copper</t>
  </si>
  <si>
    <t>1/2-INCH WATERLINE, COPPER</t>
  </si>
  <si>
    <t>61102-0150</t>
  </si>
  <si>
    <t>13mm waterline, galvanized steel</t>
  </si>
  <si>
    <t>1/2-INCH WATERLINE, GALVANIZED STEEL</t>
  </si>
  <si>
    <t>61102-0200</t>
  </si>
  <si>
    <t>13mm waterline, polyvinyl chloride (PVC)</t>
  </si>
  <si>
    <t>1/2-INCH WATERLINE, POLYVINYL CHLORIDE (PVC)</t>
  </si>
  <si>
    <t>61102-0350</t>
  </si>
  <si>
    <t>20mm waterline, copper</t>
  </si>
  <si>
    <t>3/4-INCH WATERLINE, COPPER</t>
  </si>
  <si>
    <t>61102-0400</t>
  </si>
  <si>
    <t>20mm waterline, galvanized steel</t>
  </si>
  <si>
    <t>3/4-INCH WATERLINE, GALVANIZED STEEL</t>
  </si>
  <si>
    <t>61102-0450</t>
  </si>
  <si>
    <t>20mm waterline, polyvinyl chloride (PVC)</t>
  </si>
  <si>
    <t>3/4-INCH WATERLINE, POLYVINYL CHLORIDE (PVC)</t>
  </si>
  <si>
    <t>61102-0545</t>
  </si>
  <si>
    <t>25mm waterline</t>
  </si>
  <si>
    <t>1-INCH WATERLINE</t>
  </si>
  <si>
    <t>61102-0600</t>
  </si>
  <si>
    <t>25mm waterline, copper</t>
  </si>
  <si>
    <t>1-INCH WATERLINE, COPPER</t>
  </si>
  <si>
    <t>61102-0650</t>
  </si>
  <si>
    <t>25mm waterline, galvanized steel</t>
  </si>
  <si>
    <t>1-INCH WATERLINE, GALVANIZED STEEL</t>
  </si>
  <si>
    <t>61102-0700</t>
  </si>
  <si>
    <t>25mm waterline, polyvinyl chloride (PVC)</t>
  </si>
  <si>
    <t>1-INCH WATERLINE, POLYVINYL CHLORIDE (PVC)</t>
  </si>
  <si>
    <t>61102-0850</t>
  </si>
  <si>
    <t>32mm waterline, copper</t>
  </si>
  <si>
    <t>1 1/4-INCH WATERLINE, COPPER</t>
  </si>
  <si>
    <t>61102-0900</t>
  </si>
  <si>
    <t>32mm waterline, galvanized steel</t>
  </si>
  <si>
    <t>1 1/4-INCH WATERLINE, GALVANIZED STEEL</t>
  </si>
  <si>
    <t>61102-0950</t>
  </si>
  <si>
    <t>32mm waterline, polyvinyl chloride (PVC)</t>
  </si>
  <si>
    <t>1 1/4-INCH WATERLINE, POLYVINYL CHLORIDE (PVC)</t>
  </si>
  <si>
    <t>61102-1100</t>
  </si>
  <si>
    <t>40mm waterline, copper</t>
  </si>
  <si>
    <t>1 1/2-INCH WATERLINE, COPPER</t>
  </si>
  <si>
    <t>61102-1150</t>
  </si>
  <si>
    <t>40mm waterline, galvanized steel</t>
  </si>
  <si>
    <t>1 1/2-INCH WATERLINE, GALVANIZED STEEL</t>
  </si>
  <si>
    <t>61102-1200</t>
  </si>
  <si>
    <t>40mm waterline, polyvinyl chloride (PVC)</t>
  </si>
  <si>
    <t>1 1/2-INCH WATERLINE, POLYVINYL CHLORIDE (PVC)</t>
  </si>
  <si>
    <t>61102-1545</t>
  </si>
  <si>
    <t>50mm waterline</t>
  </si>
  <si>
    <t>2-INCH WATERLINE</t>
  </si>
  <si>
    <t>61102-1600</t>
  </si>
  <si>
    <t>50mm waterline, copper</t>
  </si>
  <si>
    <t>2-INCH WATERLINE, COPPER</t>
  </si>
  <si>
    <t>61102-1650</t>
  </si>
  <si>
    <t>50mm waterline, galvanized steel</t>
  </si>
  <si>
    <t>2-INCH WATERLINE, GALVANIZED STEEL</t>
  </si>
  <si>
    <t>61102-1700</t>
  </si>
  <si>
    <t>50mm waterline, polyvinyl chloride (PVC)</t>
  </si>
  <si>
    <t>2-INCH WATERLINE, POLYVINYL CHLORIDE (PVC)</t>
  </si>
  <si>
    <t>61102-1750</t>
  </si>
  <si>
    <t>50mm waterline, ductile iron</t>
  </si>
  <si>
    <t>2-INCH WATERLINE, DUCTILE IRON</t>
  </si>
  <si>
    <t>61102-1850</t>
  </si>
  <si>
    <t>65mm waterline, copper</t>
  </si>
  <si>
    <t>2 1/2-INCH WATERLINE, COPPER</t>
  </si>
  <si>
    <t>61102-1900</t>
  </si>
  <si>
    <t>65mm waterline, galvanized steel</t>
  </si>
  <si>
    <t>2 1/2-INCH WATERLINE, GALVANIZED STEEL</t>
  </si>
  <si>
    <t>61102-1950</t>
  </si>
  <si>
    <t>65mm waterline, polyvinyl chloride (PVC)</t>
  </si>
  <si>
    <t>2 1/2-INCH WATERLINE, POLYVINYL CHLORIDE (PVC)</t>
  </si>
  <si>
    <t>61102-2100</t>
  </si>
  <si>
    <t>75mm waterline, copper</t>
  </si>
  <si>
    <t>3-INCH WATERLINE, COPPER</t>
  </si>
  <si>
    <t>61102-2150</t>
  </si>
  <si>
    <t>75mm waterline, galvanized steel</t>
  </si>
  <si>
    <t>3-INCH WATERLINE, GALVANIZED STEEL</t>
  </si>
  <si>
    <t>61102-2200</t>
  </si>
  <si>
    <t>75mm waterline, polyvinyl chloride (PVC)</t>
  </si>
  <si>
    <t>3-INCH WATERLINE, POLYVINYL CHLORIDE (PVC)</t>
  </si>
  <si>
    <t>61102-2250</t>
  </si>
  <si>
    <t>75mm waterline, ductile iron</t>
  </si>
  <si>
    <t>3-INCH WATERLINE, DUCTILE IRON</t>
  </si>
  <si>
    <t>61102-2545</t>
  </si>
  <si>
    <t>100mm waterline</t>
  </si>
  <si>
    <t>4-INCH WATERLINE</t>
  </si>
  <si>
    <t>61102-2600</t>
  </si>
  <si>
    <t>100mm waterline, copper</t>
  </si>
  <si>
    <t>4-INCH WATERLINE, COPPER</t>
  </si>
  <si>
    <t>61102-2650</t>
  </si>
  <si>
    <t>100mm waterline, galvanized steel</t>
  </si>
  <si>
    <t>4-INCH WATERLINE, GALVANIZED STEEL</t>
  </si>
  <si>
    <t>61102-2700</t>
  </si>
  <si>
    <t>100mm waterline, polyvinyl chloride (PVC)</t>
  </si>
  <si>
    <t>4-INCH WATERLINE, POLYVINYL CHLORIDE (PVC)</t>
  </si>
  <si>
    <t>61102-2750</t>
  </si>
  <si>
    <t>100mm waterline, ductile iron</t>
  </si>
  <si>
    <t>4-INCH WATERLINE, DUCTILE IRON</t>
  </si>
  <si>
    <t>61102-2850</t>
  </si>
  <si>
    <t>150mm waterline, copper</t>
  </si>
  <si>
    <t>6-INCH WATERLINE, COPPER</t>
  </si>
  <si>
    <t>61102-2900</t>
  </si>
  <si>
    <t>150mm waterline, galvanized steel</t>
  </si>
  <si>
    <t>6-INCH WATERLINE, GALVANIZED STEEL</t>
  </si>
  <si>
    <t>61102-2950</t>
  </si>
  <si>
    <t>150mm waterline, polyvinyl chloride (PVC)</t>
  </si>
  <si>
    <t>6-INCH WATERLINE, POLYVINYL CHLORIDE (PVC)</t>
  </si>
  <si>
    <t>61102-3000</t>
  </si>
  <si>
    <t>150mm waterline, ductile iron</t>
  </si>
  <si>
    <t>6-INCH WATERLINE, DUCTILE IRON</t>
  </si>
  <si>
    <t>61102-3100</t>
  </si>
  <si>
    <t>200mm waterline, copper</t>
  </si>
  <si>
    <t>8-INCH WATERLINE, COPPER</t>
  </si>
  <si>
    <t>61102-3150</t>
  </si>
  <si>
    <t>200mm waterline, galvanized steel</t>
  </si>
  <si>
    <t>8-INCH WATERLINE, GALVANIZED STEEL</t>
  </si>
  <si>
    <t>61102-3200</t>
  </si>
  <si>
    <t>200mm waterline, polyvinyl chloride (PVC)</t>
  </si>
  <si>
    <t>8-INCH WATERLINE, POLYVINYL CHLORIDE (PVC)</t>
  </si>
  <si>
    <t>61102-3250</t>
  </si>
  <si>
    <t>200mm waterline, ductile iron</t>
  </si>
  <si>
    <t>8-INCH WATERLINE, DUCTILE IRON</t>
  </si>
  <si>
    <t>61102-3350</t>
  </si>
  <si>
    <t>250mm waterline, copper</t>
  </si>
  <si>
    <t>10-INCH WATERLINE, COPPER</t>
  </si>
  <si>
    <t>61102-3400</t>
  </si>
  <si>
    <t>250mm waterline, galvanized steel</t>
  </si>
  <si>
    <t>10-INCH WATERLINE, GALVANIZED STEEL</t>
  </si>
  <si>
    <t>61102-3450</t>
  </si>
  <si>
    <t>250mm waterline, polyvinyl chloride (PVC)</t>
  </si>
  <si>
    <t>10-INCH WATERLINE, POLYVINYL CHLORIDE (PVC)</t>
  </si>
  <si>
    <t>61102-3500</t>
  </si>
  <si>
    <t>250mm waterline, ductile iron</t>
  </si>
  <si>
    <t>10-INCH WATERLINE, DUCTILE IRON</t>
  </si>
  <si>
    <t>61102-3600</t>
  </si>
  <si>
    <t>300mm waterline, copper</t>
  </si>
  <si>
    <t>12-INCH WATERLINE, COPPER</t>
  </si>
  <si>
    <t>61102-3650</t>
  </si>
  <si>
    <t>300mm waterline, galvanized steel</t>
  </si>
  <si>
    <t>12-INCH WATERLINE, GALVANIZED STEEL</t>
  </si>
  <si>
    <t>61102-3700</t>
  </si>
  <si>
    <t>300mm waterline, polyvinyl chloride (PVC)</t>
  </si>
  <si>
    <t>12-INCH WATERLINE, POLYVINYL CHLORIDE (PVC)</t>
  </si>
  <si>
    <t>61102-3750</t>
  </si>
  <si>
    <t>300mm waterline, ductile iron</t>
  </si>
  <si>
    <t>12-INCH WATERLINE, DUCTILE IRON</t>
  </si>
  <si>
    <t>61102-3850</t>
  </si>
  <si>
    <t>350mm waterline, copper</t>
  </si>
  <si>
    <t>14-INCH WATERLINE, COPPER</t>
  </si>
  <si>
    <t>61102-3900</t>
  </si>
  <si>
    <t>350mm waterline, galvanized steel</t>
  </si>
  <si>
    <t>14-INCH WATERLINE, GALVANIZED STEEL</t>
  </si>
  <si>
    <t>61102-3950</t>
  </si>
  <si>
    <t>350mm waterline, polyvinyl chloride (PVC)</t>
  </si>
  <si>
    <t>14-INCH WATERLINE, POLYVINYL CHLORIDE (PVC)</t>
  </si>
  <si>
    <t>61102-4000</t>
  </si>
  <si>
    <t>350mm waterline, ductile iron</t>
  </si>
  <si>
    <t>14-INCH WATERLINE, DUCTILE IRON</t>
  </si>
  <si>
    <t>61102-4100</t>
  </si>
  <si>
    <t>400mm waterline, copper</t>
  </si>
  <si>
    <t>16-INCH WATERLINE, COPPER</t>
  </si>
  <si>
    <t>61102-4150</t>
  </si>
  <si>
    <t>400mm waterline, galvanized steel</t>
  </si>
  <si>
    <t>16-INCH WATERLINE, GALVANIZED STEEL</t>
  </si>
  <si>
    <t>61102-4200</t>
  </si>
  <si>
    <t>400mm waterline, polyvinyl chloride (PVC)</t>
  </si>
  <si>
    <t>16-INCH WATERLINE, POLYVINYL CHLORIDE (PVC)</t>
  </si>
  <si>
    <t>61102-4250</t>
  </si>
  <si>
    <t>400mm waterline, ductile iron</t>
  </si>
  <si>
    <t>16-INCH WATERLINE, DUCTILE IRON</t>
  </si>
  <si>
    <t>61102-4350</t>
  </si>
  <si>
    <t>500mm waterline, copper</t>
  </si>
  <si>
    <t>20-INCH WATERLINE, COPPER</t>
  </si>
  <si>
    <t>61102-4400</t>
  </si>
  <si>
    <t>500mm waterline, galvanized steel</t>
  </si>
  <si>
    <t>20-INCH WATERLINE, GALVANIZED STEEL</t>
  </si>
  <si>
    <t>61102-4450</t>
  </si>
  <si>
    <t>500mm waterline, polyvinyl chloride (PVC)</t>
  </si>
  <si>
    <t>20-INCH WATERLINE, POLYVINYL CHLORIDE (PVC)</t>
  </si>
  <si>
    <t>61102-4500</t>
  </si>
  <si>
    <t>500mm waterline, ductile iron</t>
  </si>
  <si>
    <t>20-INCH WATERLINE, DUCTILE IRON</t>
  </si>
  <si>
    <t>61102-4600</t>
  </si>
  <si>
    <t>600mm waterline, copper</t>
  </si>
  <si>
    <t>24-INCH WATERLINE, COPPER</t>
  </si>
  <si>
    <t>61102-4650</t>
  </si>
  <si>
    <t>600mm waterline, galvanized steel</t>
  </si>
  <si>
    <t>24-INCH WATERLINE, GALVANIZED STEEL</t>
  </si>
  <si>
    <t>61102-4700</t>
  </si>
  <si>
    <t>600mm waterline, polyvinyl chloride (PVC)</t>
  </si>
  <si>
    <t>24-INCH WATERLINE, POLYVINYL CHLORIDE (PVC)</t>
  </si>
  <si>
    <t>61102-4750</t>
  </si>
  <si>
    <t>600mm waterline, ductile iron</t>
  </si>
  <si>
    <t>24-INCH WATERLINE, DUCTILE IRON</t>
  </si>
  <si>
    <t>61102-4850</t>
  </si>
  <si>
    <t>750mm waterline, copper</t>
  </si>
  <si>
    <t>30-INCH WATERLINE, COPPER</t>
  </si>
  <si>
    <t>61102-4900</t>
  </si>
  <si>
    <t>750mm waterline, galvanized steel</t>
  </si>
  <si>
    <t>30-INCH WATERLINE, GALVANIZED STEEL</t>
  </si>
  <si>
    <t>61102-4950</t>
  </si>
  <si>
    <t>750mm waterline, polyvinyl chloride (PVC)</t>
  </si>
  <si>
    <t>30-INCH WATERLINE, POLYVINYL CHLORIDE (PVC)</t>
  </si>
  <si>
    <t>61102-5000</t>
  </si>
  <si>
    <t>750mm waterline, ductile iron</t>
  </si>
  <si>
    <t>30-INCH WATERLINE, DUCTILE IRON</t>
  </si>
  <si>
    <t>61102-5100</t>
  </si>
  <si>
    <t>900mm waterline, copper</t>
  </si>
  <si>
    <t>36-INCH WATERLINE, COPPER</t>
  </si>
  <si>
    <t>61102-5150</t>
  </si>
  <si>
    <t>900mm waterline, galvanized steel</t>
  </si>
  <si>
    <t>36-INCH WATERLINE, GALVANIZED STEEL</t>
  </si>
  <si>
    <t>61102-5200</t>
  </si>
  <si>
    <t>900mm waterline, polyvinyl chloride (PVC)</t>
  </si>
  <si>
    <t>36-INCH WATERLINE, POLYVINYL CHLORIDE (PVC)</t>
  </si>
  <si>
    <t>61102-5250</t>
  </si>
  <si>
    <t>900mm waterline, ductile iron</t>
  </si>
  <si>
    <t>36-INCH WATERLINE, DUCTILE IRON</t>
  </si>
  <si>
    <t>61102-5350</t>
  </si>
  <si>
    <t>1050mm waterline, copper</t>
  </si>
  <si>
    <t>42-INCH WATERLINE, COPPER</t>
  </si>
  <si>
    <t>61102-5400</t>
  </si>
  <si>
    <t>1050mm waterline, galvanized steel</t>
  </si>
  <si>
    <t>42-INCH WATERLINE, GALVANIZED STEEL</t>
  </si>
  <si>
    <t>61102-5450</t>
  </si>
  <si>
    <t>1050mm waterline, polyvinyl chloride (PVC)</t>
  </si>
  <si>
    <t>42-INCH WATERLINE, POLYVINYL CHLORIDE (PVC)</t>
  </si>
  <si>
    <t>61102-5500</t>
  </si>
  <si>
    <t>1050mm waterline, ductile iron</t>
  </si>
  <si>
    <t>42-INCH WATERLINE, DUCTILE IRON</t>
  </si>
  <si>
    <t>61103-0100</t>
  </si>
  <si>
    <t>100mm encasement pipe, galvanized steel</t>
  </si>
  <si>
    <t>4-INCH ENCASEMENT PIPE, GALVANIZED STEEL</t>
  </si>
  <si>
    <t>61103-0200</t>
  </si>
  <si>
    <t>100mm encasement pipe, polyvinyl chloride (PVC)</t>
  </si>
  <si>
    <t>4-INCH ENCASEMENT PIPE, POLYVINYL CHLORIDE (PVC)</t>
  </si>
  <si>
    <t>61103-0300</t>
  </si>
  <si>
    <t>125mm encasement pipe, galvanized steel</t>
  </si>
  <si>
    <t>5-INCH ENCASEMENT PIPE, GALVANIZED STEEL</t>
  </si>
  <si>
    <t>61103-0400</t>
  </si>
  <si>
    <t>125mm encasement pipe, polyvinyl chloride (PVC)</t>
  </si>
  <si>
    <t>5-INCH ENCASEMENT PIPE, POLYVINYL CHLORIDE (PVC)</t>
  </si>
  <si>
    <t>61103-0500</t>
  </si>
  <si>
    <t>150mm encasement pipe, galvanized steel</t>
  </si>
  <si>
    <t>6-INCH ENCASEMENT PIPE, GALVANIZED STEEL</t>
  </si>
  <si>
    <t>61103-0600</t>
  </si>
  <si>
    <t>150mm encasement pipe, polyvinyl chloride (PVC)</t>
  </si>
  <si>
    <t>6-INCH ENCASEMENT PIPE, POLYVINYL CHLORIDE (PVC)</t>
  </si>
  <si>
    <t>61103-0700</t>
  </si>
  <si>
    <t>200mm encasement pipe, galvanized steel</t>
  </si>
  <si>
    <t>8-INCH ENCASEMENT PIPE, GALVANIZED STEEL</t>
  </si>
  <si>
    <t>61103-0800</t>
  </si>
  <si>
    <t>200mm encasement pipe, polyvinyl chloride (PVC)</t>
  </si>
  <si>
    <t>8-INCH ENCASEMENT PIPE, POLYVINYL CHLORIDE (PVC)</t>
  </si>
  <si>
    <t>61103-0900</t>
  </si>
  <si>
    <t>250mm encasement pipe, galvanized steel</t>
  </si>
  <si>
    <t>10-INCH ENCASEMENT PIPE, GALVANIZED STEEL</t>
  </si>
  <si>
    <t>61103-1000</t>
  </si>
  <si>
    <t>250mm encasement pipe, polyvinyl chloride (PVC)</t>
  </si>
  <si>
    <t>10-INCH ENCASEMENT PIPE, POLYVINYL CHLORIDE (PVC)</t>
  </si>
  <si>
    <t>61103-1100</t>
  </si>
  <si>
    <t>300mm encasement pipe, galvanized steel</t>
  </si>
  <si>
    <t>12-INCH ENCASEMENT PIPE, GALVANIZED STEEL</t>
  </si>
  <si>
    <t>61103-1200</t>
  </si>
  <si>
    <t>300mm encasement pipe, polyvinyl chloride (PVC)</t>
  </si>
  <si>
    <t>12-INCH ENCASEMENT PIPE, POLYVINYL CHLORIDE (PVC)</t>
  </si>
  <si>
    <t>61103-1300</t>
  </si>
  <si>
    <t>350mm encasement pipe, galvanized steel</t>
  </si>
  <si>
    <t>14-INCH ENCASEMENT PIPE, GALVANIZED STEEL</t>
  </si>
  <si>
    <t>61103-1400</t>
  </si>
  <si>
    <t>350mm encasement pipe, polyvinyl chloride (PVC)</t>
  </si>
  <si>
    <t>14-INCH ENCASEMENT PIPE, POLYVINYL CHLORIDE (PVC)</t>
  </si>
  <si>
    <t>61103-1450</t>
  </si>
  <si>
    <t>400mm encasement pipe, galvanized steel</t>
  </si>
  <si>
    <t>16-INCH ENCASEMENT PIPE, GALVANIZED STEEL</t>
  </si>
  <si>
    <t>61103-1455</t>
  </si>
  <si>
    <t>400mm encasement pipe, steel</t>
  </si>
  <si>
    <t>16-INCH ENCASEMENT PIPE, STEEL</t>
  </si>
  <si>
    <t>61103-1480</t>
  </si>
  <si>
    <t>500mm encasement pipe, steel</t>
  </si>
  <si>
    <t>20-INCH ENCASEMENT PIPE, STEEL</t>
  </si>
  <si>
    <t>61103-1500</t>
  </si>
  <si>
    <t>600mm encasement pipe, galvanized steel</t>
  </si>
  <si>
    <t>24-INCH ENCASEMENT PIPE, GALVANIZED STEEL</t>
  </si>
  <si>
    <t>61103-1600</t>
  </si>
  <si>
    <t>600mm encasement pipe, polyvinyl chloride (PVC)</t>
  </si>
  <si>
    <t>24-INCH ENCASEMENT PIPE, POLYVINYL CHLORIDE (PVC)</t>
  </si>
  <si>
    <t>61103-2200</t>
  </si>
  <si>
    <t>1050mm encasement pipe, galvanized steel</t>
  </si>
  <si>
    <t>42-INCH ENCASEMENT PIPE, GALVANIZED STEEL</t>
  </si>
  <si>
    <t>61104-0100</t>
  </si>
  <si>
    <t>Valve, butterfly</t>
  </si>
  <si>
    <t>VALVE, BUTTERFLY</t>
  </si>
  <si>
    <t>61104-0200</t>
  </si>
  <si>
    <t>Valve, air release</t>
  </si>
  <si>
    <t>VALVE, AIR RELEASE</t>
  </si>
  <si>
    <t>61104-0300</t>
  </si>
  <si>
    <t>Valve, blow-off</t>
  </si>
  <si>
    <t>VALVE, BLOW-OFF</t>
  </si>
  <si>
    <t>61104-0400</t>
  </si>
  <si>
    <t>Valve, gate</t>
  </si>
  <si>
    <t>VALVE, GATE</t>
  </si>
  <si>
    <t>61104-0500</t>
  </si>
  <si>
    <t>Valve, gate, 40mm</t>
  </si>
  <si>
    <t>VALVE, GATE, 1 1/2-INCH</t>
  </si>
  <si>
    <t>61104-0600</t>
  </si>
  <si>
    <t>Valve, gate, 50mm</t>
  </si>
  <si>
    <t>VALVE, GATE, 2-INCH</t>
  </si>
  <si>
    <t>61104-0700</t>
  </si>
  <si>
    <t>Valve, gate, 100mm</t>
  </si>
  <si>
    <t>VALVE, GATE, 4-INCH</t>
  </si>
  <si>
    <t>61104-0800</t>
  </si>
  <si>
    <t>Valve, gate, 150mm</t>
  </si>
  <si>
    <t>VALVE, GATE, 6-INCH</t>
  </si>
  <si>
    <t>61104-0900</t>
  </si>
  <si>
    <t>Valve, gate, 200mm</t>
  </si>
  <si>
    <t>VALVE, GATE, 8-INCH</t>
  </si>
  <si>
    <t>61104-0950</t>
  </si>
  <si>
    <t>Valve, gate, 250mm</t>
  </si>
  <si>
    <t>VALVE, GATE, 10-INCH</t>
  </si>
  <si>
    <t>61104-1000</t>
  </si>
  <si>
    <t>Valve, gate, 300mm</t>
  </si>
  <si>
    <t>VALVE, GATE, 12-INCH</t>
  </si>
  <si>
    <t>61104-1100</t>
  </si>
  <si>
    <t>Valve, gate, 600mm</t>
  </si>
  <si>
    <t>VALVE, GATE, 24-INCH</t>
  </si>
  <si>
    <t>61104-1200</t>
  </si>
  <si>
    <t>Valve, backflow prevention</t>
  </si>
  <si>
    <t>VALVE, BACKFLOW PREVENTION</t>
  </si>
  <si>
    <t>61104-1300</t>
  </si>
  <si>
    <t>Valve, plug</t>
  </si>
  <si>
    <t>VALVE, PLUG</t>
  </si>
  <si>
    <t>61104-1400</t>
  </si>
  <si>
    <t>Valve, check</t>
  </si>
  <si>
    <t>VALVE, CHECK</t>
  </si>
  <si>
    <t>61105-0000</t>
  </si>
  <si>
    <t>Valve box</t>
  </si>
  <si>
    <t>VALVE BOX</t>
  </si>
  <si>
    <t>61106-0000</t>
  </si>
  <si>
    <t>Fire hydrant</t>
  </si>
  <si>
    <t>FIRE HYDRANT</t>
  </si>
  <si>
    <t>61106-1000</t>
  </si>
  <si>
    <t>Fire hydrant, dry</t>
  </si>
  <si>
    <t>FIRE HYDRANT, DRY</t>
  </si>
  <si>
    <t>61107-0000</t>
  </si>
  <si>
    <t>Water meter</t>
  </si>
  <si>
    <t>WATER METER</t>
  </si>
  <si>
    <t>61108-1000</t>
  </si>
  <si>
    <t>Adjust water valve</t>
  </si>
  <si>
    <t>ADJUST WATER VALVE</t>
  </si>
  <si>
    <t>61108-2000</t>
  </si>
  <si>
    <t>Adjust fire hydrant</t>
  </si>
  <si>
    <t>ADJUST FIRE HYDRANT</t>
  </si>
  <si>
    <t>61108-3000</t>
  </si>
  <si>
    <t>Adjust water meter</t>
  </si>
  <si>
    <t>ADJUST WATER METER</t>
  </si>
  <si>
    <t>61108-4000</t>
  </si>
  <si>
    <t>Adjust valve box</t>
  </si>
  <si>
    <t>ADJUST VALVE BOX</t>
  </si>
  <si>
    <t>61109-1000</t>
  </si>
  <si>
    <t>Relocate manhole</t>
  </si>
  <si>
    <t>RELOCATE MANHOLE</t>
  </si>
  <si>
    <t>61109-2000</t>
  </si>
  <si>
    <t>Relocate water valve</t>
  </si>
  <si>
    <t>RELOCATE WATER VALVE</t>
  </si>
  <si>
    <t>61109-3000</t>
  </si>
  <si>
    <t>Relocate water fountain</t>
  </si>
  <si>
    <t>RELOCATE WATER FOUNTAIN</t>
  </si>
  <si>
    <t>61109-4000</t>
  </si>
  <si>
    <t>Relocate fire hydrant</t>
  </si>
  <si>
    <t>RELOCATE FIRE HYDRANT</t>
  </si>
  <si>
    <t>61109-5000</t>
  </si>
  <si>
    <t>Relocate water meter</t>
  </si>
  <si>
    <t>RELOCATE WATER METER</t>
  </si>
  <si>
    <t>61110-0000</t>
  </si>
  <si>
    <t>Cathodic protection system</t>
  </si>
  <si>
    <t>CATHODIC PROTECTION SYSTEM</t>
  </si>
  <si>
    <t>61110-1000</t>
  </si>
  <si>
    <t>Irrigation system</t>
  </si>
  <si>
    <t>IRRIGATION SYSTEM</t>
  </si>
  <si>
    <t>61110-2000</t>
  </si>
  <si>
    <t>Siphon system</t>
  </si>
  <si>
    <t>SIPHON SYSTEM</t>
  </si>
  <si>
    <t>61112-0000</t>
  </si>
  <si>
    <t>Water fountain</t>
  </si>
  <si>
    <t>WATER FOUNTAIN</t>
  </si>
  <si>
    <t>61113-0100</t>
  </si>
  <si>
    <t>Water system, utility company compensation</t>
  </si>
  <si>
    <t>WATER SYSTEM, UTILITY COMPANY COMPENSATION</t>
  </si>
  <si>
    <t>61114-0000</t>
  </si>
  <si>
    <t>Water system accessory</t>
  </si>
  <si>
    <t>WATER SYSTEM ACCESSORY</t>
  </si>
  <si>
    <t>61114-0500</t>
  </si>
  <si>
    <t>Water system accessory, branch</t>
  </si>
  <si>
    <t>WATER SYSTEM ACCESSORY, BRANCH</t>
  </si>
  <si>
    <t>61114-1000</t>
  </si>
  <si>
    <t>Water system accessory, bend</t>
  </si>
  <si>
    <t>WATER SYSTEM ACCESSORY, BEND</t>
  </si>
  <si>
    <t>61114-1500</t>
  </si>
  <si>
    <t>Water system accessory, tie-in</t>
  </si>
  <si>
    <t>WATER SYSTEM ACCESSORY, TIE-IN</t>
  </si>
  <si>
    <t>61114-4000</t>
  </si>
  <si>
    <t>Water system accessory, blow-off assembly</t>
  </si>
  <si>
    <t>WATER SYSTEM ACCESSORY, BLOW-OFF ASSEMBLY</t>
  </si>
  <si>
    <t>61114-5000</t>
  </si>
  <si>
    <t>61114-6000</t>
  </si>
  <si>
    <t>Water system accessory, concrete thrust collar</t>
  </si>
  <si>
    <t>WATER SYSTEM ACCESSORY, CONCRETE THRUST COLLAR</t>
  </si>
  <si>
    <t>61114-7000</t>
  </si>
  <si>
    <t>Water system accessory, coupling</t>
  </si>
  <si>
    <t>WATER SYSTEM ACCESSORY, COUPLING</t>
  </si>
  <si>
    <t>61114-8000</t>
  </si>
  <si>
    <t>Water system accessory, reducer</t>
  </si>
  <si>
    <t>WATER SYSTEM ACCESSORY, REDUCER</t>
  </si>
  <si>
    <t>61201-0000</t>
  </si>
  <si>
    <t>Sewer system</t>
  </si>
  <si>
    <t>SEWER SYSTEM</t>
  </si>
  <si>
    <t>61202-0100</t>
  </si>
  <si>
    <t>100mm sewer line, plastic</t>
  </si>
  <si>
    <t>4-INCH SEWER LINE, PLASTIC</t>
  </si>
  <si>
    <t>61202-0200</t>
  </si>
  <si>
    <t>100mm sewer line, ductile iron</t>
  </si>
  <si>
    <t>4-INCH SEWER LINE, DUCTILE IRON</t>
  </si>
  <si>
    <t>61202-0300</t>
  </si>
  <si>
    <t>100mm sewer line, cast iron</t>
  </si>
  <si>
    <t>4-INCH SEWER LINE, CAST IRON</t>
  </si>
  <si>
    <t>61202-0400</t>
  </si>
  <si>
    <t>150mm sewer line, plastic</t>
  </si>
  <si>
    <t>6-INCH SEWER LINE, PLASTIC</t>
  </si>
  <si>
    <t>61202-0500</t>
  </si>
  <si>
    <t>150mm sewer line, ductile iron</t>
  </si>
  <si>
    <t>6-INCH SEWER LINE, DUCTILE IRON</t>
  </si>
  <si>
    <t>61202-0600</t>
  </si>
  <si>
    <t>150mm sewer line, cast iron</t>
  </si>
  <si>
    <t>6-INCH SEWER LINE, CAST IRON</t>
  </si>
  <si>
    <t>61202-0700</t>
  </si>
  <si>
    <t>200mm sewer line, plastic</t>
  </si>
  <si>
    <t>8-INCH SEWER LINE, PLASTIC</t>
  </si>
  <si>
    <t>61202-0800</t>
  </si>
  <si>
    <t>200mm sewer line, ductile iron</t>
  </si>
  <si>
    <t>8-INCH SEWER LINE, DUCTILE IRON</t>
  </si>
  <si>
    <t>61202-0900</t>
  </si>
  <si>
    <t>200mm sewer line, cast iron</t>
  </si>
  <si>
    <t>8-INCH SEWER LINE, CAST IRON</t>
  </si>
  <si>
    <t>61202-1200</t>
  </si>
  <si>
    <t>300mm sewer line, ductile iron</t>
  </si>
  <si>
    <t>12-INCH SEWER LINE, DUCTILE IRON</t>
  </si>
  <si>
    <t>61202-4000</t>
  </si>
  <si>
    <t>525mm sewer line, plastic</t>
  </si>
  <si>
    <t>21-INCH SEWER LINE, PLASTIC</t>
  </si>
  <si>
    <t>61205-1000</t>
  </si>
  <si>
    <t>300mm sewer encasement pipe, galvanized steel</t>
  </si>
  <si>
    <t>12-INCH SEWER ENCASEMENT PIPE, GALVANIZED STEEL</t>
  </si>
  <si>
    <t>61206-0000</t>
  </si>
  <si>
    <t>Relocate sanitary service</t>
  </si>
  <si>
    <t>RELOCATE SANITARY SERVICE</t>
  </si>
  <si>
    <t>61207-0000</t>
  </si>
  <si>
    <t>61208-0000</t>
  </si>
  <si>
    <t>Vent scrubber</t>
  </si>
  <si>
    <t>VENT SCRUBBER</t>
  </si>
  <si>
    <t>61210-0000</t>
  </si>
  <si>
    <t>Sanitary sewer system, utility company compensation</t>
  </si>
  <si>
    <t>SANITARY SEWER SYSTEM, UTILITY COMPANY COMPENSATION</t>
  </si>
  <si>
    <t>61301-0000</t>
  </si>
  <si>
    <t>Simulated stone masonry surface treatment</t>
  </si>
  <si>
    <t>SIMULATED STONE MASONRY SURFACE TREATMENT</t>
  </si>
  <si>
    <t>61302-0000</t>
  </si>
  <si>
    <t>Simulated stone masonry test wall</t>
  </si>
  <si>
    <t>SIMULATED STONE MASONRY TEST WALL</t>
  </si>
  <si>
    <t>61303-0000</t>
  </si>
  <si>
    <t>Simulated stone masonry surface staining</t>
  </si>
  <si>
    <t>SIMULATED STONE MASONRY SURFACE STAINING</t>
  </si>
  <si>
    <t>61401-0000</t>
  </si>
  <si>
    <t>Sidewalk, concrete</t>
  </si>
  <si>
    <t>SIDEWALK, CONCRETE</t>
  </si>
  <si>
    <t>Sidewalk, colored concrete</t>
  </si>
  <si>
    <t>SIDEWALK, COLORED CONCRETE</t>
  </si>
  <si>
    <t>Sidewalk, fiber reinforced colored concrete</t>
  </si>
  <si>
    <t>SIDEWALK, FIBER REINFORCED COLORED CONCRETE</t>
  </si>
  <si>
    <t>Sidewalk, precast concrete pavers</t>
  </si>
  <si>
    <t>SIDEWALK, PRECAST CONCRETE PAVERS</t>
  </si>
  <si>
    <t>Sidewalk, exposed aggregate concrete</t>
  </si>
  <si>
    <t>SIDEWALK, EXPOSED AGGREGATE CONCRETE</t>
  </si>
  <si>
    <t>Sidewalk, exposed aggregate colored concrete</t>
  </si>
  <si>
    <t>SIDEWALK, EXPOSED AGGREGATE COLORED CONCRETE</t>
  </si>
  <si>
    <t>Sidewalk, decomposed granite</t>
  </si>
  <si>
    <t>SIDEWALK, DECOMPOSED GRANITE</t>
  </si>
  <si>
    <t>Sidewalk, aggregate</t>
  </si>
  <si>
    <t>SIDEWALK, AGGREGATE</t>
  </si>
  <si>
    <t>Sidewalk, stone</t>
  </si>
  <si>
    <t>SIDEWALK, STONE</t>
  </si>
  <si>
    <t>Sidewalk, brick</t>
  </si>
  <si>
    <t>SIDEWALK, BRICK</t>
  </si>
  <si>
    <t>Sidewalk, asphalt</t>
  </si>
  <si>
    <t>SIDEWALK, ASPHALT</t>
  </si>
  <si>
    <t>Sidewalk, porous asphalt</t>
  </si>
  <si>
    <t>SIDEWALK, POROUS ASPHALT</t>
  </si>
  <si>
    <t>Median, concrete</t>
  </si>
  <si>
    <t>MEDIAN, CONCRETE</t>
  </si>
  <si>
    <t>Median, exposed aggregate concrete</t>
  </si>
  <si>
    <t>MEDIAN, EXPOSED AGGREGATE CONCRETE</t>
  </si>
  <si>
    <t>Median, asphalt</t>
  </si>
  <si>
    <t>MEDIAN, ASPHALT</t>
  </si>
  <si>
    <t>Median, grass paving</t>
  </si>
  <si>
    <t>MEDIAN, GRASS PAVING</t>
  </si>
  <si>
    <t>Median, stone</t>
  </si>
  <si>
    <t>MEDIAN, STONE</t>
  </si>
  <si>
    <t>Median, brick</t>
  </si>
  <si>
    <t>MEDIAN, BRICK</t>
  </si>
  <si>
    <t>Accessibility ramp, concrete</t>
  </si>
  <si>
    <t>ACCESSIBILITY RAMP, CONCRETE</t>
  </si>
  <si>
    <t>Accessibility ramp, exposed aggregate concrete</t>
  </si>
  <si>
    <t>ACCESSIBILITY RAMP, EXPOSED AGGREGATE CONCRETE</t>
  </si>
  <si>
    <t>Accessibility ramp, asphalt</t>
  </si>
  <si>
    <t>ACCESSIBILITY RAMP, ASPHALT</t>
  </si>
  <si>
    <t>Accessibility ramp, stone</t>
  </si>
  <si>
    <t>ACCESSIBILITY RAMP, STONE</t>
  </si>
  <si>
    <t>Accessibility ramp, brick</t>
  </si>
  <si>
    <t>ACCESSIBILITY RAMP, BRICK</t>
  </si>
  <si>
    <t>Accessibility ramp, timber</t>
  </si>
  <si>
    <t>ACCESSIBILITY RAMP, TIMBER</t>
  </si>
  <si>
    <t>Paving, Brick</t>
  </si>
  <si>
    <t>PAVING, BRICK</t>
  </si>
  <si>
    <t>Paving, cobblestone</t>
  </si>
  <si>
    <t>PAVING, COBBLESTONE</t>
  </si>
  <si>
    <t>Feature strip, granite</t>
  </si>
  <si>
    <t>FEATURE STRIP, GRANITE</t>
  </si>
  <si>
    <t>Feature strip, stone masonry</t>
  </si>
  <si>
    <t>FEATURE STRIP, STONE MASONRY</t>
  </si>
  <si>
    <t>Reset cobblestone pavers</t>
  </si>
  <si>
    <t>RESET COBBLESTONE PAVERS</t>
  </si>
  <si>
    <t>Reset brick sidewalk</t>
  </si>
  <si>
    <t>RESET BRICK SIDEWALK</t>
  </si>
  <si>
    <t>Detectable warning panels</t>
  </si>
  <si>
    <t>DETECTABLE WARNING PANELS</t>
  </si>
  <si>
    <t>61601-1000</t>
  </si>
  <si>
    <t>Slope paving, concrete</t>
  </si>
  <si>
    <t>SLOPE PAVING, CONCRETE</t>
  </si>
  <si>
    <t>61601-3000</t>
  </si>
  <si>
    <t>Slope paving, stone</t>
  </si>
  <si>
    <t>SLOPE PAVING, STONE</t>
  </si>
  <si>
    <t>61601-4000</t>
  </si>
  <si>
    <t>Slope paving, brick</t>
  </si>
  <si>
    <t>SLOPE PAVING, BRICK</t>
  </si>
  <si>
    <t>61601-5000</t>
  </si>
  <si>
    <t>Slope paving, masonry block</t>
  </si>
  <si>
    <t>SLOPE PAVING, MASONRY BLOCK</t>
  </si>
  <si>
    <t>61601-6000</t>
  </si>
  <si>
    <t>Slope paving, rubble</t>
  </si>
  <si>
    <t>SLOPE PAVING, RUBBLE</t>
  </si>
  <si>
    <t>61701-0050</t>
  </si>
  <si>
    <t>Guardrail system G1, type 1, class A, steel posts</t>
  </si>
  <si>
    <t>GUARDRAIL SYSTEM G1, TYPE 1, CLASS A, STEEL POSTS</t>
  </si>
  <si>
    <t>61701-0150</t>
  </si>
  <si>
    <t>61701-0250</t>
  </si>
  <si>
    <t>61701-0400</t>
  </si>
  <si>
    <t>61701-0550</t>
  </si>
  <si>
    <t>61701-0700</t>
  </si>
  <si>
    <t>61701-1000</t>
  </si>
  <si>
    <t>61701-1150</t>
  </si>
  <si>
    <t>Guardrail system G3</t>
  </si>
  <si>
    <t>GUARDRAIL SYSTEM G3</t>
  </si>
  <si>
    <t>61701-1200</t>
  </si>
  <si>
    <t>61701-1250</t>
  </si>
  <si>
    <t>61701-1300</t>
  </si>
  <si>
    <t>61701-1350</t>
  </si>
  <si>
    <t>61701-1400</t>
  </si>
  <si>
    <t>61701-1450</t>
  </si>
  <si>
    <t>61701-1500</t>
  </si>
  <si>
    <t>61701-1550</t>
  </si>
  <si>
    <t>61701-1600</t>
  </si>
  <si>
    <t>61701-1650</t>
  </si>
  <si>
    <t>61701-1700</t>
  </si>
  <si>
    <t>61701-1750</t>
  </si>
  <si>
    <t>61701-1950</t>
  </si>
  <si>
    <t>61701-2000</t>
  </si>
  <si>
    <t>61701-2050</t>
  </si>
  <si>
    <t>61701-2100</t>
  </si>
  <si>
    <t>61701-2150</t>
  </si>
  <si>
    <t>61701-2200</t>
  </si>
  <si>
    <t>61701-2250</t>
  </si>
  <si>
    <t>61701-2300</t>
  </si>
  <si>
    <t>61701-2350</t>
  </si>
  <si>
    <t>61701-2400</t>
  </si>
  <si>
    <t>61701-2450</t>
  </si>
  <si>
    <t>61701-2500</t>
  </si>
  <si>
    <t>61701-2550</t>
  </si>
  <si>
    <t>61701-2600</t>
  </si>
  <si>
    <t>61701-2650</t>
  </si>
  <si>
    <t>61701-2850</t>
  </si>
  <si>
    <t>61701-2900</t>
  </si>
  <si>
    <t>61701-2950</t>
  </si>
  <si>
    <t>61701-3000</t>
  </si>
  <si>
    <t>61701-3050</t>
  </si>
  <si>
    <t>61701-3100</t>
  </si>
  <si>
    <t>61701-3150</t>
  </si>
  <si>
    <t>61701-3200</t>
  </si>
  <si>
    <t>61701-3250</t>
  </si>
  <si>
    <t>61701-3300</t>
  </si>
  <si>
    <t>61701-3350</t>
  </si>
  <si>
    <t>61701-3400</t>
  </si>
  <si>
    <t>61701-3450</t>
  </si>
  <si>
    <t>61701-3500</t>
  </si>
  <si>
    <t>61701-3550</t>
  </si>
  <si>
    <t>61701-3750</t>
  </si>
  <si>
    <t>61701-3800</t>
  </si>
  <si>
    <t>61701-3850</t>
  </si>
  <si>
    <t>61701-3900</t>
  </si>
  <si>
    <t>Guardrail system SBTA</t>
  </si>
  <si>
    <t>GUARDRAIL SYSTEM SBTA</t>
  </si>
  <si>
    <t>61701-3950</t>
  </si>
  <si>
    <t>Guardrail system SBTA, Merritt Parkway Guiderail</t>
  </si>
  <si>
    <t>GUARDRAIL SYSTEM SBTA, MERRITT PARKWAY GUIDERAIL</t>
  </si>
  <si>
    <t>61701-4000</t>
  </si>
  <si>
    <t>Guardrail system SBTB</t>
  </si>
  <si>
    <t>GUARDRAIL SYSTEM SBTB</t>
  </si>
  <si>
    <t>61701-4010</t>
  </si>
  <si>
    <t>Guardrail system SBTB, Merritt Parkway Guiderail</t>
  </si>
  <si>
    <t>GUARDRAIL SYSTEM SBTB, MERRITT PARKWAY GUIDERAIL</t>
  </si>
  <si>
    <t>61701-4050</t>
  </si>
  <si>
    <t>61701-4100</t>
  </si>
  <si>
    <t>Guardrail system CRG, type 2, class A</t>
  </si>
  <si>
    <t>GUARDRAIL SYSTEM CRG, TYPE 2, CLASS A</t>
  </si>
  <si>
    <t>61701-4150</t>
  </si>
  <si>
    <t>Guardrail system CRG, type 2, class B</t>
  </si>
  <si>
    <t>GUARDRAIL SYSTEM CRG, TYPE 2, CLASS B</t>
  </si>
  <si>
    <t>61701-4200</t>
  </si>
  <si>
    <t>Guardrail system CRG, type 3, class A</t>
  </si>
  <si>
    <t>GUARDRAIL SYSTEM CRG, TYPE 3, CLASS A</t>
  </si>
  <si>
    <t>61701-4250</t>
  </si>
  <si>
    <t>Guardrail system CRG, type 3, class B</t>
  </si>
  <si>
    <t>GUARDRAIL SYSTEM CRG, TYPE 3, CLASS B</t>
  </si>
  <si>
    <t>61701-4350</t>
  </si>
  <si>
    <t>Guardrail system CRG, type 4, class B</t>
  </si>
  <si>
    <t>GUARDRAIL SYSTEM CRG, TYPE 4, CLASS B</t>
  </si>
  <si>
    <t>61701-4400</t>
  </si>
  <si>
    <t>61701-4450</t>
  </si>
  <si>
    <t>61701-4500</t>
  </si>
  <si>
    <t>61701-4550</t>
  </si>
  <si>
    <t>61701-4600</t>
  </si>
  <si>
    <t>61701-4650</t>
  </si>
  <si>
    <t>61701-4700</t>
  </si>
  <si>
    <t>61701-4750</t>
  </si>
  <si>
    <t>61701-4800</t>
  </si>
  <si>
    <t>61701-4850</t>
  </si>
  <si>
    <t>61701-4900</t>
  </si>
  <si>
    <t>61701-4950</t>
  </si>
  <si>
    <t>61701-5000</t>
  </si>
  <si>
    <t>61701-5050</t>
  </si>
  <si>
    <t>61701-5100</t>
  </si>
  <si>
    <t>61701-5150</t>
  </si>
  <si>
    <t>61701-5200</t>
  </si>
  <si>
    <t>61702-0000</t>
  </si>
  <si>
    <t>61702-0100</t>
  </si>
  <si>
    <t>61702-0300</t>
  </si>
  <si>
    <t>61702-0400</t>
  </si>
  <si>
    <t>61702-0510</t>
  </si>
  <si>
    <t>61702-0600</t>
  </si>
  <si>
    <t>61702-0800</t>
  </si>
  <si>
    <t>61702-0900</t>
  </si>
  <si>
    <t>61702-1000</t>
  </si>
  <si>
    <t>61702-1100</t>
  </si>
  <si>
    <t>61702-1400</t>
  </si>
  <si>
    <t>61702-1500</t>
  </si>
  <si>
    <t>61702-1600</t>
  </si>
  <si>
    <t>61702-1700</t>
  </si>
  <si>
    <t>61703-0000</t>
  </si>
  <si>
    <t>Terminal end</t>
  </si>
  <si>
    <t>TERMINAL END</t>
  </si>
  <si>
    <t>61703-1000</t>
  </si>
  <si>
    <t>Terminal end, type flared end section</t>
  </si>
  <si>
    <t>TERMINAL END, TYPE FLARED END SECTION</t>
  </si>
  <si>
    <t>61703-2000</t>
  </si>
  <si>
    <t>Terminal end, type round end section</t>
  </si>
  <si>
    <t>TERMINAL END, TYPE ROUND END SECTION</t>
  </si>
  <si>
    <t>61704-1000</t>
  </si>
  <si>
    <t>Replacement post, steel</t>
  </si>
  <si>
    <t>REPLACEMENT POST, STEEL</t>
  </si>
  <si>
    <t>61704-2000</t>
  </si>
  <si>
    <t>Replacement post, wood</t>
  </si>
  <si>
    <t>REPLACEMENT POST, WOOD</t>
  </si>
  <si>
    <t>61704-4000</t>
  </si>
  <si>
    <t>Replacement blockout</t>
  </si>
  <si>
    <t>REPLACEMENT BLOCKOUT</t>
  </si>
  <si>
    <t>61705-0100</t>
  </si>
  <si>
    <t>Replacement guardrail W-beam rail element, type 2, class A</t>
  </si>
  <si>
    <t>REPLACEMENT GUARDRAIL W-BEAM RAIL ELEMENT, TYPE 2, CLASS A</t>
  </si>
  <si>
    <t>61705-0200</t>
  </si>
  <si>
    <t>Replacement guardrail W-beam rail element, type 2, class B</t>
  </si>
  <si>
    <t>REPLACEMENT GUARDRAIL W-BEAM RAIL ELEMENT, TYPE 2, CLASS B</t>
  </si>
  <si>
    <t>61705-0300</t>
  </si>
  <si>
    <t>Replacement guardrail W-beam rail element, type 3, class A</t>
  </si>
  <si>
    <t>REPLACEMENT GUARDRAIL W-BEAM RAIL ELEMENT, TYPE 3, CLASS A</t>
  </si>
  <si>
    <t>61705-0400</t>
  </si>
  <si>
    <t>Replacement guardrail W-beam rail element, type 3, class B</t>
  </si>
  <si>
    <t>REPLACEMENT GUARDRAIL W-BEAM RAIL ELEMENT, TYPE 3, CLASS B</t>
  </si>
  <si>
    <t>61705-0600</t>
  </si>
  <si>
    <t>Replacement guardrail W-beam rail element, type 4, class B</t>
  </si>
  <si>
    <t>REPLACEMENT GUARDRAIL W-BEAM RAIL ELEMENT, TYPE 4, CLASS B</t>
  </si>
  <si>
    <t>61705-0700</t>
  </si>
  <si>
    <t>Replacement guardrail thrie-beam rail element, type 2, class A</t>
  </si>
  <si>
    <t>REPLACEMENT GUARDRAIL THRIE-BEAM RAIL ELEMENT, TYPE 2, CLASS A</t>
  </si>
  <si>
    <t>61705-0800</t>
  </si>
  <si>
    <t>Replacement guardrail thrie-beam rail element, type 2, class B</t>
  </si>
  <si>
    <t>REPLACEMENT GUARDRAIL THRIE-BEAM RAIL ELEMENT, TYPE 2, CLASS B</t>
  </si>
  <si>
    <t>61705-0900</t>
  </si>
  <si>
    <t>Replacement guardrail thrie-beam rail element, type 3, class A</t>
  </si>
  <si>
    <t>REPLACEMENT GUARDRAIL THRIE-BEAM RAIL ELEMENT, TYPE 3, CLASS A</t>
  </si>
  <si>
    <t>61705-1000</t>
  </si>
  <si>
    <t>Replacement guardrail thrie-beam rail element, type 3, class B</t>
  </si>
  <si>
    <t>REPLACEMENT GUARDRAIL THRIE-BEAM RAIL ELEMENT, TYPE 3, CLASS B</t>
  </si>
  <si>
    <t>61705-1200</t>
  </si>
  <si>
    <t>Replacement guardrail thrie-beam rail element, type 4, class B</t>
  </si>
  <si>
    <t>REPLACEMENT GUARDRAIL THRIE-BEAM RAIL ELEMENT, TYPE 4, CLASS B</t>
  </si>
  <si>
    <t>61705-1700</t>
  </si>
  <si>
    <t>Replacement guardrail MB4 rail element, type 4, class B</t>
  </si>
  <si>
    <t>REPLACEMENT GUARDRAIL MB4 RAIL ELEMENT, TYPE 4, CLASS B</t>
  </si>
  <si>
    <t>61707-0000</t>
  </si>
  <si>
    <t>Structure transition railing</t>
  </si>
  <si>
    <t>STRUCTURE TRANSITION RAILING</t>
  </si>
  <si>
    <t>61707-1000</t>
  </si>
  <si>
    <t>Structure transition railing, G4 system</t>
  </si>
  <si>
    <t>STRUCTURE TRANSITION RAILING, G4 SYSTEM</t>
  </si>
  <si>
    <t>61707-2000</t>
  </si>
  <si>
    <t>Structure transition railing, SBT system</t>
  </si>
  <si>
    <t>STRUCTURE TRANSITION RAILING, SBT SYSTEM</t>
  </si>
  <si>
    <t>61707-3000</t>
  </si>
  <si>
    <t>61707-4000</t>
  </si>
  <si>
    <t>Structure transition railing, MGS system</t>
  </si>
  <si>
    <t>STRUCTURE TRANSITION RAILING, MGS SYSTEM</t>
  </si>
  <si>
    <t>61708-1000</t>
  </si>
  <si>
    <t>61709-1000</t>
  </si>
  <si>
    <t>61709-2000</t>
  </si>
  <si>
    <t>61709-3000</t>
  </si>
  <si>
    <t>61709-4000</t>
  </si>
  <si>
    <t>61710-0000</t>
  </si>
  <si>
    <t>61711-0000</t>
  </si>
  <si>
    <t>61801-0000</t>
  </si>
  <si>
    <t>Concrete barrier</t>
  </si>
  <si>
    <t>CONCRETE BARRIER</t>
  </si>
  <si>
    <t>61802-0000</t>
  </si>
  <si>
    <t>Concrete guardwall</t>
  </si>
  <si>
    <t>CONCRETE GUARDWALL</t>
  </si>
  <si>
    <t>61803-1000</t>
  </si>
  <si>
    <t>Precast concrete guardwall, type 1</t>
  </si>
  <si>
    <t>PRECAST CONCRETE GUARDWALL, TYPE 1</t>
  </si>
  <si>
    <t>61803-2000</t>
  </si>
  <si>
    <t>Precast concrete guardwall, type 2</t>
  </si>
  <si>
    <t>PRECAST CONCRETE GUARDWALL, TYPE 2</t>
  </si>
  <si>
    <t>61803-3000</t>
  </si>
  <si>
    <t>Precast concrete guardwall, type 3</t>
  </si>
  <si>
    <t>PRECAST CONCRETE GUARDWALL, TYPE 3</t>
  </si>
  <si>
    <t>61803-4000</t>
  </si>
  <si>
    <t>Precast concrete guardwall, type 4</t>
  </si>
  <si>
    <t>PRECAST CONCRETE GUARDWALL, TYPE 4</t>
  </si>
  <si>
    <t>61807-0000</t>
  </si>
  <si>
    <t>Concrete parapet</t>
  </si>
  <si>
    <t>CONCRETE PARAPET</t>
  </si>
  <si>
    <t>61901-0000</t>
  </si>
  <si>
    <t>Fence</t>
  </si>
  <si>
    <t>FENCE</t>
  </si>
  <si>
    <t>61901-0100</t>
  </si>
  <si>
    <t>Fence, woven wire</t>
  </si>
  <si>
    <t>FENCE, WOVEN WIRE</t>
  </si>
  <si>
    <t>61901-0200</t>
  </si>
  <si>
    <t>Fence, woven wire, 1200mm height</t>
  </si>
  <si>
    <t>FENCE, WOVEN WIRE, 48-INCH HEIGHT</t>
  </si>
  <si>
    <t>61901-0300</t>
  </si>
  <si>
    <t>Fence, woven wire, 1350mm height</t>
  </si>
  <si>
    <t>FENCE, WOVEN WIRE, 54-INCH HEIGHT</t>
  </si>
  <si>
    <t>61901-0400</t>
  </si>
  <si>
    <t>Fence, woven wire, 1800mm height</t>
  </si>
  <si>
    <t>FENCE, WOVEN WIRE, 72-INCH HEIGHT</t>
  </si>
  <si>
    <t>61901-0500</t>
  </si>
  <si>
    <t>Fence, woven wire, 2400mm height</t>
  </si>
  <si>
    <t>FENCE, WOVEN WIRE, 96-INCH HEIGHT</t>
  </si>
  <si>
    <t>61901-0550</t>
  </si>
  <si>
    <t>61901-0553</t>
  </si>
  <si>
    <t>61901-0600</t>
  </si>
  <si>
    <t>Fence, barbed wire</t>
  </si>
  <si>
    <t>FENCE, BARBED WIRE</t>
  </si>
  <si>
    <t>61901-0700</t>
  </si>
  <si>
    <t>Fence, barbed wire, 2 strand</t>
  </si>
  <si>
    <t>FENCE, BARBED WIRE, 2 STRAND</t>
  </si>
  <si>
    <t>61901-0800</t>
  </si>
  <si>
    <t>Fence, barbed wire, 3 strand</t>
  </si>
  <si>
    <t>FENCE, BARBED WIRE, 3 STRAND</t>
  </si>
  <si>
    <t>61901-0900</t>
  </si>
  <si>
    <t>Fence, barbed wire, 4 strand</t>
  </si>
  <si>
    <t>FENCE, BARBED WIRE, 4 STRAND</t>
  </si>
  <si>
    <t>61901-1000</t>
  </si>
  <si>
    <t>Fence, barbed wire, 5 strand</t>
  </si>
  <si>
    <t>FENCE, BARBED WIRE, 5 STRAND</t>
  </si>
  <si>
    <t>61901-1100</t>
  </si>
  <si>
    <t>Fence, barbed wire, 5 strand, laydown</t>
  </si>
  <si>
    <t>FENCE, BARBED WIRE, 5 STRAND, LAYDOWN</t>
  </si>
  <si>
    <t>61901-1200</t>
  </si>
  <si>
    <t>Fence, barbed wire, 6 strand</t>
  </si>
  <si>
    <t>FENCE, BARBED WIRE, 6 STRAND</t>
  </si>
  <si>
    <t>61901-1300</t>
  </si>
  <si>
    <t>Fence, chain link</t>
  </si>
  <si>
    <t>FENCE, CHAIN LINK</t>
  </si>
  <si>
    <t>61901-1400</t>
  </si>
  <si>
    <t>Fence, chain link, 900mm height</t>
  </si>
  <si>
    <t>FENCE, CHAIN LINK, 36-INCH HEIGHT</t>
  </si>
  <si>
    <t>61901-1500</t>
  </si>
  <si>
    <t>Fence, chain link, 1050mm height</t>
  </si>
  <si>
    <t>FENCE, CHAIN LINK, 42-INCH HEIGHT</t>
  </si>
  <si>
    <t>61901-1600</t>
  </si>
  <si>
    <t>Fence, chain link, 1200mm height</t>
  </si>
  <si>
    <t>FENCE, CHAIN LINK, 48-INCH HEIGHT</t>
  </si>
  <si>
    <t>61901-1700</t>
  </si>
  <si>
    <t>Fence, chain link, 1350mm height</t>
  </si>
  <si>
    <t>FENCE, CHAIN LINK, 54-INCH HEIGHT</t>
  </si>
  <si>
    <t>61901-1800</t>
  </si>
  <si>
    <t>Fence, chain link, 1500mm height</t>
  </si>
  <si>
    <t>FENCE, CHAIN LINK, 60-INCH HEIGHT</t>
  </si>
  <si>
    <t>61901-1900</t>
  </si>
  <si>
    <t>Fence, chain link, 1650mm height</t>
  </si>
  <si>
    <t>FENCE, CHAIN LINK, 66-INCH HEIGHT</t>
  </si>
  <si>
    <t>61901-2000</t>
  </si>
  <si>
    <t>Fence, chain link, 1800mm height</t>
  </si>
  <si>
    <t>FENCE, CHAIN LINK, 72-INCH HEIGHT</t>
  </si>
  <si>
    <t>61901-2100</t>
  </si>
  <si>
    <t>Fence, chain link, 2400mm height</t>
  </si>
  <si>
    <t>FENCE, CHAIN LINK, 96-INCH HEIGHT</t>
  </si>
  <si>
    <t>61901-2200</t>
  </si>
  <si>
    <t>Fence, chain link, 3000mm height</t>
  </si>
  <si>
    <t>FENCE, CHAIN LINK, 120-INCH HEIGHT</t>
  </si>
  <si>
    <t>61901-2250</t>
  </si>
  <si>
    <t>Fence, rail</t>
  </si>
  <si>
    <t>FENCE, RAIL</t>
  </si>
  <si>
    <t>61901-2253</t>
  </si>
  <si>
    <t>Fence, rail, 4 rail</t>
  </si>
  <si>
    <t>FENCE, RAIL, 4 RAIL</t>
  </si>
  <si>
    <t>61901-2300</t>
  </si>
  <si>
    <t>Fence, split rail</t>
  </si>
  <si>
    <t>FENCE, SPLIT RAIL</t>
  </si>
  <si>
    <t>61901-2400</t>
  </si>
  <si>
    <t>Fence, split rail, 2 rail</t>
  </si>
  <si>
    <t>FENCE, SPLIT RAIL, 2 RAIL</t>
  </si>
  <si>
    <t>61901-2500</t>
  </si>
  <si>
    <t>Fence, split rail, 3 rail</t>
  </si>
  <si>
    <t>FENCE, SPLIT RAIL, 3 RAIL</t>
  </si>
  <si>
    <t>61901-2600</t>
  </si>
  <si>
    <t>Fence, split rail, 4 rail</t>
  </si>
  <si>
    <t>FENCE, SPLIT RAIL, 4 RAIL</t>
  </si>
  <si>
    <t>61901-2700</t>
  </si>
  <si>
    <t>Fence, split rail, 5 rail</t>
  </si>
  <si>
    <t>FENCE, SPLIT RAIL, 5 RAIL</t>
  </si>
  <si>
    <t>61901-2800</t>
  </si>
  <si>
    <t>Fence, split rail, 6 rail</t>
  </si>
  <si>
    <t>FENCE, SPLIT RAIL, 6 RAIL</t>
  </si>
  <si>
    <t>61901-2900</t>
  </si>
  <si>
    <t>Fence, split rail, 7 rail</t>
  </si>
  <si>
    <t>FENCE, SPLIT RAIL, 7 RAIL</t>
  </si>
  <si>
    <t>61901-3000</t>
  </si>
  <si>
    <t>Fence, wood stockade</t>
  </si>
  <si>
    <t>FENCE, WOOD STOCKADE</t>
  </si>
  <si>
    <t>61901-3100</t>
  </si>
  <si>
    <t>Fence, wood stockade, 1800mm height</t>
  </si>
  <si>
    <t>FENCE, WOOD STOCKADE, 72-INCH HEIGHT</t>
  </si>
  <si>
    <t>61901-3200</t>
  </si>
  <si>
    <t>Fence, wood stockade, 2400mm height</t>
  </si>
  <si>
    <t>FENCE, WOOD STOCKADE, 96-INCH HEIGHT</t>
  </si>
  <si>
    <t>61901-3300</t>
  </si>
  <si>
    <t>Fence, tortoise barrier</t>
  </si>
  <si>
    <t>FENCE, TORTOISE BARRIER</t>
  </si>
  <si>
    <t>61901-3400</t>
  </si>
  <si>
    <t>Fence, combination wire</t>
  </si>
  <si>
    <t>FENCE, COMBINATION WIRE</t>
  </si>
  <si>
    <t>61902-0000</t>
  </si>
  <si>
    <t>Gate</t>
  </si>
  <si>
    <t>GATE</t>
  </si>
  <si>
    <t>61902-0100</t>
  </si>
  <si>
    <t>Gate, wood</t>
  </si>
  <si>
    <t>GATE, WOOD</t>
  </si>
  <si>
    <t>61902-0200</t>
  </si>
  <si>
    <t>Gate, wood, 900mm width</t>
  </si>
  <si>
    <t>GATE, WOOD, 3 FEET WIDTH</t>
  </si>
  <si>
    <t>61902-0300</t>
  </si>
  <si>
    <t>Gate, wood, 3000mm width</t>
  </si>
  <si>
    <t>GATE, WOOD, 10 FEET WIDTH</t>
  </si>
  <si>
    <t>61902-0400</t>
  </si>
  <si>
    <t>Gate, wood, 4200mm width</t>
  </si>
  <si>
    <t>GATE, WOOD, 12 FEET WIDTH</t>
  </si>
  <si>
    <t>61902-0500</t>
  </si>
  <si>
    <t>Gate, wood, 4800mm width</t>
  </si>
  <si>
    <t>GATE, WOOD, 16 FEET WIDTH</t>
  </si>
  <si>
    <t>61902-0600</t>
  </si>
  <si>
    <t>Gate, wood, 6000mm width</t>
  </si>
  <si>
    <t>GATE, WOOD, 20 FEET WIDTH</t>
  </si>
  <si>
    <t>61902-0700</t>
  </si>
  <si>
    <t>Gate, wood, 6600mm width</t>
  </si>
  <si>
    <t>GATE, WOOD, 22 FEET WIDTH</t>
  </si>
  <si>
    <t>61902-0800</t>
  </si>
  <si>
    <t>Gate, wood, 8400mm width</t>
  </si>
  <si>
    <t>GATE, WOOD, 28 FEET WIDTH</t>
  </si>
  <si>
    <t>61902-0900</t>
  </si>
  <si>
    <t>Gate, metal</t>
  </si>
  <si>
    <t>GATE, METAL</t>
  </si>
  <si>
    <t>61902-1000</t>
  </si>
  <si>
    <t>Gate, metal, 900mm width</t>
  </si>
  <si>
    <t>GATE, METAL, 3 FEET WIDTH</t>
  </si>
  <si>
    <t>61902-1100</t>
  </si>
  <si>
    <t>Gate, metal, 3000mm width</t>
  </si>
  <si>
    <t>GATE, METAL, 10 FEET WIDTH</t>
  </si>
  <si>
    <t>61902-1200</t>
  </si>
  <si>
    <t>Gate, metal, 3600mm width</t>
  </si>
  <si>
    <t>GATE, METAL, 12 FEET WIDTH</t>
  </si>
  <si>
    <t>61902-1300</t>
  </si>
  <si>
    <t>Gate, metal, 4200mm width</t>
  </si>
  <si>
    <t>GATE, METAL, 14 FEET WIDTH</t>
  </si>
  <si>
    <t>61902-1400</t>
  </si>
  <si>
    <t>Gate, metal, 4800mm width</t>
  </si>
  <si>
    <t>GATE, METAL, 16 FEET WIDTH</t>
  </si>
  <si>
    <t>61902-1500</t>
  </si>
  <si>
    <t>Gate, metal, 5400mm width</t>
  </si>
  <si>
    <t>GATE, METAL, 18 FEET WIDTH</t>
  </si>
  <si>
    <t>61902-1600</t>
  </si>
  <si>
    <t>Gate, metal, 6000mm width</t>
  </si>
  <si>
    <t>GATE, METAL, 20 FEET WIDTH</t>
  </si>
  <si>
    <t>61902-1700</t>
  </si>
  <si>
    <t>Gate, metal, 6600mm width</t>
  </si>
  <si>
    <t>GATE, METAL, 22 FEET WIDTH</t>
  </si>
  <si>
    <t>61902-1800</t>
  </si>
  <si>
    <t>Gate, metal, 7200mm width</t>
  </si>
  <si>
    <t>GATE, METAL, 24 FEET WIDTH</t>
  </si>
  <si>
    <t>61902-1900</t>
  </si>
  <si>
    <t>Gate, metal, 7800mm width</t>
  </si>
  <si>
    <t>GATE, METAL, 26 FEET WIDTH</t>
  </si>
  <si>
    <t>61902-2000</t>
  </si>
  <si>
    <t>Gate, metal, 8400mm width</t>
  </si>
  <si>
    <t>GATE, METAL, 28 FEET WIDTH</t>
  </si>
  <si>
    <t>61902-2100</t>
  </si>
  <si>
    <t>Gate, metal, 9000mm width</t>
  </si>
  <si>
    <t>GATE, METAL, 30 FEET WIDTH</t>
  </si>
  <si>
    <t>61902-2200</t>
  </si>
  <si>
    <t>Gate, metal, 10200mm width</t>
  </si>
  <si>
    <t>GATE, METAL, 34 FEET WIDTH</t>
  </si>
  <si>
    <t>61902-2300</t>
  </si>
  <si>
    <t>Gate, barbed wire</t>
  </si>
  <si>
    <t>GATE, BARBED WIRE</t>
  </si>
  <si>
    <t>61902-2400</t>
  </si>
  <si>
    <t>Gate, barbed wire, 3-strand</t>
  </si>
  <si>
    <t>GATE, BARBED WIRE, 3-STRAND</t>
  </si>
  <si>
    <t>61902-2500</t>
  </si>
  <si>
    <t>Gate, barbed wire, 4-strand</t>
  </si>
  <si>
    <t>GATE, BARBED WIRE, 4-STRAND</t>
  </si>
  <si>
    <t>61902-2600</t>
  </si>
  <si>
    <t>Gate, barbed wire, 5-strand</t>
  </si>
  <si>
    <t>GATE, BARBED WIRE, 5-STRAND</t>
  </si>
  <si>
    <t>61902-2700</t>
  </si>
  <si>
    <t>Gate, chain link</t>
  </si>
  <si>
    <t>GATE, CHAIN LINK</t>
  </si>
  <si>
    <t>61902-2800</t>
  </si>
  <si>
    <t>Gate, chain link, 900mm width</t>
  </si>
  <si>
    <t>GATE, CHAIN LINK, 3 FEET WIDTH</t>
  </si>
  <si>
    <t>61902-2900</t>
  </si>
  <si>
    <t>Gate, chain link, 1200mm width</t>
  </si>
  <si>
    <t>GATE, CHAIN LINK, 4 FEET WIDTH</t>
  </si>
  <si>
    <t>61902-3000</t>
  </si>
  <si>
    <t>Gate, chain link, 1800mm width</t>
  </si>
  <si>
    <t>GATE, CHAIN LINK, 6 FEET WIDTH</t>
  </si>
  <si>
    <t>61902-3100</t>
  </si>
  <si>
    <t>Gate, chain link, 2400mm width</t>
  </si>
  <si>
    <t>GATE, CHAIN LINK, 8 FEET WIDTH</t>
  </si>
  <si>
    <t>61902-3200</t>
  </si>
  <si>
    <t>Gate, chain link, 3000mm width</t>
  </si>
  <si>
    <t>GATE, CHAIN LINK, 10 FEET WIDTH</t>
  </si>
  <si>
    <t>61902-3300</t>
  </si>
  <si>
    <t>Gate, chain link, 3600mm width</t>
  </si>
  <si>
    <t>GATE, CHAIN LINK, 12 FEET WIDTH</t>
  </si>
  <si>
    <t>61902-3400</t>
  </si>
  <si>
    <t>Gate, chain link, 4200mm width</t>
  </si>
  <si>
    <t>GATE, CHAIN LINK, 14 FEET WIDTH</t>
  </si>
  <si>
    <t>61902-3500</t>
  </si>
  <si>
    <t>Gate, chain link, 4800mm width</t>
  </si>
  <si>
    <t>GATE, CHAIN LINK, 16 FEET WIDTH</t>
  </si>
  <si>
    <t>61902-3600</t>
  </si>
  <si>
    <t>Gate, chain link, 5400mm width</t>
  </si>
  <si>
    <t>GATE, CHAIN LINK, 18 FEET WIDTH</t>
  </si>
  <si>
    <t>61902-3700</t>
  </si>
  <si>
    <t>Gate, chain link, 6000mm width</t>
  </si>
  <si>
    <t>GATE, CHAIN LINK, 20 FEET WIDTH</t>
  </si>
  <si>
    <t>61902-3800</t>
  </si>
  <si>
    <t>Gate, chain link, 6600mm width</t>
  </si>
  <si>
    <t>GATE, CHAIN LINK, 22 FEET WIDTH</t>
  </si>
  <si>
    <t>61902-3900</t>
  </si>
  <si>
    <t>Gate, chain link, 7200mm width</t>
  </si>
  <si>
    <t>GATE, CHAIN LINK, 24 FEET WIDTH</t>
  </si>
  <si>
    <t>61902-4000</t>
  </si>
  <si>
    <t>Gate, chain link, 7800mm width</t>
  </si>
  <si>
    <t>GATE, CHAIN LINK, 26 FEET WIDTH</t>
  </si>
  <si>
    <t>61902-4100</t>
  </si>
  <si>
    <t>Gate, chain link, 8400mm width</t>
  </si>
  <si>
    <t>GATE, CHAIN LINK, 28 FEET WIDTH</t>
  </si>
  <si>
    <t>61902-4200</t>
  </si>
  <si>
    <t>Gate, chain link, 9000mm width</t>
  </si>
  <si>
    <t>GATE, CHAIN LINK, 30 FEET WIDTH</t>
  </si>
  <si>
    <t>61902-4300</t>
  </si>
  <si>
    <t>Gate, woven wire</t>
  </si>
  <si>
    <t>GATE, WOVEN WIRE</t>
  </si>
  <si>
    <t>61902-4400</t>
  </si>
  <si>
    <t>Gate, woven wire, 900mm width</t>
  </si>
  <si>
    <t>GATE, WOVEN WIRE, 3 FEET WIDTH</t>
  </si>
  <si>
    <t>61902-4500</t>
  </si>
  <si>
    <t>Gate, woven wire, 1200mm width</t>
  </si>
  <si>
    <t>GATE, WOVEN WIRE, 4 FEET WIDTH</t>
  </si>
  <si>
    <t>61902-4600</t>
  </si>
  <si>
    <t>Gate, woven wire, 1800mm width</t>
  </si>
  <si>
    <t>GATE, WOVEN WIRE, 6 FEET WIDTH</t>
  </si>
  <si>
    <t>61902-4700</t>
  </si>
  <si>
    <t>Gate, woven wire, 2400mm width</t>
  </si>
  <si>
    <t>GATE, WOVEN WIRE, 8 FEET WIDTH</t>
  </si>
  <si>
    <t>61902-4800</t>
  </si>
  <si>
    <t>Gate, woven wire, 3000mm width</t>
  </si>
  <si>
    <t>GATE, WOVEN WIRE, 10 FEET WIDTH</t>
  </si>
  <si>
    <t>61902-4900</t>
  </si>
  <si>
    <t>Gate, woven wire, 3600mm width</t>
  </si>
  <si>
    <t>GATE, WOVEN WIRE, 12 FEET WIDTH</t>
  </si>
  <si>
    <t>61902-5000</t>
  </si>
  <si>
    <t>Gate, woven wire, 4200mm width</t>
  </si>
  <si>
    <t>GATE, WOVEN WIRE, 14 FEET WIDTH</t>
  </si>
  <si>
    <t>61902-5100</t>
  </si>
  <si>
    <t>Gate, woven wire, 4800mm width</t>
  </si>
  <si>
    <t>GATE, WOVEN WIRE, 16 FEET WIDTH</t>
  </si>
  <si>
    <t>61902-5200</t>
  </si>
  <si>
    <t>Gate, woven wire, 5400mm width</t>
  </si>
  <si>
    <t>GATE, WOVEN WIRE, 18 FEET WIDTH</t>
  </si>
  <si>
    <t>61902-5300</t>
  </si>
  <si>
    <t>Gate, combination wire</t>
  </si>
  <si>
    <t>GATE, COMBINATION WIRE</t>
  </si>
  <si>
    <t>61903-0000</t>
  </si>
  <si>
    <t>Cattle guard</t>
  </si>
  <si>
    <t>CATTLE GUARD</t>
  </si>
  <si>
    <t>61903-0100</t>
  </si>
  <si>
    <t>Cattle guard, 3600mm</t>
  </si>
  <si>
    <t>CATTLE GUARD, 12 FEET</t>
  </si>
  <si>
    <t>61903-0200</t>
  </si>
  <si>
    <t>Cattle guard, 4200mm</t>
  </si>
  <si>
    <t>CATTLE GUARD, 14 FEET</t>
  </si>
  <si>
    <t>61903-0300</t>
  </si>
  <si>
    <t>Cattle guard, 4800mm</t>
  </si>
  <si>
    <t>CATTLE GUARD, 16 FEET</t>
  </si>
  <si>
    <t>61903-0400</t>
  </si>
  <si>
    <t>Cattle guard, 5400mm</t>
  </si>
  <si>
    <t>CATTLE GUARD, 18 FEET</t>
  </si>
  <si>
    <t>61903-0500</t>
  </si>
  <si>
    <t>Cattle guard, 6000mm</t>
  </si>
  <si>
    <t>CATTLE GUARD, 20 FEET</t>
  </si>
  <si>
    <t>61903-0600</t>
  </si>
  <si>
    <t>Cattle guard, 6600mm</t>
  </si>
  <si>
    <t>CATTLE GUARD, 22 FEET</t>
  </si>
  <si>
    <t>61903-0700</t>
  </si>
  <si>
    <t>Cattle guard, 7200mm</t>
  </si>
  <si>
    <t>CATTLE GUARD, 24 FEET</t>
  </si>
  <si>
    <t>61903-0800</t>
  </si>
  <si>
    <t>Cattle guard, 7800mm</t>
  </si>
  <si>
    <t>CATTLE GUARD, 26 FEET</t>
  </si>
  <si>
    <t>61903-0900</t>
  </si>
  <si>
    <t>Cattle guard, 8400mm</t>
  </si>
  <si>
    <t>CATTLE GUARD, 28 FEET</t>
  </si>
  <si>
    <t>61903-1000</t>
  </si>
  <si>
    <t>Cattle guard, 9000mm</t>
  </si>
  <si>
    <t>CATTLE GUARD, 30 FEET</t>
  </si>
  <si>
    <t>61903-1100</t>
  </si>
  <si>
    <t>Cattle guard, 9600mm</t>
  </si>
  <si>
    <t>CATTLE GUARD, 32 FEET</t>
  </si>
  <si>
    <t>61903-1300</t>
  </si>
  <si>
    <t>Cattle guard, 10800mm</t>
  </si>
  <si>
    <t>CATTLE GUARD, 36 FEET</t>
  </si>
  <si>
    <t>61903-1500</t>
  </si>
  <si>
    <t>Cattle guard, 12000mm</t>
  </si>
  <si>
    <t>CATTLE GUARD, 40 FEET</t>
  </si>
  <si>
    <t>61904-0000</t>
  </si>
  <si>
    <t>61905-0000</t>
  </si>
  <si>
    <t>Tree planking</t>
  </si>
  <si>
    <t>TREE PLANKING</t>
  </si>
  <si>
    <t>61906-0000</t>
  </si>
  <si>
    <t>Stile</t>
  </si>
  <si>
    <t>STILE</t>
  </si>
  <si>
    <t>61907-0000</t>
  </si>
  <si>
    <t>Fence post</t>
  </si>
  <si>
    <t>FENCE POST</t>
  </si>
  <si>
    <t>61907-1000</t>
  </si>
  <si>
    <t>Fence post, concrete</t>
  </si>
  <si>
    <t>FENCE POST, CONCRETE</t>
  </si>
  <si>
    <t>61920-1000</t>
  </si>
  <si>
    <t>61920-2000</t>
  </si>
  <si>
    <t>Remove and reset gate</t>
  </si>
  <si>
    <t>REMOVE AND RESET GATE</t>
  </si>
  <si>
    <t>61920-3000</t>
  </si>
  <si>
    <t>Remove and reset cattle guard</t>
  </si>
  <si>
    <t>REMOVE AND RESET CATTLE GUARD</t>
  </si>
  <si>
    <t>61920-4000</t>
  </si>
  <si>
    <t>Remove and reset stile</t>
  </si>
  <si>
    <t>REMOVE AND RESET STILE</t>
  </si>
  <si>
    <t>61921-1000</t>
  </si>
  <si>
    <t>Remove and reset fence</t>
  </si>
  <si>
    <t>REMOVE AND RESET FENCE</t>
  </si>
  <si>
    <t>62001-0000</t>
  </si>
  <si>
    <t>Stone masonry</t>
  </si>
  <si>
    <t>STONE MASONRY</t>
  </si>
  <si>
    <t>62001-0100</t>
  </si>
  <si>
    <t>Class A masonry, fine pointed finish</t>
  </si>
  <si>
    <t>CLASS A MASONRY, FINE POINTED FINISH</t>
  </si>
  <si>
    <t>62001-0200</t>
  </si>
  <si>
    <t>Class A masonry, medium pointed finish</t>
  </si>
  <si>
    <t>CLASS A MASONRY, MEDIUM POINTED FINISH</t>
  </si>
  <si>
    <t>62001-0300</t>
  </si>
  <si>
    <t>Class A masonry, course pointed finish</t>
  </si>
  <si>
    <t>CLASS A MASONRY, COURSE POINTED FINISH</t>
  </si>
  <si>
    <t>62001-0400</t>
  </si>
  <si>
    <t>Class A masonry, split face finish</t>
  </si>
  <si>
    <t>CLASS A MASONRY, SPLIT FACE FINISH</t>
  </si>
  <si>
    <t>62001-0500</t>
  </si>
  <si>
    <t>Class A masonry, rock face finish</t>
  </si>
  <si>
    <t>CLASS A MASONRY, ROCK FACE FINISH</t>
  </si>
  <si>
    <t>62001-0600</t>
  </si>
  <si>
    <t>Class B masonry, fine pointed finish</t>
  </si>
  <si>
    <t>CLASS B MASONRY, FINE POINTED FINISH</t>
  </si>
  <si>
    <t>62001-0700</t>
  </si>
  <si>
    <t>Class B masonry, medium pointed finish</t>
  </si>
  <si>
    <t>CLASS B MASONRY, MEDIUM POINTED FINISH</t>
  </si>
  <si>
    <t>62001-0800</t>
  </si>
  <si>
    <t>Class B masonry, course pointed finish</t>
  </si>
  <si>
    <t>CLASS B MASONRY, COURSE POINTED FINISH</t>
  </si>
  <si>
    <t>62001-0900</t>
  </si>
  <si>
    <t>Class B masonry, split face finish</t>
  </si>
  <si>
    <t>CLASS B MASONRY, SPLIT FACE FINISH</t>
  </si>
  <si>
    <t>62001-1000</t>
  </si>
  <si>
    <t>Class B masonry, rock face finish</t>
  </si>
  <si>
    <t>CLASS B MASONRY, ROCK FACE FINISH</t>
  </si>
  <si>
    <t>62001-1100</t>
  </si>
  <si>
    <t>Rubble masonry, fine pointed finish</t>
  </si>
  <si>
    <t>RUBBLE MASONRY, FINE POINTED FINISH</t>
  </si>
  <si>
    <t>62001-1200</t>
  </si>
  <si>
    <t>Rubble masonry, medium pointed finish</t>
  </si>
  <si>
    <t>RUBBLE MASONRY, MEDIUM POINTED FINISH</t>
  </si>
  <si>
    <t>62001-1300</t>
  </si>
  <si>
    <t>Rubble masonry, course pointed finish</t>
  </si>
  <si>
    <t>RUBBLE MASONRY, COURSE POINTED FINISH</t>
  </si>
  <si>
    <t>62001-1400</t>
  </si>
  <si>
    <t>Rubble masonry, split face finish</t>
  </si>
  <si>
    <t>RUBBLE MASONRY, SPLIT FACE FINISH</t>
  </si>
  <si>
    <t>62001-1500</t>
  </si>
  <si>
    <t>Rubble masonry, rock face finish</t>
  </si>
  <si>
    <t>RUBBLE MASONRY, ROCK FACE FINISH</t>
  </si>
  <si>
    <t>62001-1600</t>
  </si>
  <si>
    <t>Dimensioned masonry, fine pointed finish</t>
  </si>
  <si>
    <t>DIMENSIONED MASONRY, FINE POINTED FINISH</t>
  </si>
  <si>
    <t>62001-1700</t>
  </si>
  <si>
    <t>Dimensioned masonry, medium pointed finish</t>
  </si>
  <si>
    <t>DIMENSIONED MASONRY, MEDIUM POINTED FINISH</t>
  </si>
  <si>
    <t>62001-1800</t>
  </si>
  <si>
    <t>Dimensioned masonry, course pointed finish</t>
  </si>
  <si>
    <t>DIMENSIONED MASONRY, COURSE POINTED FINISH</t>
  </si>
  <si>
    <t>62001-1900</t>
  </si>
  <si>
    <t>Dimensioned masonry, split face finish</t>
  </si>
  <si>
    <t>DIMENSIONED MASONRY, SPLIT FACE FINISH</t>
  </si>
  <si>
    <t>62001-2000</t>
  </si>
  <si>
    <t>Dimensioned masonry, rock face finish</t>
  </si>
  <si>
    <t>DIMENSIONED MASONRY, ROCK FACE FINISH</t>
  </si>
  <si>
    <t>62002-0000</t>
  </si>
  <si>
    <t>62002-0100</t>
  </si>
  <si>
    <t>62002-0200</t>
  </si>
  <si>
    <t>62002-0300</t>
  </si>
  <si>
    <t>62002-0400</t>
  </si>
  <si>
    <t>62002-0500</t>
  </si>
  <si>
    <t>62002-0600</t>
  </si>
  <si>
    <t>62002-0700</t>
  </si>
  <si>
    <t>62002-0800</t>
  </si>
  <si>
    <t>62002-0900</t>
  </si>
  <si>
    <t>62002-1000</t>
  </si>
  <si>
    <t>62003-0000</t>
  </si>
  <si>
    <t>62005-0000</t>
  </si>
  <si>
    <t>Concrete masonry units</t>
  </si>
  <si>
    <t>CONCRETE MASONRY UNITS</t>
  </si>
  <si>
    <t>62006-0000</t>
  </si>
  <si>
    <t>62010-0000</t>
  </si>
  <si>
    <t>62010-1000</t>
  </si>
  <si>
    <t>Stone masonry guardwall</t>
  </si>
  <si>
    <t>STONE MASONRY GUARDWALL</t>
  </si>
  <si>
    <t>62010-2000</t>
  </si>
  <si>
    <t>Stone masonry anchor slab guardwall</t>
  </si>
  <si>
    <t>STONE MASONRY ANCHOR SLAB GUARDWALL</t>
  </si>
  <si>
    <t>62010-3000</t>
  </si>
  <si>
    <t>Stone masonry guardwall type 1</t>
  </si>
  <si>
    <t>STONE MASONRY GUARDWALL TYPE 1</t>
  </si>
  <si>
    <t>62010-4000</t>
  </si>
  <si>
    <t>Stone masonry guardwall type 2</t>
  </si>
  <si>
    <t>STONE MASONRY GUARDWALL TYPE 2</t>
  </si>
  <si>
    <t>62010-5000</t>
  </si>
  <si>
    <t>Stone masonry guardwall type 3</t>
  </si>
  <si>
    <t>STONE MASONRY GUARDWALL TYPE 3</t>
  </si>
  <si>
    <t>62010-6000</t>
  </si>
  <si>
    <t>Stone masonry guardwall type 4</t>
  </si>
  <si>
    <t>STONE MASONRY GUARDWALL TYPE 4</t>
  </si>
  <si>
    <t>62010-7000</t>
  </si>
  <si>
    <t>Stone masonry parapet</t>
  </si>
  <si>
    <t>STONE MASONRY PARAPET</t>
  </si>
  <si>
    <t>62011-0100</t>
  </si>
  <si>
    <t>Stone masonry headwall for 300mm pipe culvert</t>
  </si>
  <si>
    <t>STONE MASONRY HEADWALL FOR 12-INCH PIPE CULVERT</t>
  </si>
  <si>
    <t>62011-0200</t>
  </si>
  <si>
    <t>Stone masonry headwall for 375mm pipe culvert</t>
  </si>
  <si>
    <t>STONE MASONRY HEADWALL FOR 15-INCH PIPE CULVERT</t>
  </si>
  <si>
    <t>62011-0300</t>
  </si>
  <si>
    <t>Stone masonry headwall for 450mm pipe culvert</t>
  </si>
  <si>
    <t>STONE MASONRY HEADWALL FOR 18-INCH PIPE CULVERT</t>
  </si>
  <si>
    <t>62011-0400</t>
  </si>
  <si>
    <t>Stone masonry headwall for 525mm pipe culvert</t>
  </si>
  <si>
    <t>STONE MASONRY HEADWALL FOR 21-INCH PIPE CULVERT</t>
  </si>
  <si>
    <t>62011-0500</t>
  </si>
  <si>
    <t>Stone masonry headwall for 600mm pipe culvert</t>
  </si>
  <si>
    <t>STONE MASONRY HEADWALL FOR 24-INCH PIPE CULVERT</t>
  </si>
  <si>
    <t>62011-0600</t>
  </si>
  <si>
    <t>Stone masonry headwall for 750mm pipe culvert</t>
  </si>
  <si>
    <t>STONE MASONRY HEADWALL FOR 30-INCH PIPE CULVERT</t>
  </si>
  <si>
    <t>62011-0700</t>
  </si>
  <si>
    <t>Stone masonry headwall for 900mm pipe culvert</t>
  </si>
  <si>
    <t>STONE MASONRY HEADWALL FOR 36-INCH PIPE CULVERT</t>
  </si>
  <si>
    <t>62011-0800</t>
  </si>
  <si>
    <t>Stone masonry headwall for 1050mm pipe culvert</t>
  </si>
  <si>
    <t>STONE MASONRY HEADWALL FOR 42-INCH PIPE CULVERT</t>
  </si>
  <si>
    <t>62011-0900</t>
  </si>
  <si>
    <t>Stone masonry headwall for 1200mm pipe culvert</t>
  </si>
  <si>
    <t>STONE MASONRY HEADWALL FOR 48-INCH PIPE CULVERT</t>
  </si>
  <si>
    <t>62011-1000</t>
  </si>
  <si>
    <t>Stone masonry headwall for 1350mm pipe culvert</t>
  </si>
  <si>
    <t>STONE MASONRY HEADWALL FOR 54-INCH PIPE CULVERT</t>
  </si>
  <si>
    <t>62011-1100</t>
  </si>
  <si>
    <t>Stone masonry headwall for 1500mm pipe culvert</t>
  </si>
  <si>
    <t>STONE MASONRY HEADWALL FOR 60-INCH PIPE CULVERT</t>
  </si>
  <si>
    <t>62011-1200</t>
  </si>
  <si>
    <t>Stone masonry headwall for 1650mm pipe culvert</t>
  </si>
  <si>
    <t>STONE MASONRY HEADWALL FOR 66-INCH PIPE CULVERT</t>
  </si>
  <si>
    <t>62011-1300</t>
  </si>
  <si>
    <t>Stone masonry headwall for 1800mm pipe culvert</t>
  </si>
  <si>
    <t>STONE MASONRY HEADWALL FOR 72-INCH PIPE CULVERT</t>
  </si>
  <si>
    <t>62011-1400</t>
  </si>
  <si>
    <t>Stone masonry headwall for double 300mm pipe culvert</t>
  </si>
  <si>
    <t>STONE MASONRY HEADWALL FOR DOUBLE 12-INCH PIPE CULVERT</t>
  </si>
  <si>
    <t>62011-1500</t>
  </si>
  <si>
    <t>Stone masonry headwall for double 375mm pipe culvert</t>
  </si>
  <si>
    <t>STONE MASONRY HEADWALL FOR DOUBLE 15-INCH PIPE CULVERT</t>
  </si>
  <si>
    <t>62011-1600</t>
  </si>
  <si>
    <t>Stone masonry headwall for double 450mm pipe culvert</t>
  </si>
  <si>
    <t>STONE MASONRY HEADWALL FOR DOUBLE 18-INCH PIPE CULVERT</t>
  </si>
  <si>
    <t>62011-1700</t>
  </si>
  <si>
    <t>Stone masonry headwall for double 525mm pipe culvert</t>
  </si>
  <si>
    <t>STONE MASONRY HEADWALL FOR DOUBLE 21-INCH PIPE CULVERT</t>
  </si>
  <si>
    <t>62011-1800</t>
  </si>
  <si>
    <t>Stone masonry headwall for double 600mm pipe culvert</t>
  </si>
  <si>
    <t>STONE MASONRY HEADWALL FOR DOUBLE 24-INCH PIPE CULVERT</t>
  </si>
  <si>
    <t>62011-1900</t>
  </si>
  <si>
    <t>Stone masonry headwall for double 750mm pipe culvert</t>
  </si>
  <si>
    <t>STONE MASONRY HEADWALL FOR DOUBLE 30-INCH PIPE CULVERT</t>
  </si>
  <si>
    <t>62011-2000</t>
  </si>
  <si>
    <t>Stone masonry headwall for double 900mm pipe culvert</t>
  </si>
  <si>
    <t>STONE MASONRY HEADWALL FOR DOUBLE 36-INCH PIPE CULVERT</t>
  </si>
  <si>
    <t>62011-2100</t>
  </si>
  <si>
    <t>Stone masonry headwall for double 1050mm pipe culvert</t>
  </si>
  <si>
    <t>STONE MASONRY HEADWALL FOR DOUBLE 42-INCH PIPE CULVERT</t>
  </si>
  <si>
    <t>62011-2200</t>
  </si>
  <si>
    <t>Stone masonry headwall for double 1200mm pipe culvert</t>
  </si>
  <si>
    <t>STONE MASONRY HEADWALL FOR DOUBLE 48-INCH PIPE CULVERT</t>
  </si>
  <si>
    <t>62011-2300</t>
  </si>
  <si>
    <t>Stone masonry headwall for double 1350mm pipe culvert</t>
  </si>
  <si>
    <t>STONE MASONRY HEADWALL FOR DOUBLE 54-INCH PIPE CULVERT</t>
  </si>
  <si>
    <t>62011-2400</t>
  </si>
  <si>
    <t>Stone masonry headwall for double 1500mm pipe culvert</t>
  </si>
  <si>
    <t>STONE MASONRY HEADWALL FOR DOUBLE 60-INCH PIPE CULVERT</t>
  </si>
  <si>
    <t>62011-2500</t>
  </si>
  <si>
    <t>Stone masonry headwall for double 1650mm pipe culvert</t>
  </si>
  <si>
    <t>STONE MASONRY HEADWALL FOR DOUBLE 66-INCH PIPE CULVERT</t>
  </si>
  <si>
    <t>62011-2600</t>
  </si>
  <si>
    <t>Stone masonry headwall for double 1800mm pipe culvert</t>
  </si>
  <si>
    <t>STONE MASONRY HEADWALL FOR DOUBLE 72-INCH PIPE CULVERT</t>
  </si>
  <si>
    <t>62011-2710</t>
  </si>
  <si>
    <t>Stone masonry headwall for triple 600mm pipe culvert</t>
  </si>
  <si>
    <t>STONE MASONRY HEADWALL FOR TRIPLE 24-INCH PIPE CULVERT</t>
  </si>
  <si>
    <t>62011-2720</t>
  </si>
  <si>
    <t>Stone masonry headwall for triple 750mm pipe culvert</t>
  </si>
  <si>
    <t>STONE MASONRY HEADWALL FOR TRIPLE 30-INCH PIPE CULVERT</t>
  </si>
  <si>
    <t>62011-2730</t>
  </si>
  <si>
    <t>Stone masonry headwall for triple 900mm pipe culvert</t>
  </si>
  <si>
    <t>STONE MASONRY HEADWALL FOR TRIPLE 36-INCH PIPE CULVERT</t>
  </si>
  <si>
    <t>62011-2740</t>
  </si>
  <si>
    <t>Stone masonry headwall for triple 1050mm pipe culvert</t>
  </si>
  <si>
    <t>STONE MASONRY HEADWALL FOR TRIPLE 42-INCH PIPE CULVERT</t>
  </si>
  <si>
    <t>62011-2750</t>
  </si>
  <si>
    <t>Stone masonry headwall for triple 1200mm pipe culvert</t>
  </si>
  <si>
    <t>STONE MASONRY HEADWALL FOR TRIPLE 48-INCH PIPE CULVERT</t>
  </si>
  <si>
    <t>62011-5000</t>
  </si>
  <si>
    <t>Stone masonry pillar</t>
  </si>
  <si>
    <t>STONE MASONRY PILLAR</t>
  </si>
  <si>
    <t>62011-5100</t>
  </si>
  <si>
    <t>Stone masonry cap</t>
  </si>
  <si>
    <t>STONE MASONRY CAP</t>
  </si>
  <si>
    <t>62012-1000</t>
  </si>
  <si>
    <t>Stone masonry wall</t>
  </si>
  <si>
    <t>STONE MASONRY WALL</t>
  </si>
  <si>
    <t>62012-2000</t>
  </si>
  <si>
    <t>Stone masonry sign base</t>
  </si>
  <si>
    <t>STONE MASONRY SIGN BASE</t>
  </si>
  <si>
    <t>62012-3000</t>
  </si>
  <si>
    <t>Stone masonry headwall for box culvert</t>
  </si>
  <si>
    <t>STONE MASONRY HEADWALL FOR BOX CULVERT</t>
  </si>
  <si>
    <t>62013-1000</t>
  </si>
  <si>
    <t>Stone masonry apron</t>
  </si>
  <si>
    <t>STONE MASONRY APRON</t>
  </si>
  <si>
    <t>62013-2000</t>
  </si>
  <si>
    <t>62014-0000</t>
  </si>
  <si>
    <t>Sample wall</t>
  </si>
  <si>
    <t>SAMPLE WALL</t>
  </si>
  <si>
    <t>62015-1000</t>
  </si>
  <si>
    <t>Masonry, brick, wall</t>
  </si>
  <si>
    <t>MASONRY, BRICK, WALL</t>
  </si>
  <si>
    <t>62016-1000</t>
  </si>
  <si>
    <t>62017-0300</t>
  </si>
  <si>
    <t>Dry stacked stone masonry headwall for 450mm pipe culvert</t>
  </si>
  <si>
    <t>DRY STACKED STONE MASONRY HEADWALL FOR 18-INCH PIPE CULVERT</t>
  </si>
  <si>
    <t>62017-0500</t>
  </si>
  <si>
    <t>Dry stacked stone masonry headwall for 600mm pipe culvert</t>
  </si>
  <si>
    <t>DRY STACKED STONE MASONRY HEADWALL FOR 24-INCH PIPE CULVERT</t>
  </si>
  <si>
    <t>62017-0600</t>
  </si>
  <si>
    <t>Dry stacked stone masonry headwall for 750mm pipe culvert</t>
  </si>
  <si>
    <t>DRY STACKED STONE MASONRY HEADWALL FOR 30-INCH PIPE CULVERT</t>
  </si>
  <si>
    <t>62017-0700</t>
  </si>
  <si>
    <t>Dry stacked stone masonry headwall for 900mm pipe culvert</t>
  </si>
  <si>
    <t>DRY STACKED STONE MASONRY HEADWALL FOR 36-INCH PIPE CULVERT</t>
  </si>
  <si>
    <t>62017-0800</t>
  </si>
  <si>
    <t>Dry stacked stone masonry headwall for 1050mm pipe culvert</t>
  </si>
  <si>
    <t>DRY STACKED STONE MASONRY HEADWALL FOR 42-INCH PIPE CULVERT</t>
  </si>
  <si>
    <t>62017-0900</t>
  </si>
  <si>
    <t>Dry stacked stone masonry headwall for 1200mm pipe culvert</t>
  </si>
  <si>
    <t>DRY STACKED STONE MASONRY HEADWALL FOR 48-INCH PIPE CULVERT</t>
  </si>
  <si>
    <t>62017-3000</t>
  </si>
  <si>
    <t>Dry stacked stone masonry headwall for box culvert</t>
  </si>
  <si>
    <t>DRY STACKED STONE MASONRY HEADWALL FOR BOX CULVERT</t>
  </si>
  <si>
    <t>62025-1000</t>
  </si>
  <si>
    <t>Remove and reset stone masonry</t>
  </si>
  <si>
    <t>REMOVE AND RESET STONE MASONRY</t>
  </si>
  <si>
    <t>62026-1000</t>
  </si>
  <si>
    <t>62027-0000</t>
  </si>
  <si>
    <t>62027-1000</t>
  </si>
  <si>
    <t>Remove and reset stone masonry guardwall</t>
  </si>
  <si>
    <t>REMOVE AND RESET STONE MASONRY GUARDWALL</t>
  </si>
  <si>
    <t>62027-2000</t>
  </si>
  <si>
    <t>Remove and reset dry laid wall</t>
  </si>
  <si>
    <t>REMOVE AND RESET DRY LAID WALL</t>
  </si>
  <si>
    <t>62028-1000</t>
  </si>
  <si>
    <t>Remove and reset stone masonry headwall</t>
  </si>
  <si>
    <t>REMOVE AND RESET STONE MASONRY HEADWALL</t>
  </si>
  <si>
    <t>62030-0000</t>
  </si>
  <si>
    <t>Repoint stone masonry</t>
  </si>
  <si>
    <t>REPOINT STONE MASONRY</t>
  </si>
  <si>
    <t>62031-0000</t>
  </si>
  <si>
    <t>62032-0000</t>
  </si>
  <si>
    <t>62035-0000</t>
  </si>
  <si>
    <t>Clean stone masonry surfaces</t>
  </si>
  <si>
    <t>CLEAN STONE MASONRY SURFACES</t>
  </si>
  <si>
    <t>62036-0000</t>
  </si>
  <si>
    <t>Joint sealant</t>
  </si>
  <si>
    <t>JOINT SEALANT</t>
  </si>
  <si>
    <t>62038-0000</t>
  </si>
  <si>
    <t>Rock for masonry structures</t>
  </si>
  <si>
    <t>ROCK FOR MASONRY STRUCTURES</t>
  </si>
  <si>
    <t>62101-0000</t>
  </si>
  <si>
    <t>Monument</t>
  </si>
  <si>
    <t>MONUMENT</t>
  </si>
  <si>
    <t>62102-0000</t>
  </si>
  <si>
    <t>Marker</t>
  </si>
  <si>
    <t>MARKER</t>
  </si>
  <si>
    <t>62201-0000</t>
  </si>
  <si>
    <t>Equipment</t>
  </si>
  <si>
    <t>EQUIPMENT</t>
  </si>
  <si>
    <t>62201-0050</t>
  </si>
  <si>
    <t>Dump truck, 5 cubic meter minimum capacity</t>
  </si>
  <si>
    <t>DUMP TRUCK, 5 CUBIC YARD MINIMUM CAPACITY</t>
  </si>
  <si>
    <t>62201-0100</t>
  </si>
  <si>
    <t>Dump truck, 6 cubic meter minimum capacity</t>
  </si>
  <si>
    <t>DUMP TRUCK, 6 CUBIC YARD MINIMUM CAPACITY</t>
  </si>
  <si>
    <t>62201-0150</t>
  </si>
  <si>
    <t>Dump truck, 7 cubic meter minimum capacity</t>
  </si>
  <si>
    <t>DUMP TRUCK, 7 CUBIC YARD MINIMUM CAPACITY</t>
  </si>
  <si>
    <t>62201-0200</t>
  </si>
  <si>
    <t>Dump truck, 8 cubic meter minimum capacity</t>
  </si>
  <si>
    <t>DUMP TRUCK, 8 CUBIC YARD MINIMUM CAPACITY</t>
  </si>
  <si>
    <t>62201-0250</t>
  </si>
  <si>
    <t>Dump truck, 10 cubic meter minimum capacity</t>
  </si>
  <si>
    <t>DUMP TRUCK, 10 CUBIC YARD MINIMUM CAPACITY</t>
  </si>
  <si>
    <t>62201-0300</t>
  </si>
  <si>
    <t>Dump truck, 12 cubic meter minimum capacity</t>
  </si>
  <si>
    <t>DUMP TRUCK, 12 CUBIC YARD MINIMUM CAPACITY</t>
  </si>
  <si>
    <t>62201-0310</t>
  </si>
  <si>
    <t>Dump truck, 17 cubic meter minimum capacity</t>
  </si>
  <si>
    <t>DUMP TRUCK, 17 CUBIC YARD MINIMUM CAPACITY</t>
  </si>
  <si>
    <t>62201-0350</t>
  </si>
  <si>
    <t>62201-0400</t>
  </si>
  <si>
    <t>Backhoe loader, 60 liter minimum rated capacity bucket, 300mm width</t>
  </si>
  <si>
    <t>BACKHOE LOADER, 2 CUBIC FOOT MINIMUM RATED CAPACITY BUCKET, 12-INCH WIDTH</t>
  </si>
  <si>
    <t>62201-0450</t>
  </si>
  <si>
    <t>Backhoe loader, 120 liter minimum rated capacity bucket, 450mm width</t>
  </si>
  <si>
    <t>BACKHOE LOADER, 4 CUBIC FOOT MINIMUM RATED CAPACITY BUCKET, 18-INCH WIDTH</t>
  </si>
  <si>
    <t>62201-0500</t>
  </si>
  <si>
    <t>Backhoe loader, 120 liter minimum rated capacity bucket, 4-wheel drive</t>
  </si>
  <si>
    <t>BACKHOE LOADER, 4 CUBIC FOOT MINIMUM RATED CAPACITY BUCKET, 4-WHEEL DRIVE</t>
  </si>
  <si>
    <t>62201-0550</t>
  </si>
  <si>
    <t>Backhoe loader, 180 liter minimum rated capacity bucket, 600mm width</t>
  </si>
  <si>
    <t>BACKHOE LOADER, 6 CUBIC FOOT MINIMUM RATED CAPACITY BUCKET, 24-INCH WIDTH</t>
  </si>
  <si>
    <t>62201-0600</t>
  </si>
  <si>
    <t>Backhoe loader, 240 liter minimum rated capacity bucket, 750mm width</t>
  </si>
  <si>
    <t>BACKHOE LOADER, 8 CUBIC FOOT MINIMUM RATED CAPACITY BUCKET, 30-INCH WIDTH</t>
  </si>
  <si>
    <t>62201-0650</t>
  </si>
  <si>
    <t>Backhoe loader, 300 liter minimum rated capacity bucket, 900mm width</t>
  </si>
  <si>
    <t>BACKHOE LOADER, 10 CUBIC FOOT MINIMUM RATED CAPACITY BUCKET, 36-INCH WIDTH</t>
  </si>
  <si>
    <t>62201-0700</t>
  </si>
  <si>
    <t>Backhoe loader, 1 cubic meter minimum capacity frontend bucket, 0.3 cubic meter minimum capacity backhoe bucket, 65 kW minimum flywheel</t>
  </si>
  <si>
    <t>BACKHOE LOADER, 1 CUBIC YARD MINIMUM CAPACITY FRONTEND BUCKET, 10 CUBIC FOOT MINIMUM CAPACITY BACKHOE BUCKET, 90 HP MINIMUM FLYWHEEL</t>
  </si>
  <si>
    <t>62201-0750</t>
  </si>
  <si>
    <t>Wheel loader, 0.4 cubic meter minimum rated capacity</t>
  </si>
  <si>
    <t>WHEEL LOADER, 0.4 CUBIC YARD MINIMUM RATED CAPACITY</t>
  </si>
  <si>
    <t>62201-0800</t>
  </si>
  <si>
    <t>WHEEL LOADER, 0.7 CUBIC YARD MINIMUM RATED CAPACITY</t>
  </si>
  <si>
    <t>62201-0850</t>
  </si>
  <si>
    <t>Wheel loader, 1 cubic meter minimum rated capacity</t>
  </si>
  <si>
    <t>WHEEL LOADER, 1 CUBIC YARD MINIMUM RATED CAPACITY</t>
  </si>
  <si>
    <t>62201-0900</t>
  </si>
  <si>
    <t>Wheel loader, 2 cubic meter minimum rated capacity</t>
  </si>
  <si>
    <t>WHEEL LOADER, 2 CUBIC YARD MINIMUM RATED CAPACITY</t>
  </si>
  <si>
    <t>62201-0950</t>
  </si>
  <si>
    <t>Wheel loader, 3 cubic meter minimum rated capacity</t>
  </si>
  <si>
    <t>WHEEL LOADER, 3 CUBIC YARD MINIMUM RATED CAPACITY</t>
  </si>
  <si>
    <t>62201-1000</t>
  </si>
  <si>
    <t>Wheel loader, 4 cubic meter minimum rated capacity</t>
  </si>
  <si>
    <t>WHEEL LOADER, 4 CUBIC YARD MINIMUM RATED CAPACITY</t>
  </si>
  <si>
    <t>62201-1050</t>
  </si>
  <si>
    <t>Wheel loader, 5 cubic meter minimum rated capacity</t>
  </si>
  <si>
    <t>WHEEL LOADER, 5 CUBIC YARD MINIMUM RATED CAPACITY</t>
  </si>
  <si>
    <t>62201-1100</t>
  </si>
  <si>
    <t>Wheel loader, 6 cubic meter minimum rated capacity</t>
  </si>
  <si>
    <t>WHEEL LOADER, 6 CUBIC YARD MINIMUM RATED CAPACITY</t>
  </si>
  <si>
    <t>62201-1150</t>
  </si>
  <si>
    <t>Bulldozer, 50kW minimum flywheel power</t>
  </si>
  <si>
    <t>BULLDOZER, 70HP MINIMUM FLYWHEEL POWER</t>
  </si>
  <si>
    <t>62201-1200</t>
  </si>
  <si>
    <t>Bulldozer, 60kW minimum flywheel power</t>
  </si>
  <si>
    <t>BULLDOZER, 80HP MINIMUM FLYWHEEL POWER</t>
  </si>
  <si>
    <t>62201-1250</t>
  </si>
  <si>
    <t>Bulldozer, 90kW minimum flywheel power</t>
  </si>
  <si>
    <t>BULLDOZER, 120HP MINIMUM FLYWHEEL POWER</t>
  </si>
  <si>
    <t>62201-1300</t>
  </si>
  <si>
    <t>Bulldozer, 120kW minimum flywheel power</t>
  </si>
  <si>
    <t>BULLDOZER, 160HP MINIMUM FLYWHEEL POWER</t>
  </si>
  <si>
    <t>62201-1350</t>
  </si>
  <si>
    <t>Bulldozer, 150kW minimum flywheel power</t>
  </si>
  <si>
    <t>BULLDOZER, 200HP MINIMUM FLYWHEEL POWER</t>
  </si>
  <si>
    <t>62201-1400</t>
  </si>
  <si>
    <t>Bulldozer, 200kW minimum flywheel power</t>
  </si>
  <si>
    <t>BULLDOZER, 250HP MINIMUM FLYWHEEL POWER</t>
  </si>
  <si>
    <t>62201-1450</t>
  </si>
  <si>
    <t>Bulldozer, 250kW minimum flywheel power</t>
  </si>
  <si>
    <t>BULLDOZER, 350HP MINIMUM FLYWHEEL POWER</t>
  </si>
  <si>
    <t>62201-1500</t>
  </si>
  <si>
    <t>Bulldozer, 300kW minimum flywheel power</t>
  </si>
  <si>
    <t>BULLDOZER, 400HP MINIMUM FLYWHEEL POWER</t>
  </si>
  <si>
    <t>62201-1550</t>
  </si>
  <si>
    <t>Bulldozer, power angle and power tilt blade, 45kW minimum</t>
  </si>
  <si>
    <t>BULLDOZER, POWER ANGLE AND POWER TILT BLADE, 60HP MINIMUM</t>
  </si>
  <si>
    <t>62201-1600</t>
  </si>
  <si>
    <t>Bulldozer, universal blade, 80kW minimum</t>
  </si>
  <si>
    <t>BULLDOZER, UNIVERSAL BLADE, 100HP MINIMUM</t>
  </si>
  <si>
    <t>62201-1650</t>
  </si>
  <si>
    <t>Bulldozer, universal blade, 125kW minimum</t>
  </si>
  <si>
    <t>BULLDOZER, UNIVERSAL BLADE, 170HP MINIMUM</t>
  </si>
  <si>
    <t>62201-1700</t>
  </si>
  <si>
    <t>Bulldozer, straight blade, 125kW</t>
  </si>
  <si>
    <t>BULLDOZER, STRAIGHT BLADE, 170HP</t>
  </si>
  <si>
    <t>62201-1750</t>
  </si>
  <si>
    <t>Bulldozer, 150kW minimum</t>
  </si>
  <si>
    <t>BULLDOZER, 200HP MINIMUM</t>
  </si>
  <si>
    <t>62201-1800</t>
  </si>
  <si>
    <t>Bulldozer, universal blade, 150kW minimum</t>
  </si>
  <si>
    <t>BULLDOZER, UNIVERSAL BLADE, 200HP MINIMUM</t>
  </si>
  <si>
    <t>62201-1850</t>
  </si>
  <si>
    <t>Bulldozer, universal blade, 210kW minimum, with winch and cable</t>
  </si>
  <si>
    <t>BULLDOZER, UNIVERSAL BLADE, 250HP MINIMUM, WITH WINCH AND CABLE</t>
  </si>
  <si>
    <t>62201-1900</t>
  </si>
  <si>
    <t>Bulldozer, ripper, 225kW minimum</t>
  </si>
  <si>
    <t>BULLDOZER, RIPPER, 300HP MINIMUM</t>
  </si>
  <si>
    <t>62201-1950</t>
  </si>
  <si>
    <t>Bulldozer, universal blade, 225kW minimum</t>
  </si>
  <si>
    <t>BULLDOZER, UNIVERSAL BLADE, 300HP MINIMUM</t>
  </si>
  <si>
    <t>62201-2000</t>
  </si>
  <si>
    <t>Bulldozer, universal blade and ripper, 225kW minimum</t>
  </si>
  <si>
    <t>BULLDOZER, UNIVERSAL BLADE AND RIPPER, 300HP MINIMUM</t>
  </si>
  <si>
    <t>62201-2050</t>
  </si>
  <si>
    <t>Roller</t>
  </si>
  <si>
    <t>ROLLER</t>
  </si>
  <si>
    <t>62201-2100</t>
  </si>
  <si>
    <t>Compactor</t>
  </si>
  <si>
    <t>COMPACTOR</t>
  </si>
  <si>
    <t>62201-2150</t>
  </si>
  <si>
    <t>Tractor, with 1500mm bar mower</t>
  </si>
  <si>
    <t>TRACTOR, WITH 60-INCH BAR MOWER</t>
  </si>
  <si>
    <t>62201-2200</t>
  </si>
  <si>
    <t>Tractor, with 1800mm bar mower</t>
  </si>
  <si>
    <t>TRACTOR, WITH 72-INCH BAR MOWER</t>
  </si>
  <si>
    <t>62201-2250</t>
  </si>
  <si>
    <t>Tractor, with 1800mm diameter rotary mower, 12HP</t>
  </si>
  <si>
    <t>TRACTOR, WITH 72-INCH DIAMETER ROTARY MOWER, 12HP</t>
  </si>
  <si>
    <t>62201-2300</t>
  </si>
  <si>
    <t>Brush mower, with 1800mm diameter rotary mower, 50HP</t>
  </si>
  <si>
    <t>BRUSH MOWER, WITH 72-INCH DIAMETER ROTARY MOWER, 50HP</t>
  </si>
  <si>
    <t>62201-2350</t>
  </si>
  <si>
    <t>Power broom</t>
  </si>
  <si>
    <t>POWER BROOM</t>
  </si>
  <si>
    <t>62201-2360</t>
  </si>
  <si>
    <t>Vacuum sweeper</t>
  </si>
  <si>
    <t>VACUUM SWEEPER</t>
  </si>
  <si>
    <t>62201-2400</t>
  </si>
  <si>
    <t>Crane</t>
  </si>
  <si>
    <t>CRANE</t>
  </si>
  <si>
    <t>62201-2450</t>
  </si>
  <si>
    <t>Crane, truck mounted, 40 metric ton minimum capacity, 33 meter minimum boom with clam bucket</t>
  </si>
  <si>
    <t>CRANE, TRUCK MOUNTED, 40 TON MINIMUM CAPACITY, 100 FOOT MINIMUM BOOM WITH CLAM BUCKET</t>
  </si>
  <si>
    <t>62201-2500</t>
  </si>
  <si>
    <t>Crane, truck mounted, 45 metric ton minimum capacity, 27 meter minimum boom, with dragline bucket</t>
  </si>
  <si>
    <t>CRANE, TRUCK MOUNTED, 45 TON MINIMUM CAPACITY, 90 FOOT MINIMUM BOOM, WITH DRAGLINE BUCKET</t>
  </si>
  <si>
    <t>62201-2550</t>
  </si>
  <si>
    <t>Crane, truck mounted, 45 metric ton minimum capacity, 30 meter minimum boom, with dragline bucket</t>
  </si>
  <si>
    <t>CRANE, TRUCK MOUNTED, 45 TON MINIMUM CAPACITY, 100 FOOT MINIMUM BOOM, WITH DRAGLINE BUCKET</t>
  </si>
  <si>
    <t>62201-2600</t>
  </si>
  <si>
    <t>Crane, truck mounted or self-propelled, 90 metric tons minimum capacity, 55m min. boom, with dragline bucket, wrecking ball, 6m dozer track</t>
  </si>
  <si>
    <t>CRANE, TRUCK MOUNTED OR SELF-PROPELLED, 90 TONS MINIMUM CAPACITY, 180 FOOT MIN. BOOM, WITH DRAGLINE BUCKET, WRECKING BALL, 20 FOOT DOZER TRACK</t>
  </si>
  <si>
    <t>62201-2650</t>
  </si>
  <si>
    <t>Crane, truck mounted, 65 metric ton minimum capacity, 55m minimum boom, with dragline bucket and 6m dozer track drag</t>
  </si>
  <si>
    <t>CRANE, TRUCK MOUNTED, 65 TON MINIMUM CAPACITY, 180 FOOT MINIMUM BOOM, WITH DRAGLINE BUCKET AND 20 FOOT DOZER TRACK DRAG</t>
  </si>
  <si>
    <t>62201-2700</t>
  </si>
  <si>
    <t>Crane, truck mounted, 90 metric ton minimum capacity, 55m minimum boom, with dragline bucket and 3m dozer track drag</t>
  </si>
  <si>
    <t>CRANE, TRUCK MOUNTED, 90 TON MINIMUM CAPACITY, 180 FOOT MINIMUM BOOM, WITH DRAGLINE BUCKET AND 10 FOOT DOZER TRACK DRAG</t>
  </si>
  <si>
    <t>62201-2750</t>
  </si>
  <si>
    <t>Motor grader</t>
  </si>
  <si>
    <t>MOTOR GRADER</t>
  </si>
  <si>
    <t>62201-2800</t>
  </si>
  <si>
    <t>Motor grader, 2.4 meter minimum blade</t>
  </si>
  <si>
    <t>MOTOR GRADER, 8 FOOT MINIMUM BLADE</t>
  </si>
  <si>
    <t>62201-2850</t>
  </si>
  <si>
    <t>Motor grader, 3.6 meter minimum blade</t>
  </si>
  <si>
    <t>MOTOR GRADER, 12 FOOT MINIMUM BLADE</t>
  </si>
  <si>
    <t>62201-2950</t>
  </si>
  <si>
    <t>Motor grader, 4.2 meter minimum blade</t>
  </si>
  <si>
    <t>MOTOR GRADER, 14 FOOT MINIMUM BLADE</t>
  </si>
  <si>
    <t>62201-3000</t>
  </si>
  <si>
    <t>Hydraulic excavator</t>
  </si>
  <si>
    <t>HYDRAULIC EXCAVATOR</t>
  </si>
  <si>
    <t>62201-3050</t>
  </si>
  <si>
    <t>62201-3100</t>
  </si>
  <si>
    <t>62201-3150</t>
  </si>
  <si>
    <t>62201-3200</t>
  </si>
  <si>
    <t>62201-3250</t>
  </si>
  <si>
    <t>62201-3300</t>
  </si>
  <si>
    <t>Hydraulic excavator, 1.1 cubic meter minimum capacity with thumb attachment</t>
  </si>
  <si>
    <t>62201-3450</t>
  </si>
  <si>
    <t>62201-3550</t>
  </si>
  <si>
    <t>Four wheel all terrain vehicle</t>
  </si>
  <si>
    <t>FOUR WHEEL ALL TERRAIN VEHICLE</t>
  </si>
  <si>
    <t>62201-3600</t>
  </si>
  <si>
    <t>Manlift</t>
  </si>
  <si>
    <t>MANLIFT</t>
  </si>
  <si>
    <t>62201-3650</t>
  </si>
  <si>
    <t>Chipper</t>
  </si>
  <si>
    <t>CHIPPER</t>
  </si>
  <si>
    <t>62201-3700</t>
  </si>
  <si>
    <t>STUMP CUTTER</t>
  </si>
  <si>
    <t>62201-3750</t>
  </si>
  <si>
    <t>CHAIN SAW</t>
  </si>
  <si>
    <t>62201-3800</t>
  </si>
  <si>
    <t>62201-3850</t>
  </si>
  <si>
    <t>Water truck</t>
  </si>
  <si>
    <t>WATER TRUCK</t>
  </si>
  <si>
    <t>62201-3900</t>
  </si>
  <si>
    <t>Snow plow</t>
  </si>
  <si>
    <t>SNOW PLOW</t>
  </si>
  <si>
    <t>62201-3950</t>
  </si>
  <si>
    <t>Scraper, 15 cubic meter minimum capacity</t>
  </si>
  <si>
    <t>SCRAPER, 15 CUBIC YARD MINIMUM CAPACITY</t>
  </si>
  <si>
    <t>62201-4050</t>
  </si>
  <si>
    <t>62201-4100</t>
  </si>
  <si>
    <t>62201-4150</t>
  </si>
  <si>
    <t>62201-4200</t>
  </si>
  <si>
    <t>62201-4300</t>
  </si>
  <si>
    <t>Pump, water, trash, 150mm</t>
  </si>
  <si>
    <t>PUMP, WATER, TRASH, 6-INCH</t>
  </si>
  <si>
    <t>62301-0000</t>
  </si>
  <si>
    <t>General labor</t>
  </si>
  <si>
    <t>GENERAL LABOR</t>
  </si>
  <si>
    <t>62302-0000</t>
  </si>
  <si>
    <t>Special labor</t>
  </si>
  <si>
    <t>SPECIAL LABOR</t>
  </si>
  <si>
    <t>62302-1000</t>
  </si>
  <si>
    <t>Special labor, hired technical services</t>
  </si>
  <si>
    <t>SPECIAL LABOR, HIRED TECHNICAL SERVICES</t>
  </si>
  <si>
    <t>62302-1100</t>
  </si>
  <si>
    <t>Special labor, hired survey services</t>
  </si>
  <si>
    <t>SPECIAL LABOR, HIRED SURVEY SERVICES</t>
  </si>
  <si>
    <t>62303-1000</t>
  </si>
  <si>
    <t>62304-0000</t>
  </si>
  <si>
    <t>day</t>
  </si>
  <si>
    <t>62401-0100</t>
  </si>
  <si>
    <t>62401-0200</t>
  </si>
  <si>
    <t>62401-0300</t>
  </si>
  <si>
    <t>62401-0400</t>
  </si>
  <si>
    <t>62401-0500</t>
  </si>
  <si>
    <t>62401-0600</t>
  </si>
  <si>
    <t>62401-0700</t>
  </si>
  <si>
    <t>62402-0100</t>
  </si>
  <si>
    <t>62402-0200</t>
  </si>
  <si>
    <t>62402-0300</t>
  </si>
  <si>
    <t>62402-0400</t>
  </si>
  <si>
    <t>62402-0500</t>
  </si>
  <si>
    <t>62402-0600</t>
  </si>
  <si>
    <t>62402-0700</t>
  </si>
  <si>
    <t>62403-0000</t>
  </si>
  <si>
    <t>62404-0000</t>
  </si>
  <si>
    <t>62405-0100</t>
  </si>
  <si>
    <t>Placing conserved topsoil, 50mm depth</t>
  </si>
  <si>
    <t>PLACING CONSERVED TOPSOIL, 2-INCH DEPTH</t>
  </si>
  <si>
    <t>62405-0200</t>
  </si>
  <si>
    <t>Placing conserved topsoil, 75mm depth</t>
  </si>
  <si>
    <t>PLACING CONSERVED TOPSOIL, 3-INCH DEPTH</t>
  </si>
  <si>
    <t>62405-0300</t>
  </si>
  <si>
    <t>Placing conserved topsoil, 100mm depth</t>
  </si>
  <si>
    <t>PLACING CONSERVED TOPSOIL, 4-INCH DEPTH</t>
  </si>
  <si>
    <t>62405-0350</t>
  </si>
  <si>
    <t>Placing conserved topsoil, 125mm depth</t>
  </si>
  <si>
    <t>PLACING CONSERVED TOPSOIL, 5-INCH DEPTH</t>
  </si>
  <si>
    <t>62405-0400</t>
  </si>
  <si>
    <t>Placing conserved topsoil, 150mm depth</t>
  </si>
  <si>
    <t>PLACING CONSERVED TOPSOIL, 6-INCH DEPTH</t>
  </si>
  <si>
    <t>62405-0500</t>
  </si>
  <si>
    <t>Placing conserved topsoil, 200mm depth</t>
  </si>
  <si>
    <t>PLACING CONSERVED TOPSOIL, 8-INCH DEPTH</t>
  </si>
  <si>
    <t>62405-0600</t>
  </si>
  <si>
    <t>Placing conserved topsoil, 250mm depth</t>
  </si>
  <si>
    <t>PLACING CONSERVED TOPSOIL, 10-INCH DEPTH</t>
  </si>
  <si>
    <t>62405-0700</t>
  </si>
  <si>
    <t>Placing conserved topsoil, 300mm depth</t>
  </si>
  <si>
    <t>PLACING CONSERVED TOPSOIL, 12-INCH DEPTH</t>
  </si>
  <si>
    <t>62405-1300</t>
  </si>
  <si>
    <t>Placing conserved topsoil, 600mm depth</t>
  </si>
  <si>
    <t>PLACING CONSERVED TOPSOIL, 24-INCH DEPTH</t>
  </si>
  <si>
    <t>62406-0100</t>
  </si>
  <si>
    <t>62406-0200</t>
  </si>
  <si>
    <t>62406-0300</t>
  </si>
  <si>
    <t>62406-0350</t>
  </si>
  <si>
    <t>62406-0400</t>
  </si>
  <si>
    <t>62406-0500</t>
  </si>
  <si>
    <t>62406-0600</t>
  </si>
  <si>
    <t>62406-0700</t>
  </si>
  <si>
    <t>62406-1300</t>
  </si>
  <si>
    <t>62407-0000</t>
  </si>
  <si>
    <t>Placing conserved topsoil</t>
  </si>
  <si>
    <t>PLACING CONSERVED TOPSOIL</t>
  </si>
  <si>
    <t>62408-0000</t>
  </si>
  <si>
    <t>62409-0000</t>
  </si>
  <si>
    <t>Placing manufactured topsoil</t>
  </si>
  <si>
    <t>PLACING MANUFACTURED TOPSOIL</t>
  </si>
  <si>
    <t>62410-0000</t>
  </si>
  <si>
    <t>62411-0350</t>
  </si>
  <si>
    <t>62415-0000</t>
  </si>
  <si>
    <t>Conserve and place forest duff</t>
  </si>
  <si>
    <t>CONSERVE AND PLACE FOREST DUFF</t>
  </si>
  <si>
    <t>62501-0000</t>
  </si>
  <si>
    <t>Turf establishment</t>
  </si>
  <si>
    <t>TURF ESTABLISHMENT</t>
  </si>
  <si>
    <t>62502-0000</t>
  </si>
  <si>
    <t>62510-1000</t>
  </si>
  <si>
    <t>Seeding, dry method</t>
  </si>
  <si>
    <t>SEEDING, DRY METHOD</t>
  </si>
  <si>
    <t>62510-2000</t>
  </si>
  <si>
    <t>Seeding, hydraulic method</t>
  </si>
  <si>
    <t>SEEDING, HYDRAULIC METHOD</t>
  </si>
  <si>
    <t>62511-1000</t>
  </si>
  <si>
    <t>62511-2000</t>
  </si>
  <si>
    <t>62515-1000</t>
  </si>
  <si>
    <t>Mulching, dry method</t>
  </si>
  <si>
    <t>MULCHING, DRY METHOD</t>
  </si>
  <si>
    <t>62515-2000</t>
  </si>
  <si>
    <t>Mulching, hydraulic method</t>
  </si>
  <si>
    <t>MULCHING, HYDRAULIC METHOD</t>
  </si>
  <si>
    <t>62515-3000</t>
  </si>
  <si>
    <t>Mulching, hydraulic method, bonded fiber matrix</t>
  </si>
  <si>
    <t>MULCHING, HYDRAULIC METHOD, BONDED FIBER MATRIX</t>
  </si>
  <si>
    <t>62515-4000</t>
  </si>
  <si>
    <t>Mulching, hand method</t>
  </si>
  <si>
    <t>MULCHING, HAND METHOD</t>
  </si>
  <si>
    <t>62516-1000</t>
  </si>
  <si>
    <t>62516-2000</t>
  </si>
  <si>
    <t>62516-3000</t>
  </si>
  <si>
    <t>62516-4000</t>
  </si>
  <si>
    <t>62520-0000</t>
  </si>
  <si>
    <t>Fertilizer</t>
  </si>
  <si>
    <t>FERTILIZER</t>
  </si>
  <si>
    <t>62521-0000</t>
  </si>
  <si>
    <t>62525-0000</t>
  </si>
  <si>
    <t>Water</t>
  </si>
  <si>
    <t>WATER</t>
  </si>
  <si>
    <t>62535-0000</t>
  </si>
  <si>
    <t>Herbicide</t>
  </si>
  <si>
    <t>L</t>
  </si>
  <si>
    <t>HERBICIDE</t>
  </si>
  <si>
    <t>62542-1000</t>
  </si>
  <si>
    <t>Seeding supplements, seed</t>
  </si>
  <si>
    <t>SEEDING SUPPLEMENTS, SEED</t>
  </si>
  <si>
    <t>62550-2000</t>
  </si>
  <si>
    <t>Biotic soil amendment, hydraulic method</t>
  </si>
  <si>
    <t>BIOTIC SOIL AMENDMENT, HYDRAULIC METHOD</t>
  </si>
  <si>
    <t>62601-1000</t>
  </si>
  <si>
    <t>62613-0500</t>
  </si>
  <si>
    <t>Plantings, seedlings, bare root</t>
  </si>
  <si>
    <t>PLANTINGS, SEEDLINGS, BARE ROOT</t>
  </si>
  <si>
    <t>Plantings, seedlings, balled and burlapped</t>
  </si>
  <si>
    <t>PLANTINGS, SEEDLINGS, BALLED AND BURLAPPED</t>
  </si>
  <si>
    <t>Plantings, seedlings, container grown</t>
  </si>
  <si>
    <t>PLANTINGS, SEEDLINGS, CONTAINER GROWN</t>
  </si>
  <si>
    <t>Plantings, trees, balled and burlapped</t>
  </si>
  <si>
    <t>PLANTINGS, TREES, BALLED AND BURLAPPED</t>
  </si>
  <si>
    <t>Plantings, wetland plant, container grown</t>
  </si>
  <si>
    <t>PLANTINGS, WETLAND PLANT, CONTAINER GROWN</t>
  </si>
  <si>
    <t>Plantings</t>
  </si>
  <si>
    <t>PLANTINGS</t>
  </si>
  <si>
    <t>Cuttings, alder</t>
  </si>
  <si>
    <t>CUTTINGS, ALDER</t>
  </si>
  <si>
    <t>Cuttings, cottonwood pole</t>
  </si>
  <si>
    <t>CUTTINGS, COTTONWOOD POLE</t>
  </si>
  <si>
    <t>Cuttings, red osier dogwood</t>
  </si>
  <si>
    <t>CUTTINGS, RED OSIER DOGWOOD</t>
  </si>
  <si>
    <t>Cuttings, willow staking</t>
  </si>
  <si>
    <t>CUTTINGS, WILLOW STAKING</t>
  </si>
  <si>
    <t>Cuttings, willow pole</t>
  </si>
  <si>
    <t>CUTTINGS, WILLOW POLE</t>
  </si>
  <si>
    <t>Bundles, alder</t>
  </si>
  <si>
    <t>BUNDLES, ALDER</t>
  </si>
  <si>
    <t>Bundles, willow</t>
  </si>
  <si>
    <t>BUNDLES, WILLOW</t>
  </si>
  <si>
    <t>Tree grate</t>
  </si>
  <si>
    <t>TREE GRATE</t>
  </si>
  <si>
    <t>Tree well</t>
  </si>
  <si>
    <t>TREE WELL</t>
  </si>
  <si>
    <t>Root barrier</t>
  </si>
  <si>
    <t>ROOT BARRIER</t>
  </si>
  <si>
    <t>Landscape edging, metal</t>
  </si>
  <si>
    <t>LANDSCAPE EDGING, METAL</t>
  </si>
  <si>
    <t>Remove and replant tree and shrub</t>
  </si>
  <si>
    <t>REMOVE AND REPLANT TREE AND SHRUB</t>
  </si>
  <si>
    <t>62701-0000</t>
  </si>
  <si>
    <t>Sod</t>
  </si>
  <si>
    <t>SOD</t>
  </si>
  <si>
    <t>62701-1000</t>
  </si>
  <si>
    <t>Sod, solid</t>
  </si>
  <si>
    <t>SOD, SOLID</t>
  </si>
  <si>
    <t>62701-2000</t>
  </si>
  <si>
    <t>Sod, strip</t>
  </si>
  <si>
    <t>SOD, STRIP</t>
  </si>
  <si>
    <t>62701-3000</t>
  </si>
  <si>
    <t>Sod, spot</t>
  </si>
  <si>
    <t>SOD, SPOT</t>
  </si>
  <si>
    <t>62901-0000</t>
  </si>
  <si>
    <t>Rolled erosion control product</t>
  </si>
  <si>
    <t>ROLLED EROSION CONTROL PRODUCT</t>
  </si>
  <si>
    <t>62901-0100</t>
  </si>
  <si>
    <t>Rolled erosion control product, type 1.A</t>
  </si>
  <si>
    <t>ROLLED EROSION CONTROL PRODUCT, TYPE 1.A</t>
  </si>
  <si>
    <t>62901-0200</t>
  </si>
  <si>
    <t>Rolled erosion control product, type 1.B</t>
  </si>
  <si>
    <t>ROLLED EROSION CONTROL PRODUCT, TYPE 1.B</t>
  </si>
  <si>
    <t>62901-0300</t>
  </si>
  <si>
    <t>Rolled erosion control product, type 1.C</t>
  </si>
  <si>
    <t>ROLLED EROSION CONTROL PRODUCT, TYPE 1.C</t>
  </si>
  <si>
    <t>62901-0400</t>
  </si>
  <si>
    <t>Rolled erosion control product, type 1.D</t>
  </si>
  <si>
    <t>ROLLED EROSION CONTROL PRODUCT, TYPE 1.D</t>
  </si>
  <si>
    <t>62901-0500</t>
  </si>
  <si>
    <t>Rolled erosion control product, type 2.A</t>
  </si>
  <si>
    <t>ROLLED EROSION CONTROL PRODUCT, TYPE 2.A</t>
  </si>
  <si>
    <t>62901-0600</t>
  </si>
  <si>
    <t>Rolled erosion control product, type 2.B</t>
  </si>
  <si>
    <t>ROLLED EROSION CONTROL PRODUCT, TYPE 2.B</t>
  </si>
  <si>
    <t>62901-0700</t>
  </si>
  <si>
    <t>Rolled erosion control product, type 2.C</t>
  </si>
  <si>
    <t>ROLLED EROSION CONTROL PRODUCT, TYPE 2.C</t>
  </si>
  <si>
    <t>62901-0800</t>
  </si>
  <si>
    <t>Rolled erosion control product, type 2.D</t>
  </si>
  <si>
    <t>ROLLED EROSION CONTROL PRODUCT, TYPE 2.D</t>
  </si>
  <si>
    <t>62901-0900</t>
  </si>
  <si>
    <t>Rolled erosion control product, type 3.A</t>
  </si>
  <si>
    <t>ROLLED EROSION CONTROL PRODUCT, TYPE 3.A</t>
  </si>
  <si>
    <t>62901-1000</t>
  </si>
  <si>
    <t>Rolled erosion control product, type 3.B</t>
  </si>
  <si>
    <t>ROLLED EROSION CONTROL PRODUCT, TYPE 3.B</t>
  </si>
  <si>
    <t>62901-1100</t>
  </si>
  <si>
    <t>62901-1200</t>
  </si>
  <si>
    <t>Rolled erosion control product, type 5.A</t>
  </si>
  <si>
    <t>ROLLED EROSION CONTROL PRODUCT, TYPE 5.A</t>
  </si>
  <si>
    <t>62901-1300</t>
  </si>
  <si>
    <t>Rolled erosion control product, type 5.B</t>
  </si>
  <si>
    <t>ROLLED EROSION CONTROL PRODUCT, TYPE 5.B</t>
  </si>
  <si>
    <t>62901-1400</t>
  </si>
  <si>
    <t>Rolled erosion control product, type 5.C</t>
  </si>
  <si>
    <t>ROLLED EROSION CONTROL PRODUCT, TYPE 5.C</t>
  </si>
  <si>
    <t>62901-1500</t>
  </si>
  <si>
    <t>Rolled erosion control product, type 5.D</t>
  </si>
  <si>
    <t>ROLLED EROSION CONTROL PRODUCT, TYPE 5.D</t>
  </si>
  <si>
    <t>62902-0000</t>
  </si>
  <si>
    <t>62902-0100</t>
  </si>
  <si>
    <t>62902-0200</t>
  </si>
  <si>
    <t>62902-0300</t>
  </si>
  <si>
    <t>62902-0400</t>
  </si>
  <si>
    <t>62902-0500</t>
  </si>
  <si>
    <t>62902-0600</t>
  </si>
  <si>
    <t>62902-0700</t>
  </si>
  <si>
    <t>62902-0800</t>
  </si>
  <si>
    <t>62902-0900</t>
  </si>
  <si>
    <t>62902-1000</t>
  </si>
  <si>
    <t>62902-1100</t>
  </si>
  <si>
    <t>62902-1200</t>
  </si>
  <si>
    <t>62902-1300</t>
  </si>
  <si>
    <t>62902-1400</t>
  </si>
  <si>
    <t>62903-0000</t>
  </si>
  <si>
    <t>Cellular confinement system</t>
  </si>
  <si>
    <t>CELLULAR CONFINEMENT SYSTEM</t>
  </si>
  <si>
    <t>63301-0000</t>
  </si>
  <si>
    <t>Sign system</t>
  </si>
  <si>
    <t>SIGN SYSTEM</t>
  </si>
  <si>
    <t>63301-1000</t>
  </si>
  <si>
    <t>63302-0000</t>
  </si>
  <si>
    <t>63302-1000</t>
  </si>
  <si>
    <t>63303-0100</t>
  </si>
  <si>
    <t>Sign, steel panel, type 3 sheeting</t>
  </si>
  <si>
    <t>SIGN, STEEL PANEL, TYPE 3 SHEETING</t>
  </si>
  <si>
    <t>63303-0300</t>
  </si>
  <si>
    <t>Sign, steel panel, type 8 sheeting</t>
  </si>
  <si>
    <t>SIGN, STEEL PANEL, TYPE 8 SHEETING</t>
  </si>
  <si>
    <t>63303-0400</t>
  </si>
  <si>
    <t>Sign, steel panel, type 9 sheeting</t>
  </si>
  <si>
    <t>SIGN, STEEL PANEL, TYPE 9 SHEETING</t>
  </si>
  <si>
    <t>63303-0900</t>
  </si>
  <si>
    <t>Sign, aluminum panel, type 3 sheeting</t>
  </si>
  <si>
    <t>SIGN, ALUMINUM PANEL, TYPE 3 SHEETING</t>
  </si>
  <si>
    <t>63303-1100</t>
  </si>
  <si>
    <t>Sign, aluminum panel, type 8 sheeting</t>
  </si>
  <si>
    <t>SIGN, ALUMINUM PANEL, TYPE 8 SHEETING</t>
  </si>
  <si>
    <t>63303-1200</t>
  </si>
  <si>
    <t>Sign, aluminum panel, type 9 sheeting</t>
  </si>
  <si>
    <t>SIGN, ALUMINUM PANEL, TYPE 9 SHEETING</t>
  </si>
  <si>
    <t>63303-1300</t>
  </si>
  <si>
    <t>Sign, plastic panel, type 3 sheeting</t>
  </si>
  <si>
    <t>SIGN, PLASTIC PANEL, TYPE 3 SHEETING</t>
  </si>
  <si>
    <t>63303-1500</t>
  </si>
  <si>
    <t>Sign, plastic panel, type 8 sheeting</t>
  </si>
  <si>
    <t>SIGN, PLASTIC PANEL, TYPE 8 SHEETING</t>
  </si>
  <si>
    <t>63303-1600</t>
  </si>
  <si>
    <t>Sign, plastic panel, type 9 sheeting</t>
  </si>
  <si>
    <t>SIGN, PLASTIC PANEL, TYPE 9 SHEETING</t>
  </si>
  <si>
    <t>63304-0100</t>
  </si>
  <si>
    <t>Signs, steel panels, type 3 sheeting</t>
  </si>
  <si>
    <t>SIGNS, STEEL PANELS, TYPE 3 SHEETING</t>
  </si>
  <si>
    <t>63304-0300</t>
  </si>
  <si>
    <t>Signs, steel panels, type 8 sheeting</t>
  </si>
  <si>
    <t>SIGNS, STEEL PANELS, TYPE 8 SHEETING</t>
  </si>
  <si>
    <t>63304-0400</t>
  </si>
  <si>
    <t>Signs, steel panels, type 9 sheeting</t>
  </si>
  <si>
    <t>SIGNS, STEEL PANELS, TYPE 9 SHEETING</t>
  </si>
  <si>
    <t>63304-0900</t>
  </si>
  <si>
    <t>Signs, aluminum panels, type 3 sheeting</t>
  </si>
  <si>
    <t>SIGNS, ALUMINUM PANELS, TYPE 3 SHEETING</t>
  </si>
  <si>
    <t>63304-1100</t>
  </si>
  <si>
    <t>Signs, aluminum panels, type 8 sheeting</t>
  </si>
  <si>
    <t>SIGNS, ALUMINUM PANELS, TYPE 8 SHEETING</t>
  </si>
  <si>
    <t>63304-1200</t>
  </si>
  <si>
    <t>Signs, aluminum panels, type 9 sheeting</t>
  </si>
  <si>
    <t>SIGNS, ALUMINUM PANELS, TYPE 9 SHEETING</t>
  </si>
  <si>
    <t>63304-1300</t>
  </si>
  <si>
    <t>Signs, plastic panels, type 3 sheeting</t>
  </si>
  <si>
    <t>SIGNS, PLASTIC PANELS, TYPE 3 SHEETING</t>
  </si>
  <si>
    <t>63304-1500</t>
  </si>
  <si>
    <t>Signs, plastic panels, type 8 sheeting</t>
  </si>
  <si>
    <t>SIGNS, PLASTIC PANELS, TYPE 8 SHEETING</t>
  </si>
  <si>
    <t>63304-1600</t>
  </si>
  <si>
    <t>Signs, plastic panels, type 9 sheeting</t>
  </si>
  <si>
    <t>SIGNS, PLASTIC PANELS, TYPE 9 SHEETING</t>
  </si>
  <si>
    <t>63305-0100</t>
  </si>
  <si>
    <t>Posts, steel, U-channel</t>
  </si>
  <si>
    <t>POSTS, STEEL, U-CHANNEL</t>
  </si>
  <si>
    <t>63305-0200</t>
  </si>
  <si>
    <t>Posts, steel, 50mm diameter</t>
  </si>
  <si>
    <t>POSTS, STEEL, 2-INCH DIAMETER</t>
  </si>
  <si>
    <t>63305-0300</t>
  </si>
  <si>
    <t>Posts, steel, 100mm diameter</t>
  </si>
  <si>
    <t>POSTS, STEEL, 4-INCH DIAMETER</t>
  </si>
  <si>
    <t>63305-0400</t>
  </si>
  <si>
    <t>Posts, steel, 50mm x 50mm</t>
  </si>
  <si>
    <t>POSTS, STEEL, 2-INCH X 2-INCH</t>
  </si>
  <si>
    <t>63305-0500</t>
  </si>
  <si>
    <t>Posts, steel, 75mm x 100mm</t>
  </si>
  <si>
    <t>POSTS, STEEL, 3-INCH X 4-INCH</t>
  </si>
  <si>
    <t>63305-0600</t>
  </si>
  <si>
    <t>Posts, steel, 100mm x 150mm</t>
  </si>
  <si>
    <t>POSTS, STEEL, 4-INCH X 6-INCH</t>
  </si>
  <si>
    <t>63305-0700</t>
  </si>
  <si>
    <t>Posts, steel, pipe</t>
  </si>
  <si>
    <t>POSTS, STEEL, PIPE</t>
  </si>
  <si>
    <t>63305-0800</t>
  </si>
  <si>
    <t>Posts, steel, w150 x 14</t>
  </si>
  <si>
    <t>POSTS, STEEL, W6 X 9</t>
  </si>
  <si>
    <t>63305-0900</t>
  </si>
  <si>
    <t>Posts, steel, w150 x 18</t>
  </si>
  <si>
    <t>POSTS, STEEL, W6 X 12</t>
  </si>
  <si>
    <t>63305-1000</t>
  </si>
  <si>
    <t>Posts, steel, w150 x 22</t>
  </si>
  <si>
    <t>POSTS, STEEL, W6 X 15</t>
  </si>
  <si>
    <t>63305-1100</t>
  </si>
  <si>
    <t>Posts, steel, w200 x 27</t>
  </si>
  <si>
    <t>POSTS, STEEL, W8 X 18</t>
  </si>
  <si>
    <t>63305-1200</t>
  </si>
  <si>
    <t>Posts, steel, w200 x 31</t>
  </si>
  <si>
    <t>POSTS, STEEL, W8 X 21</t>
  </si>
  <si>
    <t>63305-1300</t>
  </si>
  <si>
    <t>Posts, steel, w250 x 33</t>
  </si>
  <si>
    <t>POSTS, STEEL, W10 X 22</t>
  </si>
  <si>
    <t>63305-1400</t>
  </si>
  <si>
    <t>Posts, steel, w250 x 39</t>
  </si>
  <si>
    <t>POSTS, STEEL, W10 X 26</t>
  </si>
  <si>
    <t>63305-1500</t>
  </si>
  <si>
    <t>Posts, steel, w310 x 24</t>
  </si>
  <si>
    <t>POSTS, STEEL, W12 X 16</t>
  </si>
  <si>
    <t>63305-1600</t>
  </si>
  <si>
    <t>Posts, steel, w310 x 28</t>
  </si>
  <si>
    <t>POSTS, STEEL, W12 X 19</t>
  </si>
  <si>
    <t>63305-1700</t>
  </si>
  <si>
    <t>Posts, wood, 100mm x 100mm</t>
  </si>
  <si>
    <t>POSTS, WOOD, 4-INCH X 4-INCH</t>
  </si>
  <si>
    <t>63305-1800</t>
  </si>
  <si>
    <t>Posts, wood, 100mm x 150mm</t>
  </si>
  <si>
    <t>POSTS, WOOD, 4-INCH X 6-INCH</t>
  </si>
  <si>
    <t>63305-1900</t>
  </si>
  <si>
    <t>Posts, wood, 150mm x 150mm</t>
  </si>
  <si>
    <t>POSTS, WOOD, 6-INCH X 6-INCH</t>
  </si>
  <si>
    <t>63305-2000</t>
  </si>
  <si>
    <t>Posts, wood, 200mm x 150mm</t>
  </si>
  <si>
    <t>POSTS, WOOD, 8-INCH X 6-INCH</t>
  </si>
  <si>
    <t>63306-0100</t>
  </si>
  <si>
    <t>Post, steel, U-channel</t>
  </si>
  <si>
    <t>POST, STEEL, U-CHANNEL</t>
  </si>
  <si>
    <t>63306-0200</t>
  </si>
  <si>
    <t>Post, steel, 50mm diameter</t>
  </si>
  <si>
    <t>POST, STEEL, 2-INCH DIAMETER</t>
  </si>
  <si>
    <t>63306-0300</t>
  </si>
  <si>
    <t>Post, steel, 100mm diameter</t>
  </si>
  <si>
    <t>POST, STEEL, 4-INCH DIAMETER</t>
  </si>
  <si>
    <t>63306-0400</t>
  </si>
  <si>
    <t>Post, steel, 50mm x 50mm</t>
  </si>
  <si>
    <t>POST, STEEL, 2-INCH X 2-INCH</t>
  </si>
  <si>
    <t>63306-0450</t>
  </si>
  <si>
    <t>Post, steel, 75mm x 75mm</t>
  </si>
  <si>
    <t>POST, STEEL, 3-INCH X 3-INCH</t>
  </si>
  <si>
    <t>63306-0500</t>
  </si>
  <si>
    <t>Post, steel, 75mm x 100mm</t>
  </si>
  <si>
    <t>POST, STEEL, 3-INCH X 4-INCH</t>
  </si>
  <si>
    <t>63306-0600</t>
  </si>
  <si>
    <t>Post, steel, 100mm x 150mm</t>
  </si>
  <si>
    <t>POST, STEEL, 4-INCH X 6-INCH</t>
  </si>
  <si>
    <t>63306-0700</t>
  </si>
  <si>
    <t>Post, steel, pipe</t>
  </si>
  <si>
    <t>POST, STEEL, PIPE</t>
  </si>
  <si>
    <t>63306-0800</t>
  </si>
  <si>
    <t>Post, steel, w150 x 14</t>
  </si>
  <si>
    <t>POST, STEEL, W6 X 9</t>
  </si>
  <si>
    <t>63306-0900</t>
  </si>
  <si>
    <t>Post, steel, w150 x 18</t>
  </si>
  <si>
    <t>POST, STEEL, W6 X 12</t>
  </si>
  <si>
    <t>63306-1000</t>
  </si>
  <si>
    <t>Post, steel, w150 x 22</t>
  </si>
  <si>
    <t>POST, STEEL, W6 X 15</t>
  </si>
  <si>
    <t>63306-1100</t>
  </si>
  <si>
    <t>Post, steel, w200 x 27</t>
  </si>
  <si>
    <t>POST, STEEL, W8 X 18</t>
  </si>
  <si>
    <t>63306-1200</t>
  </si>
  <si>
    <t>Post, steel, w200 x 31</t>
  </si>
  <si>
    <t>POST, STEEL, W8 X 21</t>
  </si>
  <si>
    <t>63306-1300</t>
  </si>
  <si>
    <t>Post, steel, w250 x 33</t>
  </si>
  <si>
    <t>POST, STEEL, W10 X 22</t>
  </si>
  <si>
    <t>63306-1400</t>
  </si>
  <si>
    <t>Post, steel, w250 x 39</t>
  </si>
  <si>
    <t>POST, STEEL, W10 X 26</t>
  </si>
  <si>
    <t>63306-1500</t>
  </si>
  <si>
    <t>Post, steel, w310 x 24</t>
  </si>
  <si>
    <t>POST, STEEL, W12 X 16</t>
  </si>
  <si>
    <t>63306-1600</t>
  </si>
  <si>
    <t>Post, steel, w310 x 28</t>
  </si>
  <si>
    <t>POST, STEEL, W12 X 19</t>
  </si>
  <si>
    <t>63306-1700</t>
  </si>
  <si>
    <t>Post, wood, 100mm x 100mm</t>
  </si>
  <si>
    <t>POST, WOOD, 4-INCH X 4-INCH</t>
  </si>
  <si>
    <t>63306-1800</t>
  </si>
  <si>
    <t>Post, wood, 100mm x 150mm</t>
  </si>
  <si>
    <t>POST, WOOD, 4-INCH X 6-INCH</t>
  </si>
  <si>
    <t>63306-1900</t>
  </si>
  <si>
    <t>Post, wood, 150mm x 150mm</t>
  </si>
  <si>
    <t>POST, WOOD, 6-INCH X 6-INCH</t>
  </si>
  <si>
    <t>63306-2000</t>
  </si>
  <si>
    <t>Post, wood, 200mm x 150mm</t>
  </si>
  <si>
    <t>POST, WOOD, 8-INCH X 6-INCH</t>
  </si>
  <si>
    <t>63306-2100</t>
  </si>
  <si>
    <t>Post, wood, 200mm diameter</t>
  </si>
  <si>
    <t>POST, WOOD, 8-INCH DIAMETER</t>
  </si>
  <si>
    <t>63307-0000</t>
  </si>
  <si>
    <t>Sign structure, overhead</t>
  </si>
  <si>
    <t>SIGN STRUCTURE, OVERHEAD</t>
  </si>
  <si>
    <t>63308-0000</t>
  </si>
  <si>
    <t>Object marker</t>
  </si>
  <si>
    <t>OBJECT MARKER</t>
  </si>
  <si>
    <t>63308-1000</t>
  </si>
  <si>
    <t>Object marker, type 1</t>
  </si>
  <si>
    <t>OBJECT MARKER, TYPE 1</t>
  </si>
  <si>
    <t>63308-2000</t>
  </si>
  <si>
    <t>Object marker, type 2</t>
  </si>
  <si>
    <t>OBJECT MARKER, TYPE 2</t>
  </si>
  <si>
    <t>63308-3000</t>
  </si>
  <si>
    <t>Object marker, type 3</t>
  </si>
  <si>
    <t>OBJECT MARKER, TYPE 3</t>
  </si>
  <si>
    <t>63308-3400</t>
  </si>
  <si>
    <t>Object marker, type 4</t>
  </si>
  <si>
    <t>OBJECT MARKER, TYPE 4</t>
  </si>
  <si>
    <t>63308-4000</t>
  </si>
  <si>
    <t>Object marker, type CALTRANS type L</t>
  </si>
  <si>
    <t>OBJECT MARKER, TYPE CALTRANS TYPE L</t>
  </si>
  <si>
    <t>63308-5000</t>
  </si>
  <si>
    <t>Object marker, type CALTRANS type P</t>
  </si>
  <si>
    <t>OBJECT MARKER, TYPE CALTRANS TYPE P</t>
  </si>
  <si>
    <t>63309-0000</t>
  </si>
  <si>
    <t>Delineator</t>
  </si>
  <si>
    <t>DELINEATOR</t>
  </si>
  <si>
    <t>63309-0100</t>
  </si>
  <si>
    <t>Delineator, type 1</t>
  </si>
  <si>
    <t>DELINEATOR, TYPE 1</t>
  </si>
  <si>
    <t>63309-0200</t>
  </si>
  <si>
    <t>Delineator, type 2</t>
  </si>
  <si>
    <t>DELINEATOR, TYPE 2</t>
  </si>
  <si>
    <t>63309-0300</t>
  </si>
  <si>
    <t>Delineator, type 3</t>
  </si>
  <si>
    <t>DELINEATOR, TYPE 3</t>
  </si>
  <si>
    <t>63309-0400</t>
  </si>
  <si>
    <t>Delineator, type 4</t>
  </si>
  <si>
    <t>DELINEATOR, TYPE 4</t>
  </si>
  <si>
    <t>63309-0500</t>
  </si>
  <si>
    <t>Delineator, type 5</t>
  </si>
  <si>
    <t>DELINEATOR, TYPE 5</t>
  </si>
  <si>
    <t>63309-0600</t>
  </si>
  <si>
    <t>Delineator, type 6</t>
  </si>
  <si>
    <t>DELINEATOR, TYPE 6</t>
  </si>
  <si>
    <t>63309-0900</t>
  </si>
  <si>
    <t>Delineator, type flexible</t>
  </si>
  <si>
    <t>DELINEATOR, TYPE FLEXIBLE</t>
  </si>
  <si>
    <t>63309-1000</t>
  </si>
  <si>
    <t>Delineator, type snow pole</t>
  </si>
  <si>
    <t>DELINEATOR, TYPE SNOW POLE</t>
  </si>
  <si>
    <t>63309-1100</t>
  </si>
  <si>
    <t>Delineator, type snow pole, 2400mm</t>
  </si>
  <si>
    <t>DELINEATOR, TYPE SNOW POLE, 8 FEET</t>
  </si>
  <si>
    <t>63309-1200</t>
  </si>
  <si>
    <t>Delineator, type snow pole, 3000mm</t>
  </si>
  <si>
    <t>DELINEATOR, TYPE SNOW POLE, 10 FEET</t>
  </si>
  <si>
    <t>63309-1300</t>
  </si>
  <si>
    <t>Delineator, type snow pole, 3600mm</t>
  </si>
  <si>
    <t>DELINEATOR, TYPE SNOW POLE, 12 FEET</t>
  </si>
  <si>
    <t>63310-0000</t>
  </si>
  <si>
    <t>Channelizing device</t>
  </si>
  <si>
    <t>CHANNELIZING DEVICE</t>
  </si>
  <si>
    <t>63311-0000</t>
  </si>
  <si>
    <t>Speed hump</t>
  </si>
  <si>
    <t>SPEED HUMP</t>
  </si>
  <si>
    <t>63312-0000</t>
  </si>
  <si>
    <t>63313-0000</t>
  </si>
  <si>
    <t>Rumble strip</t>
  </si>
  <si>
    <t>RUMBLE STRIP</t>
  </si>
  <si>
    <t>63314-0000</t>
  </si>
  <si>
    <t>63316-1000</t>
  </si>
  <si>
    <t>63316-2000</t>
  </si>
  <si>
    <t>Remove and reset delineator</t>
  </si>
  <si>
    <t>REMOVE AND RESET DELINEATOR</t>
  </si>
  <si>
    <t>63316-3000</t>
  </si>
  <si>
    <t>Remove and reset object marker</t>
  </si>
  <si>
    <t>REMOVE AND RESET OBJECT MARKER</t>
  </si>
  <si>
    <t>63317-1000</t>
  </si>
  <si>
    <t>Snow pole holder</t>
  </si>
  <si>
    <t>SNOW POLE HOLDER</t>
  </si>
  <si>
    <t>63319-0000</t>
  </si>
  <si>
    <t>Post sleeve</t>
  </si>
  <si>
    <t>POST SLEEVE</t>
  </si>
  <si>
    <t>63320-0000</t>
  </si>
  <si>
    <t>Speed cushion</t>
  </si>
  <si>
    <t>SPEED CUSHION</t>
  </si>
  <si>
    <t>63325-0000</t>
  </si>
  <si>
    <t>Mumble strip</t>
  </si>
  <si>
    <t>MUMBLE STRIP</t>
  </si>
  <si>
    <t>63326-0000</t>
  </si>
  <si>
    <t>63328-0000</t>
  </si>
  <si>
    <t>Speed bump</t>
  </si>
  <si>
    <t>SPEED BUMP</t>
  </si>
  <si>
    <t>63401-0000</t>
  </si>
  <si>
    <t>Pavement markings</t>
  </si>
  <si>
    <t>PAVEMENT MARKINGS</t>
  </si>
  <si>
    <t>63401-0100</t>
  </si>
  <si>
    <t>Pavement markings, type A, solid</t>
  </si>
  <si>
    <t>PAVEMENT MARKINGS, TYPE A, SOLID</t>
  </si>
  <si>
    <t>63401-0200</t>
  </si>
  <si>
    <t>Pavement markings, type A, broken</t>
  </si>
  <si>
    <t>PAVEMENT MARKINGS, TYPE A, BROKEN</t>
  </si>
  <si>
    <t>63401-0300</t>
  </si>
  <si>
    <t>Pavement markings, type B, solid</t>
  </si>
  <si>
    <t>PAVEMENT MARKINGS, TYPE B, SOLID</t>
  </si>
  <si>
    <t>63401-0400</t>
  </si>
  <si>
    <t>Pavement markings, type B, broken</t>
  </si>
  <si>
    <t>PAVEMENT MARKINGS, TYPE B, BROKEN</t>
  </si>
  <si>
    <t>63401-0450</t>
  </si>
  <si>
    <t>Pavement markings, type B, dotted</t>
  </si>
  <si>
    <t>PAVEMENT MARKINGS, TYPE B, DOTTED</t>
  </si>
  <si>
    <t>63401-0500</t>
  </si>
  <si>
    <t>Pavement markings, type C, solid</t>
  </si>
  <si>
    <t>PAVEMENT MARKINGS, TYPE C, SOLID</t>
  </si>
  <si>
    <t>63401-0600</t>
  </si>
  <si>
    <t>Pavement markings, type C, broken</t>
  </si>
  <si>
    <t>PAVEMENT MARKINGS, TYPE C, BROKEN</t>
  </si>
  <si>
    <t>63401-0700</t>
  </si>
  <si>
    <t>Pavement markings, type D, solid</t>
  </si>
  <si>
    <t>PAVEMENT MARKINGS, TYPE D, SOLID</t>
  </si>
  <si>
    <t>63401-0800</t>
  </si>
  <si>
    <t>Pavement markings, type D, broken</t>
  </si>
  <si>
    <t>PAVEMENT MARKINGS, TYPE D, BROKEN</t>
  </si>
  <si>
    <t>63401-0850</t>
  </si>
  <si>
    <t>Pavement markings, type D, dotted</t>
  </si>
  <si>
    <t>PAVEMENT MARKINGS, TYPE D, DOTTED</t>
  </si>
  <si>
    <t>63401-1500</t>
  </si>
  <si>
    <t>Pavement markings, type H, solid</t>
  </si>
  <si>
    <t>PAVEMENT MARKINGS, TYPE H, SOLID</t>
  </si>
  <si>
    <t>63401-1600</t>
  </si>
  <si>
    <t>Pavement markings, type H, broken</t>
  </si>
  <si>
    <t>PAVEMENT MARKINGS, TYPE H, BROKEN</t>
  </si>
  <si>
    <t>63401-1900</t>
  </si>
  <si>
    <t>Pavement markings, type J, solid</t>
  </si>
  <si>
    <t>PAVEMENT MARKINGS, TYPE J, SOLID</t>
  </si>
  <si>
    <t>63401-2000</t>
  </si>
  <si>
    <t>Pavement markings, type J, broken</t>
  </si>
  <si>
    <t>PAVEMENT MARKINGS, TYPE J, BROKEN</t>
  </si>
  <si>
    <t>63401-2300</t>
  </si>
  <si>
    <t>Pavement markings, type L, solid</t>
  </si>
  <si>
    <t>PAVEMENT MARKINGS, TYPE L, SOLID</t>
  </si>
  <si>
    <t>63401-2400</t>
  </si>
  <si>
    <t>Pavement markings, type L, broken</t>
  </si>
  <si>
    <t>PAVEMENT MARKINGS, TYPE L, BROKEN</t>
  </si>
  <si>
    <t>63401-2500</t>
  </si>
  <si>
    <t>Pavement markings, type L, dotted</t>
  </si>
  <si>
    <t>PAVEMENT MARKINGS, TYPE L, DOTTED</t>
  </si>
  <si>
    <t>63402-0000</t>
  </si>
  <si>
    <t>63402-0100</t>
  </si>
  <si>
    <t>63402-0200</t>
  </si>
  <si>
    <t>63402-0300</t>
  </si>
  <si>
    <t>63402-0400</t>
  </si>
  <si>
    <t>63402-0500</t>
  </si>
  <si>
    <t>63402-0600</t>
  </si>
  <si>
    <t>63402-0700</t>
  </si>
  <si>
    <t>63402-0800</t>
  </si>
  <si>
    <t>63402-1500</t>
  </si>
  <si>
    <t>63402-1600</t>
  </si>
  <si>
    <t>63402-1900</t>
  </si>
  <si>
    <t>63402-2000</t>
  </si>
  <si>
    <t>63402-2300</t>
  </si>
  <si>
    <t>63402-2400</t>
  </si>
  <si>
    <t>63403-0100</t>
  </si>
  <si>
    <t>Pavement markings, type A</t>
  </si>
  <si>
    <t>PAVEMENT MARKINGS, TYPE A</t>
  </si>
  <si>
    <t>63403-0200</t>
  </si>
  <si>
    <t>Pavement markings, type B</t>
  </si>
  <si>
    <t>PAVEMENT MARKINGS, TYPE B</t>
  </si>
  <si>
    <t>63403-0300</t>
  </si>
  <si>
    <t>Pavement markings, type C</t>
  </si>
  <si>
    <t>PAVEMENT MARKINGS, TYPE C</t>
  </si>
  <si>
    <t>63403-0400</t>
  </si>
  <si>
    <t>Pavement markings, type D</t>
  </si>
  <si>
    <t>PAVEMENT MARKINGS, TYPE D</t>
  </si>
  <si>
    <t>63403-0800</t>
  </si>
  <si>
    <t>Pavement markings, type H</t>
  </si>
  <si>
    <t>PAVEMENT MARKINGS, TYPE H</t>
  </si>
  <si>
    <t>63403-1000</t>
  </si>
  <si>
    <t>Pavement markings, type J</t>
  </si>
  <si>
    <t>PAVEMENT MARKINGS, TYPE J</t>
  </si>
  <si>
    <t>63403-1200</t>
  </si>
  <si>
    <t>Pavement markings, type L</t>
  </si>
  <si>
    <t>PAVEMENT MARKINGS, TYPE L</t>
  </si>
  <si>
    <t>63403-1300</t>
  </si>
  <si>
    <t>Pavement markings, type bike lane surface</t>
  </si>
  <si>
    <t>PAVEMENT MARKINGS, TYPE BIKE LANE SURFACE</t>
  </si>
  <si>
    <t>63404-0100</t>
  </si>
  <si>
    <t>63404-0200</t>
  </si>
  <si>
    <t>63404-0300</t>
  </si>
  <si>
    <t>63404-0400</t>
  </si>
  <si>
    <t>63404-0800</t>
  </si>
  <si>
    <t>63404-1000</t>
  </si>
  <si>
    <t>63404-1200</t>
  </si>
  <si>
    <t>63405-0050</t>
  </si>
  <si>
    <t>Pavement markings, symbols</t>
  </si>
  <si>
    <t>PAVEMENT MARKINGS, SYMBOLS</t>
  </si>
  <si>
    <t>63405-0100</t>
  </si>
  <si>
    <t>Pavement markings, type A, turn arrow</t>
  </si>
  <si>
    <t>PAVEMENT MARKINGS, TYPE A, TURN ARROW</t>
  </si>
  <si>
    <t>63405-0150</t>
  </si>
  <si>
    <t>Pavement markings, type A, straight arrow</t>
  </si>
  <si>
    <t>PAVEMENT MARKINGS, TYPE A, STRAIGHT ARROW</t>
  </si>
  <si>
    <t>63405-0200</t>
  </si>
  <si>
    <t>Pavement markings, type A, straight/turn arrow combination</t>
  </si>
  <si>
    <t>PAVEMENT MARKINGS, TYPE A, STRAIGHT/TURN ARROW COMBINATION</t>
  </si>
  <si>
    <t>63405-0250</t>
  </si>
  <si>
    <t>Pavement markings, type A, "ONLY" word message</t>
  </si>
  <si>
    <t>PAVEMENT MARKINGS, TYPE A, "ONLY" WORD MESSAGE</t>
  </si>
  <si>
    <t>63405-0300</t>
  </si>
  <si>
    <t>Pavement markings, type A, "STOP" word message</t>
  </si>
  <si>
    <t>PAVEMENT MARKINGS, TYPE A, "STOP" WORD MESSAGE</t>
  </si>
  <si>
    <t>63405-0350</t>
  </si>
  <si>
    <t>Pavement markings, type A, "SCHOOL" word message</t>
  </si>
  <si>
    <t>PAVEMENT MARKINGS, TYPE A, "SCHOOL" WORD MESSAGE</t>
  </si>
  <si>
    <t>63405-0400</t>
  </si>
  <si>
    <t>Pavement markings, type A, railroad symbol</t>
  </si>
  <si>
    <t>PAVEMENT MARKINGS, TYPE A, RAILROAD SYMBOL</t>
  </si>
  <si>
    <t>63405-0450</t>
  </si>
  <si>
    <t>Pavement markings, type A, accessibility symbol</t>
  </si>
  <si>
    <t>PAVEMENT MARKINGS, TYPE A, ACCESSIBILITY SYMBOL</t>
  </si>
  <si>
    <t>63405-0500</t>
  </si>
  <si>
    <t>Pavement markings, type B, turn arrow</t>
  </si>
  <si>
    <t>PAVEMENT MARKINGS, TYPE B, TURN ARROW</t>
  </si>
  <si>
    <t>63405-0550</t>
  </si>
  <si>
    <t>Pavement markings, type B, straight arrow</t>
  </si>
  <si>
    <t>PAVEMENT MARKINGS, TYPE B, STRAIGHT ARROW</t>
  </si>
  <si>
    <t>63405-0600</t>
  </si>
  <si>
    <t>Pavement markings, type B, straight/turn arrow combination</t>
  </si>
  <si>
    <t>PAVEMENT MARKINGS, TYPE B, STRAIGHT/TURN ARROW COMBINATION</t>
  </si>
  <si>
    <t>63405-0650</t>
  </si>
  <si>
    <t>Pavement markings, type B, "ONLY" word message</t>
  </si>
  <si>
    <t>PAVEMENT MARKINGS, TYPE B, "ONLY" WORD MESSAGE</t>
  </si>
  <si>
    <t>63405-0700</t>
  </si>
  <si>
    <t>Pavement markings, type B, "STOP" word message</t>
  </si>
  <si>
    <t>PAVEMENT MARKINGS, TYPE B, "STOP" WORD MESSAGE</t>
  </si>
  <si>
    <t>63405-0750</t>
  </si>
  <si>
    <t>Pavement markings, type B, "SCHOOL" word message</t>
  </si>
  <si>
    <t>PAVEMENT MARKINGS, TYPE B, "SCHOOL" WORD MESSAGE</t>
  </si>
  <si>
    <t>63405-0800</t>
  </si>
  <si>
    <t>Pavement markings, type B, railroad symbol</t>
  </si>
  <si>
    <t>PAVEMENT MARKINGS, TYPE B, RAILROAD SYMBOL</t>
  </si>
  <si>
    <t>63405-0850</t>
  </si>
  <si>
    <t>Pavement markings, type B, accessibility symbol</t>
  </si>
  <si>
    <t>PAVEMENT MARKINGS, TYPE B, ACCESSIBILITY SYMBOL</t>
  </si>
  <si>
    <t>63405-0855</t>
  </si>
  <si>
    <t>Pavement markings, type B, speed hump markings</t>
  </si>
  <si>
    <t>PAVEMENT MARKINGS, TYPE B, SPEED HUMP MARKINGS</t>
  </si>
  <si>
    <t>63405-0900</t>
  </si>
  <si>
    <t>Pavement markings, type C, turn arrow</t>
  </si>
  <si>
    <t>PAVEMENT MARKINGS, TYPE C, TURN ARROW</t>
  </si>
  <si>
    <t>63405-0950</t>
  </si>
  <si>
    <t>Pavement markings, type C, straight arrow</t>
  </si>
  <si>
    <t>PAVEMENT MARKINGS, TYPE C, STRAIGHT ARROW</t>
  </si>
  <si>
    <t>63405-1000</t>
  </si>
  <si>
    <t>Pavement markings, type C, straight/turn arrow combination</t>
  </si>
  <si>
    <t>PAVEMENT MARKINGS, TYPE C, STRAIGHT/TURN ARROW COMBINATION</t>
  </si>
  <si>
    <t>63405-1050</t>
  </si>
  <si>
    <t>Pavement markings, type C, "ONLY" word message</t>
  </si>
  <si>
    <t>PAVEMENT MARKINGS, TYPE C, "ONLY" WORD MESSAGE</t>
  </si>
  <si>
    <t>63405-1100</t>
  </si>
  <si>
    <t>Pavement markings, type C, "STOP" word message</t>
  </si>
  <si>
    <t>PAVEMENT MARKINGS, TYPE C, "STOP" WORD MESSAGE</t>
  </si>
  <si>
    <t>63405-1150</t>
  </si>
  <si>
    <t>Pavement markings, type C, "SCHOOL" word message</t>
  </si>
  <si>
    <t>PAVEMENT MARKINGS, TYPE C, "SCHOOL" WORD MESSAGE</t>
  </si>
  <si>
    <t>63405-1200</t>
  </si>
  <si>
    <t>Pavement markings, type C, railroad symbol</t>
  </si>
  <si>
    <t>PAVEMENT MARKINGS, TYPE C, RAILROAD SYMBOL</t>
  </si>
  <si>
    <t>63405-1250</t>
  </si>
  <si>
    <t>Pavement markings, type C, accessibility symbol</t>
  </si>
  <si>
    <t>PAVEMENT MARKINGS, TYPE C, ACCESSIBILITY SYMBOL</t>
  </si>
  <si>
    <t>63405-1300</t>
  </si>
  <si>
    <t>Pavement markings, type D, turn arrow</t>
  </si>
  <si>
    <t>PAVEMENT MARKINGS, TYPE D, TURN ARROW</t>
  </si>
  <si>
    <t>63405-1350</t>
  </si>
  <si>
    <t>Pavement markings, type D, straight arrow</t>
  </si>
  <si>
    <t>PAVEMENT MARKINGS, TYPE D, STRAIGHT ARROW</t>
  </si>
  <si>
    <t>63405-1400</t>
  </si>
  <si>
    <t>Pavement markings, type D, straight/turn arrow combination</t>
  </si>
  <si>
    <t>PAVEMENT MARKINGS, TYPE D, STRAIGHT/TURN ARROW COMBINATION</t>
  </si>
  <si>
    <t>63405-1450</t>
  </si>
  <si>
    <t>Pavement markings, type D, "ONLY" word message</t>
  </si>
  <si>
    <t>PAVEMENT MARKINGS, TYPE D, "ONLY" WORD MESSAGE</t>
  </si>
  <si>
    <t>63405-1500</t>
  </si>
  <si>
    <t>Pavement markings, type D, "STOP" word message</t>
  </si>
  <si>
    <t>PAVEMENT MARKINGS, TYPE D, "STOP" WORD MESSAGE</t>
  </si>
  <si>
    <t>63405-1550</t>
  </si>
  <si>
    <t>Pavement markings, type D, "SCHOOL" word message</t>
  </si>
  <si>
    <t>PAVEMENT MARKINGS, TYPE D, "SCHOOL" WORD MESSAGE</t>
  </si>
  <si>
    <t>63405-1600</t>
  </si>
  <si>
    <t>Pavement markings, type D, railroad symbol</t>
  </si>
  <si>
    <t>PAVEMENT MARKINGS, TYPE D, RAILROAD SYMBOL</t>
  </si>
  <si>
    <t>63405-1650</t>
  </si>
  <si>
    <t>Pavement markings, type D, accessibility symbol</t>
  </si>
  <si>
    <t>PAVEMENT MARKINGS, TYPE D, ACCESSIBILITY SYMBOL</t>
  </si>
  <si>
    <t>63405-2890</t>
  </si>
  <si>
    <t>63405-2900</t>
  </si>
  <si>
    <t>Pavement markings, type H, turn arrow</t>
  </si>
  <si>
    <t>PAVEMENT MARKINGS, TYPE H, TURN ARROW</t>
  </si>
  <si>
    <t>63405-2950</t>
  </si>
  <si>
    <t>Pavement markings, type H, straight arrow</t>
  </si>
  <si>
    <t>PAVEMENT MARKINGS, TYPE H, STRAIGHT ARROW</t>
  </si>
  <si>
    <t>63405-3000</t>
  </si>
  <si>
    <t>Pavement markings, type H, straight/turn arrow combination</t>
  </si>
  <si>
    <t>PAVEMENT MARKINGS, TYPE H, STRAIGHT/TURN ARROW COMBINATION</t>
  </si>
  <si>
    <t>63405-3050</t>
  </si>
  <si>
    <t>Pavement markings, type H, "ONLY" word message</t>
  </si>
  <si>
    <t>PAVEMENT MARKINGS, TYPE H, "ONLY" WORD MESSAGE</t>
  </si>
  <si>
    <t>63405-3100</t>
  </si>
  <si>
    <t>Pavement markings, type H, "STOP" word message</t>
  </si>
  <si>
    <t>PAVEMENT MARKINGS, TYPE H, "STOP" WORD MESSAGE</t>
  </si>
  <si>
    <t>63405-3150</t>
  </si>
  <si>
    <t>Pavement markings, type H, "SCHOOL" word message</t>
  </si>
  <si>
    <t>PAVEMENT MARKINGS, TYPE H, "SCHOOL" WORD MESSAGE</t>
  </si>
  <si>
    <t>63405-3200</t>
  </si>
  <si>
    <t>Pavement markings, type H, railroad symbol</t>
  </si>
  <si>
    <t>PAVEMENT MARKINGS, TYPE H, RAILROAD SYMBOL</t>
  </si>
  <si>
    <t>63405-3250</t>
  </si>
  <si>
    <t>Pavement markings, type H, accessibility symbol</t>
  </si>
  <si>
    <t>PAVEMENT MARKINGS, TYPE H, ACCESSIBILITY SYMBOL</t>
  </si>
  <si>
    <t>63405-3700</t>
  </si>
  <si>
    <t>Pavement markings, type J, turn arrow</t>
  </si>
  <si>
    <t>PAVEMENT MARKINGS, TYPE J, TURN ARROW</t>
  </si>
  <si>
    <t>63405-3750</t>
  </si>
  <si>
    <t>Pavement markings, type J, straight arrow</t>
  </si>
  <si>
    <t>PAVEMENT MARKINGS, TYPE J, STRAIGHT ARROW</t>
  </si>
  <si>
    <t>63405-3800</t>
  </si>
  <si>
    <t>Pavement markings, type J, straight/turn arrow combination</t>
  </si>
  <si>
    <t>PAVEMENT MARKINGS, TYPE J, STRAIGHT/TURN ARROW COMBINATION</t>
  </si>
  <si>
    <t>63405-3850</t>
  </si>
  <si>
    <t>Pavement markings, type J, "ONLY" word message</t>
  </si>
  <si>
    <t>PAVEMENT MARKINGS, TYPE J, "ONLY" WORD MESSAGE</t>
  </si>
  <si>
    <t>63405-3900</t>
  </si>
  <si>
    <t>Pavement markings, type J, "STOP" word message</t>
  </si>
  <si>
    <t>PAVEMENT MARKINGS, TYPE J, "STOP" WORD MESSAGE</t>
  </si>
  <si>
    <t>63405-3950</t>
  </si>
  <si>
    <t>Pavement markings, type J, "SCHOOL" word message</t>
  </si>
  <si>
    <t>PAVEMENT MARKINGS, TYPE J, "SCHOOL" WORD MESSAGE</t>
  </si>
  <si>
    <t>63405-4000</t>
  </si>
  <si>
    <t>Pavement markings, type J, railroad symbol</t>
  </si>
  <si>
    <t>PAVEMENT MARKINGS, TYPE J, RAILROAD SYMBOL</t>
  </si>
  <si>
    <t>63405-4050</t>
  </si>
  <si>
    <t>Pavement markings, type J, accessibility symbol</t>
  </si>
  <si>
    <t>PAVEMENT MARKINGS, TYPE J, ACCESSIBILITY SYMBOL</t>
  </si>
  <si>
    <t>63405-4500</t>
  </si>
  <si>
    <t>Pavement markings, type L, turn arrow</t>
  </si>
  <si>
    <t>PAVEMENT MARKINGS, TYPE L, TURN ARROW</t>
  </si>
  <si>
    <t>63405-4550</t>
  </si>
  <si>
    <t>Pavement markings, type L, straight arrow</t>
  </si>
  <si>
    <t>PAVEMENT MARKINGS, TYPE L, STRAIGHT ARROW</t>
  </si>
  <si>
    <t>63405-4600</t>
  </si>
  <si>
    <t>Pavement markings, type L, straight/turn arrow combination</t>
  </si>
  <si>
    <t>PAVEMENT MARKINGS, TYPE L, STRAIGHT/TURN ARROW COMBINATION</t>
  </si>
  <si>
    <t>63405-4650</t>
  </si>
  <si>
    <t>Pavement markings, type L, "ONLY" word message</t>
  </si>
  <si>
    <t>PAVEMENT MARKINGS, TYPE L, "ONLY" WORD MESSAGE</t>
  </si>
  <si>
    <t>63405-4700</t>
  </si>
  <si>
    <t>Pavement markings, type L, "STOP" word message</t>
  </si>
  <si>
    <t>PAVEMENT MARKINGS, TYPE L, "STOP" WORD MESSAGE</t>
  </si>
  <si>
    <t>63405-4750</t>
  </si>
  <si>
    <t>Pavement markings, type L, "SCHOOL" word message</t>
  </si>
  <si>
    <t>PAVEMENT MARKINGS, TYPE L, "SCHOOL" WORD MESSAGE</t>
  </si>
  <si>
    <t>63405-4800</t>
  </si>
  <si>
    <t>Pavement markings, type L, railroad symbol</t>
  </si>
  <si>
    <t>PAVEMENT MARKINGS, TYPE L, RAILROAD SYMBOL</t>
  </si>
  <si>
    <t>63405-4850</t>
  </si>
  <si>
    <t>Pavement markings, type L, accessibility symbol</t>
  </si>
  <si>
    <t>PAVEMENT MARKINGS, TYPE L, ACCESSIBILITY SYMBOL</t>
  </si>
  <si>
    <t>63406-0000</t>
  </si>
  <si>
    <t>Raised pavement marker</t>
  </si>
  <si>
    <t>RAISED PAVEMENT MARKER</t>
  </si>
  <si>
    <t>63406-0100</t>
  </si>
  <si>
    <t>Raised pavement marker, non-reflective</t>
  </si>
  <si>
    <t>RAISED PAVEMENT MARKER, NON-REFLECTIVE</t>
  </si>
  <si>
    <t>63406-0200</t>
  </si>
  <si>
    <t>Raised pavement marker, non-plowable, bi-directional reflective</t>
  </si>
  <si>
    <t>RAISED PAVEMENT MARKER, NON-PLOWABLE, BI-DIRECTIONAL REFLECTIVE</t>
  </si>
  <si>
    <t>63406-0300</t>
  </si>
  <si>
    <t>Raised pavement marker, non-plowable, mono-directional reflective</t>
  </si>
  <si>
    <t>RAISED PAVEMENT MARKER, NON-PLOWABLE, MONO-DIRECTIONAL REFLECTIVE</t>
  </si>
  <si>
    <t>63406-0400</t>
  </si>
  <si>
    <t>Raised pavement marker, bi-directional reflective</t>
  </si>
  <si>
    <t>RAISED PAVEMENT MARKER, PLOWABLE, BI-DIRECTIONAL REFLECTIVE</t>
  </si>
  <si>
    <t>63406-0500</t>
  </si>
  <si>
    <t>Raised pavement marker, plowable, mono-directional reflective</t>
  </si>
  <si>
    <t>RAISED PAVEMENT MARKER, PLOWABLE, MONO-DIRECTIONAL REFLECTIVE</t>
  </si>
  <si>
    <t>63407-0000</t>
  </si>
  <si>
    <t>Recessed pavement marker</t>
  </si>
  <si>
    <t>RECESSED PAVEMENT MARKER</t>
  </si>
  <si>
    <t>63407-0200</t>
  </si>
  <si>
    <t>Recessed pavement marker, bi-directional reflective</t>
  </si>
  <si>
    <t>RECESSED PAVEMENT MARKER, BI-DIRECTIONAL REFLECTIVE</t>
  </si>
  <si>
    <t>63407-0300</t>
  </si>
  <si>
    <t>Recessed pavement marker, mono-directional reflective</t>
  </si>
  <si>
    <t>RECESSED PAVEMENT MARKER, MONO-DIRECTIONAL REFLECTIVE</t>
  </si>
  <si>
    <t>63411-0000</t>
  </si>
  <si>
    <t>Recessed pavement markings</t>
  </si>
  <si>
    <t>RECESSED PAVEMENT MARKINGS</t>
  </si>
  <si>
    <t>63411-1500</t>
  </si>
  <si>
    <t>Recessed pavement markings, type H, solid</t>
  </si>
  <si>
    <t>RECESSED PAVEMENT MARKINGS, TYPE H, SOLID</t>
  </si>
  <si>
    <t>63411-1600</t>
  </si>
  <si>
    <t>Recessed pavement markings, type H, broken</t>
  </si>
  <si>
    <t>RECESSED PAVEMENT MARKINGS, TYPE H, BROKEN</t>
  </si>
  <si>
    <t>63411-1650</t>
  </si>
  <si>
    <t>Recessed pavement markings, type H, dotted</t>
  </si>
  <si>
    <t>RECESSED PAVEMENT MARKINGS, TYPE H, DOTTED</t>
  </si>
  <si>
    <t>63412-0700</t>
  </si>
  <si>
    <t>Recessed pavement markings, type D, solid</t>
  </si>
  <si>
    <t>RECESSED PAVEMENT MARKINGS, TYPE D, SOLID</t>
  </si>
  <si>
    <t>63412-0800</t>
  </si>
  <si>
    <t>Recessed pavement markings, type D, broken</t>
  </si>
  <si>
    <t>RECESSED PAVEMENT MARKINGS, TYPE D, BROKEN</t>
  </si>
  <si>
    <t>63413-0050</t>
  </si>
  <si>
    <t>Recessed pavement markings, symbols</t>
  </si>
  <si>
    <t>each</t>
  </si>
  <si>
    <t>RECESSED PAVEMENT MARKINGS, SYMBOLS</t>
  </si>
  <si>
    <t>63415-0000</t>
  </si>
  <si>
    <t>63501-0000</t>
  </si>
  <si>
    <t>Temporary traffic control</t>
  </si>
  <si>
    <t>TEMPORARY TRAFFIC CONTROL</t>
  </si>
  <si>
    <t>63501-1000</t>
  </si>
  <si>
    <t>Temporary traffic control, traffic control supervisor</t>
  </si>
  <si>
    <t>TEMPORARY TRAFFIC CONTROL, TRAFFIC CONTROL SUPERVISOR</t>
  </si>
  <si>
    <t>63501-2000</t>
  </si>
  <si>
    <t>Temporary traffic control, traffic signal system</t>
  </si>
  <si>
    <t>TEMPORARY TRAFFIC CONTROL, TRAFFIC SIGNAL SYSTEM</t>
  </si>
  <si>
    <t>63501-3000</t>
  </si>
  <si>
    <t>Temporary traffic control, transportation management plan</t>
  </si>
  <si>
    <t>TEMPORARY TRAFFIC CONTROL, TRANSPORTATION MANAGEMENT PLAN</t>
  </si>
  <si>
    <t>63501-3500</t>
  </si>
  <si>
    <t>Temporary traffic control, public information program</t>
  </si>
  <si>
    <t>TEMPORARY TRAFFIC CONTROL, PUBLIC INFORMATION PROGRAM</t>
  </si>
  <si>
    <t>63501-4000</t>
  </si>
  <si>
    <t>Temporary traffic control, lane rental</t>
  </si>
  <si>
    <t>TEMPORARY TRAFFIC CONTROL, LANE RENTAL</t>
  </si>
  <si>
    <t>63502-0100</t>
  </si>
  <si>
    <t>Temporary traffic control, arrow board, type A</t>
  </si>
  <si>
    <t>TEMPORARY TRAFFIC CONTROL, ARROW BOARD, TYPE A</t>
  </si>
  <si>
    <t>63502-0200</t>
  </si>
  <si>
    <t>Temporary traffic control, arrow board, type B</t>
  </si>
  <si>
    <t>TEMPORARY TRAFFIC CONTROL, ARROW BOARD, TYPE B</t>
  </si>
  <si>
    <t>63502-0300</t>
  </si>
  <si>
    <t>Temporary traffic control, arrow board, type C</t>
  </si>
  <si>
    <t>TEMPORARY TRAFFIC CONTROL, ARROW BOARD, TYPE C</t>
  </si>
  <si>
    <t>63502-0400</t>
  </si>
  <si>
    <t>Temporary traffic control, barricade type 1</t>
  </si>
  <si>
    <t>TEMPORARY TRAFFIC CONTROL, BARRICADE TYPE 1</t>
  </si>
  <si>
    <t>63502-0500</t>
  </si>
  <si>
    <t>Temporary traffic control, barricade type 2</t>
  </si>
  <si>
    <t>TEMPORARY TRAFFIC CONTROL, BARRICADE TYPE 2</t>
  </si>
  <si>
    <t>63502-0600</t>
  </si>
  <si>
    <t>Temporary traffic control, barricade type 3</t>
  </si>
  <si>
    <t>TEMPORARY TRAFFIC CONTROL, BARRICADE TYPE 3</t>
  </si>
  <si>
    <t>63502-0700</t>
  </si>
  <si>
    <t>Temporary traffic control, cone</t>
  </si>
  <si>
    <t>TEMPORARY TRAFFIC CONTROL, CONE</t>
  </si>
  <si>
    <t>63502-0800</t>
  </si>
  <si>
    <t>Temporary traffic control, cone, type 450mm</t>
  </si>
  <si>
    <t>TEMPORARY TRAFFIC CONTROL, CONE, TYPE 18-INCH</t>
  </si>
  <si>
    <t>63502-0900</t>
  </si>
  <si>
    <t>Temporary traffic control, cone, type 700mm</t>
  </si>
  <si>
    <t>TEMPORARY TRAFFIC CONTROL, CONE, TYPE 28-INCH</t>
  </si>
  <si>
    <t>63502-1000</t>
  </si>
  <si>
    <t>Temporary traffic control, cone, type 900mm</t>
  </si>
  <si>
    <t>TEMPORARY TRAFFIC CONTROL, CONE, TYPE 36-INCH</t>
  </si>
  <si>
    <t>63502-1050</t>
  </si>
  <si>
    <t>Temporary traffic control, tubular marker</t>
  </si>
  <si>
    <t>TEMPORARY TRAFFIC CONTROL, TUBULAR MARKER</t>
  </si>
  <si>
    <t>63502-1100</t>
  </si>
  <si>
    <t>Temporary traffic control, tubular marker, type 450mm</t>
  </si>
  <si>
    <t>TEMPORARY TRAFFIC CONTROL, TUBULAR MARKER, TYPE 18-INCH</t>
  </si>
  <si>
    <t>63502-1200</t>
  </si>
  <si>
    <t>Temporary traffic control, tubular marker, type 700mm</t>
  </si>
  <si>
    <t>TEMPORARY TRAFFIC CONTROL, TUBULAR MARKER, TYPE 28-INCH</t>
  </si>
  <si>
    <t>63502-1250</t>
  </si>
  <si>
    <t>Temporary traffic control, tubular marker, type 1050mm</t>
  </si>
  <si>
    <t>TEMPORARY TRAFFIC CONTROL, TUBULAR MARKER, TYPE 42-INCH</t>
  </si>
  <si>
    <t>63502-1300</t>
  </si>
  <si>
    <t>Temporary traffic control, drum</t>
  </si>
  <si>
    <t>TEMPORARY TRAFFIC CONTROL, DRUM</t>
  </si>
  <si>
    <t>63502-1400</t>
  </si>
  <si>
    <t>Temporary traffic control, vertical panel</t>
  </si>
  <si>
    <t>TEMPORARY TRAFFIC CONTROL, VERTICAL PANEL</t>
  </si>
  <si>
    <t>63502-1500</t>
  </si>
  <si>
    <t>Temporary traffic control, warning light type A</t>
  </si>
  <si>
    <t>TEMPORARY TRAFFIC CONTROL, WARNING LIGHT TYPE A</t>
  </si>
  <si>
    <t>63502-1600</t>
  </si>
  <si>
    <t>Temporary traffic control, warning light type B</t>
  </si>
  <si>
    <t>TEMPORARY TRAFFIC CONTROL, WARNING LIGHT TYPE B</t>
  </si>
  <si>
    <t>63502-1700</t>
  </si>
  <si>
    <t>Temporary traffic control, warning light type C</t>
  </si>
  <si>
    <t>TEMPORARY TRAFFIC CONTROL, WARNING LIGHT TYPE C</t>
  </si>
  <si>
    <t>63502-1800</t>
  </si>
  <si>
    <t>Temporary traffic control, warning light type D</t>
  </si>
  <si>
    <t>TEMPORARY TRAFFIC CONTROL, WARNING LIGHT TYPE D</t>
  </si>
  <si>
    <t>63502-1900</t>
  </si>
  <si>
    <t>Temporary traffic control, shadow vehicle</t>
  </si>
  <si>
    <t>TEMPORARY TRAFFIC CONTROL, SHADOW VEHICLE</t>
  </si>
  <si>
    <t>63502-2000</t>
  </si>
  <si>
    <t>Temporary traffic control, portable changeable message sign</t>
  </si>
  <si>
    <t>TEMPORARY TRAFFIC CONTROL, PORTABLE CHANGEABLE MESSAGE SIGN</t>
  </si>
  <si>
    <t>63502-2100</t>
  </si>
  <si>
    <t>Temporary traffic control, crash cushion</t>
  </si>
  <si>
    <t>TEMPORARY TRAFFIC CONTROL, CRASH CUSHION</t>
  </si>
  <si>
    <t>63502-2600</t>
  </si>
  <si>
    <t>Temporary traffic control, moving temporary crash cushion</t>
  </si>
  <si>
    <t>TEMPORARY TRAFFIC CONTROL, MOVING TEMPORARY CRASH CUSHION</t>
  </si>
  <si>
    <t>63502-2700</t>
  </si>
  <si>
    <t>Temporary traffic control, replacement cartridges for crash cushion</t>
  </si>
  <si>
    <t>TEMPORARY TRAFFIC CONTROL, REPLACEMENT CARTRIDGES FOR CRASH CUSHION</t>
  </si>
  <si>
    <t>63502-2800</t>
  </si>
  <si>
    <t>Temporary traffic control, replacement barrels for crash cushion</t>
  </si>
  <si>
    <t>TEMPORARY TRAFFIC CONTROL, REPLACEMENT BARRELS FOR CRASH CUSHION</t>
  </si>
  <si>
    <t>63502-2900</t>
  </si>
  <si>
    <t>Temporary traffic control, pavement markings, symbols, and letters</t>
  </si>
  <si>
    <t>TEMPORARY TRAFFIC CONTROL, PAVEMENT MARKINGS, SYMBOLS, AND LETTERS</t>
  </si>
  <si>
    <t>63502-3000</t>
  </si>
  <si>
    <t>Temporary traffic control, raised pavement marker</t>
  </si>
  <si>
    <t>TEMPORARY TRAFFIC CONTROL, RAISED PAVEMENT MARKER</t>
  </si>
  <si>
    <t>63502-3100</t>
  </si>
  <si>
    <t>63502-3200</t>
  </si>
  <si>
    <t>Temporary traffic control, relocating traffic signal system</t>
  </si>
  <si>
    <t>TEMPORARY TRAFFIC CONTROL, RELOCATING TRAFFIC SIGNAL SYSTEM</t>
  </si>
  <si>
    <t>63502-3300</t>
  </si>
  <si>
    <t>Temporary traffic control, portable rumble strip</t>
  </si>
  <si>
    <t>TEMPORARY TRAFFIC CONTROL, PORTABLE RUMBLE STRIP</t>
  </si>
  <si>
    <t>63502-3400</t>
  </si>
  <si>
    <t>Temporary traffic control, opposing traffic lane divider</t>
  </si>
  <si>
    <t>TEMPORARY TRAFFIC CONTROL, OPPOSING TRAFFIC LANE DIVIDER</t>
  </si>
  <si>
    <t>63502-3500</t>
  </si>
  <si>
    <t>Temporary traffic control, vehicle positioning guide</t>
  </si>
  <si>
    <t>TEMPORARY TRAFFIC CONTROL, VEHICLE POSITIONING GUIDE</t>
  </si>
  <si>
    <t>63502-3700</t>
  </si>
  <si>
    <t>Temporary traffic control, snow pole</t>
  </si>
  <si>
    <t>TEMPORARY TRAFFIC CONTROL, SNOW POLE</t>
  </si>
  <si>
    <t>63502-3800</t>
  </si>
  <si>
    <t>Temporary traffic control, towing</t>
  </si>
  <si>
    <t>TEMPORARY TRAFFIC CONTROL, TOWING</t>
  </si>
  <si>
    <t>63502-3900</t>
  </si>
  <si>
    <t>Temporary traffic control, construction sign</t>
  </si>
  <si>
    <t>TEMPORARY TRAFFIC CONTROL, CONSTRUCTION SIGN</t>
  </si>
  <si>
    <t>63503-0100</t>
  </si>
  <si>
    <t>63503-0200</t>
  </si>
  <si>
    <t>63503-0300</t>
  </si>
  <si>
    <t>63503-0380</t>
  </si>
  <si>
    <t>Temporary traffic control, crowd control barricade</t>
  </si>
  <si>
    <t>TEMPORARY TRAFFIC CONTROL, CROWD CONTROL BARRICADE</t>
  </si>
  <si>
    <t>63503-0400</t>
  </si>
  <si>
    <t>63503-0450</t>
  </si>
  <si>
    <t>Temporary traffic control, water-filled barrier</t>
  </si>
  <si>
    <t>TEMPORARY TRAFFIC CONTROL, WATER-FILLED BARRIER</t>
  </si>
  <si>
    <t>63503-0500</t>
  </si>
  <si>
    <t>63503-0550</t>
  </si>
  <si>
    <t>Temporary traffic control, moving water-filled barrier</t>
  </si>
  <si>
    <t>TEMPORARY TRAFFIC CONTROL, MOVING WATER-FILLED BARRIER</t>
  </si>
  <si>
    <t>63503-0700</t>
  </si>
  <si>
    <t>Temporary traffic control, pavement markings</t>
  </si>
  <si>
    <t>TEMPORARY TRAFFIC CONTROL, PAVEMENT MARKINGS</t>
  </si>
  <si>
    <t>63503-0800</t>
  </si>
  <si>
    <t>Temporary traffic control, pavement marking removal</t>
  </si>
  <si>
    <t>TEMPORARY TRAFFIC CONTROL, PAVEMENT MARKING REMOVAL</t>
  </si>
  <si>
    <t>63503-0900</t>
  </si>
  <si>
    <t>Temporary traffic control, snow fence</t>
  </si>
  <si>
    <t>TEMPORARY TRAFFIC CONTROL, SNOW FENCE</t>
  </si>
  <si>
    <t>63503-1000</t>
  </si>
  <si>
    <t>Temporary traffic control, plastic fence</t>
  </si>
  <si>
    <t>TEMPORARY TRAFFIC CONTROL, PLASTIC FENCE</t>
  </si>
  <si>
    <t>63504-1000</t>
  </si>
  <si>
    <t>63504-2000</t>
  </si>
  <si>
    <t>Temporary traffic control, pavement markings, symbols and letters</t>
  </si>
  <si>
    <t>TEMPORARY TRAFFIC CONTROL, PAVEMENT MARKINGS, SYMBOLS AND LETTERS</t>
  </si>
  <si>
    <t>63504-3000</t>
  </si>
  <si>
    <t>Temporary traffic control, steel plates</t>
  </si>
  <si>
    <t>TEMPORARY TRAFFIC CONTROL, STEEL PLATES</t>
  </si>
  <si>
    <t>63505-1000</t>
  </si>
  <si>
    <t>63505-1500</t>
  </si>
  <si>
    <t>Temporary traffic control, vehicle positioning guides</t>
  </si>
  <si>
    <t>TEMPORARY TRAFFIC CONTROL, VEHICLE POSITIONING GUIDES</t>
  </si>
  <si>
    <t>63506-0400</t>
  </si>
  <si>
    <t>Temporary traffic control, police officer</t>
  </si>
  <si>
    <t>TEMPORARY TRAFFIC CONTROL, POLICE OFFICER</t>
  </si>
  <si>
    <t>63506-0500</t>
  </si>
  <si>
    <t>Temporary traffic control, flagger</t>
  </si>
  <si>
    <t>TEMPORARY TRAFFIC CONTROL, FLAGGER</t>
  </si>
  <si>
    <t>63506-0600</t>
  </si>
  <si>
    <t>Temporary traffic control, pilot car</t>
  </si>
  <si>
    <t>TEMPORARY TRAFFIC CONTROL, PILOT CAR</t>
  </si>
  <si>
    <t>63506-0700</t>
  </si>
  <si>
    <t>63506-0800</t>
  </si>
  <si>
    <t>63507-0100</t>
  </si>
  <si>
    <t>Temporary traffic control, advance warning arrow panel, type A</t>
  </si>
  <si>
    <t>TEMPORARY TRAFFIC CONTROL, ADVANCE WARNING ARROW PANEL, TYPE A</t>
  </si>
  <si>
    <t>63507-0200</t>
  </si>
  <si>
    <t>Temporary traffic control, advance warning arrow panel, type B</t>
  </si>
  <si>
    <t>TEMPORARY TRAFFIC CONTROL, ADVANCE WARNING ARROW PANEL, TYPE B</t>
  </si>
  <si>
    <t>63507-0300</t>
  </si>
  <si>
    <t>Temporary traffic control, advance warning arrow panel, type C</t>
  </si>
  <si>
    <t>TEMPORARY TRAFFIC CONTROL, ADVANCE WARNING ARROW PANEL, TYPE C</t>
  </si>
  <si>
    <t>63507-0400</t>
  </si>
  <si>
    <t>63507-0500</t>
  </si>
  <si>
    <t>63507-0600</t>
  </si>
  <si>
    <t>63507-0700</t>
  </si>
  <si>
    <t>63507-0800</t>
  </si>
  <si>
    <t>63508-1000</t>
  </si>
  <si>
    <t>Temporary traffic control, maintenance of traffic, pavement patch</t>
  </si>
  <si>
    <t>TEMPORARY TRAFFIC CONTROL, MAINTENANCE OF TRAFFIC, PAVEMENT PATCH</t>
  </si>
  <si>
    <t>63509-1000</t>
  </si>
  <si>
    <t>Fxhr</t>
  </si>
  <si>
    <t>63510-0100</t>
  </si>
  <si>
    <t>63511-0100</t>
  </si>
  <si>
    <t>Temporary traffic control, railroad flagger</t>
  </si>
  <si>
    <t>TEMPORARY TRAFFIC CONTROL, RAILROAD FLAGGER</t>
  </si>
  <si>
    <t>63601-1000</t>
  </si>
  <si>
    <t>System installation, traffic signal</t>
  </si>
  <si>
    <t>SYSTEM INSTALLATION, TRAFFIC SIGNAL</t>
  </si>
  <si>
    <t>63601-2000</t>
  </si>
  <si>
    <t>System installation, lighting</t>
  </si>
  <si>
    <t>SYSTEM INSTALLATION, LIGHTING</t>
  </si>
  <si>
    <t>63601-3000</t>
  </si>
  <si>
    <t>System installation, electrical</t>
  </si>
  <si>
    <t>SYSTEM INSTALLATION, ELECTRICAL</t>
  </si>
  <si>
    <t>63601-3100</t>
  </si>
  <si>
    <t>System installation, telephone</t>
  </si>
  <si>
    <t>SYSTEM INSTALLATION, TELEPHONE</t>
  </si>
  <si>
    <t>63601-3200</t>
  </si>
  <si>
    <t>System installation, cable television</t>
  </si>
  <si>
    <t>SYSTEM INSTALLATION, CABLE TELEVISION</t>
  </si>
  <si>
    <t>63601-4000</t>
  </si>
  <si>
    <t>System installation, railroad crossing</t>
  </si>
  <si>
    <t>SYSTEM INSTALLATION, RAILROAD CROSSING</t>
  </si>
  <si>
    <t>63601-5000</t>
  </si>
  <si>
    <t>System installation, changeable message sign</t>
  </si>
  <si>
    <t>SYSTEM INSTALLATION, CHANGEABLE MESSAGE SIGN</t>
  </si>
  <si>
    <t>63601-6000</t>
  </si>
  <si>
    <t>System installation, traffic detector system</t>
  </si>
  <si>
    <t>SYSTEM INSTALLATION, TRAFFIC DETECTOR SYSTEM</t>
  </si>
  <si>
    <t>63601-7000</t>
  </si>
  <si>
    <t>System installation, speed feedback sign</t>
  </si>
  <si>
    <t>SYSTEM INSTALLATION, SPEED FEEDBACK SIGN</t>
  </si>
  <si>
    <t>63602-1000</t>
  </si>
  <si>
    <t>63602-2000</t>
  </si>
  <si>
    <t>63602-3000</t>
  </si>
  <si>
    <t>63602-4000</t>
  </si>
  <si>
    <t>63602-5000</t>
  </si>
  <si>
    <t>63602-6000</t>
  </si>
  <si>
    <t>63602-6020</t>
  </si>
  <si>
    <t>System installation, traffic detector wire loop</t>
  </si>
  <si>
    <t>SYSTEM INSTALLATION, TRAFFIC DETECTOR WIRE LOOP</t>
  </si>
  <si>
    <t>63602-6100</t>
  </si>
  <si>
    <t>System installation, scour monitoring system</t>
  </si>
  <si>
    <t>SYSTEM INSTALLATION, SCOUR MONITORING SYSTEM</t>
  </si>
  <si>
    <t>63602-7000</t>
  </si>
  <si>
    <t>63603-0100</t>
  </si>
  <si>
    <t>SYSTEM INSTALLATION, ELECTRICAL COMPANY COMPENSATION</t>
  </si>
  <si>
    <t>63610-0000</t>
  </si>
  <si>
    <t>Conduit</t>
  </si>
  <si>
    <t>CONDUIT</t>
  </si>
  <si>
    <t>63610-0100</t>
  </si>
  <si>
    <t>Conduit, 20mm, PVC</t>
  </si>
  <si>
    <t>CONDUIT, 3/4-INCH, PVC</t>
  </si>
  <si>
    <t>63610-0200</t>
  </si>
  <si>
    <t>Conduit, 20mm, rigid galvanized steel</t>
  </si>
  <si>
    <t>CONDUIT, 3/4-INCH, RIGID GALVANIZED STEEL</t>
  </si>
  <si>
    <t>63610-0300</t>
  </si>
  <si>
    <t>Conduit, 20mm, fiberglass</t>
  </si>
  <si>
    <t>CONDUIT, 3/4-INCH, FIBERGLASS</t>
  </si>
  <si>
    <t>63610-0400</t>
  </si>
  <si>
    <t>Conduit, 25mm, PVC</t>
  </si>
  <si>
    <t>CONDUIT, 1-INCH, PVC</t>
  </si>
  <si>
    <t>63610-0500</t>
  </si>
  <si>
    <t>Conduit, 25mm, rigid galvanized steel</t>
  </si>
  <si>
    <t>CONDUIT, 1-INCH, RIGID GALVANIZED STEEL</t>
  </si>
  <si>
    <t>63610-0600</t>
  </si>
  <si>
    <t>Conduit, 25mm, fiberglass</t>
  </si>
  <si>
    <t>CONDUIT, 1-INCH, FIBERGLASS</t>
  </si>
  <si>
    <t>63610-0700</t>
  </si>
  <si>
    <t>Conduit, 32mm, PVC</t>
  </si>
  <si>
    <t>CONDUIT, 1 1/4-INCH, PVC</t>
  </si>
  <si>
    <t>63610-0800</t>
  </si>
  <si>
    <t>Conduit, 32mm, rigid galvanized steel</t>
  </si>
  <si>
    <t>CONDUIT, 1 1/4-INCH, RIGID GALVANIZED STEEL</t>
  </si>
  <si>
    <t>63610-0900</t>
  </si>
  <si>
    <t>Conduit, 32mm, fiberglass</t>
  </si>
  <si>
    <t>CONDUIT, 1 1/4-INCH, FIBERGLASS</t>
  </si>
  <si>
    <t>63610-1000</t>
  </si>
  <si>
    <t>Conduit, 40mm, PVC</t>
  </si>
  <si>
    <t>CONDUIT, 1 1/2-INCH, PVC</t>
  </si>
  <si>
    <t>63610-1100</t>
  </si>
  <si>
    <t>Conduit, 40mm, rigid galvanized steel</t>
  </si>
  <si>
    <t>CONDUIT, 1 1/2-INCH, RIGID GALVANIZED STEEL</t>
  </si>
  <si>
    <t>63610-1200</t>
  </si>
  <si>
    <t>Conduit, 40mm, fiberglass</t>
  </si>
  <si>
    <t>CONDUIT, 1 1/2-INCH, FIBERGLASS</t>
  </si>
  <si>
    <t>63610-1300</t>
  </si>
  <si>
    <t>Conduit, 45mm, PVC</t>
  </si>
  <si>
    <t>CONDUIT, 1 3/4-INCH, PVC</t>
  </si>
  <si>
    <t>63610-1400</t>
  </si>
  <si>
    <t>Conduit, 45mm, rigid galvanized steel</t>
  </si>
  <si>
    <t>CONDUIT, 1 3/4-INCH, RIGID GALVANIZED STEEL</t>
  </si>
  <si>
    <t>63610-1500</t>
  </si>
  <si>
    <t>Conduit, 45mm, fiberglass</t>
  </si>
  <si>
    <t>CONDUIT, 1 3/4-INCH, FIBERGLASS</t>
  </si>
  <si>
    <t>63610-1600</t>
  </si>
  <si>
    <t>Conduit, 50mm, PVC</t>
  </si>
  <si>
    <t>CONDUIT, 2-INCH, PVC</t>
  </si>
  <si>
    <t>63610-1700</t>
  </si>
  <si>
    <t>Conduit, 50mm, rigid galvanized steel</t>
  </si>
  <si>
    <t>CONDUIT, 2-INCH, RIGID GALVANIZED STEEL</t>
  </si>
  <si>
    <t>63610-1800</t>
  </si>
  <si>
    <t>Conduit, 50mm, fiberglass</t>
  </si>
  <si>
    <t>CONDUIT, 2-INCH, FIBERGLASS</t>
  </si>
  <si>
    <t>63610-1900</t>
  </si>
  <si>
    <t>Conduit, 65mm, PVC</t>
  </si>
  <si>
    <t>CONDUIT, 2 1/2-INCH, PVC</t>
  </si>
  <si>
    <t>63610-2000</t>
  </si>
  <si>
    <t>Conduit, 65mm, rigid galvanized steel</t>
  </si>
  <si>
    <t>CONDUIT, 2 1/2-INCH, RIGID GALVANIZED STEEL</t>
  </si>
  <si>
    <t>63610-2100</t>
  </si>
  <si>
    <t>Conduit, 65mm, fiberglass</t>
  </si>
  <si>
    <t>CONDUIT, 2 1/2-INCH, FIBERGLASS</t>
  </si>
  <si>
    <t>63610-2200</t>
  </si>
  <si>
    <t>Conduit, 75mm, PVC</t>
  </si>
  <si>
    <t>CONDUIT, 3-INCH, PVC</t>
  </si>
  <si>
    <t>63610-2300</t>
  </si>
  <si>
    <t>Conduit, 75mm, rigid galvanized steel</t>
  </si>
  <si>
    <t>CONDUIT, 3-INCH, RIGID GALVANIZED STEEL</t>
  </si>
  <si>
    <t>63610-2400</t>
  </si>
  <si>
    <t>Conduit, 75mm, fiberglass</t>
  </si>
  <si>
    <t>CONDUIT, 3-INCH, FIBERGLASS</t>
  </si>
  <si>
    <t>63610-2500</t>
  </si>
  <si>
    <t>Conduit, 90mm, PVC</t>
  </si>
  <si>
    <t>CONDUIT, 3 1/2-INCH, PVC</t>
  </si>
  <si>
    <t>63610-2600</t>
  </si>
  <si>
    <t>Conduit, 90mm, rigid galvanized steel</t>
  </si>
  <si>
    <t>CONDUIT, 3 1/2-INCH, RIGID GALVANIZED STEEL</t>
  </si>
  <si>
    <t>63610-2700</t>
  </si>
  <si>
    <t>Conduit, 90mm, fiberglass</t>
  </si>
  <si>
    <t>CONDUIT, 3 1/2-INCH, FIBERGLASS</t>
  </si>
  <si>
    <t>63610-2800</t>
  </si>
  <si>
    <t>Conduit, 100mm, PVC</t>
  </si>
  <si>
    <t>CONDUIT, 4-INCH, PVC</t>
  </si>
  <si>
    <t>63610-2900</t>
  </si>
  <si>
    <t>Conduit, 100mm, rigid galvanized steel</t>
  </si>
  <si>
    <t>CONDUIT, 4-INCH, RIGID GALVANIZED STEEL</t>
  </si>
  <si>
    <t>63610-3000</t>
  </si>
  <si>
    <t>Conduit, 100mm, fiberglass</t>
  </si>
  <si>
    <t>CONDUIT, 4-INCH, FIBERGLASS</t>
  </si>
  <si>
    <t>63610-3010</t>
  </si>
  <si>
    <t>Conduit, 100mm, HDPE</t>
  </si>
  <si>
    <t>CONDUIT, 4-INCH, HDPE</t>
  </si>
  <si>
    <t>63610-3100</t>
  </si>
  <si>
    <t>Conduit, 125mm, PVC</t>
  </si>
  <si>
    <t>CONDUIT, 5-INCH, PVC</t>
  </si>
  <si>
    <t>63610-3200</t>
  </si>
  <si>
    <t>Conduit, 150mm, PVC</t>
  </si>
  <si>
    <t>CONDUIT, 6-INCH, PVC</t>
  </si>
  <si>
    <t>63610-3300</t>
  </si>
  <si>
    <t>Conduit, 150mm, rigid galvanized steel</t>
  </si>
  <si>
    <t>CONDUIT, 6-INCH, RIGID GALVANIZED STEEL</t>
  </si>
  <si>
    <t>63610-3400</t>
  </si>
  <si>
    <t>Conduit, 150mm, fiberglass</t>
  </si>
  <si>
    <t>CONDUIT, 6-INCH, FIBERGLASS</t>
  </si>
  <si>
    <t>63610-3410</t>
  </si>
  <si>
    <t>Conduit, 150mm, HDPE</t>
  </si>
  <si>
    <t>CONDUIT, 6-INCH, HDPE</t>
  </si>
  <si>
    <t>63610-3500</t>
  </si>
  <si>
    <t>Conduit, 200mm, PVC</t>
  </si>
  <si>
    <t>CONDUIT, 8-INCH, PVC</t>
  </si>
  <si>
    <t>63610-3600</t>
  </si>
  <si>
    <t>Conduit, 200mm, rigid galvanized steel</t>
  </si>
  <si>
    <t>CONDUIT, 8-INCH, RIGID GALVANIZED STEEL</t>
  </si>
  <si>
    <t>63610-3700</t>
  </si>
  <si>
    <t>Conduit, 200mm, fiberglass</t>
  </si>
  <si>
    <t>CONDUIT, 8-INCH, FIBERGLASS</t>
  </si>
  <si>
    <t>63610-3800</t>
  </si>
  <si>
    <t>Conduit, 250mm, PVC</t>
  </si>
  <si>
    <t>CONDUIT, 10-INCH, PVC</t>
  </si>
  <si>
    <t>63610-3900</t>
  </si>
  <si>
    <t>Conduit, 250mm, rigid galvanized steel</t>
  </si>
  <si>
    <t>CONDUIT, 10-INCH, RIGID GALVANIZED STEEL</t>
  </si>
  <si>
    <t>63610-4000</t>
  </si>
  <si>
    <t>Conduit, 250mm, fiberglass</t>
  </si>
  <si>
    <t>CONDUIT, 10-INCH, FIBERGLASS</t>
  </si>
  <si>
    <t>63610-4100</t>
  </si>
  <si>
    <t>Conduit, 300mm, PVC</t>
  </si>
  <si>
    <t>CONDUIT, 12-INCH, PVC</t>
  </si>
  <si>
    <t>63610-4200</t>
  </si>
  <si>
    <t>Conduit, 300mm, rigid galvanized steel</t>
  </si>
  <si>
    <t>CONDUIT, 12-INCH, RIGID GALVANIZED STEEL</t>
  </si>
  <si>
    <t>63610-4300</t>
  </si>
  <si>
    <t>Conduit, 300mm, fiberglass</t>
  </si>
  <si>
    <t>CONDUIT, 12-INCH, FIBERGLASS</t>
  </si>
  <si>
    <t>63610-4310</t>
  </si>
  <si>
    <t>Conduit, 300mm, HDPE</t>
  </si>
  <si>
    <t>CONDUIT, 12-INCH, HDPE</t>
  </si>
  <si>
    <t>63611-0100</t>
  </si>
  <si>
    <t>Wire, electrical conductors, 14 awg</t>
  </si>
  <si>
    <t>WIRE, ELECTRICAL CONDUCTORS, 14 AWG</t>
  </si>
  <si>
    <t>63611-0200</t>
  </si>
  <si>
    <t>Wire, electrical conductors, 12 awg</t>
  </si>
  <si>
    <t>WIRE, ELECTRICAL CONDUCTORS, 12 AWG</t>
  </si>
  <si>
    <t>63611-0300</t>
  </si>
  <si>
    <t>Wire, electrical conductors, 10 awg</t>
  </si>
  <si>
    <t>WIRE, ELECTRICAL CONDUCTORS, 10 AWG</t>
  </si>
  <si>
    <t>63611-0400</t>
  </si>
  <si>
    <t>Wire, electrical conductors, 8 awg</t>
  </si>
  <si>
    <t>WIRE, ELECTRICAL CONDUCTORS, 8 AWG</t>
  </si>
  <si>
    <t>63611-0500</t>
  </si>
  <si>
    <t>Wire, electrical conductors, 6 awg</t>
  </si>
  <si>
    <t>WIRE, ELECTRICAL CONDUCTORS, 6 AWG</t>
  </si>
  <si>
    <t>63611-0600</t>
  </si>
  <si>
    <t>Wire, electrical conductors, 4 awg</t>
  </si>
  <si>
    <t>WIRE, ELECTRICAL CONDUCTORS, 4 AWG</t>
  </si>
  <si>
    <t>63611-0700</t>
  </si>
  <si>
    <t>Wire, electrical conductors, 3 awg</t>
  </si>
  <si>
    <t>WIRE, ELECTRICAL CONDUCTORS, 3 AWG</t>
  </si>
  <si>
    <t>63611-0800</t>
  </si>
  <si>
    <t>Wire, electrical conductors, 2 awg</t>
  </si>
  <si>
    <t>WIRE, ELECTRICAL CONDUCTORS, 2 AWG</t>
  </si>
  <si>
    <t>63611-0900</t>
  </si>
  <si>
    <t>Wire, electrical conductors, 1 awg</t>
  </si>
  <si>
    <t>WIRE, ELECTRICAL CONDUCTORS, 1 AWG</t>
  </si>
  <si>
    <t>63611-1000</t>
  </si>
  <si>
    <t>Wire, electrical conductors, 0 awg</t>
  </si>
  <si>
    <t>WIRE, ELECTRICAL CONDUCTORS, 0 AWG</t>
  </si>
  <si>
    <t>63611-1100</t>
  </si>
  <si>
    <t>Wire, electrical conductors, 00 awg</t>
  </si>
  <si>
    <t>WIRE, ELECTRICAL CONDUCTORS, 00 AWG</t>
  </si>
  <si>
    <t>63611-1200</t>
  </si>
  <si>
    <t>Wire, telephone, 3 pair, 19 awg</t>
  </si>
  <si>
    <t>WIRE, TELEPHONE, 3 PAIR, 19 AWG</t>
  </si>
  <si>
    <t>63611-1300</t>
  </si>
  <si>
    <t>Wire, coaxial cable type 1</t>
  </si>
  <si>
    <t>WIRE, COAXIAL CABLE TYPE 1</t>
  </si>
  <si>
    <t>63611-1400</t>
  </si>
  <si>
    <t>Wire, coaxial cable type 2</t>
  </si>
  <si>
    <t>WIRE, COAXIAL CABLE TYPE 2</t>
  </si>
  <si>
    <t>63611-1500</t>
  </si>
  <si>
    <t>Wire, coaxial cable, type 3</t>
  </si>
  <si>
    <t>WIRE, COAXIAL CABLE, TYPE 3</t>
  </si>
  <si>
    <t>63612-0000</t>
  </si>
  <si>
    <t>Luminaire</t>
  </si>
  <si>
    <t>LUMINAIRE</t>
  </si>
  <si>
    <t>63612-0100</t>
  </si>
  <si>
    <t>Luminaire, type A</t>
  </si>
  <si>
    <t>LUMINAIRE, TYPE A</t>
  </si>
  <si>
    <t>63612-0200</t>
  </si>
  <si>
    <t>Luminaire, type B</t>
  </si>
  <si>
    <t>LUMINAIRE, TYPE B</t>
  </si>
  <si>
    <t>63612-0300</t>
  </si>
  <si>
    <t>Luminaire, type C</t>
  </si>
  <si>
    <t>LUMINAIRE, TYPE C</t>
  </si>
  <si>
    <t>63612-0400</t>
  </si>
  <si>
    <t>Luminaire, type Washington Style</t>
  </si>
  <si>
    <t>LUMINAIRE, TYPE WASHINGTON STYLE</t>
  </si>
  <si>
    <t>63612-0500</t>
  </si>
  <si>
    <t>Luminaire, type Frederick Law Olmsted Style</t>
  </si>
  <si>
    <t>LUMINAIRE, TYPE FREDERICK LAW OLMSTED STYLE</t>
  </si>
  <si>
    <t>63612-0600</t>
  </si>
  <si>
    <t>Luminaire, Lamps, type Twin 20 Light Standard</t>
  </si>
  <si>
    <t>LUMINAIRE, LAMPS, TYPE TWIN 20 LIGHT STANDARD</t>
  </si>
  <si>
    <t>63612-0700</t>
  </si>
  <si>
    <t>Luminaire, Globe, type Twin 20 Light Standard</t>
  </si>
  <si>
    <t>LUMINAIRE, GLOBE, TYPE TWIN 20 LIGHT STANDARD</t>
  </si>
  <si>
    <t>63612-0800</t>
  </si>
  <si>
    <t>Luminaire, Conversion kit, type Twin 20 Light Standard</t>
  </si>
  <si>
    <t>LUMINAIRE, CONVERSION KIT, TYPE TWIN 20 LIGHT STANDARD</t>
  </si>
  <si>
    <t>63612-0900</t>
  </si>
  <si>
    <t>Luminaire, Cutoff luminaire, high pressure sodium, 400 watt with lamp</t>
  </si>
  <si>
    <t>LUMINAIRE, CUTOFF LUMINAIRE, HIGH PRESSURE SODIUM, 400 WATT WITH LAMP</t>
  </si>
  <si>
    <t>63612-1000</t>
  </si>
  <si>
    <t>Luminaire, Cutoff luminaire, high pressure sodium, 250 watt with lamp</t>
  </si>
  <si>
    <t>LUMINAIRE, CUTOFF LUMINAIRE, HIGH PRESSURE SODIUM, 250 WATT WITH LAMP</t>
  </si>
  <si>
    <t>63612-1100</t>
  </si>
  <si>
    <t>Luminaire, Cutoff luminaire, high pressure sodium, 150 watt with lamp</t>
  </si>
  <si>
    <t>LUMINAIRE, CUTOFF LUMINAIRE, HIGH PRESSURE SODIUM, 150 WATT WITH LAMP</t>
  </si>
  <si>
    <t>63612-1200</t>
  </si>
  <si>
    <t>Luminaire, Photocontrols, type Twin 20 Light Standard</t>
  </si>
  <si>
    <t>LUMINAIRE, PHOTOCONTROLS, TYPE TWIN 20 LIGHT STANDARD</t>
  </si>
  <si>
    <t>63613-0000</t>
  </si>
  <si>
    <t>Signal head</t>
  </si>
  <si>
    <t>SIGNAL HEAD</t>
  </si>
  <si>
    <t>63620-0000</t>
  </si>
  <si>
    <t>Pole</t>
  </si>
  <si>
    <t>POLE</t>
  </si>
  <si>
    <t>63620-0400</t>
  </si>
  <si>
    <t>Pole, type Twin 20 Light Standard</t>
  </si>
  <si>
    <t>POLE, TYPE TWIN 20 LIGHT STANDARD</t>
  </si>
  <si>
    <t>63620-0500</t>
  </si>
  <si>
    <t>Pole, type Washington Globe No. 16 Light Standard</t>
  </si>
  <si>
    <t>POLE, TYPE WASHINGTON GLOBE NO. 16 LIGHT STANDARD</t>
  </si>
  <si>
    <t>63620-0600</t>
  </si>
  <si>
    <t>Pole, type Washington Globe No. 14N Light Standard</t>
  </si>
  <si>
    <t>POLE, TYPE WASHINGTON GLOBE NO. 14N LIGHT STANDARD</t>
  </si>
  <si>
    <t>63620-0700</t>
  </si>
  <si>
    <t>Pole, type Frederick Law Olmsted Light Standard</t>
  </si>
  <si>
    <t>POLE, TYPE FREDERICK LAW OLMSTED LIGHT STANDARD</t>
  </si>
  <si>
    <t>63620-0800</t>
  </si>
  <si>
    <t>Pole, type traffic signal</t>
  </si>
  <si>
    <t>POLE, TYPE TRAFFIC SIGNAL</t>
  </si>
  <si>
    <t>63621-1000</t>
  </si>
  <si>
    <t>Utility box, pullbox</t>
  </si>
  <si>
    <t>UTILITY BOX, PULLBOX</t>
  </si>
  <si>
    <t>63621-2000</t>
  </si>
  <si>
    <t>Utility box, telephone pullbox</t>
  </si>
  <si>
    <t>UTILITY BOX, TELEPHONE PULLBOX</t>
  </si>
  <si>
    <t>63621-3000</t>
  </si>
  <si>
    <t>Utility box, junction box</t>
  </si>
  <si>
    <t>UTILITY BOX, JUNCTION BOX</t>
  </si>
  <si>
    <t>63621-4000</t>
  </si>
  <si>
    <t>Utility box, telephone intercept box</t>
  </si>
  <si>
    <t>UTILITY BOX, TELEPHONE INTERCEPT BOX</t>
  </si>
  <si>
    <t>63621-5000</t>
  </si>
  <si>
    <t>Utility box, concrete</t>
  </si>
  <si>
    <t>UTILITY BOX, CONCRETE</t>
  </si>
  <si>
    <t>63622-0000</t>
  </si>
  <si>
    <t>Utility trench</t>
  </si>
  <si>
    <t>UTILITY TRENCH</t>
  </si>
  <si>
    <t>63623-1000</t>
  </si>
  <si>
    <t>Manhole, electrical</t>
  </si>
  <si>
    <t>MANHOLE, ELECTRICAL</t>
  </si>
  <si>
    <t>63623-2000</t>
  </si>
  <si>
    <t>Manhole, telephone</t>
  </si>
  <si>
    <t>MANHOLE, TELEPHONE</t>
  </si>
  <si>
    <t>63624-0050</t>
  </si>
  <si>
    <t>Bollard, solar light</t>
  </si>
  <si>
    <t>BOLLARD, SOLAR LIGHT</t>
  </si>
  <si>
    <t>63640-0100</t>
  </si>
  <si>
    <t>Relocate luminaires</t>
  </si>
  <si>
    <t>RELOCATE LUMINAIRES</t>
  </si>
  <si>
    <t>63640-0200</t>
  </si>
  <si>
    <t>Relocate signal system</t>
  </si>
  <si>
    <t>RELOCATE SIGNAL SYSTEM</t>
  </si>
  <si>
    <t>63640-0300</t>
  </si>
  <si>
    <t>Relocate railroad crossing</t>
  </si>
  <si>
    <t>RELOCATE RAILROAD CROSSING</t>
  </si>
  <si>
    <t>63640-0400</t>
  </si>
  <si>
    <t>Relocate pole</t>
  </si>
  <si>
    <t>RELOCATE POLE</t>
  </si>
  <si>
    <t>63640-0500</t>
  </si>
  <si>
    <t>Relocate call box</t>
  </si>
  <si>
    <t>RELOCATE CALL BOX</t>
  </si>
  <si>
    <t>63640-0600</t>
  </si>
  <si>
    <t>Relocate communication line</t>
  </si>
  <si>
    <t>RELOCATE COMMUNICATION LINE</t>
  </si>
  <si>
    <t>63640-0700</t>
  </si>
  <si>
    <t>Relocate electrical line</t>
  </si>
  <si>
    <t>RELOCATE ELECTRICAL LINE</t>
  </si>
  <si>
    <t>63641-0100</t>
  </si>
  <si>
    <t>Relocate luminaire</t>
  </si>
  <si>
    <t>RELOCATE LUMINAIRE</t>
  </si>
  <si>
    <t>63641-0200</t>
  </si>
  <si>
    <t>63641-0300</t>
  </si>
  <si>
    <t>63641-0400</t>
  </si>
  <si>
    <t>63641-0500</t>
  </si>
  <si>
    <t>63641-0600</t>
  </si>
  <si>
    <t>Relocate signal head</t>
  </si>
  <si>
    <t>RELOCATE SIGNAL HEAD</t>
  </si>
  <si>
    <t>63641-0900</t>
  </si>
  <si>
    <t>Relocate electrical cable</t>
  </si>
  <si>
    <t>RELOCATE ELECTRICAL CABLE</t>
  </si>
  <si>
    <t>63641-1000</t>
  </si>
  <si>
    <t>Relocate CATV pedestal</t>
  </si>
  <si>
    <t>RELOCATE CATV PEDESTAL</t>
  </si>
  <si>
    <t>63642-0100</t>
  </si>
  <si>
    <t>Relocate CATV line</t>
  </si>
  <si>
    <t>RELOCATE CATV LINE</t>
  </si>
  <si>
    <t>63701-0000</t>
  </si>
  <si>
    <t>Field office</t>
  </si>
  <si>
    <t>FIELD OFFICE</t>
  </si>
  <si>
    <t>63702-0000</t>
  </si>
  <si>
    <t>Residential housing</t>
  </si>
  <si>
    <t>RESIDENTIAL HOUSING</t>
  </si>
  <si>
    <t>63704-0000</t>
  </si>
  <si>
    <t>Vehicle</t>
  </si>
  <si>
    <t>VEHICLE</t>
  </si>
  <si>
    <t>63705-0000</t>
  </si>
  <si>
    <t>63706-0000</t>
  </si>
  <si>
    <t>63707-0000</t>
  </si>
  <si>
    <t>63708-0000</t>
  </si>
  <si>
    <t>Cellular phone service</t>
  </si>
  <si>
    <t>CELLULAR PHONE SERVICE</t>
  </si>
  <si>
    <t>63709-0000</t>
  </si>
  <si>
    <t>Field office equipment</t>
  </si>
  <si>
    <t>FIELD OFFICE EQUIPMENT</t>
  </si>
  <si>
    <t>63710-0000</t>
  </si>
  <si>
    <t>63712-0000</t>
  </si>
  <si>
    <t>Field office services</t>
  </si>
  <si>
    <t>FIELD OFFICE SERVICES</t>
  </si>
  <si>
    <t>63713-0000</t>
  </si>
  <si>
    <t>Mo</t>
  </si>
  <si>
    <t>Locate utilities</t>
  </si>
  <si>
    <t>LOCATE UTILITIES</t>
  </si>
  <si>
    <t>64601-1000</t>
  </si>
  <si>
    <t>Building, restroom facility</t>
  </si>
  <si>
    <t>BUILDING, RESTROOM FACILITY</t>
  </si>
  <si>
    <t>64602-1000</t>
  </si>
  <si>
    <t>64602-2000</t>
  </si>
  <si>
    <t>Building, support building</t>
  </si>
  <si>
    <t>BUILDING, SUPPORT BUILDING</t>
  </si>
  <si>
    <t>64603-0000</t>
  </si>
  <si>
    <t>Fixture</t>
  </si>
  <si>
    <t>FIXTURE</t>
  </si>
  <si>
    <t>64603-0100</t>
  </si>
  <si>
    <t>Fixture, trash receptacle</t>
  </si>
  <si>
    <t>FIXTURE, TRASH RECEPTACLE</t>
  </si>
  <si>
    <t>64603-0200</t>
  </si>
  <si>
    <t>Fixture, mailbox</t>
  </si>
  <si>
    <t>FIXTURE, MAILBOX</t>
  </si>
  <si>
    <t>64603-0300</t>
  </si>
  <si>
    <t>Fixture, bench</t>
  </si>
  <si>
    <t>FIXTURE, BENCH</t>
  </si>
  <si>
    <t>64603-0500</t>
  </si>
  <si>
    <t>Fixture, bicycle storage rack</t>
  </si>
  <si>
    <t>FIXTURE, BICYCLE STORAGE RACK</t>
  </si>
  <si>
    <t>64603-0600</t>
  </si>
  <si>
    <t>Fixture, flag pole</t>
  </si>
  <si>
    <t>FIXTURE, FLAG POLE</t>
  </si>
  <si>
    <t>64603-0700</t>
  </si>
  <si>
    <t>Fixture, picnic table</t>
  </si>
  <si>
    <t>FIXTURE, PICNIC TABLE</t>
  </si>
  <si>
    <t>64603-0800</t>
  </si>
  <si>
    <t>Fixture, kiosk</t>
  </si>
  <si>
    <t>FIXTURE, KIOSK</t>
  </si>
  <si>
    <t>64603-0900</t>
  </si>
  <si>
    <t>Fixture, portable toilet</t>
  </si>
  <si>
    <t>FIXTURE, PORTABLE TOILET</t>
  </si>
  <si>
    <t>64603-1000</t>
  </si>
  <si>
    <t>Fixture, vault toilet</t>
  </si>
  <si>
    <t>FIXTURE, VAULT TOILET</t>
  </si>
  <si>
    <t>64603-1100</t>
  </si>
  <si>
    <t>Fixture, picnic pad</t>
  </si>
  <si>
    <t>FIXTURE, PICNIC PAD</t>
  </si>
  <si>
    <t>64603-1200</t>
  </si>
  <si>
    <t>Fixture, wayside exhibit</t>
  </si>
  <si>
    <t>FIXTURE, WAYSIDE EXHIBIT</t>
  </si>
  <si>
    <t>64603-1400</t>
  </si>
  <si>
    <t>Fixture, information box</t>
  </si>
  <si>
    <t>FIXTURE, INFORMATION BOX</t>
  </si>
  <si>
    <t>64603-1500</t>
  </si>
  <si>
    <t>Fixture, shelter</t>
  </si>
  <si>
    <t>FIXTURE, SHELTER</t>
  </si>
  <si>
    <t>64603-1600</t>
  </si>
  <si>
    <t>Fixture, fire ring</t>
  </si>
  <si>
    <t>FIXTURE, FIRE RING</t>
  </si>
  <si>
    <t>64603-1700</t>
  </si>
  <si>
    <t>Fixture, monitoring well</t>
  </si>
  <si>
    <t>FIXTURE, MONITORING WELL</t>
  </si>
  <si>
    <t>64603-1800</t>
  </si>
  <si>
    <t>Fixture, roof drain connection</t>
  </si>
  <si>
    <t>FIXTURE, ROOF DRAIN CONNECTION</t>
  </si>
  <si>
    <t>64603-1900</t>
  </si>
  <si>
    <t>Fixture, parking meter</t>
  </si>
  <si>
    <t>FIXTURE, PARKING METER</t>
  </si>
  <si>
    <t>64603-2100</t>
  </si>
  <si>
    <t>Fixture, Stairway</t>
  </si>
  <si>
    <t>FIXTURE, STAIRWAY</t>
  </si>
  <si>
    <t>64604-1000</t>
  </si>
  <si>
    <t>Fixture, handrail</t>
  </si>
  <si>
    <t>FIXTURE, HANDRAIL</t>
  </si>
  <si>
    <t>64604-3000</t>
  </si>
  <si>
    <t>Fixture, pedestrian railing</t>
  </si>
  <si>
    <t>FIXTURE, PEDESTRIAN RAILING</t>
  </si>
  <si>
    <t>64604-4000</t>
  </si>
  <si>
    <t>Fixture, log planter</t>
  </si>
  <si>
    <t>FIXTURE, LOG PLANTER</t>
  </si>
  <si>
    <t>64605-0000</t>
  </si>
  <si>
    <t>64605-1000</t>
  </si>
  <si>
    <t>64605-2000</t>
  </si>
  <si>
    <t>64605-3000</t>
  </si>
  <si>
    <t>Fixture, boat ramp</t>
  </si>
  <si>
    <t>FIXTURE, BOAT RAMP</t>
  </si>
  <si>
    <t>64605-3100</t>
  </si>
  <si>
    <t>Fixture, floating dock</t>
  </si>
  <si>
    <t>FIXTURE, FLOATING DOCK</t>
  </si>
  <si>
    <t>64605-3200</t>
  </si>
  <si>
    <t>Fixture, stream gauging station</t>
  </si>
  <si>
    <t>FIXTURE, STREAM GAUGING STATION</t>
  </si>
  <si>
    <t>64620-0000</t>
  </si>
  <si>
    <t>Remove and reset</t>
  </si>
  <si>
    <t>REMOVE AND RESET</t>
  </si>
  <si>
    <t>64620-0100</t>
  </si>
  <si>
    <t>Remove and reset litter barrel pad</t>
  </si>
  <si>
    <t>REMOVE AND RESET LITTER BARREL PAD</t>
  </si>
  <si>
    <t>64620-0200</t>
  </si>
  <si>
    <t>Remove and reset sanitary facility</t>
  </si>
  <si>
    <t>REMOVE AND RESET SANITARY FACILITY</t>
  </si>
  <si>
    <t>64620-0300</t>
  </si>
  <si>
    <t>Remove and reset bench</t>
  </si>
  <si>
    <t>REMOVE AND RESET BENCH</t>
  </si>
  <si>
    <t>64620-0400</t>
  </si>
  <si>
    <t>Remove and reset mailbox</t>
  </si>
  <si>
    <t>REMOVE AND RESET MAILBOX</t>
  </si>
  <si>
    <t>64620-0500</t>
  </si>
  <si>
    <t>Remove and reset flag pole</t>
  </si>
  <si>
    <t>REMOVE AND RESET FLAG POLE</t>
  </si>
  <si>
    <t>64620-0600</t>
  </si>
  <si>
    <t>Remove and reset trash receptacle</t>
  </si>
  <si>
    <t>REMOVE AND RESET TRASH RECEPTACLE</t>
  </si>
  <si>
    <t>64620-0700</t>
  </si>
  <si>
    <t>Remove and reset concrete planter</t>
  </si>
  <si>
    <t>REMOVE AND RESET CONCRETE PLANTER</t>
  </si>
  <si>
    <t>64620-0800</t>
  </si>
  <si>
    <t>Remove and reset vault toilet</t>
  </si>
  <si>
    <t>REMOVE AND RESET VAULT TOILET</t>
  </si>
  <si>
    <t>64620-0900</t>
  </si>
  <si>
    <t>Remove and reset bus shelter</t>
  </si>
  <si>
    <t>REMOVE AND RESET BUS SHELTER</t>
  </si>
  <si>
    <t>64620-1000</t>
  </si>
  <si>
    <t>Remove and reset historic marker</t>
  </si>
  <si>
    <t>REMOVE AND RESET HISTORIC MARKER</t>
  </si>
  <si>
    <t>64620-1100</t>
  </si>
  <si>
    <t>Remove and reset kiosk</t>
  </si>
  <si>
    <t>REMOVE AND RESET KIOSK</t>
  </si>
  <si>
    <t>64630-0000</t>
  </si>
  <si>
    <t>Roadside development</t>
  </si>
  <si>
    <t>ROADSIDE DEVELOPMENT</t>
  </si>
  <si>
    <t>64631-0000</t>
  </si>
  <si>
    <t>64632-0000</t>
  </si>
  <si>
    <t>64633-0000</t>
  </si>
  <si>
    <t>64701-1000</t>
  </si>
  <si>
    <t>64701-2000</t>
  </si>
  <si>
    <t>64702-1000</t>
  </si>
  <si>
    <t>64702-2000</t>
  </si>
  <si>
    <t>64702-3000</t>
  </si>
  <si>
    <t>64702-3500</t>
  </si>
  <si>
    <t>64703-1000</t>
  </si>
  <si>
    <t>64703-2000</t>
  </si>
  <si>
    <t>64703-3000</t>
  </si>
  <si>
    <t>64703-3010</t>
  </si>
  <si>
    <t>64703-3020</t>
  </si>
  <si>
    <t>64703-4000</t>
  </si>
  <si>
    <t>64703-5000</t>
  </si>
  <si>
    <t>64703-6000</t>
  </si>
  <si>
    <t>64703-7000</t>
  </si>
  <si>
    <t>64703-8000</t>
  </si>
  <si>
    <t>64703-9000</t>
  </si>
  <si>
    <t>64703-9050</t>
  </si>
  <si>
    <t>64704-1000</t>
  </si>
  <si>
    <t>64704-1500</t>
  </si>
  <si>
    <t>64704-1600</t>
  </si>
  <si>
    <t>64704-1700</t>
  </si>
  <si>
    <t>64704-2000</t>
  </si>
  <si>
    <t>64706-1000</t>
  </si>
  <si>
    <t>64706-2000</t>
  </si>
  <si>
    <t>64801-1000</t>
  </si>
  <si>
    <t>System installation, natural gas</t>
  </si>
  <si>
    <t>SYSTEM INSTALLATION, NATURAL GAS</t>
  </si>
  <si>
    <t>64803-0100</t>
  </si>
  <si>
    <t>System installation, natural gas utility company compensation</t>
  </si>
  <si>
    <t>SYSTEM INSTALLATION, NATURAL GAS UTILITY COMPANY COMPENSATION</t>
  </si>
  <si>
    <t>64805-0000</t>
  </si>
  <si>
    <t>Utility protection structure</t>
  </si>
  <si>
    <t>UTILITY PROTECTION STRUCTURE</t>
  </si>
  <si>
    <t>64810-1000</t>
  </si>
  <si>
    <t>Pipeline, natural gas 50mm</t>
  </si>
  <si>
    <t>PIPELINE, NATURAL GAS 2-INCH</t>
  </si>
  <si>
    <t>64811-1000</t>
  </si>
  <si>
    <t>Valve, adjust gas</t>
  </si>
  <si>
    <t>VALVE, ADJUST GAS</t>
  </si>
  <si>
    <t>64820-0100</t>
  </si>
  <si>
    <t>Remove and rest propane tank</t>
  </si>
  <si>
    <t>REMOVE AND RESET PROPANE TANK</t>
  </si>
  <si>
    <t>65001-1000</t>
  </si>
  <si>
    <t>Draped rockfall protection, wire mesh</t>
  </si>
  <si>
    <t>DRAPED ROCKFALL PROTECTION, WIRE MESH</t>
  </si>
  <si>
    <t>Draped rockfall protection, cable net</t>
  </si>
  <si>
    <t>DRAPED ROCKFALL PROTECTION, CABLE NET</t>
  </si>
  <si>
    <t>Rockfall protection, pin</t>
  </si>
  <si>
    <t>ROCKFALL PROTECTION, PIN</t>
  </si>
  <si>
    <t>Repair draped rockfall protection, wire mesh</t>
  </si>
  <si>
    <t>REPAIR DRAPED ROCKFALL PROTECTION, WIRE MESH</t>
  </si>
  <si>
    <t>Repair draped rockfall protection, cable net</t>
  </si>
  <si>
    <t>REPAIR DRAPED ROCKFALL PROTECTION, CABLE NET</t>
  </si>
  <si>
    <t>65201-3000</t>
  </si>
  <si>
    <t>Remove existing rails and ties</t>
  </si>
  <si>
    <t>REMOVE EXISTING RAILS AND TIES</t>
  </si>
  <si>
    <t>65202-3000</t>
  </si>
  <si>
    <t>Remove existing railroad ballast and sub ballast</t>
  </si>
  <si>
    <t>REMOVE EXISTING RAILROAD BALLAST AND SUB BALLAST</t>
  </si>
  <si>
    <t>65210-1000</t>
  </si>
  <si>
    <t>Place railroad ballast</t>
  </si>
  <si>
    <t>PLACE RAILROAD BALLAST</t>
  </si>
  <si>
    <t>65210-2000</t>
  </si>
  <si>
    <t>Place railroad sub ballast</t>
  </si>
  <si>
    <t>PLACE RAILROAD SUB BALLAST</t>
  </si>
  <si>
    <t>65211-3000</t>
  </si>
  <si>
    <t>Place railroad rails and ties</t>
  </si>
  <si>
    <t>PLACE RAILROAD RAILS AND TIES</t>
  </si>
  <si>
    <t>65212-1000</t>
  </si>
  <si>
    <t>Place railroad precast concrete railroad crossing panel</t>
  </si>
  <si>
    <t>PLACE RAILROAD PRECAST CONCRETE RAILROAD CROSSING PANEL</t>
  </si>
  <si>
    <t>65215-3000</t>
  </si>
  <si>
    <t>Reset railroad rails and ties</t>
  </si>
  <si>
    <t>RESET RAILROAD RAILS AND TIES</t>
  </si>
  <si>
    <t>65216-1000</t>
  </si>
  <si>
    <t>Remove and reset railroad ballast and sub ballast</t>
  </si>
  <si>
    <t>REMOVE AND RESET RAILROAD BALLAST AND SUB BALLAST</t>
  </si>
  <si>
    <t>65220-1000</t>
  </si>
  <si>
    <t>Place bridge timbers, guardrails, and approach ties</t>
  </si>
  <si>
    <t>PLACE BRIDGE TIMBERS, GUARDRAILS, AND APPROACH TIES</t>
  </si>
  <si>
    <t>Midslope rockfall attenuator</t>
  </si>
  <si>
    <t>MIDSLOPE ROCKFALL ATTENUATOR</t>
  </si>
  <si>
    <t>Repair midslope rockfall attenuator</t>
  </si>
  <si>
    <t>REPAIR MIDSLOPE ROCKFALL ATTENUATOR</t>
  </si>
  <si>
    <t>Roadside rockfall protection, fence</t>
  </si>
  <si>
    <t>ROADSIDE ROCKFALL PROTECTION, FENCE</t>
  </si>
  <si>
    <t>Roadside rockfall protection, gabion barrier</t>
  </si>
  <si>
    <t>ROADSIDE ROCKFALL PROTECTION, GABION BARRIER</t>
  </si>
  <si>
    <t>Anchored wired mesh system</t>
  </si>
  <si>
    <t>ANCHORED WIRED MESH SYSTEM</t>
  </si>
  <si>
    <t>Temporary roadway rockfall protection</t>
  </si>
  <si>
    <t>TEMPORARY ROADWAY ROCKFALL PROTECTION</t>
  </si>
  <si>
    <t>66601-0000</t>
  </si>
  <si>
    <t>Contract modification work</t>
  </si>
  <si>
    <t>CONTRACT MODIFICATION WORK</t>
  </si>
  <si>
    <t>66602-0000</t>
  </si>
  <si>
    <t>66603-0000</t>
  </si>
  <si>
    <t>66604-0000</t>
  </si>
  <si>
    <t>66605-0000</t>
  </si>
  <si>
    <t>66606-0000</t>
  </si>
  <si>
    <t>66607-0000</t>
  </si>
  <si>
    <t>66608-0000</t>
  </si>
  <si>
    <t>66609-0000</t>
  </si>
  <si>
    <t>66610-0000</t>
  </si>
  <si>
    <t>66611-0000</t>
  </si>
  <si>
    <t>66612-0000</t>
  </si>
  <si>
    <t>66620-0000</t>
  </si>
  <si>
    <t>Claim settlement</t>
  </si>
  <si>
    <t>CLAIM SETTLEMENT</t>
  </si>
  <si>
    <t>66621-0000</t>
  </si>
  <si>
    <t>Settlement agreement</t>
  </si>
  <si>
    <t>SETTLEMENT AGREEMENT</t>
  </si>
  <si>
    <t>66622-0000</t>
  </si>
  <si>
    <t>Contracting officer's decision</t>
  </si>
  <si>
    <t>CONTRACTING OFFICER'S DECISION</t>
  </si>
  <si>
    <t>66701-0000</t>
  </si>
  <si>
    <t>Negotiated pay item</t>
  </si>
  <si>
    <t>NEGOTIATED PAY ITEM</t>
  </si>
  <si>
    <t>66702-0000</t>
  </si>
  <si>
    <t>66703-0000</t>
  </si>
  <si>
    <t>66704-0000</t>
  </si>
  <si>
    <t>66705-0000</t>
  </si>
  <si>
    <t>66706-0000</t>
  </si>
  <si>
    <t>66707-0000</t>
  </si>
  <si>
    <t>66708-0000</t>
  </si>
  <si>
    <t>66709-0000</t>
  </si>
  <si>
    <t>66710-0000</t>
  </si>
  <si>
    <t>66711-0000</t>
  </si>
  <si>
    <t>66712-0000</t>
  </si>
  <si>
    <t>66801-0000</t>
  </si>
  <si>
    <t>Design-Build</t>
  </si>
  <si>
    <t>DESIGN-BUILD</t>
  </si>
  <si>
    <t>66802-0000</t>
  </si>
  <si>
    <t>66901-0000</t>
  </si>
  <si>
    <t>CMGC</t>
  </si>
  <si>
    <t>67001-0000</t>
  </si>
  <si>
    <t>Project lump sum</t>
  </si>
  <si>
    <t>PROJECT LUMP SUM</t>
  </si>
  <si>
    <t>67002-0000</t>
  </si>
  <si>
    <t>99901-0000</t>
  </si>
  <si>
    <t>Partnering</t>
  </si>
  <si>
    <t>PARTNERING</t>
  </si>
  <si>
    <t>99902-0000</t>
  </si>
  <si>
    <t>Performance Incentives</t>
  </si>
  <si>
    <t>PERFORMANCE INCENTIVES</t>
  </si>
  <si>
    <t>99903-0000</t>
  </si>
  <si>
    <t>99904-0000</t>
  </si>
  <si>
    <t>Asphalt Escalation</t>
  </si>
  <si>
    <t>ASPHALT ESCALATION</t>
  </si>
  <si>
    <t>99905-0000</t>
  </si>
  <si>
    <t>Fuel Escalation</t>
  </si>
  <si>
    <t>FUEL ESCALATION</t>
  </si>
  <si>
    <t>99920-0000</t>
  </si>
  <si>
    <t>Design Contingency</t>
  </si>
  <si>
    <t>DESIGN CONTINGENCY</t>
  </si>
  <si>
    <t>99950-0000</t>
  </si>
  <si>
    <t>Liquidated damages</t>
  </si>
  <si>
    <t>LIQUIDATED DAMAGES</t>
  </si>
  <si>
    <t>CI</t>
  </si>
  <si>
    <t>99951-0000</t>
  </si>
  <si>
    <t>Interest</t>
  </si>
  <si>
    <t>INTEREST</t>
  </si>
  <si>
    <t>99952-0000</t>
  </si>
  <si>
    <t>Lab trailer payment</t>
  </si>
  <si>
    <t>LAB TRAILER PAYMENT</t>
  </si>
  <si>
    <t>99953-0000</t>
  </si>
  <si>
    <t>Contingencies</t>
  </si>
  <si>
    <t>CONTINGENCIES</t>
  </si>
  <si>
    <t>99954-0000</t>
  </si>
  <si>
    <t>Project Retainages</t>
  </si>
  <si>
    <t>PROJECT RETAINAGES</t>
  </si>
  <si>
    <t>99955-0000</t>
  </si>
  <si>
    <t>99956-0000</t>
  </si>
  <si>
    <t>Funding reclassification</t>
  </si>
  <si>
    <t>FUNDING RECLASSIFICATION</t>
  </si>
  <si>
    <t>20203-0000</t>
  </si>
  <si>
    <t>20207-0000</t>
  </si>
  <si>
    <t>20213-0000</t>
  </si>
  <si>
    <t>20302-2700</t>
  </si>
  <si>
    <t>Removal of rumble strips</t>
  </si>
  <si>
    <t>REMOVAL OF RUMBLE STRIPS</t>
  </si>
  <si>
    <t>20305-1600</t>
  </si>
  <si>
    <t>20436-2000</t>
  </si>
  <si>
    <t>25210-1000</t>
  </si>
  <si>
    <t>Rockery, in-stream</t>
  </si>
  <si>
    <t>ROCKERY, IN-STREAM</t>
  </si>
  <si>
    <t>25210-1100</t>
  </si>
  <si>
    <t>Rockery, in-stream, cut side</t>
  </si>
  <si>
    <t>ROCKERY, IN-STREAM, CUT SIDE</t>
  </si>
  <si>
    <t>25210-1200</t>
  </si>
  <si>
    <t>Rockery, in-stream, fill side</t>
  </si>
  <si>
    <t>ROCKERY, IN-STREAM, FILL SIDE</t>
  </si>
  <si>
    <t>25210-1300</t>
  </si>
  <si>
    <t>Rockery, in-stream, reinforced fill</t>
  </si>
  <si>
    <t>ROCKERY, IN-STREAM, REINFORCED FILL</t>
  </si>
  <si>
    <t>25511-0000</t>
  </si>
  <si>
    <t>26111-0000</t>
  </si>
  <si>
    <t>Soldier pile retaining wall</t>
  </si>
  <si>
    <t>SOLDIER PILE RETAINING WALL</t>
  </si>
  <si>
    <t>30401-5200</t>
  </si>
  <si>
    <t>30402-5250</t>
  </si>
  <si>
    <t>Full depth reclamation, method 2, 125mm depth</t>
  </si>
  <si>
    <t>FULL DEPTH RECLAMATION, METHOD 2, 5-INCH DEPTH</t>
  </si>
  <si>
    <t>30502-0900</t>
  </si>
  <si>
    <t>Full depth reclamation with cement, 225mm depth</t>
  </si>
  <si>
    <t>FULL DEPTH RECLAMATION WITH CEMENT, 9-INCH DEPTH</t>
  </si>
  <si>
    <t>40399-0002</t>
  </si>
  <si>
    <t>Thin lift asphalt concrete pavement</t>
  </si>
  <si>
    <t>THIN LIFT ASPHALT CONCRETE PAVEMENT</t>
  </si>
  <si>
    <t>57404-0000</t>
  </si>
  <si>
    <t>Precast segmental concrete</t>
  </si>
  <si>
    <t>PRECAST SEGMENTAL CONCRETE</t>
  </si>
  <si>
    <t>58701-0000</t>
  </si>
  <si>
    <t>Post-tensioning system</t>
  </si>
  <si>
    <t>POST-TENSIONING SYSTEM</t>
  </si>
  <si>
    <t>60220-3475</t>
  </si>
  <si>
    <t>3300mm span, 1200mm rise precast reinforced concrete box culvert</t>
  </si>
  <si>
    <t>11 FEET SPAN, 4 FEET RISE PRECAST REINFORCED CONCRETE BOX CULVERT</t>
  </si>
  <si>
    <t>60220-4755</t>
  </si>
  <si>
    <t>4500mm span, 2400mm rise precast reinforced concrete box culvert</t>
  </si>
  <si>
    <t>15 FEET SPAN, 8 FEET RISE PRECAST REINFORCED CONCRETE BOX CULVERT</t>
  </si>
  <si>
    <t>4800mm span, 2400mm rise precast reinforced concrete box culvert</t>
  </si>
  <si>
    <t>60220-4780</t>
  </si>
  <si>
    <t>5100mm span, 2400mm rise precast reinforced concrete box culvert</t>
  </si>
  <si>
    <t>17 FEET SPAN, 8 FEET RISE PRECAST REINFORCED CONCRETE BOX CULVERT</t>
  </si>
  <si>
    <t>60231-1000</t>
  </si>
  <si>
    <t>60233-1100</t>
  </si>
  <si>
    <t>Metal headwall for 1650mm equivalent diameter arch or elliptical pipe culvert</t>
  </si>
  <si>
    <t>METAL HEADWALL FOR 66-INCH EQUIVALENT DIAMETER ARCH OR ELLIPTICAL PIPE CULVERT</t>
  </si>
  <si>
    <t>60233-1200</t>
  </si>
  <si>
    <t>Metal headwall for 1800mm equivalent diameter arch or elliptical pipe culvert</t>
  </si>
  <si>
    <t>METAL HEADWALL FOR 72-INCH EQUIVALENT DIAMETER ARCH OR ELLIPTICAL PIPE CULVERT</t>
  </si>
  <si>
    <t>60233-1500</t>
  </si>
  <si>
    <t>Metal headwall for 2250mm equivalent diameter arch or elliptical pipe culvert</t>
  </si>
  <si>
    <t>METAL HEADWALL FOR 90-INCH EQUIVALENT DIAMETER ARCH OR ELLIPTICAL PIPE CULVERT</t>
  </si>
  <si>
    <t>60412-3000</t>
  </si>
  <si>
    <t>Remove and reset inlet</t>
  </si>
  <si>
    <t>REMOVE AND RESET INLET</t>
  </si>
  <si>
    <t>60510-1500</t>
  </si>
  <si>
    <t>450mm outlet pipe</t>
  </si>
  <si>
    <t>18-INCH OUTLET PIPE</t>
  </si>
  <si>
    <t>60514-0000</t>
  </si>
  <si>
    <t>Underdrain valve</t>
  </si>
  <si>
    <t>UNDERDRAIN VALVE</t>
  </si>
  <si>
    <t>61111-0000</t>
  </si>
  <si>
    <t>Yard hydrant</t>
  </si>
  <si>
    <t>YARD HYDRANT</t>
  </si>
  <si>
    <t>61202-1000</t>
  </si>
  <si>
    <t>250mm sewer line, plastic</t>
  </si>
  <si>
    <t>10-INCH SEWER LINE, PLASTIC</t>
  </si>
  <si>
    <t>61204-1000</t>
  </si>
  <si>
    <t>Sanitary sewer, interior drop</t>
  </si>
  <si>
    <t>SANITARY SEWER, INTERIOR DROP</t>
  </si>
  <si>
    <t>61902-2150</t>
  </si>
  <si>
    <t>Gate, metal, 9600mm width</t>
  </si>
  <si>
    <t>GATE, METAL, 32 FEET WIDTH</t>
  </si>
  <si>
    <t>62011-3090</t>
  </si>
  <si>
    <t>Stone masonry headwall for 1350mm equivalent diameter arch or elliptical pipe culvert</t>
  </si>
  <si>
    <t>STONE MASONRY HEADWALL FOR 54-INCH EQUIVALENT DIAMETER ARCH OR ELLIPTICAL PIPE CULVERT</t>
  </si>
  <si>
    <t>62011-3120</t>
  </si>
  <si>
    <t>Stone masonry headwall for 1800mm equivalent diameter arch or elliptical pipe culvert</t>
  </si>
  <si>
    <t>STONE MASONRY HEADWALL FOR 72-INCH EQUIVALENT DIAMETER ARCH OR ELLIPTICAL PIPE CULVERT</t>
  </si>
  <si>
    <t>62011-3170</t>
  </si>
  <si>
    <t>Stone masonry headwall for 2550mm equivalent diameter arch or elliptical pipe culvert</t>
  </si>
  <si>
    <t>STONE MASONRY HEADWALL FOR 102-INCH EQUIVALENT DIAMETER ARCH OR ELLIPTICAL PIPE CULVERT</t>
  </si>
  <si>
    <t>62017-0200</t>
  </si>
  <si>
    <t>Dry stacked stone masonry headwall for 375mm pipe culvert</t>
  </si>
  <si>
    <t>DRY STACKED STONE MASONRY HEADWALL FOR 15-INCH PIPE CULVERT</t>
  </si>
  <si>
    <t>62018-0700</t>
  </si>
  <si>
    <t>Dry stacked stone masonry headwall for 900mm equivalent diameter arch or elliptical pipe culvert</t>
  </si>
  <si>
    <t>DRY STACKED STONE MASONRY HEADWALL FOR 36-INCH EQUIVALENT DIAMETER ARCH OR ELLIPTICAL PIPE CULVERT</t>
  </si>
  <si>
    <t>62018-0900</t>
  </si>
  <si>
    <t>Dry stacked stone masonry headwall for 1200mm equivalent diameter arch or elliptical pipe culvert</t>
  </si>
  <si>
    <t>DRY STACKED STONE MASONRY HEADWALL FOR 48-INCH EQUIVALENT DIAMETER ARCH OR ELLIPTICAL PIPE CULVERT</t>
  </si>
  <si>
    <t>62405-0000</t>
  </si>
  <si>
    <t>62910-1000</t>
  </si>
  <si>
    <t>Cellular confinement system backfill, granular</t>
  </si>
  <si>
    <t>CELLULAR CONFINEMENT SYSTEM BACKFILL, GRANULAR</t>
  </si>
  <si>
    <t>63305-1650</t>
  </si>
  <si>
    <t>Posts, wood, 50mm x 50mm</t>
  </si>
  <si>
    <t>POSTS, WOOD, 2-INCH X 2-INCH</t>
  </si>
  <si>
    <t>63331-0000</t>
  </si>
  <si>
    <t>Traffic spikes</t>
  </si>
  <si>
    <t>TRAFFIC SPIKES</t>
  </si>
  <si>
    <t>63401-1650</t>
  </si>
  <si>
    <t>Pavement markings, type H, dotted</t>
  </si>
  <si>
    <t>PAVEMENT MARKINGS, TYPE H, DOTTED</t>
  </si>
  <si>
    <t>63502-2050</t>
  </si>
  <si>
    <t>Temporary traffic control, speed feedback sign</t>
  </si>
  <si>
    <t>TEMPORARY TRAFFIC CONTROL, SPEED FEEDBACK SIGN</t>
  </si>
  <si>
    <t>63603-0200</t>
  </si>
  <si>
    <t>System installation, telephone company compensation</t>
  </si>
  <si>
    <t>SYSTEM INSTALLATION, TELEPHONE COMPANY COMPENSATION</t>
  </si>
  <si>
    <t>63611-1120</t>
  </si>
  <si>
    <t>Wire, electrical conductors, 0000 awg</t>
  </si>
  <si>
    <t>WIRE, ELECTRICAL CONDUCTORS, 0000 AWG</t>
  </si>
  <si>
    <t>63611-1600</t>
  </si>
  <si>
    <t>Wire, fiber optic cable</t>
  </si>
  <si>
    <t>WIRE, FIBER OPTIC CABLE</t>
  </si>
  <si>
    <t>63614-0000</t>
  </si>
  <si>
    <t>Transformer</t>
  </si>
  <si>
    <t>TRANSFORMER</t>
  </si>
  <si>
    <t>63615-0000</t>
  </si>
  <si>
    <t>Switch</t>
  </si>
  <si>
    <t>SWITCH</t>
  </si>
  <si>
    <t>63616-0000</t>
  </si>
  <si>
    <t>Electric vehicle charging station</t>
  </si>
  <si>
    <t>ELECTRIC VEHICLE CHARGING STATION</t>
  </si>
  <si>
    <t>Utility company compensation</t>
  </si>
  <si>
    <t>UTILITY COMPANY COMPENSATION</t>
  </si>
  <si>
    <t>64702-3100</t>
  </si>
  <si>
    <t>64702-3200</t>
  </si>
  <si>
    <t>64702-3600</t>
  </si>
  <si>
    <t>64702-3700</t>
  </si>
  <si>
    <t>64901-1000</t>
  </si>
  <si>
    <t>Hazardous material mitigation</t>
  </si>
  <si>
    <t>HAZARDOUS MATERIAL MITIGATION</t>
  </si>
  <si>
    <t>64905-0000</t>
  </si>
  <si>
    <t>Asbestos compliance</t>
  </si>
  <si>
    <t>ASBESTOS COMPLIANCE</t>
  </si>
  <si>
    <t>Additional Anchor Nail</t>
  </si>
  <si>
    <t>ADDITIONAL ANCHOR NAIL</t>
  </si>
  <si>
    <t>99906-0000</t>
  </si>
  <si>
    <t>Steel Escalation</t>
  </si>
  <si>
    <t>STEEL ESCALATION</t>
  </si>
  <si>
    <t>Item Description MET</t>
  </si>
  <si>
    <t>Unit MET</t>
  </si>
  <si>
    <t>Item Description USC</t>
  </si>
  <si>
    <t>UNIT USC</t>
  </si>
  <si>
    <t>BidDec</t>
  </si>
  <si>
    <t>PayDec</t>
  </si>
  <si>
    <t>Soil erosion control, temporary stormwater diversion channel</t>
  </si>
  <si>
    <t>SOIL EROSION CONTROL, TEMPORARY STORMWATER DIVERSION CHANNEL</t>
  </si>
  <si>
    <t>Soil erosion control, stormwater turbidity monitoring</t>
  </si>
  <si>
    <t>SOIL EROSION CONTROL, STORMWATER TURBIDITY MONITORING</t>
  </si>
  <si>
    <t>Soil erosion control, temporary stormwater diversion berm</t>
  </si>
  <si>
    <t>SOIL EROSION CONTROL, TEMPORARY STORMWATER DIVERSION BERM</t>
  </si>
  <si>
    <t>Soil erosion control, temporary stormwater diversion</t>
  </si>
  <si>
    <t>SOIL EROSION CONTROL, TEMPORARY STORMWATER DIVERSION</t>
  </si>
  <si>
    <t>15705-1850</t>
  </si>
  <si>
    <t>Stormwater pollution prevention plan</t>
  </si>
  <si>
    <t>STORMWATER POLLUTION PREVENTION PLAN</t>
  </si>
  <si>
    <t>Removal of terminal system</t>
  </si>
  <si>
    <t>REMOVAL OF TERMINAL SYSTEM</t>
  </si>
  <si>
    <t>Removal of concrete barrier</t>
  </si>
  <si>
    <t>REMOVAL OF CONCRETE BARRIER</t>
  </si>
  <si>
    <t>20470-0000</t>
  </si>
  <si>
    <t>20471-0000</t>
  </si>
  <si>
    <t>20472-0000</t>
  </si>
  <si>
    <t>Separation geotextile, woven</t>
  </si>
  <si>
    <t>SEPARATION GEOTEXTILE, WOVEN</t>
  </si>
  <si>
    <t>20701-2000</t>
  </si>
  <si>
    <t>Separation geotextile, non-woven</t>
  </si>
  <si>
    <t>SEPARATION GEOTEXTILE, NON-WOVEN</t>
  </si>
  <si>
    <t>20702-0000</t>
  </si>
  <si>
    <t>Stabilization geotextile</t>
  </si>
  <si>
    <t>STABILZATION GEOTEXTILE</t>
  </si>
  <si>
    <t>20703-1100</t>
  </si>
  <si>
    <t>Geotextile filter, class 1, woven</t>
  </si>
  <si>
    <t>GEOTEXTILE FILTER, CLASS 1, WOVEN</t>
  </si>
  <si>
    <t>20703-1200</t>
  </si>
  <si>
    <t>Geotextile filter, class 1, non-woven</t>
  </si>
  <si>
    <t>GEOTEXTILE FILTER, CLASS 1, NON-WOVEN</t>
  </si>
  <si>
    <t>20703-2100</t>
  </si>
  <si>
    <t>Geotextile filter, class 2, woven</t>
  </si>
  <si>
    <t>GEOTEXTILE FILTER, CLASS 2, WOVEN</t>
  </si>
  <si>
    <t>20703-2200</t>
  </si>
  <si>
    <t>Geotextile filter, class 2, non-woven</t>
  </si>
  <si>
    <t>GEOTEXTILE FILTER, CLASS 2, NON-WOVEN</t>
  </si>
  <si>
    <t>20704-1000</t>
  </si>
  <si>
    <t>20704-2000</t>
  </si>
  <si>
    <t>20705-0000</t>
  </si>
  <si>
    <t>20706-0100</t>
  </si>
  <si>
    <t>20706-0200</t>
  </si>
  <si>
    <t>20706-0300</t>
  </si>
  <si>
    <t>20706-0400</t>
  </si>
  <si>
    <t>20706-0500</t>
  </si>
  <si>
    <t>20706-0600</t>
  </si>
  <si>
    <t>20720-1000</t>
  </si>
  <si>
    <t>20721-0000</t>
  </si>
  <si>
    <t>Placed riprap</t>
  </si>
  <si>
    <t>PLACED RIPRAP</t>
  </si>
  <si>
    <t>Placed riprap, class 1</t>
  </si>
  <si>
    <t>PLACED RIPRAP, CLASS 1</t>
  </si>
  <si>
    <t>Placed riprap, class 2</t>
  </si>
  <si>
    <t>PLACED RIPRAP, CLASS 2</t>
  </si>
  <si>
    <t>Placed riprap, class 3</t>
  </si>
  <si>
    <t>PLACED RIPRAP, CLASS 3</t>
  </si>
  <si>
    <t>Placed riprap, class 4</t>
  </si>
  <si>
    <t>PLACED RIPRAP, CLASS 4</t>
  </si>
  <si>
    <t>Placed riprap,class 5</t>
  </si>
  <si>
    <t>PLACED RIPRAP, CLASS 5</t>
  </si>
  <si>
    <t>Placed riprap, class 6</t>
  </si>
  <si>
    <t>PLACED RIPRAP, CLASS 6</t>
  </si>
  <si>
    <t>Placed riprap, class 7</t>
  </si>
  <si>
    <t>PLACED RIPRAP, CLASS 7</t>
  </si>
  <si>
    <t>Placed riprap, class 8</t>
  </si>
  <si>
    <t>PLACED RIPRAP, CLASS 8</t>
  </si>
  <si>
    <t>Placed riprap, class 9</t>
  </si>
  <si>
    <t>PLACED RIPRAP, CLASS 9</t>
  </si>
  <si>
    <t>Placed riprap, class 10</t>
  </si>
  <si>
    <t>PLACED RIPRAP, CLASS 10</t>
  </si>
  <si>
    <t>Keyed riprap</t>
  </si>
  <si>
    <t>KEYED RIPRAP</t>
  </si>
  <si>
    <t>Keyed riprap, class 1</t>
  </si>
  <si>
    <t>KEYED RIPRAP, CLASS 1</t>
  </si>
  <si>
    <t>Keyed riprap, class 2</t>
  </si>
  <si>
    <t>KEYED RIPRAP, CLASS 2</t>
  </si>
  <si>
    <t>Keyed riprap, class 3</t>
  </si>
  <si>
    <t>KEYED RIPRAP, CLASS 3</t>
  </si>
  <si>
    <t>Keyed riprap, class 4</t>
  </si>
  <si>
    <t>KEYED RIPRAP, CLASS 4</t>
  </si>
  <si>
    <t>Keyed riprap, class 5</t>
  </si>
  <si>
    <t>KEYED RIPRAP, CLASS 5</t>
  </si>
  <si>
    <t>Keyed riprap, class 6</t>
  </si>
  <si>
    <t>KEYED RIPRAP, CLASS 6</t>
  </si>
  <si>
    <t>Keyed riprap, class 7</t>
  </si>
  <si>
    <t>KEYED RIPRAP, CLASS 7</t>
  </si>
  <si>
    <t>Keyed riprap, class 8</t>
  </si>
  <si>
    <t>KEYED RIPRAP, CLASS 8</t>
  </si>
  <si>
    <t>Keyed riprap, class 9</t>
  </si>
  <si>
    <t>KEYED RIPRAP, CLASS 9</t>
  </si>
  <si>
    <t>Keyed riprap, class 10</t>
  </si>
  <si>
    <t>KEYED RIPRAP, CLASS 10</t>
  </si>
  <si>
    <t>Grouted riprap</t>
  </si>
  <si>
    <t>GROUTED RIPRAP</t>
  </si>
  <si>
    <t>Grouted riprap, class 1</t>
  </si>
  <si>
    <t>GROUTED RIPRAP, CLASS 1</t>
  </si>
  <si>
    <t>Grouted riprap, class 2</t>
  </si>
  <si>
    <t>GROUTED RIPRAP, CLASS 2</t>
  </si>
  <si>
    <t>Grouted riprap, class 3</t>
  </si>
  <si>
    <t>GROUTED RIPRAP, CLASS 3</t>
  </si>
  <si>
    <t>Grouted riprap, class 4</t>
  </si>
  <si>
    <t>GROUTED RIPRAP, CLASS 4</t>
  </si>
  <si>
    <t>Grouted riprap, class 5</t>
  </si>
  <si>
    <t>GROUTED RIPRAP, CLASS 5</t>
  </si>
  <si>
    <t>Grouted riprap, class 6</t>
  </si>
  <si>
    <t>GROUTED RIPRAP, CLASS 6</t>
  </si>
  <si>
    <t>Grouted riprap, class 7</t>
  </si>
  <si>
    <t>GROUTED RIPRAP, CLASS 7</t>
  </si>
  <si>
    <t>Grouted riprap, class 8</t>
  </si>
  <si>
    <t>GROUTED RIPRAP, CLASS 8</t>
  </si>
  <si>
    <t>Grouted riprap, class 9</t>
  </si>
  <si>
    <t>GROUTED RIPRAP, CLASS 9</t>
  </si>
  <si>
    <t>Grouted riprap, class 10</t>
  </si>
  <si>
    <t>GROUTED RIPRAP, CLASS 10</t>
  </si>
  <si>
    <t>Partially grouted riprap, class 2</t>
  </si>
  <si>
    <t>PARTIALLY GROUTED RIPRAP, CLASS 2</t>
  </si>
  <si>
    <t>Partially grouted riprap, class 3</t>
  </si>
  <si>
    <t>PARTIALLY GROUTED RIPRAP, CLASS 3</t>
  </si>
  <si>
    <t>Partially grouted riprap, class 4</t>
  </si>
  <si>
    <t>PARTIALLY GROUTED RIPRAP, CLASS 4</t>
  </si>
  <si>
    <t>Riprap ditch</t>
  </si>
  <si>
    <t>RIPRAP DITCH</t>
  </si>
  <si>
    <t>Riprap ditch, class 1</t>
  </si>
  <si>
    <t>RIPRAP DITCH,CLASS 1</t>
  </si>
  <si>
    <t>Riprap ditch, class 2</t>
  </si>
  <si>
    <t>RIPRAP DITCH, CLASS 2</t>
  </si>
  <si>
    <t>Riprap ditch, class 3</t>
  </si>
  <si>
    <t>RIPRAP DITCH, CLASS 3</t>
  </si>
  <si>
    <t>Riprap ditch, class 4</t>
  </si>
  <si>
    <t>RIPRAP DITCH, CLASS 4</t>
  </si>
  <si>
    <t>Riprap ditch, class 5</t>
  </si>
  <si>
    <t>RIPRAP DITCH, CLASS 5</t>
  </si>
  <si>
    <t>Riprap ditch, class 6</t>
  </si>
  <si>
    <t>RIPRAP DITCH, CLASS 6</t>
  </si>
  <si>
    <t>Riprap ditch, class 7</t>
  </si>
  <si>
    <t>RIPRAP DITCH, CLASS 7</t>
  </si>
  <si>
    <t>Riprap ditch, class 8</t>
  </si>
  <si>
    <t>RIPRAP DITCH, CLASS 8</t>
  </si>
  <si>
    <t>Riprap ditch, class 9</t>
  </si>
  <si>
    <t>RIPRAP DITCH, CLASS 9</t>
  </si>
  <si>
    <t>Riprap ditch, class 10</t>
  </si>
  <si>
    <t>RIPRAP DITCH, CLASS 10</t>
  </si>
  <si>
    <t>25306-0000</t>
  </si>
  <si>
    <t>Articulated concrete block</t>
  </si>
  <si>
    <t>ARTICULATED CONCRETE BLOCK</t>
  </si>
  <si>
    <t>25402-1000</t>
  </si>
  <si>
    <t>Lagging, timber</t>
  </si>
  <si>
    <t>LAGGING, TIMBER</t>
  </si>
  <si>
    <t>25402-2000</t>
  </si>
  <si>
    <t>Lagging, concrete</t>
  </si>
  <si>
    <t>LAGGING, CONCRETE</t>
  </si>
  <si>
    <t>25410-0000</t>
  </si>
  <si>
    <t>Fascia</t>
  </si>
  <si>
    <t>FASCIA</t>
  </si>
  <si>
    <t>25411-0000</t>
  </si>
  <si>
    <t>Mechanically stabilized earth wall, SRWU</t>
  </si>
  <si>
    <t>MECHANICALLY STABILIZED EARTH WALL, SRWU</t>
  </si>
  <si>
    <t>Contractor provided retaining structure design</t>
  </si>
  <si>
    <t>CONTRACTOR PROVIDED RETAINING STRUCTURE DESIGN</t>
  </si>
  <si>
    <t>26106-0000</t>
  </si>
  <si>
    <t>RSS backfill</t>
  </si>
  <si>
    <t>RSS BACKFILL</t>
  </si>
  <si>
    <t>26301-1000</t>
  </si>
  <si>
    <t>26301-2000</t>
  </si>
  <si>
    <t>26302-1000</t>
  </si>
  <si>
    <t>26303-1000</t>
  </si>
  <si>
    <t>26303-2000</t>
  </si>
  <si>
    <t>26401-0000</t>
  </si>
  <si>
    <t>26402-0000</t>
  </si>
  <si>
    <t>26501-1000</t>
  </si>
  <si>
    <t>26502-1000</t>
  </si>
  <si>
    <t>26601-0000</t>
  </si>
  <si>
    <t>26602-0000</t>
  </si>
  <si>
    <t>26701-1000</t>
  </si>
  <si>
    <t>Drain holes in rock, unlined</t>
  </si>
  <si>
    <t>DRAIN HOLES IN ROCK, UNLINED</t>
  </si>
  <si>
    <t>26701-2000</t>
  </si>
  <si>
    <t>Drain holes in rock, lined</t>
  </si>
  <si>
    <t>DRAIN HOLES IN ROCK, LINED</t>
  </si>
  <si>
    <t>26801-0000</t>
  </si>
  <si>
    <t>26802-0000</t>
  </si>
  <si>
    <t>26803-0000</t>
  </si>
  <si>
    <t>26805-0000</t>
  </si>
  <si>
    <t>26808-0000</t>
  </si>
  <si>
    <t>26810-0000</t>
  </si>
  <si>
    <t>26812-0000</t>
  </si>
  <si>
    <t>26901-0000</t>
  </si>
  <si>
    <t>26902-0000</t>
  </si>
  <si>
    <t>27201-0000</t>
  </si>
  <si>
    <t>28001-0000</t>
  </si>
  <si>
    <t>28003-0000</t>
  </si>
  <si>
    <t>30110-0100</t>
  </si>
  <si>
    <t>Aggregate surface course grading F</t>
  </si>
  <si>
    <t>AGGREGATE SURFACE COURSE GRADING F</t>
  </si>
  <si>
    <t>30110-0200</t>
  </si>
  <si>
    <t>Aggregate surface course grading G</t>
  </si>
  <si>
    <t>AGGREGATE SURFACE COURSE GRADING G</t>
  </si>
  <si>
    <t>30110-0300</t>
  </si>
  <si>
    <t>Aggregate surface course grading H</t>
  </si>
  <si>
    <t>AGGREGATE SURFACE COURSE GRADING H</t>
  </si>
  <si>
    <t>30111-0000</t>
  </si>
  <si>
    <t>30111-0100</t>
  </si>
  <si>
    <t>Aggregate surface course grading F, 100mm depth</t>
  </si>
  <si>
    <t>AGGREGATE SURFACE COURSE GRADING F, 4-INCH DEPTH</t>
  </si>
  <si>
    <t>30111-0200</t>
  </si>
  <si>
    <t>Aggregate surface course grading F, 150mm depth</t>
  </si>
  <si>
    <t>AGGREGATE SURFACE COURSE GRADING F, 6-INCH DEPTH</t>
  </si>
  <si>
    <t>30111-0300</t>
  </si>
  <si>
    <t>Aggregate surface course grading F, 200mm depth</t>
  </si>
  <si>
    <t>AGGREGATE SURFACE COURSE GRADING F, 8-INCH DEPTH</t>
  </si>
  <si>
    <t>30111-0400</t>
  </si>
  <si>
    <t>Aggregate surface course grading F, 250mm depth</t>
  </si>
  <si>
    <t>AGGREGATE SURFACE COURSE GRADING F, 10-INCH DEPTH</t>
  </si>
  <si>
    <t>30111-0500</t>
  </si>
  <si>
    <t>Aggregate surface course grading F, 300mm depth</t>
  </si>
  <si>
    <t>AGGREGATE SURFACE COURSE GRADING F, 12-INCH DEPTH</t>
  </si>
  <si>
    <t>30111-0600</t>
  </si>
  <si>
    <t>Aggregate surface course grading G, 100mm depth</t>
  </si>
  <si>
    <t>AGGREGATE SURFACE COURSE GRADING G, 4-INCH DEPTH</t>
  </si>
  <si>
    <t>30111-0700</t>
  </si>
  <si>
    <t>Aggregate surface course grading G, 150mm depth</t>
  </si>
  <si>
    <t>AGGREGATE SURFACE COURSE GRADING G, 6-INCH DEPTH</t>
  </si>
  <si>
    <t>30111-0800</t>
  </si>
  <si>
    <t>Aggregate surface course grading G, 200mm depth</t>
  </si>
  <si>
    <t>AGGREGATE SURFACE COURSE GRADING G, 8-INCH DEPTH</t>
  </si>
  <si>
    <t>30111-0900</t>
  </si>
  <si>
    <t>Aggregate surface course grading G, 250mm depth</t>
  </si>
  <si>
    <t>AGGREGATE SURFACE COURSE GRADING G, 10-INCH DEPTH</t>
  </si>
  <si>
    <t>Aggregate surface course grading G, 300mm depth</t>
  </si>
  <si>
    <t>AGGREGATE SURFACE COURSE GRADING G, 12-INCH DEPTH</t>
  </si>
  <si>
    <t>30111-1100</t>
  </si>
  <si>
    <t>Aggregate surface course grading H, 100mm depth</t>
  </si>
  <si>
    <t>AGGREGATE SURFACE COURSE GRADING H, 4-INCH DEPTH</t>
  </si>
  <si>
    <t>30111-1200</t>
  </si>
  <si>
    <t>Aggregate surface course grading H, 150mm depth</t>
  </si>
  <si>
    <t>AGGREGATE SURFACE COURSE GRADING H, 6-INCH DEPTH</t>
  </si>
  <si>
    <t>30111-1300</t>
  </si>
  <si>
    <t>Aggregate surface course grading H, 200mm depth</t>
  </si>
  <si>
    <t>AGGREGATE SURFACE COURSE GRADING H, 8-INCH DEPTH</t>
  </si>
  <si>
    <t>30111-1400</t>
  </si>
  <si>
    <t>Aggregate surface course grading H, 250mm depth</t>
  </si>
  <si>
    <t>AGGREGATE SURFACE COURSE GRADING H, 10-INCH DEPTH</t>
  </si>
  <si>
    <t>30111-1500</t>
  </si>
  <si>
    <t>Aggregate surface course grading H, 300mm depth</t>
  </si>
  <si>
    <t>AGGREGATE SURFACE COURSE GRADING H, 12-INCH DEPTH</t>
  </si>
  <si>
    <t>30112-0100</t>
  </si>
  <si>
    <t>30112-0200</t>
  </si>
  <si>
    <t>30112-0300</t>
  </si>
  <si>
    <t>30707-0000</t>
  </si>
  <si>
    <t>Emulsified asphalt-treated aggregate base</t>
  </si>
  <si>
    <t>EMULSIFIED ASPHALT-TREATED AGGREGATE BASE</t>
  </si>
  <si>
    <t>Emulsified asphalt-treated aggregate base, grading C</t>
  </si>
  <si>
    <t>EMULSIFIED ASPHALT-TREATED AGGREGATE BASE, GRADING C</t>
  </si>
  <si>
    <t>Emulsified asphalt-treated aggregate base, grading D</t>
  </si>
  <si>
    <t>EMULSIFIED ASPHALT-TREATED AGGREGATE BASE, GRADING D</t>
  </si>
  <si>
    <t>Emulsified asphalt-treated aggregate base, grading E</t>
  </si>
  <si>
    <t>EMULSIFIED ASPHALT-TREATED AGGREGATE BASE, GRADING E</t>
  </si>
  <si>
    <t>Emulsified asphalt-treated aggregate base, grading C or D</t>
  </si>
  <si>
    <t>EMULSIFIED ASPHALT-TREATED AGGREGATE BASE, GRADING C OR D</t>
  </si>
  <si>
    <t>30802-1000</t>
  </si>
  <si>
    <t>30802-2000</t>
  </si>
  <si>
    <t>30802-3000</t>
  </si>
  <si>
    <t>30802-4000</t>
  </si>
  <si>
    <t>30803-1000</t>
  </si>
  <si>
    <t>30803-2000</t>
  </si>
  <si>
    <t>30803-3000</t>
  </si>
  <si>
    <t>30803-4000</t>
  </si>
  <si>
    <t>30902-0100</t>
  </si>
  <si>
    <t>30902-0200</t>
  </si>
  <si>
    <t>30902-0300</t>
  </si>
  <si>
    <t>30902-0400</t>
  </si>
  <si>
    <t>30902-0500</t>
  </si>
  <si>
    <t>30902-0600</t>
  </si>
  <si>
    <t>30902-0700</t>
  </si>
  <si>
    <t>30902-0800</t>
  </si>
  <si>
    <t>30905-0000</t>
  </si>
  <si>
    <t>30906-0000</t>
  </si>
  <si>
    <t>30907-0000</t>
  </si>
  <si>
    <t>Stabilized aggregate surface course</t>
  </si>
  <si>
    <t>STABILIZED AGGREGATE SURFACE COURSE</t>
  </si>
  <si>
    <t>Stabilized aggregate surface course, calcium chloride</t>
  </si>
  <si>
    <t>STABILIZED AGGREGATE SURFACE COURSE, CALCIUM CHLORIDE</t>
  </si>
  <si>
    <t>Lignosulfonate</t>
  </si>
  <si>
    <t>LIGNOSULFONATE</t>
  </si>
  <si>
    <t>31501-0000</t>
  </si>
  <si>
    <t>31501-1100</t>
  </si>
  <si>
    <t>Recycled aggregate base, Method 1, 150mm depth</t>
  </si>
  <si>
    <t>RECYCLED AGGREGATE BASE, METHOD 1, 6-INCH DEPTH</t>
  </si>
  <si>
    <t>31501-1200</t>
  </si>
  <si>
    <t>Recycled aggregate base, Method 1, 200mm depth</t>
  </si>
  <si>
    <t>RECYCLED AGGREGATE BASE, METHOD 1, 8-INCH DEPTH</t>
  </si>
  <si>
    <t>31501-1300</t>
  </si>
  <si>
    <t>Recycled aggregate base, Method 1, 250mm depth</t>
  </si>
  <si>
    <t>RECYCLED AGGREGATE BASE, METHOD 1, 10-INCH DEPTH</t>
  </si>
  <si>
    <t>31501-1400</t>
  </si>
  <si>
    <t>Recycled aggregate base, Method 1, 300mm depth</t>
  </si>
  <si>
    <t>RECYCLED AGGREGATE BASE, METHOD 1, 12-INCH DEPTH</t>
  </si>
  <si>
    <t>31501-2100</t>
  </si>
  <si>
    <t>Recycled aggregate base, Method 2, 150mm depth</t>
  </si>
  <si>
    <t>RECYCLED AGGREGATE BASE, METHOD 2, 6-INCH DEPTH</t>
  </si>
  <si>
    <t>31501-2200</t>
  </si>
  <si>
    <t>Recycled aggregate base, Method 2, 200mm depth</t>
  </si>
  <si>
    <t>RECYCLED AGGREGATE BASE, METHOD 2, 8-INCH DEPTH</t>
  </si>
  <si>
    <t>31501-2300</t>
  </si>
  <si>
    <t>Recycled aggregate base, Method 2, 250mm depth</t>
  </si>
  <si>
    <t>RECYCLED AGGREGATE BASE, METHOD 2, 10-INCH DEPTH</t>
  </si>
  <si>
    <t>31501-2400</t>
  </si>
  <si>
    <t>Recycled aggregate base, Method 2, 300mm depth</t>
  </si>
  <si>
    <t>RECYCLED AGGREGATE BASE, METHOD 2, 12-INCH DEPTH</t>
  </si>
  <si>
    <t>31502-0000</t>
  </si>
  <si>
    <t>31502-1000</t>
  </si>
  <si>
    <t>Recycled aggregate base, Method 1</t>
  </si>
  <si>
    <t>RECYCLED AGGREGATE BASE, METHOD 1</t>
  </si>
  <si>
    <t>31502-2000</t>
  </si>
  <si>
    <t>Recycled aggregate base, Method 2</t>
  </si>
  <si>
    <t>RECYCLED AGGREGATE BASE, METHOD 2</t>
  </si>
  <si>
    <t>31503-0000</t>
  </si>
  <si>
    <t>31503-1000</t>
  </si>
  <si>
    <t>31503-2000</t>
  </si>
  <si>
    <t>31510-0000</t>
  </si>
  <si>
    <t>40401-0000</t>
  </si>
  <si>
    <t>40401-1000</t>
  </si>
  <si>
    <t>Thin lift asphalt concrete pavement, Type 1</t>
  </si>
  <si>
    <t>THIN LIFT ASPHALT CONCRETE PAVEMENT, TYPE 1</t>
  </si>
  <si>
    <t>40401-2000</t>
  </si>
  <si>
    <t>Thin lift asphalt concrete pavement, Type 2</t>
  </si>
  <si>
    <t>THIN LIFT ASPHALT CONCRETE PAVEMENT, TYPE 2</t>
  </si>
  <si>
    <t>40402-0000</t>
  </si>
  <si>
    <t>40402-1000</t>
  </si>
  <si>
    <t>40402-2000</t>
  </si>
  <si>
    <t>Ultrathin bonded wearing course</t>
  </si>
  <si>
    <t>ULTRATHIN BONDED WEARING COURSE</t>
  </si>
  <si>
    <t>40802-0000</t>
  </si>
  <si>
    <t>41303-0000</t>
  </si>
  <si>
    <t>Asphalt pavement micro milling</t>
  </si>
  <si>
    <t>ASPHALT PAVEMENT MICRO MILLING</t>
  </si>
  <si>
    <t>41304-0000</t>
  </si>
  <si>
    <t>Minor concrete pavement, Reinforced, 150mm depth</t>
  </si>
  <si>
    <t>Concrete pavement restoration pavement patch</t>
  </si>
  <si>
    <t>CONCRETE PAVEMENT RESTORATION PAVEMENT PATCH</t>
  </si>
  <si>
    <t>Undersealing and slab stabilization</t>
  </si>
  <si>
    <t>UNDERSEALING AND SLAB STABILIZATION</t>
  </si>
  <si>
    <t>50206-1000</t>
  </si>
  <si>
    <t>50206-2000</t>
  </si>
  <si>
    <t>50206-3000</t>
  </si>
  <si>
    <t>50206-4000</t>
  </si>
  <si>
    <t>Concrete pavement restoration, cleaning</t>
  </si>
  <si>
    <t>CONCRETE PAVEMENT RESTORATION, CLEANING</t>
  </si>
  <si>
    <t>Pavement jacking</t>
  </si>
  <si>
    <t>PAVEMENT JACKING</t>
  </si>
  <si>
    <t>STEEL H-PILE, 14 X 117, IN PLACE</t>
  </si>
  <si>
    <t>Structural concrete, class D (AE), for approach slabs</t>
  </si>
  <si>
    <t>STRUCTURAL CONCRETE, CLASS D (AE), FOR APPROACH SLABS</t>
  </si>
  <si>
    <t>Precast, prestressed concrete bulb-t girder</t>
  </si>
  <si>
    <t>PRECAST, PRESTRESSED CONCRETE BULB-T GIRDER</t>
  </si>
  <si>
    <t>Precast, prestressed concrete decked bulb-t girder</t>
  </si>
  <si>
    <t>PRECAST, PRESTRESSED CONCRETE DECKED BULB-T GIRDER</t>
  </si>
  <si>
    <t>Precast, prestressed concrete bulb-t girders, 1050mm</t>
  </si>
  <si>
    <t>PRECAST, PRESTRESSED CONCRETE BULB-T GIRDERS, 42-INCH</t>
  </si>
  <si>
    <t>Precast, prestressed concrete bulb-t girders, 1250mm</t>
  </si>
  <si>
    <t>PRECAST, PRESTRESSED CONCRETE BULB-T GIRDERS, 50-INCH</t>
  </si>
  <si>
    <t>Precast, prestressed concrete bulb-t girders, 1350mm</t>
  </si>
  <si>
    <t>PRECAST, PRESTRESSED CONCRETE BULB-T GIRDERS, 54-INCH</t>
  </si>
  <si>
    <t>Precast, prestressed concrete bulb-t girders, 1450mm</t>
  </si>
  <si>
    <t>PRECAST, PRESTRESSED CONCRETE BULB-T GIRDERS, 58-INCH</t>
  </si>
  <si>
    <t>Precast, prestressed concrete bulb-t girders, 1575mm</t>
  </si>
  <si>
    <t>PRECAST, PRESTRESSED CONCRETE BULB-T GIRDERS, 63-INCH</t>
  </si>
  <si>
    <t>Precast, prestressed concrete bulb-t girders, 1800mm</t>
  </si>
  <si>
    <t>PRECAST, PRESTRESSED CONCRETE BULB-T GIRDERS, 72-INCH</t>
  </si>
  <si>
    <t>Precast, prestressed concrete bulb-t girders, 1850mm</t>
  </si>
  <si>
    <t>PRECAST, PRESTRESSED CONCRETE BULB-T GIRDERS, 74-INCH</t>
  </si>
  <si>
    <t>Precast, prestressed concrete decked bulb-t girders, 875mm</t>
  </si>
  <si>
    <t>PRECAST, PRESTRESSED CONCRETE DECKED BULB-T GIRDERS, 35-INCH</t>
  </si>
  <si>
    <t>Precast, prestressed concrete decked bulb-t girders, 900mm</t>
  </si>
  <si>
    <t>PRECAST, PRESTRESSED CONCRETE DECKED BULB-T GIRDERS, 36-INCH</t>
  </si>
  <si>
    <t>Precast, prestressed concrete decked bulb-t girders, 1025mm</t>
  </si>
  <si>
    <t>PRECAST, PRESTRESSED CONCRETE DECKED BULB-T GIRDERS, 41-INCH</t>
  </si>
  <si>
    <t>Precast, prestressed concrete decked bulb-t girders, 1125mm</t>
  </si>
  <si>
    <t>PRECAST, PRESTRESSED CONCRETE DECKED BULB-T GIRDERS, 45-INCH</t>
  </si>
  <si>
    <t>Precast, prestressed concrete decked bulb-t girders, 1275mm</t>
  </si>
  <si>
    <t>PRECAST, PRESTRESSED CONCRETE DECKED BULB-T GIRDERS, 51-INCH</t>
  </si>
  <si>
    <t>Precast, prestressed concrete decked bulb-t girders, 1325mm</t>
  </si>
  <si>
    <t>PRECAST, PRESTRESSED CONCRETE DECKED BULB-T GIRDERS, 53-INCH</t>
  </si>
  <si>
    <t>Precast, prestressed concrete decked bulb-t girders, 1350mm</t>
  </si>
  <si>
    <t>PRECAST, PRESTRESSED CONCRETE DECKED BULB-T GIRDERS, 54-INCH</t>
  </si>
  <si>
    <t>Precast, prestressed concrete decked bulb-t girders, 1375mm</t>
  </si>
  <si>
    <t>PRECAST, PRESTRESSED CONCRETE DECKED BULB-T GIRDERS, 55-INCH</t>
  </si>
  <si>
    <t>Precast, prestressed concrete decked bulb-t girders, 1500mm</t>
  </si>
  <si>
    <t>PRECAST, PRESTRESSED CONCRETE DECKED BULB-T GIRDERS, 60-INCH</t>
  </si>
  <si>
    <t>Precast, prestressed concrete decked bulb-t girders, 1625mm</t>
  </si>
  <si>
    <t>PRECAST, PRESTRESSED CONCRETE DECKED BULB-T GIRDERS, 65-INCH</t>
  </si>
  <si>
    <t>Reinforcing steel, epoxy-coated</t>
  </si>
  <si>
    <t>REINFORCING STEEL, EPOXY-COATED</t>
  </si>
  <si>
    <t>Reinforcing steel, uncoated, specialty high-strength, corrosion-resistant</t>
  </si>
  <si>
    <t>REINFORCING STEEL, UNCOATED, SPECIALTY HIGH-STRENGTH, CORROSION-RESISTANT</t>
  </si>
  <si>
    <t>Structural steel, provided, fabricated, and erected</t>
  </si>
  <si>
    <t>STRUCTURAL STEEL, PROVIDED, FABRICATED, AND ERECTED</t>
  </si>
  <si>
    <t>Prefabricated steel bridge</t>
  </si>
  <si>
    <t>PREFABRICATED STEEL BRIDGE</t>
  </si>
  <si>
    <t>Membrane waterproofing, spray-applied</t>
  </si>
  <si>
    <t>MEMBRANE WATERPROOFING, SPRAY-APPLIED</t>
  </si>
  <si>
    <t>Membrane waterproofing, preformed</t>
  </si>
  <si>
    <t>MEMBRANE WATERPROOFING, PREFORMED</t>
  </si>
  <si>
    <t>55902-0000</t>
  </si>
  <si>
    <t>Concrete crack repair by epoxy injection</t>
  </si>
  <si>
    <t>CONCRETE CRACK REPAIR BY EPOXY INJECTION</t>
  </si>
  <si>
    <t>Coating, concrete structure</t>
  </si>
  <si>
    <t>COATING, CONCRETE STRUCTURE</t>
  </si>
  <si>
    <t>Coating, steel structure</t>
  </si>
  <si>
    <t>COATING, STEEL STRUCTURE</t>
  </si>
  <si>
    <t>Coating, timber structure</t>
  </si>
  <si>
    <t>COATING, TIMBER STRUCTURE</t>
  </si>
  <si>
    <t>Coating, pipe</t>
  </si>
  <si>
    <t>COATING, PIPE</t>
  </si>
  <si>
    <t>56311-3000</t>
  </si>
  <si>
    <t>Weathering agent, rock application</t>
  </si>
  <si>
    <t>WEATHERING AGENT, ROCK APPLICATION</t>
  </si>
  <si>
    <t>Bearing device, sliding plate</t>
  </si>
  <si>
    <t>BEARING DEVICE, SLIDING PLATE</t>
  </si>
  <si>
    <t>Bearing device, disc</t>
  </si>
  <si>
    <t>BEARING DEVICE, DISC</t>
  </si>
  <si>
    <t>56401-5000</t>
  </si>
  <si>
    <t>Bearing device, seismic isolation</t>
  </si>
  <si>
    <t>BEARING DEVICE, SEISMIC ISOLATION</t>
  </si>
  <si>
    <t>56501-1100</t>
  </si>
  <si>
    <t>Drilled shaft, 2400mm diameter</t>
  </si>
  <si>
    <t>DRILLED SHAFT, 96-INCH DIAMETER</t>
  </si>
  <si>
    <t>56501-1200</t>
  </si>
  <si>
    <t>Drilled shaft, 3000mm diameter</t>
  </si>
  <si>
    <t>DRILLED SHAFT, 120-INCH DIAMETER</t>
  </si>
  <si>
    <t>56510-0000</t>
  </si>
  <si>
    <t>Remove drilled shaft obstruction</t>
  </si>
  <si>
    <t>REMOVE DRILLED SHAFT OBSTRUCTION</t>
  </si>
  <si>
    <t>Service life design concrete</t>
  </si>
  <si>
    <t>SERVICE LIFE DESIGN CONCRETE</t>
  </si>
  <si>
    <t>CONCRETE OVERLAY, CLASS HPC(O)</t>
  </si>
  <si>
    <t>57001-0000</t>
  </si>
  <si>
    <t>Polyester polymer concrete overlay</t>
  </si>
  <si>
    <t>POLYESTER POLYMER CONCRETE OVERLAY</t>
  </si>
  <si>
    <t>57002-0000</t>
  </si>
  <si>
    <t>57101-0000</t>
  </si>
  <si>
    <t>Ultra-high performance concrete</t>
  </si>
  <si>
    <t>ULTRA-HIGH PERFORMANCE CONCRETE</t>
  </si>
  <si>
    <t>57102-0000</t>
  </si>
  <si>
    <t>57103-0000</t>
  </si>
  <si>
    <t>57201-0000</t>
  </si>
  <si>
    <t>57202-0000</t>
  </si>
  <si>
    <t>57203-0000</t>
  </si>
  <si>
    <t>57204-0000</t>
  </si>
  <si>
    <t>57210-0000</t>
  </si>
  <si>
    <t>57220-0000</t>
  </si>
  <si>
    <t>57221-0000</t>
  </si>
  <si>
    <t>57301-0000</t>
  </si>
  <si>
    <t>Helical pile</t>
  </si>
  <si>
    <t>HELICAL PILE</t>
  </si>
  <si>
    <t>57302-0000</t>
  </si>
  <si>
    <t>Geosynthetic reinforced soil-integrated bridge system</t>
  </si>
  <si>
    <t>GEOSYNTHETIC REINFORCED SOIL-INTEGRATED BRIDGE SYSTEM</t>
  </si>
  <si>
    <t>Fiber-reinforced polymer (FRP), deck panel</t>
  </si>
  <si>
    <t>FIBER-REINFORCED POLYMER (FRP), DECK PANEL</t>
  </si>
  <si>
    <t>57801-0000</t>
  </si>
  <si>
    <t>57801-0100</t>
  </si>
  <si>
    <t>57801-0200</t>
  </si>
  <si>
    <t>57801-0300</t>
  </si>
  <si>
    <t>57801-0400</t>
  </si>
  <si>
    <t>57801-0500</t>
  </si>
  <si>
    <t>57801-0600</t>
  </si>
  <si>
    <t>57801-0700</t>
  </si>
  <si>
    <t>57801-0800</t>
  </si>
  <si>
    <t>57801-0900</t>
  </si>
  <si>
    <t>57801-1000</t>
  </si>
  <si>
    <t>57801-1100</t>
  </si>
  <si>
    <t>57801-1200</t>
  </si>
  <si>
    <t>57801-1300</t>
  </si>
  <si>
    <t>57801-1400</t>
  </si>
  <si>
    <t>57801-1500</t>
  </si>
  <si>
    <t>57802-0100</t>
  </si>
  <si>
    <t>Precast structural concrete, class A(AE), wall panels</t>
  </si>
  <si>
    <t>PRECAST STRUCTURAL CONCRETE, CLASS A (AE), WALL PANELS</t>
  </si>
  <si>
    <t>57804-0000</t>
  </si>
  <si>
    <t>57805-0000</t>
  </si>
  <si>
    <t>57901-0000</t>
  </si>
  <si>
    <t>58305-1000</t>
  </si>
  <si>
    <t>Glass fiber-reinforced polymer (GFRP) reinforcing bars</t>
  </si>
  <si>
    <t>Structural plate pipe arch</t>
  </si>
  <si>
    <t>STRUCTURAL PLATE PIPE ARCH</t>
  </si>
  <si>
    <t>60409-0050</t>
  </si>
  <si>
    <t>Spring box</t>
  </si>
  <si>
    <t>SPRING BOX</t>
  </si>
  <si>
    <t>Underdrain backfill</t>
  </si>
  <si>
    <t>UNDERDRAIN BACKFILL</t>
  </si>
  <si>
    <t>Bedding material</t>
  </si>
  <si>
    <t>BEDDING MATERIAL</t>
  </si>
  <si>
    <t>61001-0100</t>
  </si>
  <si>
    <t>61001-0200</t>
  </si>
  <si>
    <t>61001-0300</t>
  </si>
  <si>
    <t>61001-0400</t>
  </si>
  <si>
    <t>61001-0500</t>
  </si>
  <si>
    <t>61001-0600</t>
  </si>
  <si>
    <t>61001-0700</t>
  </si>
  <si>
    <t>61001-0800</t>
  </si>
  <si>
    <t>61001-0900</t>
  </si>
  <si>
    <t>61001-1000</t>
  </si>
  <si>
    <t>61001-1100</t>
  </si>
  <si>
    <t>61001-1200</t>
  </si>
  <si>
    <t>61002-1000</t>
  </si>
  <si>
    <t>Pad, concrete</t>
  </si>
  <si>
    <t>PAD, CONCRETE</t>
  </si>
  <si>
    <t>61002-2000</t>
  </si>
  <si>
    <t>Pad, asphalt concrete</t>
  </si>
  <si>
    <t>PAD, ASPHALT CONCRETE</t>
  </si>
  <si>
    <t>61002-3000</t>
  </si>
  <si>
    <t>Pad, stone</t>
  </si>
  <si>
    <t>PAD, STONE</t>
  </si>
  <si>
    <t>61002-4000</t>
  </si>
  <si>
    <t>Pad, brick</t>
  </si>
  <si>
    <t>PAD, BRICK</t>
  </si>
  <si>
    <t>61002-5000</t>
  </si>
  <si>
    <t>Pad, grass paving</t>
  </si>
  <si>
    <t>PAD, GRASS PAVING</t>
  </si>
  <si>
    <t>61003-1000</t>
  </si>
  <si>
    <t>61003-2000</t>
  </si>
  <si>
    <t>61003-3000</t>
  </si>
  <si>
    <t>61003-4000</t>
  </si>
  <si>
    <t>61003-5000</t>
  </si>
  <si>
    <t>61003-6000</t>
  </si>
  <si>
    <t>61004-1000</t>
  </si>
  <si>
    <t>61004-2000</t>
  </si>
  <si>
    <t>61004-3000</t>
  </si>
  <si>
    <t>61004-4000</t>
  </si>
  <si>
    <t>61004-5000</t>
  </si>
  <si>
    <t>61005-1000</t>
  </si>
  <si>
    <t>61005-2000</t>
  </si>
  <si>
    <t>61006-1000</t>
  </si>
  <si>
    <t>61006-2000</t>
  </si>
  <si>
    <t>61007-1000</t>
  </si>
  <si>
    <t>61007-1010</t>
  </si>
  <si>
    <t>61008-0100</t>
  </si>
  <si>
    <t>61008-0200</t>
  </si>
  <si>
    <t>61009-0000</t>
  </si>
  <si>
    <t>61102-0050</t>
  </si>
  <si>
    <t>13mm waterline</t>
  </si>
  <si>
    <t>1/2-INCH WATERLINE</t>
  </si>
  <si>
    <t>61102-0325</t>
  </si>
  <si>
    <t>20mm waterline</t>
  </si>
  <si>
    <t>3/4-INCH WATERLINE</t>
  </si>
  <si>
    <t>61102-0825</t>
  </si>
  <si>
    <t>32mm waterline</t>
  </si>
  <si>
    <t>1 1/4-INCH WATERLINE</t>
  </si>
  <si>
    <t>61102-1075</t>
  </si>
  <si>
    <t>40mm waterline</t>
  </si>
  <si>
    <t>1 1/2-INCH WATERLINE</t>
  </si>
  <si>
    <t>61102-1825</t>
  </si>
  <si>
    <t>65mm waterline</t>
  </si>
  <si>
    <t>2 1/2-INCH WATERLINE</t>
  </si>
  <si>
    <t>61102-2075</t>
  </si>
  <si>
    <t>75mm waterline</t>
  </si>
  <si>
    <t>3-INCH WATERLINE</t>
  </si>
  <si>
    <t>61102-2825</t>
  </si>
  <si>
    <t>150mm waterline</t>
  </si>
  <si>
    <t>6-INCH WATERLINE</t>
  </si>
  <si>
    <t>61102-3075</t>
  </si>
  <si>
    <t>200mm waterline</t>
  </si>
  <si>
    <t>8-INCH WATERLINE</t>
  </si>
  <si>
    <t>61102-3325</t>
  </si>
  <si>
    <t>250mm waterline</t>
  </si>
  <si>
    <t>10-INCH WATERLINE</t>
  </si>
  <si>
    <t>61102-3575</t>
  </si>
  <si>
    <t>300mm waterline</t>
  </si>
  <si>
    <t>12-INCH WATERLINE</t>
  </si>
  <si>
    <t>61102-3825</t>
  </si>
  <si>
    <t>350mm waterline</t>
  </si>
  <si>
    <t>14-INCH WATERLINE</t>
  </si>
  <si>
    <t>61102-4075</t>
  </si>
  <si>
    <t>400mm waterline</t>
  </si>
  <si>
    <t>16-INCH WATERLINE</t>
  </si>
  <si>
    <t>61102-4325</t>
  </si>
  <si>
    <t>500mm waterline</t>
  </si>
  <si>
    <t>20-INCH WATERLINE</t>
  </si>
  <si>
    <t>61102-4575</t>
  </si>
  <si>
    <t>600mm waterline</t>
  </si>
  <si>
    <t>24-INCH WATERLINE</t>
  </si>
  <si>
    <t>61102-4825</t>
  </si>
  <si>
    <t>750mm waterline</t>
  </si>
  <si>
    <t>30-INCH WATERLINE</t>
  </si>
  <si>
    <t>61102-5075</t>
  </si>
  <si>
    <t>900mm waterline</t>
  </si>
  <si>
    <t>36-INCH WATERLINE</t>
  </si>
  <si>
    <t>61102-5325</t>
  </si>
  <si>
    <t>1050mm waterline</t>
  </si>
  <si>
    <t>42-INCH WATERLINE</t>
  </si>
  <si>
    <t>Water system accessory, curb stop</t>
  </si>
  <si>
    <t>WATER SYSTEM ACCESSORY, CURB STOP</t>
  </si>
  <si>
    <t>61120-1000</t>
  </si>
  <si>
    <t>Irrigation, control structure</t>
  </si>
  <si>
    <t>IRRIGATION, CONTROL STRUCTURE</t>
  </si>
  <si>
    <t>61120-2000</t>
  </si>
  <si>
    <t>Irrigation, slide gate</t>
  </si>
  <si>
    <t>IRRIGATION, SLIDE GATE</t>
  </si>
  <si>
    <t>61120-3000</t>
  </si>
  <si>
    <t>Irrigation, screw gate</t>
  </si>
  <si>
    <t>IRRIGATION, SCREW GATE</t>
  </si>
  <si>
    <t>61120-4000</t>
  </si>
  <si>
    <t>Irrigation, flash board riser</t>
  </si>
  <si>
    <t>IRRIGATION, FLASH BOARD RISER</t>
  </si>
  <si>
    <t>61202-0075</t>
  </si>
  <si>
    <t>100mm sewer line</t>
  </si>
  <si>
    <t>4-INCH SEWER LINE</t>
  </si>
  <si>
    <t>61202-0375</t>
  </si>
  <si>
    <t>150mm sewer line</t>
  </si>
  <si>
    <t>6-INCH SEWER LINE</t>
  </si>
  <si>
    <t>61202-0675</t>
  </si>
  <si>
    <t>200mm sewer line</t>
  </si>
  <si>
    <t>8-INCH SEWER LINE</t>
  </si>
  <si>
    <t>61202-0975</t>
  </si>
  <si>
    <t>250mm sewer line</t>
  </si>
  <si>
    <t>61202-1175</t>
  </si>
  <si>
    <t>300mm sewer line</t>
  </si>
  <si>
    <t>12-INCH SEWER LINE</t>
  </si>
  <si>
    <t>61202-3975</t>
  </si>
  <si>
    <t>61204-0500</t>
  </si>
  <si>
    <t>Sanitary sewer, manhole</t>
  </si>
  <si>
    <t>SANITARY SEWER, MANHOLE</t>
  </si>
  <si>
    <t>Flowable backfill</t>
  </si>
  <si>
    <t>FLOWABLE BACKFILL</t>
  </si>
  <si>
    <t>Guardrail system G2, type 1, class A, steel posts</t>
  </si>
  <si>
    <t>GUARDRAIL SYSTEM G2, TYPE 1, CLASS A, STEEL POSTS</t>
  </si>
  <si>
    <t>Guardrail system G2, type 2, class A, steel posts</t>
  </si>
  <si>
    <t>GUARDRAIL SYSTEM G2, TYPE 2, CLASS A, STEEL POSTS</t>
  </si>
  <si>
    <t>Guardrail system G2, type 2, class B, steel posts</t>
  </si>
  <si>
    <t>GUARDRAIL SYSTEM G2, TYPE 2, CLASS B, STEEL POSTS</t>
  </si>
  <si>
    <t>Guardrail system G2, type 3, class A, steel posts</t>
  </si>
  <si>
    <t>GUARDRAIL SYSTEM G2, TYPE 3, CLASS A, STEEL POSTS</t>
  </si>
  <si>
    <t>Guardrail system G2, type 3, class B, steel posts</t>
  </si>
  <si>
    <t>GUARDRAIL SYSTEM G2, TYPE 3, CLASS B, STEEL POSTS</t>
  </si>
  <si>
    <t>Guardrail system G2, type 4, class B, steel posts</t>
  </si>
  <si>
    <t>GUARDRAIL SYSTEM G2, TYPE 4, CLASS B, STEEL POSTS</t>
  </si>
  <si>
    <t>Guardrail system G4, type 2, class A, steel posts</t>
  </si>
  <si>
    <t>GUARDRAIL SYSTEM G4, TYPE 2, CLASS A, STEEL POSTS</t>
  </si>
  <si>
    <t>Guardrail system G4, type 2, class A, wood posts</t>
  </si>
  <si>
    <t>GUARDRAIL SYSTEM G4, TYPE 2, CLASS A, WOOD POSTS</t>
  </si>
  <si>
    <t>Guardrail system G4, type 2, class A, steel or wood posts</t>
  </si>
  <si>
    <t>GUARDRAIL SYSTEM G4, TYPE 2, CLASS A, STEEL OR WOOD POSTS</t>
  </si>
  <si>
    <t>Guardrail system G4, type 2, class B, steel posts</t>
  </si>
  <si>
    <t>GUARDRAIL SYSTEM G4, TYPE 2, CLASS B, STEEL POSTS</t>
  </si>
  <si>
    <t>Guardrail system G4, type 2, class B, wood posts</t>
  </si>
  <si>
    <t>GUARDRAIL SYSTEM G4, TYPE 2, CLASS B, WOOD POSTS</t>
  </si>
  <si>
    <t>Guardrail system G4, type 2, class B, steel or wood posts</t>
  </si>
  <si>
    <t>GUARDRAIL SYSTEM G4, TYPE 2, CLASS B, STEEL OR WOOD POSTS</t>
  </si>
  <si>
    <t>Guardrail system G4, type 3, class A, steel posts</t>
  </si>
  <si>
    <t>GUARDRAIL SYSTEM G4, TYPE 3, CLASS A, STEEL POSTS</t>
  </si>
  <si>
    <t>Guardrail system G4, type 3, class A, wood posts</t>
  </si>
  <si>
    <t>GUARDRAIL SYSTEM G4, TYPE 3, CLASS A, WOOD POSTS</t>
  </si>
  <si>
    <t>Guardrail system G4, type 3, class A, steel or wood posts</t>
  </si>
  <si>
    <t>GUARDRAIL SYSTEM G4, TYPE 3, CLASS A, STEEL OR WOOD POSTS</t>
  </si>
  <si>
    <t>Guardrail system G4, type 3, class B, steel posts</t>
  </si>
  <si>
    <t>GUARDRAIL SYSTEM G4, TYPE 3, CLASS B, STEEL POSTS</t>
  </si>
  <si>
    <t>Guardrail system G4, type 3, class B, wood posts</t>
  </si>
  <si>
    <t>GUARDRAIL SYSTEM G4, TYPE 3, CLASS B, WOOD POSTS</t>
  </si>
  <si>
    <t>Guardrail system G4, type 3, class B, steel or wood posts</t>
  </si>
  <si>
    <t>GUARDRAIL SYSTEM G4, TYPE 3, CLASS B, STEEL OR WOOD POSTS</t>
  </si>
  <si>
    <t>Guardrail system G4, type 4, class B, steel posts</t>
  </si>
  <si>
    <t>GUARDRAIL SYSTEM G4, TYPE 4, CLASS B, STEEL POSTS</t>
  </si>
  <si>
    <t>Guardrail system G4, type 4, class B, wood posts</t>
  </si>
  <si>
    <t>GUARDRAIL SYSTEM G4, TYPE 4, CLASS B, WOOD POSTS</t>
  </si>
  <si>
    <t>Guardrail system G4, type 4, class B, steel or wood posts</t>
  </si>
  <si>
    <t>GUARDRAIL SYSTEM G4, TYPE 4, CLASS B, STEEL OR WOOD POSTS</t>
  </si>
  <si>
    <t>Guardrail system G9, type 2, class A, steel posts</t>
  </si>
  <si>
    <t>GUARDRAIL SYSTEM G9, TYPE 2, CLASS A, STEEL POSTS</t>
  </si>
  <si>
    <t>Guardrail system G9, type 2, class A, wood posts</t>
  </si>
  <si>
    <t>GUARDRAIL SYSTEM G9, TYPE 2, CLASS A, WOOD POSTS</t>
  </si>
  <si>
    <t>Guardrail system G9, type 2, class A, steel or wood posts</t>
  </si>
  <si>
    <t>GUARDRAIL SYSTEM G9, TYPE 2, CLASS A, STEEL OR WOOD POSTS</t>
  </si>
  <si>
    <t>Guardrail system G9, type 2, class B, steel posts</t>
  </si>
  <si>
    <t>GUARDRAIL SYSTEM G9, TYPE 2, CLASS B, STEEL POSTS</t>
  </si>
  <si>
    <t>Guardrail system G9, type 2, class B, wood posts</t>
  </si>
  <si>
    <t>GUARDRAIL SYSTEM G9, TYPE 2, CLASS B, WOOD POSTS</t>
  </si>
  <si>
    <t>Guardrail system G9, type 2, class B, steel or wood posts</t>
  </si>
  <si>
    <t>GUARDRAIL SYSTEM G9, TYPE 2, CLASS B,STEEL OR WOOD POSTS</t>
  </si>
  <si>
    <t>Guardrail system G9, type 3, class A, steel posts</t>
  </si>
  <si>
    <t>GUARDRAIL SYSTEM G9, TYPE 3, CLASS A, STEEL POSTS</t>
  </si>
  <si>
    <t>Guardrail system G9, type 3, class A, wood posts</t>
  </si>
  <si>
    <t>GUARDRAIL SYSTEM G9, TYPE 3, CLASS A, WOOD POSTS</t>
  </si>
  <si>
    <t>Guardrail system G9, type 3, class A, steel or wood posts</t>
  </si>
  <si>
    <t>GUARDRAIL SYSTEM G9, TYPE 3, CLASS A, STEEL OR WOOD POSTS</t>
  </si>
  <si>
    <t>Guardrail system G9, type 3, class B, steel posts</t>
  </si>
  <si>
    <t>GUARDRAIL SYSTEM G9, TYPE 3, CLASS B, STEEL POSTS</t>
  </si>
  <si>
    <t>Guardrail system G9, type 3, class B, wood posts</t>
  </si>
  <si>
    <t>GUARDRAIL SYSTEM G9, TYPE 3, CLASS B, WOOD POSTS</t>
  </si>
  <si>
    <t>Guardrail system G9, type 3, class B, steel or wood posts</t>
  </si>
  <si>
    <t>GUARDRAIL SYSTEM G9, TYPE 3, CLASS B, STEEL OR WOOD POSTS</t>
  </si>
  <si>
    <t>Guardrail system G9, type 4, class B, steel posts</t>
  </si>
  <si>
    <t>GUARDRAIL SYSTEM G9, TYPE 4, CLASS B, STEEL POSTS</t>
  </si>
  <si>
    <t>Guardrail system G9, type 4, class B, wood posts</t>
  </si>
  <si>
    <t>GUARDRAIL SYSTEM G9, TYPE 4, CLASS B, WOOD POSTS</t>
  </si>
  <si>
    <t>Guardrail system G9, type 4, class B, steel or wood posts</t>
  </si>
  <si>
    <t>GUARDRAIL SYSTEM G9, TYPE 4, CLASS B, STEEL OR WOOD POSTS</t>
  </si>
  <si>
    <t>Guardrail system MB4, type 2, class A, steel posts</t>
  </si>
  <si>
    <t>GUARDRAIL SYSTEM MB4, TYPE 2, CLASS A, STEEL POSTS</t>
  </si>
  <si>
    <t>Guardrail system MB4, type 2, class A, wood posts</t>
  </si>
  <si>
    <t>GUARDRAIL SYSTEM MB4, TYPE 2, CLASS A, WOOD POSTS</t>
  </si>
  <si>
    <t>Guardrail system MB4, type 2, class A, steel or wood posts</t>
  </si>
  <si>
    <t>GUARDRAIL SYSTEM MB4, TYPE 2, CLASS A, STEEL OR WOOD POSTS</t>
  </si>
  <si>
    <t>Guardrail system MB4, type 2, class B, steel posts</t>
  </si>
  <si>
    <t>GUARDRAIL SYSTEM MB4, TYPE 2, CLASS B, STEEL POSTS</t>
  </si>
  <si>
    <t>Guardrail system MB4, type 2, class B, wood posts</t>
  </si>
  <si>
    <t>GUARDRAIL SYSTEM MB4, TYPE 2, CLASS B, WOOD POSTS</t>
  </si>
  <si>
    <t>Guardrail system MB4, type 2, class B, steel or wood posts</t>
  </si>
  <si>
    <t>GUARDRAIL SYSTEM MB4, TYPE 2, CLASS B, STEEL OR WOOD POSTS</t>
  </si>
  <si>
    <t>Guardrail system MB4, type 3, class A, steel posts</t>
  </si>
  <si>
    <t>GUARDRAIL SYSTEM MB4, TYPE 3, CLASS A, STEEL POSTS</t>
  </si>
  <si>
    <t>Guardrail system MB4, type 3, class A, wood posts</t>
  </si>
  <si>
    <t>GUARDRAIL SYSTEM MB4, TYPE 3, CLASS A, WOOD POSTS</t>
  </si>
  <si>
    <t>Guardrail system MB4, type 3, class A, steel or wood posts</t>
  </si>
  <si>
    <t>GUARDRAIL SYSTEM MB4, TYPE 3, CLASS A, STEEL OR WOOD POSTS</t>
  </si>
  <si>
    <t>Guardrail system MB4, type 3, class B, steel posts</t>
  </si>
  <si>
    <t>GUARDRAIL SYSTEM MB4, TYPE 3, CLASS B, STEEL POSTS</t>
  </si>
  <si>
    <t>Guardrail system MB4, type 3, class B, wood posts</t>
  </si>
  <si>
    <t>GUARDRAIL SYSTEM MB4, TYPE 3, CLASS B, WOOD POSTS</t>
  </si>
  <si>
    <t>Guardrail system MB4, type 3, class B, steel or wood posts</t>
  </si>
  <si>
    <t>GUARDRAIL SYSTEM MB4, TYPE 3, CLASS B, STEEL OR WOOD POSTS</t>
  </si>
  <si>
    <t>Guardrail system MB4, type 4, class B, steel posts</t>
  </si>
  <si>
    <t>GUARDRAIL SYSTEM MB4, TYPE 4, CLASS B, STEEL POSTS</t>
  </si>
  <si>
    <t>Guardrail system MB4, type 4, class B, wood posts</t>
  </si>
  <si>
    <t>GUARDRAIL SYSTEM MB4, TYPE 4, CLASS B, WOOD POSTS</t>
  </si>
  <si>
    <t>Guardrail system MB4, type 4, class B, steel or wood posts</t>
  </si>
  <si>
    <t>GUARDRAIL SYSTEM MB4, TYPE 4, CLASS B, STEEL OR WOOD POSTS</t>
  </si>
  <si>
    <t>Guardrail system SBTB, Median</t>
  </si>
  <si>
    <t>GUARDRAIL SYSTEM SBTB, MEDIAN</t>
  </si>
  <si>
    <t>61701-4075</t>
  </si>
  <si>
    <t>Guardrail system SBTA, Median</t>
  </si>
  <si>
    <t>GUARDRAIL SYSTEM SBTA, MEDIAN</t>
  </si>
  <si>
    <t>Guardrail system SBL</t>
  </si>
  <si>
    <t>GUARDRAIL SYSTEM SBL</t>
  </si>
  <si>
    <t>Guardrail system SBL, removable rail</t>
  </si>
  <si>
    <t>GUARDRAIL SYSTEM SBL, REMOVABLE RAIL</t>
  </si>
  <si>
    <t>Guardrail system MGS, type 2, class A, steel posts</t>
  </si>
  <si>
    <t>GUARDRAIL SYSTEM MGS, TYPE 2, CLASS A, STEEL POSTS</t>
  </si>
  <si>
    <t>Guardrail system MGS, type 2, class A, wood posts</t>
  </si>
  <si>
    <t>GUARDRAIL SYSTEM MGS, TYPE 2, CLASS A, WOOD POSTS</t>
  </si>
  <si>
    <t>Guardrail system MGS, type 2, class A, steel or wood posts</t>
  </si>
  <si>
    <t>GUARDRAIL SYSTEM MGS, TYPE 2, CLASS A, STEEL OR WOOD POSTS</t>
  </si>
  <si>
    <t>Guardrail system MGS, type 2, class B, steel posts</t>
  </si>
  <si>
    <t>GUARDRAIL SYSTEM MGS, TYPE 2, CLASS B, STEEL POSTS</t>
  </si>
  <si>
    <t>Guardrail system MGS, type 2, class B, wood posts</t>
  </si>
  <si>
    <t>GUARDRAIL SYSTEM MGS, TYPE 2, CLASS B, WOOD POSTS</t>
  </si>
  <si>
    <t>Guardrail system MGS, type 2, class B, steel or wood posts</t>
  </si>
  <si>
    <t>GUARDRAIL SYSTEM MGS, TYPE 2, CLASS B, STEEL OR WOOD POSTS</t>
  </si>
  <si>
    <t>Guardrail system MGS, type 3, class A, steel posts</t>
  </si>
  <si>
    <t>GUARDRAIL SYSTEM MGS, TYPE 3, CLASS A, STEEL POSTS</t>
  </si>
  <si>
    <t>Guardrail system MGS, type 3, class A, wood posts</t>
  </si>
  <si>
    <t>GUARDRAIL SYSTEM MGS, TYPE 3, CLASS A, WOOD POSTS</t>
  </si>
  <si>
    <t>Guardrail system MGS, type 3, class A, steel or wood posts</t>
  </si>
  <si>
    <t>GUARDRAIL SYSTEM MGS, TYPE 3, CLASS A, STEEL OR WOOD POSTS</t>
  </si>
  <si>
    <t>Guardrail system MGS, type 3, class B, steel posts</t>
  </si>
  <si>
    <t>GUARDRAIL SYSTEM MGS, TYPE 3, CLASS B, STEEL POSTS</t>
  </si>
  <si>
    <t>Guardrail system MGS, type 3, class B, wood posts</t>
  </si>
  <si>
    <t>GUARDRAIL SYSTEM MGS, TYPE 3, CLASS B, WOOD POSTS</t>
  </si>
  <si>
    <t>Guardrail system MGS, type 3, class B, steel or wood posts</t>
  </si>
  <si>
    <t>GUARDRAIL SYSTEM MGS, TYPE 3, CLASS B, STEEL OR WOOD POSTS</t>
  </si>
  <si>
    <t>Guardrail system MGS, type 4, class B, steel posts</t>
  </si>
  <si>
    <t>GUARDRAIL SYSTEM MGS, TYPE 4, CLASS B, STEEL POSTS</t>
  </si>
  <si>
    <t>Guardrail system MGS, type 4, class B, wood posts</t>
  </si>
  <si>
    <t>GUARDRAIL SYSTEM MGS, TYPE 4, CLASS B, WOOD POSTS</t>
  </si>
  <si>
    <t>Guardrail system MGS, type 4, class B, steel or wood posts</t>
  </si>
  <si>
    <t>GUARDRAIL SYSTEM MGS, TYPE 4, CLASS B, STEEL OR WOOD POSTS</t>
  </si>
  <si>
    <t>Terminal system</t>
  </si>
  <si>
    <t>TERMINAL SYSTEM</t>
  </si>
  <si>
    <t>Terminal system, type SBT-BAT</t>
  </si>
  <si>
    <t>TERMINAL SYSTEM, TYPE SBT-BAT</t>
  </si>
  <si>
    <t>Terminal system, type G4-BAT</t>
  </si>
  <si>
    <t>TERMINAL SYSTEM, TYPE G4-BAT</t>
  </si>
  <si>
    <t>Terminal system, type G4-CRT</t>
  </si>
  <si>
    <t>TERMINAL SYSTEM, TYPE G4-CRT</t>
  </si>
  <si>
    <t>Terminal system, type SBT-FAT</t>
  </si>
  <si>
    <t>TERMINAL SYSTEM, TYPE SBT-FAT</t>
  </si>
  <si>
    <t>Terminal system, type flared</t>
  </si>
  <si>
    <t>TERMINAL SYSTEM, TYPE FLARED</t>
  </si>
  <si>
    <t>Terminal system, type tangent</t>
  </si>
  <si>
    <t>TERMINAL SYSTEM, TYPE TANGENT</t>
  </si>
  <si>
    <t>Terminal system, type BAT-Merritt Parkway Guiderail</t>
  </si>
  <si>
    <t>TERMINAL SYSTEM, TYPE BAT-MERRITT PARKWAY GUIDERAIL</t>
  </si>
  <si>
    <t>Terminal system, type FAT-Merritt Parkway Guiderail</t>
  </si>
  <si>
    <t>TERMINAL SYSTEM, TYPE FAT-MERRITT PARKWAY GUIDERAIL</t>
  </si>
  <si>
    <t>Terminal system, type G3</t>
  </si>
  <si>
    <t>TERMINAL SYSTEM, TYPE G3</t>
  </si>
  <si>
    <t>Terminal system, type SBT tangent</t>
  </si>
  <si>
    <t>TERMINAL SYSTEM, TYPE SBT TANGENT</t>
  </si>
  <si>
    <t>Terminal system, type MGS tangent</t>
  </si>
  <si>
    <t>TERMINAL SYSTEM, TYPE MGS TANGENT</t>
  </si>
  <si>
    <t>Terminal system, type MGS flared</t>
  </si>
  <si>
    <t>TERMINAL SYSTEM, TYPE MGS FLARED</t>
  </si>
  <si>
    <t>Terminal system, type MGS-BAT</t>
  </si>
  <si>
    <t>TERMINAL SYSTEM, TYPE MGS-BAT</t>
  </si>
  <si>
    <t>61702-1800</t>
  </si>
  <si>
    <t>Terminal system, type MGS-LST</t>
  </si>
  <si>
    <t>TERMINAL SYSTEM, TYPE MGS-LST</t>
  </si>
  <si>
    <t>Structure transition railing, SBT system, median</t>
  </si>
  <si>
    <t>STRUCTURE TRANSITION RAILING, SBT SYSTEM, MEDIAN</t>
  </si>
  <si>
    <t>Remove and reset guardrail</t>
  </si>
  <si>
    <t>REMOVE AND RESET GUARDRAIL</t>
  </si>
  <si>
    <t>Remove and reset post</t>
  </si>
  <si>
    <t>REMOVE AND RESET POST</t>
  </si>
  <si>
    <t>Remove and reset rail section</t>
  </si>
  <si>
    <t>REMOVE AND RESET RAIL SECTION</t>
  </si>
  <si>
    <t>Remove and reset crash cushion</t>
  </si>
  <si>
    <t>REMOVE AND RESET CRASH CUSHION</t>
  </si>
  <si>
    <t>Remove and reset terminal system</t>
  </si>
  <si>
    <t>REMOVE AND RESET TERMINAL SYSTEM</t>
  </si>
  <si>
    <t>Raise guardrail</t>
  </si>
  <si>
    <t>RAISE GUARDRAIL</t>
  </si>
  <si>
    <t>Crash cushion</t>
  </si>
  <si>
    <t>CRASH CUSHION</t>
  </si>
  <si>
    <t>61804-0000</t>
  </si>
  <si>
    <t>61805-1000</t>
  </si>
  <si>
    <t>Remove and reset barrier</t>
  </si>
  <si>
    <t>REMOVE AND RESET BARRIER</t>
  </si>
  <si>
    <t>61806-1000</t>
  </si>
  <si>
    <t>Fence, smooth wire</t>
  </si>
  <si>
    <t>FENCE, SMOOTH WIRE</t>
  </si>
  <si>
    <t>Fence, smooth wire, 4 strand</t>
  </si>
  <si>
    <t>FENCE, SMOOTH WIRE, 4 STRAND</t>
  </si>
  <si>
    <t>Bollard</t>
  </si>
  <si>
    <t>BOLLARD</t>
  </si>
  <si>
    <t>Remove and reset bollard</t>
  </si>
  <si>
    <t>REMOVE AND RESET BOLLARD</t>
  </si>
  <si>
    <t>62201-0025</t>
  </si>
  <si>
    <t>Dump truck</t>
  </si>
  <si>
    <t>DUMP TRUCK</t>
  </si>
  <si>
    <t>Backhoe loader</t>
  </si>
  <si>
    <t>BACKHOE LOADER</t>
  </si>
  <si>
    <t>62201-0725</t>
  </si>
  <si>
    <t>Wheel loader</t>
  </si>
  <si>
    <t>WHEEL LOADER</t>
  </si>
  <si>
    <t>Wheel loader, 0.7 cubic meter minimum rated capacity</t>
  </si>
  <si>
    <t>62201-1125</t>
  </si>
  <si>
    <t>Bulldozer</t>
  </si>
  <si>
    <t>BULLDOZER</t>
  </si>
  <si>
    <t>62201-2370</t>
  </si>
  <si>
    <t>Vacuum truck</t>
  </si>
  <si>
    <t>VACUUM TRUCK</t>
  </si>
  <si>
    <t>Hydraulic excavator, rubber tired</t>
  </si>
  <si>
    <t>HYDRAULIC EXCAVATOR, RUBBER TIRED</t>
  </si>
  <si>
    <t>Hydraulic excavator, 0.6 cubic meter minimum capacity with thumb attachment</t>
  </si>
  <si>
    <t>HYDRAULIC EXCAVATOR, 3/4 CUBIC YARD MINIMUM CAPACITY WITH THUMB ATTACHMENT</t>
  </si>
  <si>
    <t>Hydraulic excavator, 0.8 cubic meter minimum capacity with thumb attachment</t>
  </si>
  <si>
    <t>HYDRAULIC EXCAVATOR, 1.0 CUBIC YARD MINIMUM CAPACITY WITH THUMB ATTACHMENT</t>
  </si>
  <si>
    <t>HYDRAULIC EXCAVATOR, 1.5 CUBIC YARD MINIMUM CAPACITY WITH THUMB ATTACHMENT</t>
  </si>
  <si>
    <t>Hydraulic excavator, 1.5 cubic meter minimum capacity with thumb attachment</t>
  </si>
  <si>
    <t>HYDRAULIC EXCAVATOR, 2.0 CUBIC YARD MINIMUM CAPACITY WITH THUMB ATTACHMENT</t>
  </si>
  <si>
    <t>Hydraulic excavator, 2.2 cubic meter minimum capacity with thumb attachment</t>
  </si>
  <si>
    <t>HYDRAULIC EXCAVATOR, 3.0 CUBIC YARD MINIMUM CAPACITY WITH THUMB ATTACHMENT</t>
  </si>
  <si>
    <t>Track loader</t>
  </si>
  <si>
    <t>TRACK LOADER</t>
  </si>
  <si>
    <t>Stump cutter</t>
  </si>
  <si>
    <t>Chain saw</t>
  </si>
  <si>
    <t>Pickup truck</t>
  </si>
  <si>
    <t>PICKUP TRUCK</t>
  </si>
  <si>
    <t>Air equipment, bushhammer, including bits and fittings</t>
  </si>
  <si>
    <t>AIR EQUIPMENT, BUSHHAMMER, INCLUDING BITS AND FITTINGS</t>
  </si>
  <si>
    <t>Air equipment, paving breaker, 20 kg minimum</t>
  </si>
  <si>
    <t>AIR EQUIPMENT, PAVING BREAKER, 50 POUND MINIMUM</t>
  </si>
  <si>
    <t>Power tool, saw, chain, gasoline powered, 600 mm bar length</t>
  </si>
  <si>
    <t>POWER TOOL, SAW, CHAIN, GASOLINE POWERED, 2 FOOT BAR LENGTH</t>
  </si>
  <si>
    <t>Cutting torch, oxygen-acetylene, portable, including hose and tips</t>
  </si>
  <si>
    <t>CUTTING TORCH, OXYGEN-ACETYLENE, PORTABLE, INCLUDING HOSE AND TIPS</t>
  </si>
  <si>
    <t>62302-1010</t>
  </si>
  <si>
    <t>Special labor, hired technical services, biological services</t>
  </si>
  <si>
    <t>SPECIAL LABOR, HIRED TECHNICAL SERVICES, BIOLOGICAL SERVICES</t>
  </si>
  <si>
    <t>62302-1020</t>
  </si>
  <si>
    <t>Special labor, hired technical services, archeological services</t>
  </si>
  <si>
    <t>SPECIAL LABOR, HIRED TECHNICAL SERVICES, ARCHEOLOGICAL SERVICES</t>
  </si>
  <si>
    <t>62303-1010</t>
  </si>
  <si>
    <t>62303-1020</t>
  </si>
  <si>
    <t>Providing and placing topsoil, 50mm depth</t>
  </si>
  <si>
    <t>PROVIDING AND PLACING TOPSOIL, 2-INCH DEPTH</t>
  </si>
  <si>
    <t>Providing and placing topsoil, 75mm depth</t>
  </si>
  <si>
    <t>PROVIDING AND PLACING TOPSOIL, 3-INCH DEPTH</t>
  </si>
  <si>
    <t>Providing and placing topsoil, 100mm depth</t>
  </si>
  <si>
    <t>PROVIDING AND PLACING TOPSOIL, 4-INCH DEPTH</t>
  </si>
  <si>
    <t>Providing and placing topsoil, 150mm depth</t>
  </si>
  <si>
    <t>PROVIDING AND PLACING TOPSOIL, 6-INCH DEPTH</t>
  </si>
  <si>
    <t>Providing and placing topsoil, 200mm depth</t>
  </si>
  <si>
    <t>PROVIDING AND PLACING TOPSOIL, 8-INCH DEPTH</t>
  </si>
  <si>
    <t>Providing and placing topsoil, 250mm depth</t>
  </si>
  <si>
    <t>PROVIDING AND PLACING TOPSOIL, 10-INCH DEPTH</t>
  </si>
  <si>
    <t>Providing and placing topsoil, 300mm depth</t>
  </si>
  <si>
    <t>PROVIDING AND PLACING TOPSOIL, 12-INCH DEPTH</t>
  </si>
  <si>
    <t>Providing and placing topsoil</t>
  </si>
  <si>
    <t>PROVIDING AND PLACING TOPSOIL</t>
  </si>
  <si>
    <t>Placing Government-furnished topsoil</t>
  </si>
  <si>
    <t>PLACING GOVERNMENT-FURNISHED TOPSOIL</t>
  </si>
  <si>
    <t>62601-0000</t>
  </si>
  <si>
    <t>Plantings, balled and burlapped</t>
  </si>
  <si>
    <t>PLANTINGS, BALLED AND BURLAPPED</t>
  </si>
  <si>
    <t>62601-2000</t>
  </si>
  <si>
    <t>Plantings, container grown</t>
  </si>
  <si>
    <t>PLANTINGS, CONTAINER GROWN</t>
  </si>
  <si>
    <t>62601-3000</t>
  </si>
  <si>
    <t>62601-4000</t>
  </si>
  <si>
    <t>62601-5000</t>
  </si>
  <si>
    <t>62601-6000</t>
  </si>
  <si>
    <t>62601-7000</t>
  </si>
  <si>
    <t>62602-0000</t>
  </si>
  <si>
    <t>62603-0000</t>
  </si>
  <si>
    <t>62604-1000</t>
  </si>
  <si>
    <t>62604-2000</t>
  </si>
  <si>
    <t>62604-3000</t>
  </si>
  <si>
    <t>62604-4000</t>
  </si>
  <si>
    <t>62604-5000</t>
  </si>
  <si>
    <t>62605-1000</t>
  </si>
  <si>
    <t>62605-2000</t>
  </si>
  <si>
    <t>62610-0000</t>
  </si>
  <si>
    <t>62611-0000</t>
  </si>
  <si>
    <t>62612-0000</t>
  </si>
  <si>
    <t>62620-1000</t>
  </si>
  <si>
    <t>62801-0000</t>
  </si>
  <si>
    <t>Temporary stream diversion</t>
  </si>
  <si>
    <t>TEMPORARY STREAM DIVERSION</t>
  </si>
  <si>
    <t>62802-0000</t>
  </si>
  <si>
    <t>Temporary stream turbidity monitoring</t>
  </si>
  <si>
    <t>TEMPORARY STREAM TURBIDITY MONITORING</t>
  </si>
  <si>
    <t>62805-0000</t>
  </si>
  <si>
    <t>Floating turbidity curtain</t>
  </si>
  <si>
    <t>FLOATING TURBIDITY CURTAIN</t>
  </si>
  <si>
    <t>62901-1050</t>
  </si>
  <si>
    <t>Rolled erosion control product, type 4.A</t>
  </si>
  <si>
    <t>ROLLED EROSION CONTROL PRODUCT, TYPE 4.A</t>
  </si>
  <si>
    <t>Rolled erosion control product, type 4.B</t>
  </si>
  <si>
    <t>ROLLED EROSION CONTROL PRODUCT, TYPE 4.B</t>
  </si>
  <si>
    <t>62901-1600</t>
  </si>
  <si>
    <t>Rolled erosion control product, type 5.E</t>
  </si>
  <si>
    <t>ROLLED EROSION CONTROL PRODUCT, TYPE 5.E</t>
  </si>
  <si>
    <t>62901-1700</t>
  </si>
  <si>
    <t>Rolled erosion control product, type 5.F</t>
  </si>
  <si>
    <t>ROLLED EROSION CONTROL PRODUCT, TYPE 5.F</t>
  </si>
  <si>
    <t>62902-1050</t>
  </si>
  <si>
    <t>62902-1500</t>
  </si>
  <si>
    <t>62902-1600</t>
  </si>
  <si>
    <t>Fixed Duplicate #</t>
  </si>
  <si>
    <t>62902-1700</t>
  </si>
  <si>
    <t>63201-0000</t>
  </si>
  <si>
    <t>63202-0000</t>
  </si>
  <si>
    <t>63210-0000</t>
  </si>
  <si>
    <t>Sign system, Government-furnished sign</t>
  </si>
  <si>
    <t>SIGN SYSTEM, GOVERNMENT-FURNISHED SIGN</t>
  </si>
  <si>
    <t>63315-1000</t>
  </si>
  <si>
    <t>Rumble strip, transverse</t>
  </si>
  <si>
    <t>RUMBLE STRIP, TRANSVERSE</t>
  </si>
  <si>
    <t>Remove and reset sign system</t>
  </si>
  <si>
    <t>REMOVE AND RESET SIGN SYSTEM</t>
  </si>
  <si>
    <t>63318-0000</t>
  </si>
  <si>
    <t>63327-1000</t>
  </si>
  <si>
    <t>Mumble strip, transverse</t>
  </si>
  <si>
    <t>M2</t>
  </si>
  <si>
    <t>MUMBLE STRIP, TRANSVERSE</t>
  </si>
  <si>
    <t>63330-0000</t>
  </si>
  <si>
    <t>Road closure gate</t>
  </si>
  <si>
    <t>ROAD CLOSURE GATE</t>
  </si>
  <si>
    <t>Temporary traffic control, portable traffic barrier</t>
  </si>
  <si>
    <t>TEMPORARY TRAFFIC CONTROL, PORTABLE TRAFFIC BARRIER</t>
  </si>
  <si>
    <t>Temporary traffic control, moving portable traffic barrier</t>
  </si>
  <si>
    <t>TEMPORARY TRAFFIC CONTROL, MOVING PORTABLE TRAFFIC BARRIER</t>
  </si>
  <si>
    <t>63601-8000</t>
  </si>
  <si>
    <t>System installation, rectangular rapid-flashing beacon</t>
  </si>
  <si>
    <t>SYSTEM INSTALLATION, RECTANGULAR RAPID-FLASHING BEACON</t>
  </si>
  <si>
    <t>63602-8000</t>
  </si>
  <si>
    <t>System installation, electrical company compensation</t>
  </si>
  <si>
    <t>63711-0000</t>
  </si>
  <si>
    <t>63714-0000</t>
  </si>
  <si>
    <t>Storage facility</t>
  </si>
  <si>
    <t>STORAGE FACILITY</t>
  </si>
  <si>
    <t>63715-0000</t>
  </si>
  <si>
    <t>Environmental design, wetlands mitigation</t>
  </si>
  <si>
    <t>ENVIRONMENTAL DESIGN, WETLANDS MITIGATION</t>
  </si>
  <si>
    <t>Environmental design, stormwater management, bioretention cell</t>
  </si>
  <si>
    <t>ENVIRONMENTAL DESIGN, STORMWATER MANAGEMENT, BIORETENTION CELL</t>
  </si>
  <si>
    <t>Environmental design, landscaping log</t>
  </si>
  <si>
    <t>ENVIRONMENTAL DESIGN, LANDSCAPING LOG</t>
  </si>
  <si>
    <t>Environmental design, log barrier</t>
  </si>
  <si>
    <t>ENVIRONMENTAL DESIGN, LOG BARRIER</t>
  </si>
  <si>
    <t>Environmental design, small mammal crossing structure</t>
  </si>
  <si>
    <t>ENVIRONMENTAL DESIGN, SMALL MAMMAL CROSSING STRUCTURE</t>
  </si>
  <si>
    <t>Environmental design, tortoise crossing structure</t>
  </si>
  <si>
    <t>ENVIRONMENTAL DESIGN, TORTOISE CROSSING STRUCTURE</t>
  </si>
  <si>
    <t>Environmental design, tortoise guard</t>
  </si>
  <si>
    <t>ENVIRONMENTAL DESIGN, TORTOISE GUARD</t>
  </si>
  <si>
    <t>Environmental design, stormwater management, dry swale</t>
  </si>
  <si>
    <t>ENVIRONMENTAL DESIGN, STORMWATER MANAGEMENT, DRY SWALE</t>
  </si>
  <si>
    <t>Environmental design, streambed channel reconstruction</t>
  </si>
  <si>
    <t>ENVIRONMENTAL DESIGN, STREAMBED CHANNEL RECONSTRUCTION</t>
  </si>
  <si>
    <t>Environmental design, bank stabilization</t>
  </si>
  <si>
    <t>ENVIRONMENTAL DESIGN, BANK STABILIZATION</t>
  </si>
  <si>
    <t>Environmental design, log deflector</t>
  </si>
  <si>
    <t>ENVIRONMENTAL DESIGN, LOG DEFLECTOR</t>
  </si>
  <si>
    <t>Environmental design, log weir</t>
  </si>
  <si>
    <t>ENVIRONMENTAL DESIGN, LOG WEIR</t>
  </si>
  <si>
    <t>Environmental design, rock weir</t>
  </si>
  <si>
    <t>ENVIRONMENTAL DESIGN, ROCK WEIR</t>
  </si>
  <si>
    <t>Environmental design, wicker weir</t>
  </si>
  <si>
    <t>ENVIRONMENTAL DESIGN, WICKER WEIR</t>
  </si>
  <si>
    <t>Environmental design, root wad</t>
  </si>
  <si>
    <t>ENVIRONMENTAL DESIGN, ROOT WAD</t>
  </si>
  <si>
    <t>Environmental design, fish passage boulder</t>
  </si>
  <si>
    <t>ENVIRONMENTAL DESIGN, FISH PASSAGE BOULDER</t>
  </si>
  <si>
    <t>Environmental design, baffle</t>
  </si>
  <si>
    <t>ENVIRONMENTAL DESIGN, BAFFLE</t>
  </si>
  <si>
    <t>Environmental design, stream ford</t>
  </si>
  <si>
    <t>ENVIRONMENTAL DESIGN, STREAM FORD</t>
  </si>
  <si>
    <t>Environmental design, water bar</t>
  </si>
  <si>
    <t>ENVIRONMENTAL DESIGN, WATER BAR</t>
  </si>
  <si>
    <t>Environmental design, streambed material</t>
  </si>
  <si>
    <t>ENVIRONMENTAL DESIGN, STREAMBED MATERIAL</t>
  </si>
  <si>
    <t>Environmental design, streambed channel realignment</t>
  </si>
  <si>
    <t>ENVIRONMENTAL DESIGN, STREAMBED CHANNEL REALIGNMENT</t>
  </si>
  <si>
    <t>Temporary traffic diversion</t>
  </si>
  <si>
    <t>TEMPORARY TRAFFIC DIVERSION</t>
  </si>
  <si>
    <t>Fixed Pay Item Type</t>
  </si>
  <si>
    <t>24</t>
  </si>
  <si>
    <t>AZ FTNP GRCA 13(1)
MT OMAD 18(38)</t>
  </si>
  <si>
    <t xml:space="preserve">NPS PMIS No. </t>
  </si>
  <si>
    <r>
      <rPr>
        <b/>
        <sz val="10"/>
        <rFont val="Verdana"/>
        <family val="2"/>
      </rPr>
      <t>Note:</t>
    </r>
    <r>
      <rPr>
        <sz val="10"/>
        <rFont val="Verdana"/>
        <family val="2"/>
      </rPr>
      <t xml:space="preserve"> NPS fields do not appear on the sheet unless additional text is added.</t>
    </r>
  </si>
  <si>
    <t xml:space="preserve">NPS Drwg No. </t>
  </si>
  <si>
    <t>C.1</t>
  </si>
  <si>
    <t>&lt; Don't show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</si>
</sst>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_(&quot;$&quot;* \(#,##0.00\);_(&quot;$&quot;* &quot;-&quot;??_);_(@_)"/>
    <numFmt numFmtId="164" formatCode="d\ mmmm\ yyyy"/>
    <numFmt numFmtId="165" formatCode="0\)\ "/>
    <numFmt numFmtId="166" formatCode="General;General;&quot;&quot;"/>
    <numFmt numFmtId="167" formatCode="General;General;General;@&quot; &lt;=&quot;"/>
    <numFmt numFmtId="168" formatCode="0000"/>
    <numFmt numFmtId="169" formatCode="General&quot; lines defined&quot;"/>
    <numFmt numFmtId="170" formatCode="_(&quot;$&quot;* #,##0.00_);_(&quot;$&quot;* \(#,##0.00\);_(&quot;$&quot;* &quot;-&quot;??_);@"/>
    <numFmt numFmtId="171" formatCode=";;;@*_\ \ "/>
    <numFmt numFmtId="172" formatCode="@\ &quot;Federal Lands&quot;"/>
    <numFmt numFmtId="173" formatCode="[$-409]h:mm\ AM/PM;@"/>
    <numFmt numFmtId="174" formatCode="&quot;Estimate Info (FP-&quot;@&quot;)&quot;"/>
  </numFmts>
  <fonts count="52" x14ac:knownFonts="1">
    <font>
      <sz val="8"/>
      <color theme="1"/>
      <name val="Verdana"/>
      <family val="2"/>
    </font>
    <font>
      <sz val="8"/>
      <name val="Verdana"/>
      <family val="2"/>
    </font>
    <font>
      <b/>
      <sz val="8"/>
      <color theme="0"/>
      <name val="Verdana"/>
      <family val="2"/>
    </font>
    <font>
      <b/>
      <i/>
      <sz val="14"/>
      <name val="Verdana"/>
      <family val="2"/>
    </font>
    <font>
      <i/>
      <sz val="8"/>
      <name val="Verdana"/>
      <family val="2"/>
    </font>
    <font>
      <b/>
      <sz val="14"/>
      <name val="Verdana"/>
      <family val="2"/>
    </font>
    <font>
      <sz val="8"/>
      <color theme="1"/>
      <name val="Verdana"/>
      <family val="2"/>
    </font>
    <font>
      <b/>
      <sz val="10"/>
      <name val="Verdana"/>
      <family val="2"/>
    </font>
    <font>
      <sz val="10"/>
      <name val="Verdana"/>
      <family val="2"/>
    </font>
    <font>
      <b/>
      <sz val="12"/>
      <name val="Verdana"/>
      <family val="2"/>
    </font>
    <font>
      <b/>
      <sz val="18"/>
      <name val="Verdana"/>
      <family val="2"/>
    </font>
    <font>
      <b/>
      <sz val="8"/>
      <color indexed="12"/>
      <name val="Verdana"/>
      <family val="2"/>
    </font>
    <font>
      <sz val="8"/>
      <color indexed="12"/>
      <name val="Verdana"/>
      <family val="2"/>
    </font>
    <font>
      <sz val="14"/>
      <name val="Verdana"/>
      <family val="2"/>
    </font>
    <font>
      <i/>
      <sz val="10"/>
      <name val="Verdana"/>
      <family val="2"/>
    </font>
    <font>
      <u/>
      <sz val="10"/>
      <name val="Verdana"/>
      <family val="2"/>
    </font>
    <font>
      <sz val="10"/>
      <name val="Arial"/>
      <family val="2"/>
    </font>
    <font>
      <b/>
      <sz val="8"/>
      <color theme="0" tint="-4.9989318521683403E-2"/>
      <name val="Verdana"/>
      <family val="2"/>
    </font>
    <font>
      <sz val="14"/>
      <color theme="1"/>
      <name val="Verdana"/>
      <family val="2"/>
    </font>
    <font>
      <b/>
      <sz val="14"/>
      <color theme="1"/>
      <name val="Verdana"/>
      <family val="2"/>
    </font>
    <font>
      <u/>
      <sz val="14"/>
      <color theme="1"/>
      <name val="Verdana"/>
      <family val="2"/>
    </font>
    <font>
      <b/>
      <sz val="8"/>
      <name val="Verdana"/>
      <family val="2"/>
    </font>
    <font>
      <sz val="10"/>
      <color rgb="FF0070C0"/>
      <name val="Verdana"/>
      <family val="2"/>
    </font>
    <font>
      <b/>
      <sz val="10"/>
      <color rgb="FF0070C0"/>
      <name val="Verdana"/>
      <family val="2"/>
    </font>
    <font>
      <u/>
      <sz val="8"/>
      <color theme="10"/>
      <name val="Verdana"/>
      <family val="2"/>
    </font>
    <font>
      <sz val="8"/>
      <color rgb="FF0070C0"/>
      <name val="Verdana"/>
      <family val="2"/>
    </font>
    <font>
      <b/>
      <sz val="10"/>
      <color rgb="FFFF0000"/>
      <name val="Verdana"/>
      <family val="2"/>
    </font>
    <font>
      <b/>
      <u/>
      <sz val="12"/>
      <color rgb="FF0000FF"/>
      <name val="Verdana"/>
      <family val="2"/>
    </font>
    <font>
      <b/>
      <sz val="12"/>
      <color rgb="FF0000FF"/>
      <name val="Verdana"/>
      <family val="2"/>
    </font>
    <font>
      <sz val="5.5"/>
      <name val="Verdana"/>
      <family val="2"/>
    </font>
    <font>
      <b/>
      <sz val="8"/>
      <color rgb="FF0070C0"/>
      <name val="Verdana"/>
      <family val="2"/>
    </font>
    <font>
      <b/>
      <sz val="11"/>
      <color rgb="FF0070C0"/>
      <name val="Verdana"/>
      <family val="2"/>
    </font>
    <font>
      <sz val="8"/>
      <color theme="0" tint="-4.9989318521683403E-2"/>
      <name val="Verdana"/>
      <family val="2"/>
    </font>
    <font>
      <sz val="8"/>
      <color theme="1" tint="0.499984740745262"/>
      <name val="Verdana"/>
      <family val="2"/>
    </font>
    <font>
      <b/>
      <sz val="12"/>
      <color rgb="FF0070C0"/>
      <name val="Verdana"/>
      <family val="2"/>
    </font>
    <font>
      <sz val="9"/>
      <name val="Verdana"/>
      <family val="2"/>
    </font>
    <font>
      <sz val="12"/>
      <name val="Verdana"/>
      <family val="2"/>
    </font>
    <font>
      <sz val="21"/>
      <name val="Verdana"/>
      <family val="2"/>
    </font>
    <font>
      <sz val="10"/>
      <color theme="0"/>
      <name val="Verdana"/>
      <family val="2"/>
    </font>
    <font>
      <b/>
      <sz val="12"/>
      <color rgb="FFFF0000"/>
      <name val="Verdana"/>
      <family val="2"/>
    </font>
    <font>
      <sz val="10"/>
      <color theme="1"/>
      <name val="Verdana"/>
      <family val="2"/>
    </font>
    <font>
      <sz val="12"/>
      <color rgb="FFC0C0C0"/>
      <name val="Verdana"/>
      <family val="2"/>
    </font>
    <font>
      <b/>
      <sz val="8"/>
      <color theme="1"/>
      <name val="Verdana"/>
      <family val="2"/>
    </font>
    <font>
      <i/>
      <sz val="8"/>
      <color theme="1"/>
      <name val="Verdana"/>
      <family val="2"/>
    </font>
    <font>
      <sz val="8"/>
      <name val="Calibri"/>
      <family val="2"/>
    </font>
    <font>
      <b/>
      <sz val="11"/>
      <color theme="1"/>
      <name val="Verdana"/>
      <family val="2"/>
    </font>
    <font>
      <b/>
      <sz val="10"/>
      <color theme="1"/>
      <name val="Verdana"/>
      <family val="2"/>
    </font>
    <font>
      <i/>
      <sz val="10"/>
      <color theme="1"/>
      <name val="Verdana"/>
      <family val="2"/>
    </font>
    <font>
      <b/>
      <sz val="8"/>
      <color rgb="FFFF0000"/>
      <name val="Verdana"/>
      <family val="2"/>
    </font>
    <font>
      <sz val="24"/>
      <color theme="1"/>
      <name val="Verdana"/>
      <family val="2"/>
    </font>
    <font>
      <sz val="6"/>
      <name val="Verdana"/>
      <family val="2"/>
    </font>
    <font>
      <sz val="6"/>
      <color indexed="9"/>
      <name val="Verdana"/>
      <family val="2"/>
    </font>
  </fonts>
  <fills count="15">
    <fill>
      <patternFill patternType="none"/>
    </fill>
    <fill>
      <patternFill patternType="gray125"/>
    </fill>
    <fill>
      <patternFill patternType="solid">
        <fgColor rgb="FFFF0000"/>
        <bgColor indexed="64"/>
      </patternFill>
    </fill>
    <fill>
      <patternFill patternType="solid">
        <fgColor indexed="13"/>
        <bgColor indexed="64"/>
      </patternFill>
    </fill>
    <fill>
      <patternFill patternType="solid">
        <fgColor indexed="41"/>
        <bgColor indexed="64"/>
      </patternFill>
    </fill>
    <fill>
      <patternFill patternType="solid">
        <fgColor rgb="FFFFFF66"/>
        <bgColor indexed="64"/>
      </patternFill>
    </fill>
    <fill>
      <patternFill patternType="solid">
        <fgColor rgb="FF008000"/>
        <bgColor indexed="64"/>
      </patternFill>
    </fill>
    <fill>
      <patternFill patternType="solid">
        <fgColor rgb="FFFFFF99"/>
        <bgColor indexed="64"/>
      </patternFill>
    </fill>
    <fill>
      <patternFill patternType="solid">
        <fgColor rgb="FFB2B2B2"/>
        <bgColor indexed="64"/>
      </patternFill>
    </fill>
    <fill>
      <patternFill patternType="solid">
        <fgColor rgb="FFFFC000"/>
        <bgColor indexed="64"/>
      </patternFill>
    </fill>
    <fill>
      <patternFill patternType="solid">
        <fgColor rgb="FFFFE07D"/>
        <bgColor indexed="64"/>
      </patternFill>
    </fill>
    <fill>
      <patternFill patternType="solid">
        <fgColor indexed="43"/>
        <bgColor indexed="64"/>
      </patternFill>
    </fill>
    <fill>
      <patternFill patternType="solid">
        <fgColor rgb="FFFF9900"/>
        <bgColor indexed="64"/>
      </patternFill>
    </fill>
    <fill>
      <patternFill patternType="solid">
        <fgColor rgb="FF0066FF"/>
        <bgColor indexed="64"/>
      </patternFill>
    </fill>
    <fill>
      <patternFill patternType="solid">
        <fgColor rgb="FFFFFF00"/>
        <bgColor indexed="64"/>
      </patternFill>
    </fill>
  </fills>
  <borders count="90">
    <border>
      <left/>
      <right/>
      <top/>
      <bottom/>
      <diagonal/>
    </border>
    <border>
      <left/>
      <right/>
      <top style="double">
        <color indexed="64"/>
      </top>
      <bottom style="double">
        <color indexed="64"/>
      </bottom>
      <diagonal/>
    </border>
    <border>
      <left/>
      <right/>
      <top/>
      <bottom style="thin">
        <color indexed="64"/>
      </bottom>
      <diagonal/>
    </border>
    <border>
      <left/>
      <right/>
      <top style="thin">
        <color indexed="64"/>
      </top>
      <bottom/>
      <diagonal/>
    </border>
    <border>
      <left/>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diagonal/>
    </border>
    <border>
      <left/>
      <right/>
      <top/>
      <bottom style="thin">
        <color rgb="FF008000"/>
      </bottom>
      <diagonal/>
    </border>
    <border>
      <left/>
      <right style="thin">
        <color theme="0" tint="-4.9989318521683403E-2"/>
      </right>
      <top/>
      <bottom/>
      <diagonal/>
    </border>
    <border>
      <left style="thin">
        <color theme="0" tint="-4.9989318521683403E-2"/>
      </left>
      <right/>
      <top/>
      <bottom style="thin">
        <color rgb="FF008000"/>
      </bottom>
      <diagonal/>
    </border>
    <border>
      <left style="thin">
        <color indexed="18"/>
      </left>
      <right/>
      <top/>
      <bottom/>
      <diagonal/>
    </border>
    <border>
      <left style="dashed">
        <color indexed="22"/>
      </left>
      <right style="dashed">
        <color indexed="22"/>
      </right>
      <top style="dashed">
        <color indexed="22"/>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dashed">
        <color theme="6" tint="-0.499984740745262"/>
      </left>
      <right style="dashed">
        <color theme="6" tint="-0.499984740745262"/>
      </right>
      <top style="dashed">
        <color theme="6" tint="-0.499984740745262"/>
      </top>
      <bottom style="dashed">
        <color theme="6" tint="-0.499984740745262"/>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bottom/>
      <diagonal/>
    </border>
    <border>
      <left/>
      <right style="thin">
        <color theme="0" tint="-0.499984740745262"/>
      </right>
      <top/>
      <bottom/>
      <diagonal/>
    </border>
    <border>
      <left style="thin">
        <color theme="0" tint="-0.499984740745262"/>
      </left>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right/>
      <top style="thick">
        <color rgb="FF0070C0"/>
      </top>
      <bottom style="thick">
        <color rgb="FFFFC000"/>
      </bottom>
      <diagonal/>
    </border>
    <border>
      <left style="thick">
        <color rgb="FFFFC000"/>
      </left>
      <right/>
      <top style="thick">
        <color rgb="FF0070C0"/>
      </top>
      <bottom style="thick">
        <color rgb="FFFFC000"/>
      </bottom>
      <diagonal/>
    </border>
    <border>
      <left/>
      <right style="thick">
        <color rgb="FFFFC000"/>
      </right>
      <top style="thick">
        <color rgb="FF0070C0"/>
      </top>
      <bottom style="thick">
        <color rgb="FFFFC000"/>
      </bottom>
      <diagonal/>
    </border>
    <border>
      <left/>
      <right/>
      <top/>
      <bottom style="thin">
        <color rgb="FFFFC000"/>
      </bottom>
      <diagonal/>
    </border>
    <border>
      <left/>
      <right/>
      <top style="thin">
        <color rgb="FFFFC000"/>
      </top>
      <bottom style="thin">
        <color rgb="FFFFC000"/>
      </bottom>
      <diagonal/>
    </border>
    <border>
      <left/>
      <right/>
      <top style="thin">
        <color rgb="FFFFC000"/>
      </top>
      <bottom/>
      <diagonal/>
    </border>
    <border>
      <left/>
      <right style="thick">
        <color indexed="60"/>
      </right>
      <top/>
      <bottom/>
      <diagonal/>
    </border>
    <border>
      <left style="thick">
        <color rgb="FFFF9900"/>
      </left>
      <right/>
      <top/>
      <bottom/>
      <diagonal/>
    </border>
    <border>
      <left style="thick">
        <color rgb="FF0066FF"/>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double">
        <color indexed="64"/>
      </top>
      <bottom style="medium">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double">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18"/>
      </left>
      <right style="thin">
        <color indexed="18"/>
      </right>
      <top style="thin">
        <color indexed="18"/>
      </top>
      <bottom style="thin">
        <color indexed="64"/>
      </bottom>
      <diagonal/>
    </border>
    <border>
      <left style="thin">
        <color indexed="18"/>
      </left>
      <right style="thin">
        <color indexed="18"/>
      </right>
      <top/>
      <bottom/>
      <diagonal/>
    </border>
    <border>
      <left style="thin">
        <color indexed="64"/>
      </left>
      <right style="thin">
        <color indexed="64"/>
      </right>
      <top style="thin">
        <color indexed="64"/>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double">
        <color auto="1"/>
      </bottom>
      <diagonal/>
    </border>
    <border>
      <left/>
      <right style="double">
        <color auto="1"/>
      </right>
      <top style="double">
        <color auto="1"/>
      </top>
      <bottom style="medium">
        <color auto="1"/>
      </bottom>
      <diagonal/>
    </border>
    <border>
      <left/>
      <right style="medium">
        <color auto="1"/>
      </right>
      <top/>
      <bottom style="thin">
        <color indexed="64"/>
      </bottom>
      <diagonal/>
    </border>
    <border>
      <left/>
      <right style="thin">
        <color theme="4" tint="0.79998168889431442"/>
      </right>
      <top/>
      <bottom/>
      <diagonal/>
    </border>
    <border>
      <left style="thin">
        <color theme="4" tint="0.79998168889431442"/>
      </left>
      <right/>
      <top/>
      <bottom/>
      <diagonal/>
    </border>
    <border>
      <left/>
      <right style="medium">
        <color auto="1"/>
      </right>
      <top style="thin">
        <color indexed="64"/>
      </top>
      <bottom/>
      <diagonal/>
    </border>
    <border>
      <left style="thin">
        <color auto="1"/>
      </left>
      <right/>
      <top/>
      <bottom style="medium">
        <color auto="1"/>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medium">
        <color auto="1"/>
      </right>
      <top style="thin">
        <color indexed="64"/>
      </top>
      <bottom style="thin">
        <color theme="0" tint="-0.499984740745262"/>
      </bottom>
      <diagonal/>
    </border>
    <border>
      <left style="thick">
        <color rgb="FFFF0000"/>
      </left>
      <right style="thick">
        <color rgb="FFFF0000"/>
      </right>
      <top/>
      <bottom/>
      <diagonal/>
    </border>
    <border>
      <left/>
      <right style="thin">
        <color indexed="18"/>
      </right>
      <top/>
      <bottom/>
      <diagonal/>
    </border>
  </borders>
  <cellStyleXfs count="4">
    <xf numFmtId="0" fontId="0" fillId="0" borderId="0"/>
    <xf numFmtId="0" fontId="1" fillId="0" borderId="0"/>
    <xf numFmtId="0" fontId="24" fillId="0" borderId="0" applyNumberFormat="0" applyFill="0" applyBorder="0" applyAlignment="0" applyProtection="0">
      <alignment vertical="top"/>
      <protection locked="0"/>
    </xf>
    <xf numFmtId="0" fontId="1" fillId="0" borderId="0"/>
  </cellStyleXfs>
  <cellXfs count="397">
    <xf numFmtId="0" fontId="0" fillId="0" borderId="0" xfId="0"/>
    <xf numFmtId="0" fontId="1" fillId="0" borderId="0" xfId="1"/>
    <xf numFmtId="0" fontId="2" fillId="2" borderId="0" xfId="1" applyFont="1" applyFill="1" applyAlignment="1">
      <alignment horizontal="center"/>
    </xf>
    <xf numFmtId="0" fontId="1" fillId="0" borderId="0" xfId="1" applyAlignment="1">
      <alignment horizontal="right"/>
    </xf>
    <xf numFmtId="0" fontId="4" fillId="0" borderId="0" xfId="1" quotePrefix="1" applyFont="1"/>
    <xf numFmtId="0" fontId="1" fillId="0" borderId="0" xfId="1" applyFill="1" applyAlignment="1"/>
    <xf numFmtId="0" fontId="1" fillId="0" borderId="0" xfId="1" applyBorder="1" applyAlignment="1">
      <alignment horizontal="center"/>
    </xf>
    <xf numFmtId="0" fontId="1" fillId="0" borderId="0" xfId="1" applyNumberFormat="1" applyBorder="1"/>
    <xf numFmtId="0" fontId="1" fillId="4" borderId="0" xfId="1" applyFill="1" applyBorder="1" applyProtection="1">
      <protection locked="0"/>
    </xf>
    <xf numFmtId="0" fontId="1" fillId="5" borderId="0" xfId="1" applyFill="1" applyBorder="1" applyAlignment="1" applyProtection="1">
      <protection locked="0"/>
    </xf>
    <xf numFmtId="0" fontId="1" fillId="0" borderId="0" xfId="1" applyNumberFormat="1" applyFont="1" applyBorder="1"/>
    <xf numFmtId="0" fontId="1" fillId="5" borderId="0" xfId="1" applyFill="1" applyBorder="1" applyAlignment="1" applyProtection="1">
      <alignment horizontal="center"/>
      <protection locked="0"/>
    </xf>
    <xf numFmtId="44" fontId="1" fillId="5" borderId="0" xfId="1" applyNumberFormat="1" applyFill="1" applyBorder="1" applyAlignment="1" applyProtection="1">
      <protection locked="0"/>
    </xf>
    <xf numFmtId="0" fontId="1" fillId="0" borderId="0" xfId="1" applyFont="1" applyFill="1" applyBorder="1"/>
    <xf numFmtId="0" fontId="6" fillId="0" borderId="0" xfId="0" applyFont="1"/>
    <xf numFmtId="0" fontId="8" fillId="0" borderId="0" xfId="1" applyFont="1" applyAlignment="1">
      <alignment horizontal="left"/>
    </xf>
    <xf numFmtId="0" fontId="8" fillId="0" borderId="0" xfId="1" applyFont="1"/>
    <xf numFmtId="0" fontId="8" fillId="0" borderId="0" xfId="1" applyFont="1" applyAlignment="1">
      <alignment horizontal="right"/>
    </xf>
    <xf numFmtId="44" fontId="8" fillId="0" borderId="0" xfId="1" applyNumberFormat="1" applyFont="1"/>
    <xf numFmtId="0" fontId="8" fillId="0" borderId="0" xfId="1" applyFont="1" applyAlignment="1">
      <alignment horizontal="centerContinuous"/>
    </xf>
    <xf numFmtId="0" fontId="8" fillId="0" borderId="1" xfId="1" applyFont="1" applyBorder="1" applyAlignment="1">
      <alignment horizontal="centerContinuous" vertical="center"/>
    </xf>
    <xf numFmtId="0" fontId="9" fillId="0" borderId="0" xfId="1" applyFont="1" applyAlignment="1">
      <alignment horizontal="centerContinuous"/>
    </xf>
    <xf numFmtId="44" fontId="8" fillId="0" borderId="2" xfId="1" applyNumberFormat="1" applyFont="1" applyBorder="1" applyAlignment="1">
      <alignment vertical="center"/>
    </xf>
    <xf numFmtId="0" fontId="8" fillId="0" borderId="2" xfId="1" applyFont="1" applyBorder="1" applyAlignment="1">
      <alignment vertical="center"/>
    </xf>
    <xf numFmtId="0" fontId="8" fillId="0" borderId="3" xfId="1" applyFont="1" applyBorder="1" applyAlignment="1">
      <alignment vertical="center"/>
    </xf>
    <xf numFmtId="44" fontId="7" fillId="0" borderId="0" xfId="1" applyNumberFormat="1" applyFont="1"/>
    <xf numFmtId="0" fontId="7" fillId="0" borderId="0" xfId="1" applyFont="1" applyAlignment="1">
      <alignment horizontal="right"/>
    </xf>
    <xf numFmtId="0" fontId="6" fillId="0" borderId="0" xfId="0" applyFont="1" applyBorder="1"/>
    <xf numFmtId="0" fontId="13" fillId="0" borderId="0" xfId="1" applyFont="1"/>
    <xf numFmtId="0" fontId="8" fillId="0" borderId="0" xfId="1" applyFont="1" applyAlignment="1">
      <alignment horizontal="right" vertical="top"/>
    </xf>
    <xf numFmtId="0" fontId="8" fillId="3" borderId="12" xfId="1" applyFont="1" applyFill="1" applyBorder="1" applyAlignment="1" applyProtection="1">
      <alignment vertical="top" wrapText="1"/>
      <protection locked="0"/>
    </xf>
    <xf numFmtId="0" fontId="8" fillId="3" borderId="11" xfId="1" applyFont="1" applyFill="1" applyBorder="1" applyAlignment="1" applyProtection="1">
      <alignment horizontal="center"/>
      <protection locked="0"/>
    </xf>
    <xf numFmtId="0" fontId="13" fillId="0" borderId="0" xfId="1" applyFont="1" applyAlignment="1">
      <alignment horizontal="left" vertical="center"/>
    </xf>
    <xf numFmtId="0" fontId="1" fillId="0" borderId="0" xfId="1" applyAlignment="1">
      <alignment horizontal="left" vertical="center"/>
    </xf>
    <xf numFmtId="0" fontId="8" fillId="0" borderId="0" xfId="1" applyFont="1" applyAlignment="1">
      <alignment horizontal="centerContinuous" wrapText="1"/>
    </xf>
    <xf numFmtId="0" fontId="15" fillId="0" borderId="0" xfId="1" applyFont="1"/>
    <xf numFmtId="0" fontId="17" fillId="6" borderId="13" xfId="1" applyFont="1" applyFill="1" applyBorder="1"/>
    <xf numFmtId="0" fontId="2" fillId="6" borderId="0" xfId="1" applyFont="1" applyFill="1" applyAlignment="1">
      <alignment horizontal="centerContinuous"/>
    </xf>
    <xf numFmtId="0" fontId="1" fillId="6" borderId="14" xfId="1" applyFill="1" applyBorder="1" applyAlignment="1">
      <alignment horizontal="centerContinuous"/>
    </xf>
    <xf numFmtId="0" fontId="17" fillId="6" borderId="15" xfId="1" applyFont="1" applyFill="1" applyBorder="1"/>
    <xf numFmtId="0" fontId="8" fillId="0" borderId="0" xfId="1" applyFont="1" applyAlignment="1">
      <alignment vertical="top"/>
    </xf>
    <xf numFmtId="0" fontId="8" fillId="7" borderId="11" xfId="1" applyFont="1" applyFill="1" applyBorder="1" applyAlignment="1" applyProtection="1">
      <alignment horizontal="center"/>
      <protection locked="0"/>
    </xf>
    <xf numFmtId="0" fontId="16" fillId="0" borderId="0" xfId="3" applyFont="1" applyAlignment="1">
      <alignment horizontal="center"/>
    </xf>
    <xf numFmtId="0" fontId="8" fillId="0" borderId="0" xfId="1" applyNumberFormat="1" applyFont="1"/>
    <xf numFmtId="0" fontId="8" fillId="0" borderId="0" xfId="1" applyNumberFormat="1" applyFont="1" applyAlignment="1">
      <alignment horizontal="center"/>
    </xf>
    <xf numFmtId="0" fontId="8" fillId="0" borderId="0" xfId="1" quotePrefix="1" applyNumberFormat="1" applyFont="1" applyAlignment="1">
      <alignment horizontal="center"/>
    </xf>
    <xf numFmtId="0" fontId="8" fillId="0" borderId="0" xfId="0" applyFont="1" applyFill="1" applyBorder="1" applyAlignment="1">
      <alignment horizontal="right"/>
    </xf>
    <xf numFmtId="0" fontId="24" fillId="0" borderId="0" xfId="2" applyAlignment="1" applyProtection="1">
      <alignment horizontal="center" vertical="center"/>
    </xf>
    <xf numFmtId="0" fontId="13" fillId="0" borderId="0" xfId="1" applyFont="1" applyAlignment="1">
      <alignment vertical="center"/>
    </xf>
    <xf numFmtId="0" fontId="0" fillId="0" borderId="0" xfId="0" applyFont="1"/>
    <xf numFmtId="165" fontId="8" fillId="0" borderId="0" xfId="0" applyNumberFormat="1" applyFont="1" applyAlignment="1">
      <alignment vertical="top"/>
    </xf>
    <xf numFmtId="0" fontId="26" fillId="0" borderId="0" xfId="0" applyFont="1" applyAlignment="1">
      <alignment horizontal="right" vertical="top"/>
    </xf>
    <xf numFmtId="0" fontId="7" fillId="0" borderId="0" xfId="0" applyFont="1"/>
    <xf numFmtId="0" fontId="8" fillId="0" borderId="0" xfId="0" applyFont="1" applyAlignment="1">
      <alignment horizontal="right" vertical="top"/>
    </xf>
    <xf numFmtId="0" fontId="1" fillId="8" borderId="0" xfId="3" applyFill="1"/>
    <xf numFmtId="0" fontId="1" fillId="8" borderId="0" xfId="1" applyFill="1"/>
    <xf numFmtId="0" fontId="11" fillId="8" borderId="0" xfId="3" applyFont="1" applyFill="1" applyAlignment="1">
      <alignment horizontal="center" vertical="center"/>
    </xf>
    <xf numFmtId="0" fontId="1" fillId="0" borderId="0" xfId="3"/>
    <xf numFmtId="0" fontId="1" fillId="8" borderId="0" xfId="1" applyFont="1" applyFill="1" applyAlignment="1">
      <alignment horizontal="center"/>
    </xf>
    <xf numFmtId="0" fontId="1" fillId="0" borderId="0" xfId="1" applyProtection="1">
      <protection locked="0"/>
    </xf>
    <xf numFmtId="0" fontId="29" fillId="0" borderId="0" xfId="1" applyFont="1"/>
    <xf numFmtId="0" fontId="1" fillId="0" borderId="0" xfId="1" applyAlignment="1" applyProtection="1">
      <alignment horizontal="center"/>
      <protection locked="0"/>
    </xf>
    <xf numFmtId="0" fontId="1" fillId="0" borderId="0" xfId="1" quotePrefix="1" applyAlignment="1" applyProtection="1">
      <alignment horizontal="right"/>
      <protection locked="0"/>
    </xf>
    <xf numFmtId="0" fontId="1" fillId="0" borderId="0" xfId="1" quotePrefix="1" applyAlignment="1" applyProtection="1">
      <alignment horizontal="left"/>
      <protection locked="0"/>
    </xf>
    <xf numFmtId="0" fontId="1" fillId="0" borderId="0" xfId="1" applyNumberFormat="1" applyFill="1" applyAlignment="1">
      <alignment horizontal="center"/>
    </xf>
    <xf numFmtId="0" fontId="0" fillId="0" borderId="0" xfId="0" applyFont="1" applyBorder="1"/>
    <xf numFmtId="0" fontId="8" fillId="0" borderId="0" xfId="1" applyFont="1" applyAlignment="1">
      <alignment horizontal="left" vertical="top"/>
    </xf>
    <xf numFmtId="0" fontId="8" fillId="3" borderId="12" xfId="1" applyFont="1" applyFill="1" applyBorder="1" applyAlignment="1" applyProtection="1">
      <alignment horizontal="center" vertical="top" wrapText="1"/>
      <protection locked="0"/>
    </xf>
    <xf numFmtId="167" fontId="8" fillId="0" borderId="0" xfId="1" applyNumberFormat="1" applyFont="1" applyAlignment="1">
      <alignment horizontal="right" vertical="top"/>
    </xf>
    <xf numFmtId="0" fontId="1" fillId="0" borderId="0" xfId="1" applyFill="1" applyBorder="1" applyAlignment="1" applyProtection="1">
      <alignment horizontal="center"/>
      <protection locked="0"/>
    </xf>
    <xf numFmtId="0" fontId="1" fillId="0" borderId="0" xfId="1" applyNumberFormat="1" applyFill="1" applyBorder="1" applyAlignment="1">
      <alignment horizontal="center"/>
    </xf>
    <xf numFmtId="0" fontId="1" fillId="0" borderId="0" xfId="1" applyFill="1" applyBorder="1" applyAlignment="1" applyProtection="1">
      <protection locked="0"/>
    </xf>
    <xf numFmtId="0" fontId="1" fillId="0" borderId="0" xfId="1" applyFill="1" applyBorder="1" applyAlignment="1">
      <alignment horizontal="center"/>
    </xf>
    <xf numFmtId="44" fontId="1" fillId="0" borderId="0" xfId="1" applyNumberFormat="1" applyFill="1" applyBorder="1" applyAlignment="1" applyProtection="1">
      <protection locked="0"/>
    </xf>
    <xf numFmtId="0" fontId="1" fillId="0" borderId="0" xfId="1" applyFill="1" applyBorder="1" applyProtection="1">
      <protection locked="0"/>
    </xf>
    <xf numFmtId="168" fontId="8" fillId="7" borderId="11" xfId="1" applyNumberFormat="1" applyFont="1" applyFill="1" applyBorder="1" applyAlignment="1" applyProtection="1">
      <alignment horizontal="center"/>
      <protection locked="0"/>
    </xf>
    <xf numFmtId="0" fontId="31" fillId="9" borderId="0" xfId="1" applyFont="1" applyFill="1" applyBorder="1"/>
    <xf numFmtId="0" fontId="30" fillId="9" borderId="39" xfId="1" applyFont="1" applyFill="1" applyBorder="1"/>
    <xf numFmtId="0" fontId="30" fillId="9" borderId="40" xfId="1" applyFont="1" applyFill="1" applyBorder="1"/>
    <xf numFmtId="0" fontId="25" fillId="10" borderId="41" xfId="1" applyFont="1" applyFill="1" applyBorder="1" applyAlignment="1">
      <alignment horizontal="centerContinuous"/>
    </xf>
    <xf numFmtId="0" fontId="25" fillId="10" borderId="42" xfId="1" applyFont="1" applyFill="1" applyBorder="1" applyAlignment="1">
      <alignment horizontal="centerContinuous"/>
    </xf>
    <xf numFmtId="0" fontId="25" fillId="10" borderId="43" xfId="1" applyFont="1" applyFill="1" applyBorder="1" applyAlignment="1">
      <alignment horizontal="centerContinuous"/>
    </xf>
    <xf numFmtId="0" fontId="25" fillId="10" borderId="44" xfId="1" applyFont="1" applyFill="1" applyBorder="1" applyAlignment="1">
      <alignment horizontal="centerContinuous"/>
    </xf>
    <xf numFmtId="0" fontId="25" fillId="10" borderId="46" xfId="1" applyFont="1" applyFill="1" applyBorder="1" applyAlignment="1">
      <alignment horizontal="centerContinuous"/>
    </xf>
    <xf numFmtId="0" fontId="23" fillId="10" borderId="45" xfId="1" applyFont="1" applyFill="1" applyBorder="1" applyAlignment="1">
      <alignment horizontal="centerContinuous" vertical="center"/>
    </xf>
    <xf numFmtId="0" fontId="1" fillId="9" borderId="47" xfId="1" applyFill="1" applyBorder="1"/>
    <xf numFmtId="0" fontId="1" fillId="9" borderId="48" xfId="1" applyFill="1" applyBorder="1"/>
    <xf numFmtId="0" fontId="1" fillId="9" borderId="49" xfId="1" applyFill="1" applyBorder="1"/>
    <xf numFmtId="0" fontId="1" fillId="5" borderId="0" xfId="1" applyFill="1" applyAlignment="1" applyProtection="1">
      <alignment horizontal="center" vertical="center"/>
      <protection locked="0"/>
    </xf>
    <xf numFmtId="0" fontId="1" fillId="5" borderId="0" xfId="1" applyFill="1" applyAlignment="1" applyProtection="1">
      <alignment horizontal="center" vertical="center" wrapText="1"/>
      <protection locked="0"/>
    </xf>
    <xf numFmtId="0" fontId="1" fillId="0" borderId="0" xfId="1" applyNumberFormat="1" applyFill="1"/>
    <xf numFmtId="0" fontId="1" fillId="0" borderId="0" xfId="1" applyFont="1" applyAlignment="1">
      <alignment horizontal="center"/>
    </xf>
    <xf numFmtId="0" fontId="21" fillId="0" borderId="0" xfId="1" applyNumberFormat="1" applyFont="1" applyFill="1" applyBorder="1" applyAlignment="1">
      <alignment horizontal="center"/>
    </xf>
    <xf numFmtId="0" fontId="21" fillId="0" borderId="0" xfId="1" applyFont="1" applyBorder="1"/>
    <xf numFmtId="0" fontId="1" fillId="0" borderId="0" xfId="1" applyBorder="1"/>
    <xf numFmtId="0" fontId="1" fillId="0" borderId="50" xfId="1" applyBorder="1"/>
    <xf numFmtId="0" fontId="1" fillId="0" borderId="51" xfId="1" applyFill="1" applyBorder="1" applyAlignment="1">
      <alignment shrinkToFit="1"/>
    </xf>
    <xf numFmtId="0" fontId="1" fillId="0" borderId="0" xfId="1" applyFill="1" applyBorder="1" applyAlignment="1">
      <alignment shrinkToFit="1"/>
    </xf>
    <xf numFmtId="0" fontId="1" fillId="0" borderId="52" xfId="1" applyFill="1" applyBorder="1" applyAlignment="1">
      <alignment shrinkToFit="1"/>
    </xf>
    <xf numFmtId="0" fontId="1" fillId="11" borderId="0" xfId="1" applyFill="1" applyBorder="1"/>
    <xf numFmtId="0" fontId="1" fillId="0" borderId="0" xfId="1" applyBorder="1" applyAlignment="1"/>
    <xf numFmtId="0" fontId="1" fillId="11" borderId="50" xfId="1" applyFill="1" applyBorder="1"/>
    <xf numFmtId="0" fontId="1" fillId="0" borderId="0" xfId="1" applyBorder="1" applyAlignment="1">
      <alignment shrinkToFit="1"/>
    </xf>
    <xf numFmtId="0" fontId="1" fillId="0" borderId="0" xfId="1" applyFill="1" applyAlignment="1">
      <alignment shrinkToFit="1"/>
    </xf>
    <xf numFmtId="0" fontId="1" fillId="11" borderId="0" xfId="1" applyNumberFormat="1" applyFill="1"/>
    <xf numFmtId="0" fontId="1" fillId="0" borderId="0" xfId="1" applyNumberFormat="1" applyFill="1" applyAlignment="1"/>
    <xf numFmtId="0" fontId="1" fillId="11" borderId="50" xfId="1" applyNumberFormat="1" applyFill="1" applyBorder="1"/>
    <xf numFmtId="0" fontId="1" fillId="0" borderId="0" xfId="1" applyAlignment="1">
      <alignment vertical="top" wrapText="1"/>
    </xf>
    <xf numFmtId="0" fontId="30" fillId="9" borderId="43" xfId="1" applyFont="1" applyFill="1" applyBorder="1"/>
    <xf numFmtId="0" fontId="1" fillId="0" borderId="0" xfId="1" applyFill="1"/>
    <xf numFmtId="0" fontId="1" fillId="0" borderId="0" xfId="1" quotePrefix="1" applyFill="1" applyAlignment="1"/>
    <xf numFmtId="0" fontId="1" fillId="0" borderId="2" xfId="1" applyFont="1" applyBorder="1" applyAlignment="1">
      <alignment horizontal="right" vertical="center"/>
    </xf>
    <xf numFmtId="0" fontId="8" fillId="0" borderId="2" xfId="1" quotePrefix="1" applyFont="1" applyBorder="1" applyAlignment="1">
      <alignment horizontal="center" vertical="center"/>
    </xf>
    <xf numFmtId="0" fontId="8" fillId="0" borderId="0" xfId="1" applyFont="1" applyFill="1"/>
    <xf numFmtId="0" fontId="24" fillId="0" borderId="0" xfId="2" applyAlignment="1" applyProtection="1"/>
    <xf numFmtId="0" fontId="33" fillId="8" borderId="0" xfId="3" applyFont="1" applyFill="1"/>
    <xf numFmtId="0" fontId="33" fillId="8" borderId="0" xfId="3" applyFont="1" applyFill="1" applyAlignment="1">
      <alignment horizontal="center"/>
    </xf>
    <xf numFmtId="0" fontId="1" fillId="0" borderId="0" xfId="1" applyAlignment="1"/>
    <xf numFmtId="14" fontId="8" fillId="0" borderId="11" xfId="0" applyNumberFormat="1" applyFont="1" applyFill="1" applyBorder="1" applyAlignment="1" applyProtection="1">
      <alignment horizontal="center"/>
    </xf>
    <xf numFmtId="0" fontId="8" fillId="0" borderId="11" xfId="1" applyFont="1" applyBorder="1" applyAlignment="1">
      <alignment horizontal="center"/>
    </xf>
    <xf numFmtId="0" fontId="34" fillId="0" borderId="0" xfId="1" applyFont="1" applyFill="1" applyBorder="1"/>
    <xf numFmtId="0" fontId="1" fillId="0" borderId="0" xfId="1" applyAlignment="1">
      <alignment wrapText="1"/>
    </xf>
    <xf numFmtId="0" fontId="6" fillId="0" borderId="0" xfId="0" applyFont="1" applyAlignment="1">
      <alignment wrapText="1"/>
    </xf>
    <xf numFmtId="0" fontId="1" fillId="0" borderId="0" xfId="1" applyNumberFormat="1" applyFill="1" applyBorder="1" applyAlignment="1">
      <alignment wrapText="1"/>
    </xf>
    <xf numFmtId="0" fontId="22" fillId="10" borderId="45" xfId="1" applyFont="1" applyFill="1" applyBorder="1" applyAlignment="1">
      <alignment horizontal="centerContinuous" vertical="center" wrapText="1"/>
    </xf>
    <xf numFmtId="0" fontId="6" fillId="0" borderId="0" xfId="0" applyFont="1" applyBorder="1" applyAlignment="1">
      <alignment wrapText="1"/>
    </xf>
    <xf numFmtId="0" fontId="1" fillId="5" borderId="0" xfId="1" applyFill="1" applyBorder="1" applyAlignment="1" applyProtection="1">
      <alignment wrapText="1"/>
      <protection locked="0"/>
    </xf>
    <xf numFmtId="49" fontId="1" fillId="0" borderId="0" xfId="1" applyNumberFormat="1" applyFill="1" applyBorder="1" applyAlignment="1" applyProtection="1">
      <alignment vertical="center"/>
      <protection locked="0"/>
    </xf>
    <xf numFmtId="0" fontId="25" fillId="9" borderId="0" xfId="1" applyFont="1" applyFill="1" applyBorder="1" applyAlignment="1">
      <alignment vertical="center"/>
    </xf>
    <xf numFmtId="0" fontId="6" fillId="0" borderId="0" xfId="0" applyFont="1" applyBorder="1" applyAlignment="1">
      <alignment vertical="center"/>
    </xf>
    <xf numFmtId="49" fontId="1" fillId="5" borderId="0" xfId="1" applyNumberFormat="1" applyFill="1" applyBorder="1" applyAlignment="1" applyProtection="1">
      <alignment vertical="center"/>
      <protection locked="0"/>
    </xf>
    <xf numFmtId="0" fontId="8" fillId="0" borderId="0" xfId="1" applyFont="1" applyFill="1" applyAlignment="1">
      <alignment horizontal="right"/>
    </xf>
    <xf numFmtId="0" fontId="8" fillId="0" borderId="0" xfId="1" applyNumberFormat="1" applyFont="1" applyFill="1" applyProtection="1"/>
    <xf numFmtId="44" fontId="8" fillId="0" borderId="0" xfId="1" applyNumberFormat="1" applyFont="1" applyFill="1" applyProtection="1">
      <protection locked="0"/>
    </xf>
    <xf numFmtId="14" fontId="8" fillId="0" borderId="0" xfId="1" applyNumberFormat="1" applyFont="1" applyFill="1" applyAlignment="1" applyProtection="1">
      <alignment horizontal="center"/>
      <protection locked="0"/>
    </xf>
    <xf numFmtId="0" fontId="8" fillId="0" borderId="0" xfId="1" applyFont="1" applyFill="1" applyAlignment="1">
      <alignment horizontal="left"/>
    </xf>
    <xf numFmtId="0" fontId="8" fillId="0" borderId="53" xfId="1" applyFont="1" applyFill="1" applyBorder="1"/>
    <xf numFmtId="0" fontId="8" fillId="0" borderId="54" xfId="1" applyFont="1" applyFill="1" applyBorder="1" applyAlignment="1">
      <alignment horizontal="centerContinuous" vertical="center"/>
    </xf>
    <xf numFmtId="0" fontId="8" fillId="0" borderId="55" xfId="1" applyFont="1" applyFill="1" applyBorder="1" applyAlignment="1">
      <alignment horizontal="centerContinuous" vertical="center"/>
    </xf>
    <xf numFmtId="0" fontId="8" fillId="0" borderId="56" xfId="1" applyFont="1" applyFill="1" applyBorder="1" applyAlignment="1">
      <alignment horizontal="centerContinuous" vertical="center"/>
    </xf>
    <xf numFmtId="0" fontId="8" fillId="0" borderId="57" xfId="1" applyFont="1" applyFill="1" applyBorder="1"/>
    <xf numFmtId="0" fontId="8" fillId="0" borderId="0" xfId="1" applyFont="1" applyFill="1" applyBorder="1"/>
    <xf numFmtId="0" fontId="8" fillId="0" borderId="58" xfId="1" applyFont="1" applyFill="1" applyBorder="1"/>
    <xf numFmtId="0" fontId="8" fillId="0" borderId="0" xfId="1" applyFont="1" applyFill="1" applyBorder="1" applyAlignment="1">
      <alignment horizontal="right"/>
    </xf>
    <xf numFmtId="0" fontId="1" fillId="0" borderId="58" xfId="1" applyFill="1" applyBorder="1" applyAlignment="1"/>
    <xf numFmtId="0" fontId="8" fillId="0" borderId="57" xfId="1" applyFont="1" applyFill="1" applyBorder="1" applyAlignment="1">
      <alignment horizontal="centerContinuous"/>
    </xf>
    <xf numFmtId="0" fontId="8" fillId="0" borderId="58" xfId="1" applyFont="1" applyFill="1" applyBorder="1" applyAlignment="1">
      <alignment horizontal="center"/>
    </xf>
    <xf numFmtId="0" fontId="8" fillId="0" borderId="60" xfId="1" applyFont="1" applyFill="1" applyBorder="1"/>
    <xf numFmtId="0" fontId="8" fillId="0" borderId="2" xfId="1" applyFont="1" applyFill="1" applyBorder="1"/>
    <xf numFmtId="0" fontId="1" fillId="0" borderId="63" xfId="1" applyBorder="1"/>
    <xf numFmtId="44" fontId="8" fillId="0" borderId="65" xfId="1" applyNumberFormat="1" applyFont="1" applyBorder="1" applyAlignment="1">
      <alignment vertical="center"/>
    </xf>
    <xf numFmtId="44" fontId="7" fillId="0" borderId="0" xfId="1" applyNumberFormat="1" applyFont="1" applyBorder="1"/>
    <xf numFmtId="44" fontId="7" fillId="0" borderId="0" xfId="1" applyNumberFormat="1" applyFont="1" applyFill="1"/>
    <xf numFmtId="44" fontId="7" fillId="0" borderId="0" xfId="1" applyNumberFormat="1" applyFont="1" applyFill="1" applyBorder="1"/>
    <xf numFmtId="0" fontId="7" fillId="0" borderId="0" xfId="1" applyFont="1" applyFill="1" applyBorder="1"/>
    <xf numFmtId="0" fontId="1" fillId="0" borderId="0" xfId="1" quotePrefix="1" applyProtection="1">
      <protection locked="0"/>
    </xf>
    <xf numFmtId="0" fontId="1" fillId="0" borderId="0" xfId="1" applyAlignment="1">
      <alignment horizontal="center"/>
    </xf>
    <xf numFmtId="0" fontId="8" fillId="0" borderId="0" xfId="1" applyFont="1" applyFill="1" applyProtection="1">
      <protection locked="0"/>
    </xf>
    <xf numFmtId="0" fontId="8" fillId="0" borderId="3" xfId="1" applyNumberFormat="1" applyFont="1" applyFill="1" applyBorder="1" applyAlignment="1" applyProtection="1"/>
    <xf numFmtId="0" fontId="1" fillId="0" borderId="3" xfId="1" applyFill="1" applyBorder="1" applyAlignment="1" applyProtection="1"/>
    <xf numFmtId="0" fontId="8" fillId="0" borderId="3" xfId="1" applyFont="1" applyFill="1" applyBorder="1" applyProtection="1"/>
    <xf numFmtId="0" fontId="8" fillId="0" borderId="61" xfId="1" applyNumberFormat="1" applyFont="1" applyFill="1" applyBorder="1" applyAlignment="1" applyProtection="1">
      <alignment horizontal="center"/>
    </xf>
    <xf numFmtId="44" fontId="8" fillId="0" borderId="53" xfId="1" applyNumberFormat="1" applyFont="1" applyFill="1" applyBorder="1" applyProtection="1"/>
    <xf numFmtId="44" fontId="8" fillId="0" borderId="0" xfId="1" applyNumberFormat="1" applyFont="1" applyFill="1" applyBorder="1" applyProtection="1"/>
    <xf numFmtId="44" fontId="8" fillId="0" borderId="0" xfId="1" applyNumberFormat="1" applyFont="1" applyFill="1" applyProtection="1"/>
    <xf numFmtId="0" fontId="8" fillId="0" borderId="2" xfId="1" applyFont="1" applyFill="1" applyBorder="1" applyAlignment="1" applyProtection="1">
      <alignment horizontal="centerContinuous"/>
      <protection locked="0"/>
    </xf>
    <xf numFmtId="0" fontId="8" fillId="0" borderId="2" xfId="1" applyFont="1" applyFill="1" applyBorder="1" applyProtection="1">
      <protection locked="0"/>
    </xf>
    <xf numFmtId="0" fontId="8" fillId="0" borderId="53" xfId="1" applyFont="1" applyFill="1" applyBorder="1" applyAlignment="1">
      <alignment horizontal="left" indent="1"/>
    </xf>
    <xf numFmtId="0" fontId="35" fillId="0" borderId="3" xfId="1" applyFont="1" applyBorder="1" applyAlignment="1">
      <alignment vertical="center"/>
    </xf>
    <xf numFmtId="0" fontId="35" fillId="0" borderId="2" xfId="1" quotePrefix="1" applyFont="1" applyBorder="1" applyAlignment="1">
      <alignment horizontal="center" vertical="center"/>
    </xf>
    <xf numFmtId="0" fontId="35" fillId="0" borderId="2" xfId="1" applyFont="1" applyBorder="1" applyAlignment="1">
      <alignment vertical="center"/>
    </xf>
    <xf numFmtId="44" fontId="35" fillId="0" borderId="2" xfId="1" applyNumberFormat="1" applyFont="1" applyBorder="1" applyAlignment="1">
      <alignment vertical="center"/>
    </xf>
    <xf numFmtId="0" fontId="36" fillId="0" borderId="0" xfId="1" applyFont="1"/>
    <xf numFmtId="0" fontId="35" fillId="0" borderId="4" xfId="1" applyFont="1" applyBorder="1" applyAlignment="1">
      <alignment horizontal="center" vertical="center" wrapText="1"/>
    </xf>
    <xf numFmtId="0" fontId="37" fillId="0" borderId="0" xfId="1" applyFont="1"/>
    <xf numFmtId="0" fontId="35" fillId="0" borderId="68" xfId="1" applyFont="1" applyBorder="1" applyAlignment="1">
      <alignment horizontal="center" vertical="center" wrapText="1"/>
    </xf>
    <xf numFmtId="0" fontId="35" fillId="0" borderId="64" xfId="1" applyFont="1" applyBorder="1" applyAlignment="1">
      <alignment horizontal="center" vertical="center" wrapText="1"/>
    </xf>
    <xf numFmtId="170" fontId="35" fillId="0" borderId="63" xfId="1" applyNumberFormat="1" applyFont="1" applyBorder="1" applyAlignment="1" applyProtection="1">
      <alignment vertical="center" shrinkToFit="1"/>
      <protection locked="0"/>
    </xf>
    <xf numFmtId="44" fontId="35" fillId="0" borderId="65" xfId="1" applyNumberFormat="1" applyFont="1" applyBorder="1" applyAlignment="1">
      <alignment vertical="center"/>
    </xf>
    <xf numFmtId="0" fontId="35" fillId="0" borderId="55" xfId="1" applyFont="1" applyBorder="1" applyAlignment="1">
      <alignment vertical="center"/>
    </xf>
    <xf numFmtId="170" fontId="35" fillId="0" borderId="71" xfId="1" applyNumberFormat="1" applyFont="1" applyBorder="1" applyAlignment="1" applyProtection="1">
      <alignment vertical="center" shrinkToFit="1"/>
      <protection locked="0"/>
    </xf>
    <xf numFmtId="0" fontId="35" fillId="0" borderId="4" xfId="1" applyNumberFormat="1" applyFont="1" applyBorder="1" applyAlignment="1">
      <alignment horizontal="center" vertical="center" wrapText="1"/>
    </xf>
    <xf numFmtId="172" fontId="8" fillId="3" borderId="12" xfId="1" applyNumberFormat="1" applyFont="1" applyFill="1" applyBorder="1" applyAlignment="1" applyProtection="1">
      <alignment vertical="top" wrapText="1"/>
      <protection locked="0"/>
    </xf>
    <xf numFmtId="0" fontId="8" fillId="3" borderId="12" xfId="1" applyNumberFormat="1" applyFont="1" applyFill="1" applyBorder="1" applyAlignment="1" applyProtection="1">
      <alignment vertical="top" wrapText="1"/>
      <protection locked="0"/>
    </xf>
    <xf numFmtId="0" fontId="8" fillId="3" borderId="73" xfId="1" applyNumberFormat="1" applyFont="1" applyFill="1" applyBorder="1" applyAlignment="1" applyProtection="1">
      <alignment vertical="top" wrapText="1"/>
      <protection locked="0"/>
    </xf>
    <xf numFmtId="0" fontId="8" fillId="3" borderId="74" xfId="1" applyFont="1" applyFill="1" applyBorder="1" applyAlignment="1" applyProtection="1">
      <alignment vertical="top" wrapText="1"/>
      <protection locked="0"/>
    </xf>
    <xf numFmtId="14" fontId="8" fillId="0" borderId="2" xfId="1" applyNumberFormat="1" applyFont="1" applyFill="1" applyBorder="1" applyAlignment="1" applyProtection="1">
      <alignment horizontal="center"/>
      <protection locked="0"/>
    </xf>
    <xf numFmtId="173" fontId="8" fillId="0" borderId="0" xfId="1" applyNumberFormat="1" applyFont="1" applyFill="1" applyAlignment="1" applyProtection="1">
      <alignment horizontal="center"/>
      <protection locked="0"/>
    </xf>
    <xf numFmtId="0" fontId="8" fillId="0" borderId="0" xfId="1" applyFont="1" applyFill="1" applyAlignment="1" applyProtection="1">
      <alignment horizontal="center"/>
      <protection locked="0"/>
    </xf>
    <xf numFmtId="14" fontId="8" fillId="0" borderId="0" xfId="1" applyNumberFormat="1" applyFont="1" applyFill="1" applyBorder="1" applyAlignment="1" applyProtection="1">
      <alignment horizontal="center"/>
      <protection locked="0"/>
    </xf>
    <xf numFmtId="0" fontId="1" fillId="0" borderId="0" xfId="1" applyAlignment="1" applyProtection="1">
      <alignment horizontal="center"/>
    </xf>
    <xf numFmtId="0" fontId="1" fillId="0" borderId="0" xfId="1" quotePrefix="1" applyAlignment="1" applyProtection="1">
      <alignment horizontal="center"/>
    </xf>
    <xf numFmtId="0" fontId="1" fillId="0" borderId="0" xfId="1" quotePrefix="1" applyAlignment="1" applyProtection="1">
      <alignment horizontal="center"/>
      <protection locked="0"/>
    </xf>
    <xf numFmtId="0" fontId="38" fillId="0" borderId="0" xfId="1" applyFont="1"/>
    <xf numFmtId="0" fontId="8" fillId="0" borderId="0" xfId="1" applyFont="1" applyProtection="1">
      <protection locked="0"/>
    </xf>
    <xf numFmtId="0" fontId="7" fillId="0" borderId="0" xfId="1" applyFont="1" applyFill="1" applyAlignment="1"/>
    <xf numFmtId="0" fontId="17" fillId="6" borderId="13" xfId="1" applyFont="1" applyFill="1" applyBorder="1" applyAlignment="1">
      <alignment horizontal="centerContinuous" vertical="center"/>
    </xf>
    <xf numFmtId="0" fontId="17" fillId="6" borderId="13" xfId="1" applyFont="1" applyFill="1" applyBorder="1" applyAlignment="1">
      <alignment horizontal="right" vertical="center"/>
    </xf>
    <xf numFmtId="0" fontId="17" fillId="6" borderId="13" xfId="1" applyFont="1" applyFill="1" applyBorder="1" applyAlignment="1">
      <alignment vertical="center"/>
    </xf>
    <xf numFmtId="0" fontId="30" fillId="9" borderId="40" xfId="1" applyFont="1" applyFill="1" applyBorder="1" applyAlignment="1">
      <alignment vertical="center"/>
    </xf>
    <xf numFmtId="0" fontId="30" fillId="9" borderId="0" xfId="1" applyFont="1" applyFill="1" applyBorder="1" applyAlignment="1">
      <alignment horizontal="centerContinuous" vertical="center"/>
    </xf>
    <xf numFmtId="0" fontId="30" fillId="9" borderId="0" xfId="1" applyFont="1" applyFill="1" applyBorder="1" applyAlignment="1">
      <alignment horizontal="right" vertical="center"/>
    </xf>
    <xf numFmtId="0" fontId="1" fillId="0" borderId="0" xfId="1" applyFont="1" applyAlignment="1">
      <alignment horizontal="right"/>
    </xf>
    <xf numFmtId="0" fontId="39" fillId="0" borderId="0" xfId="1" applyFont="1"/>
    <xf numFmtId="44" fontId="8" fillId="0" borderId="0" xfId="1" applyNumberFormat="1" applyFont="1" applyAlignment="1">
      <alignment horizontal="center"/>
    </xf>
    <xf numFmtId="0" fontId="35" fillId="0" borderId="4" xfId="1" applyNumberFormat="1" applyFont="1" applyBorder="1" applyAlignment="1">
      <alignment vertical="center" wrapText="1"/>
    </xf>
    <xf numFmtId="0" fontId="8" fillId="0" borderId="0" xfId="1" applyFont="1" applyFill="1" applyProtection="1"/>
    <xf numFmtId="0" fontId="40" fillId="0" borderId="0" xfId="0" applyFont="1"/>
    <xf numFmtId="44" fontId="1" fillId="0" borderId="0" xfId="1" applyNumberFormat="1"/>
    <xf numFmtId="0" fontId="41" fillId="0" borderId="0" xfId="1" applyFont="1"/>
    <xf numFmtId="0" fontId="1" fillId="0" borderId="0" xfId="1" applyAlignment="1">
      <alignment horizontal="centerContinuous"/>
    </xf>
    <xf numFmtId="44" fontId="8" fillId="0" borderId="26" xfId="1" applyNumberFormat="1" applyFont="1" applyBorder="1"/>
    <xf numFmtId="44" fontId="8" fillId="0" borderId="27" xfId="1" applyNumberFormat="1" applyFont="1" applyBorder="1"/>
    <xf numFmtId="0" fontId="7" fillId="0" borderId="63" xfId="1" applyFont="1" applyBorder="1" applyAlignment="1">
      <alignment horizontal="right"/>
    </xf>
    <xf numFmtId="0" fontId="8" fillId="0" borderId="78" xfId="1" applyFont="1" applyBorder="1"/>
    <xf numFmtId="44" fontId="8" fillId="0" borderId="72" xfId="1" applyNumberFormat="1" applyFont="1" applyBorder="1" applyAlignment="1">
      <alignment horizontal="center"/>
    </xf>
    <xf numFmtId="0" fontId="8" fillId="0" borderId="63" xfId="1" applyFont="1" applyBorder="1" applyAlignment="1">
      <alignment horizontal="center"/>
    </xf>
    <xf numFmtId="44" fontId="8" fillId="0" borderId="65" xfId="1" applyNumberFormat="1" applyFont="1" applyBorder="1" applyAlignment="1">
      <alignment horizontal="center"/>
    </xf>
    <xf numFmtId="0" fontId="9" fillId="0" borderId="0" xfId="1" applyFont="1" applyAlignment="1"/>
    <xf numFmtId="0" fontId="8" fillId="0" borderId="79" xfId="1" applyFont="1" applyBorder="1" applyAlignment="1">
      <alignment horizontal="center" vertical="center"/>
    </xf>
    <xf numFmtId="0" fontId="8" fillId="14" borderId="81" xfId="1" applyFont="1" applyFill="1" applyBorder="1" applyAlignment="1" applyProtection="1">
      <alignment horizontal="center" vertical="center"/>
      <protection locked="0"/>
    </xf>
    <xf numFmtId="0" fontId="8" fillId="14" borderId="82" xfId="1" applyFont="1" applyFill="1" applyBorder="1" applyAlignment="1" applyProtection="1">
      <alignment horizontal="center" vertical="center"/>
      <protection locked="0"/>
    </xf>
    <xf numFmtId="0" fontId="1" fillId="0" borderId="0" xfId="1" applyFont="1"/>
    <xf numFmtId="0" fontId="9" fillId="0" borderId="0" xfId="1" applyFont="1" applyAlignment="1">
      <alignment horizontal="center"/>
    </xf>
    <xf numFmtId="44" fontId="1" fillId="0" borderId="0" xfId="1" applyNumberFormat="1" applyAlignment="1">
      <alignment vertical="center"/>
    </xf>
    <xf numFmtId="0" fontId="1" fillId="0" borderId="0" xfId="1" applyAlignment="1">
      <alignment vertical="center"/>
    </xf>
    <xf numFmtId="0" fontId="0" fillId="0" borderId="0" xfId="0" applyBorder="1"/>
    <xf numFmtId="0" fontId="1" fillId="0" borderId="58" xfId="1" applyBorder="1"/>
    <xf numFmtId="0" fontId="42" fillId="0" borderId="84" xfId="0" applyFont="1" applyBorder="1"/>
    <xf numFmtId="0" fontId="1" fillId="0" borderId="60" xfId="1" applyBorder="1"/>
    <xf numFmtId="0" fontId="1" fillId="0" borderId="61" xfId="1" applyBorder="1"/>
    <xf numFmtId="0" fontId="0" fillId="0" borderId="86" xfId="0" applyBorder="1"/>
    <xf numFmtId="0" fontId="1" fillId="0" borderId="87" xfId="1" applyBorder="1"/>
    <xf numFmtId="0" fontId="45" fillId="0" borderId="85" xfId="0" applyFont="1" applyBorder="1" applyAlignment="1">
      <alignment vertical="center"/>
    </xf>
    <xf numFmtId="0" fontId="1" fillId="0" borderId="84" xfId="1" applyBorder="1"/>
    <xf numFmtId="0" fontId="0" fillId="0" borderId="60" xfId="0" applyBorder="1"/>
    <xf numFmtId="0" fontId="1" fillId="0" borderId="86" xfId="1" applyBorder="1"/>
    <xf numFmtId="0" fontId="7" fillId="0" borderId="85" xfId="1" applyFont="1" applyBorder="1" applyAlignment="1">
      <alignment vertical="center"/>
    </xf>
    <xf numFmtId="14" fontId="40" fillId="0" borderId="0" xfId="0" applyNumberFormat="1" applyFont="1" applyAlignment="1">
      <alignment horizontal="center"/>
    </xf>
    <xf numFmtId="0" fontId="40" fillId="0" borderId="0" xfId="0" applyFont="1" applyAlignment="1">
      <alignment horizontal="center"/>
    </xf>
    <xf numFmtId="0" fontId="40" fillId="0" borderId="0" xfId="0" applyFont="1" applyAlignment="1">
      <alignment wrapText="1"/>
    </xf>
    <xf numFmtId="0" fontId="40" fillId="0" borderId="0" xfId="0" applyNumberFormat="1" applyFont="1"/>
    <xf numFmtId="0" fontId="40" fillId="0" borderId="0" xfId="0" applyFont="1" applyProtection="1">
      <protection locked="0"/>
    </xf>
    <xf numFmtId="0" fontId="40" fillId="0" borderId="0" xfId="0" applyNumberFormat="1" applyFont="1" applyProtection="1">
      <protection locked="0"/>
    </xf>
    <xf numFmtId="0" fontId="40" fillId="0" borderId="0" xfId="0" applyNumberFormat="1" applyFont="1" applyAlignment="1">
      <alignment horizontal="center"/>
    </xf>
    <xf numFmtId="165" fontId="8" fillId="0" borderId="0" xfId="0" applyNumberFormat="1" applyFont="1" applyAlignment="1"/>
    <xf numFmtId="0" fontId="40" fillId="0" borderId="0" xfId="0" applyFont="1" applyAlignment="1"/>
    <xf numFmtId="0" fontId="8" fillId="0" borderId="0" xfId="1" applyFont="1" applyBorder="1"/>
    <xf numFmtId="0" fontId="8" fillId="3" borderId="75" xfId="0" applyFont="1" applyFill="1" applyBorder="1" applyAlignment="1" applyProtection="1">
      <alignment vertical="top" wrapText="1"/>
      <protection locked="0"/>
    </xf>
    <xf numFmtId="0" fontId="2" fillId="2" borderId="88" xfId="1" applyFont="1" applyFill="1" applyBorder="1" applyAlignment="1">
      <alignment horizontal="center"/>
    </xf>
    <xf numFmtId="0" fontId="21" fillId="0" borderId="88" xfId="1" applyFont="1" applyBorder="1" applyAlignment="1"/>
    <xf numFmtId="0" fontId="24" fillId="0" borderId="88" xfId="2" applyBorder="1" applyAlignment="1" applyProtection="1">
      <alignment horizontal="center" vertical="center"/>
    </xf>
    <xf numFmtId="0" fontId="1" fillId="0" borderId="88" xfId="1" applyBorder="1"/>
    <xf numFmtId="0" fontId="0" fillId="0" borderId="88" xfId="0" applyBorder="1" applyAlignment="1">
      <alignment horizontal="center"/>
    </xf>
    <xf numFmtId="0" fontId="0" fillId="0" borderId="88" xfId="0" applyBorder="1"/>
    <xf numFmtId="0" fontId="8" fillId="0" borderId="0" xfId="1" applyFont="1" applyAlignment="1">
      <alignment horizontal="right" vertical="center"/>
    </xf>
    <xf numFmtId="0" fontId="1" fillId="0" borderId="0" xfId="0" applyFont="1" applyFill="1" applyBorder="1" applyAlignment="1" applyProtection="1"/>
    <xf numFmtId="0" fontId="1" fillId="0" borderId="0" xfId="0" applyNumberFormat="1" applyFont="1" applyFill="1" applyBorder="1" applyAlignment="1" applyProtection="1"/>
    <xf numFmtId="0" fontId="1" fillId="0" borderId="0" xfId="0" applyNumberFormat="1" applyFont="1" applyFill="1" applyBorder="1" applyAlignment="1" applyProtection="1">
      <protection locked="0"/>
    </xf>
    <xf numFmtId="0" fontId="1" fillId="0" borderId="0" xfId="0" applyNumberFormat="1" applyFont="1" applyFill="1" applyBorder="1" applyAlignment="1" applyProtection="1">
      <alignment wrapText="1"/>
      <protection locked="0"/>
    </xf>
    <xf numFmtId="0" fontId="1" fillId="0" borderId="0" xfId="0" applyNumberFormat="1" applyFont="1" applyFill="1" applyBorder="1" applyAlignment="1" applyProtection="1">
      <alignment horizontal="center"/>
      <protection locked="0"/>
    </xf>
    <xf numFmtId="0" fontId="1" fillId="0" borderId="0" xfId="0" applyNumberFormat="1" applyFont="1" applyFill="1" applyBorder="1" applyAlignment="1" applyProtection="1">
      <alignment horizontal="center"/>
    </xf>
    <xf numFmtId="0" fontId="48" fillId="0" borderId="0" xfId="1" applyFont="1"/>
    <xf numFmtId="0" fontId="0" fillId="0" borderId="0" xfId="0" applyNumberFormat="1"/>
    <xf numFmtId="14" fontId="0" fillId="0" borderId="0" xfId="0" applyNumberFormat="1"/>
    <xf numFmtId="0" fontId="24" fillId="0" borderId="88" xfId="2" quotePrefix="1" applyBorder="1" applyAlignment="1" applyProtection="1">
      <alignment wrapText="1"/>
    </xf>
    <xf numFmtId="0" fontId="49" fillId="0" borderId="0" xfId="0" applyFont="1"/>
    <xf numFmtId="0" fontId="18" fillId="0" borderId="0" xfId="0" applyFont="1" applyAlignment="1">
      <alignment vertical="center"/>
    </xf>
    <xf numFmtId="0" fontId="8" fillId="0" borderId="0" xfId="0" applyFont="1" applyAlignment="1">
      <alignment vertical="top" wrapText="1"/>
    </xf>
    <xf numFmtId="0" fontId="8" fillId="0" borderId="0" xfId="1" applyFont="1" applyAlignment="1">
      <alignment vertical="top" wrapText="1"/>
    </xf>
    <xf numFmtId="0" fontId="14" fillId="0" borderId="0" xfId="0" applyFont="1" applyAlignment="1">
      <alignment vertical="top" wrapText="1"/>
    </xf>
    <xf numFmtId="0" fontId="8" fillId="0" borderId="0" xfId="1" applyNumberFormat="1" applyFont="1" applyFill="1" applyAlignment="1" applyProtection="1">
      <alignment horizontal="center"/>
      <protection locked="0"/>
    </xf>
    <xf numFmtId="0" fontId="1" fillId="0" borderId="0" xfId="1" applyFill="1" applyAlignment="1">
      <alignment horizontal="center"/>
    </xf>
    <xf numFmtId="0" fontId="8" fillId="0" borderId="0" xfId="1" applyNumberFormat="1" applyFont="1" applyFill="1" applyBorder="1" applyProtection="1">
      <protection locked="0"/>
    </xf>
    <xf numFmtId="0" fontId="8" fillId="0" borderId="0" xfId="1" applyNumberFormat="1" applyFont="1" applyFill="1" applyAlignment="1" applyProtection="1">
      <protection locked="0"/>
    </xf>
    <xf numFmtId="0" fontId="8" fillId="0" borderId="0" xfId="1" applyNumberFormat="1" applyFont="1" applyFill="1" applyAlignment="1" applyProtection="1">
      <alignment horizontal="center"/>
    </xf>
    <xf numFmtId="0" fontId="8" fillId="0" borderId="0" xfId="1" applyFont="1" applyAlignment="1">
      <alignment horizontal="center"/>
    </xf>
    <xf numFmtId="0" fontId="8" fillId="0" borderId="9" xfId="1" applyFont="1" applyBorder="1" applyAlignment="1">
      <alignment horizontal="center"/>
    </xf>
    <xf numFmtId="0" fontId="0" fillId="0" borderId="37" xfId="0" applyBorder="1"/>
    <xf numFmtId="0" fontId="1" fillId="0" borderId="37" xfId="1" applyBorder="1"/>
    <xf numFmtId="0" fontId="1" fillId="0" borderId="0" xfId="1" applyAlignment="1">
      <alignment vertical="center" wrapText="1"/>
    </xf>
    <xf numFmtId="0" fontId="50" fillId="8" borderId="0" xfId="1" applyFont="1" applyFill="1"/>
    <xf numFmtId="0" fontId="50" fillId="0" borderId="0" xfId="3" applyFont="1"/>
    <xf numFmtId="0" fontId="51" fillId="0" borderId="17" xfId="3" applyFont="1" applyBorder="1" applyAlignment="1">
      <alignment horizontal="center"/>
    </xf>
    <xf numFmtId="0" fontId="50" fillId="0" borderId="0" xfId="3" applyFont="1" applyAlignment="1">
      <alignment horizontal="right"/>
    </xf>
    <xf numFmtId="0" fontId="50" fillId="8" borderId="0" xfId="3" applyFont="1" applyFill="1"/>
    <xf numFmtId="0" fontId="1" fillId="0" borderId="21" xfId="1" applyBorder="1" applyAlignment="1">
      <alignment horizontal="centerContinuous" vertical="center"/>
    </xf>
    <xf numFmtId="0" fontId="1" fillId="0" borderId="22" xfId="1" applyBorder="1" applyAlignment="1">
      <alignment horizontal="centerContinuous" vertical="center"/>
    </xf>
    <xf numFmtId="0" fontId="1" fillId="0" borderId="0" xfId="1" applyAlignment="1" applyProtection="1">
      <alignment horizontal="center" vertical="center" wrapText="1"/>
      <protection locked="0"/>
    </xf>
    <xf numFmtId="0" fontId="1" fillId="8" borderId="0" xfId="1" applyFill="1" applyAlignment="1">
      <alignment horizontal="center"/>
    </xf>
    <xf numFmtId="0" fontId="1" fillId="8" borderId="31" xfId="1" applyFill="1" applyBorder="1" applyAlignment="1">
      <alignment horizontal="center"/>
    </xf>
    <xf numFmtId="0" fontId="1" fillId="0" borderId="35" xfId="1" applyBorder="1" applyAlignment="1">
      <alignment horizontal="center" vertical="center" wrapText="1"/>
    </xf>
    <xf numFmtId="166" fontId="1" fillId="0" borderId="18" xfId="1" applyNumberFormat="1" applyBorder="1" applyAlignment="1">
      <alignment horizontal="center" vertical="center"/>
    </xf>
    <xf numFmtId="0" fontId="1" fillId="0" borderId="10" xfId="1" applyBorder="1" applyAlignment="1">
      <alignment horizontal="center" vertical="center"/>
    </xf>
    <xf numFmtId="0" fontId="1" fillId="0" borderId="9" xfId="1" quotePrefix="1" applyBorder="1" applyAlignment="1">
      <alignment vertical="center"/>
    </xf>
    <xf numFmtId="0" fontId="1" fillId="0" borderId="37" xfId="1" applyBorder="1" applyAlignment="1">
      <alignment horizontal="center" vertical="center"/>
    </xf>
    <xf numFmtId="0" fontId="1" fillId="0" borderId="18" xfId="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 fillId="0" borderId="23" xfId="1" quotePrefix="1" applyBorder="1" applyAlignment="1">
      <alignment horizontal="left" vertical="center"/>
    </xf>
    <xf numFmtId="0" fontId="1" fillId="0" borderId="0" xfId="1" quotePrefix="1" applyAlignment="1" applyProtection="1">
      <alignment horizontal="left" vertical="center"/>
      <protection locked="0"/>
    </xf>
    <xf numFmtId="166" fontId="1" fillId="0" borderId="25" xfId="1" applyNumberFormat="1" applyBorder="1" applyAlignment="1">
      <alignment horizontal="center" vertical="center"/>
    </xf>
    <xf numFmtId="0" fontId="1" fillId="0" borderId="9" xfId="1" applyBorder="1" applyAlignment="1">
      <alignment horizontal="center" vertical="center"/>
    </xf>
    <xf numFmtId="0" fontId="1" fillId="0" borderId="25" xfId="1" applyBorder="1" applyAlignment="1">
      <alignment horizontal="center" vertical="center"/>
    </xf>
    <xf numFmtId="0" fontId="1" fillId="0" borderId="8" xfId="1" applyBorder="1" applyAlignment="1">
      <alignment horizontal="center" vertical="center"/>
    </xf>
    <xf numFmtId="0" fontId="1" fillId="0" borderId="38" xfId="1" applyBorder="1" applyAlignment="1">
      <alignment horizontal="center" vertical="center"/>
    </xf>
    <xf numFmtId="0" fontId="1" fillId="0" borderId="38" xfId="1" quotePrefix="1" applyBorder="1" applyAlignment="1">
      <alignment horizontal="left" vertical="center"/>
    </xf>
    <xf numFmtId="0" fontId="1" fillId="8" borderId="31" xfId="1" applyFill="1" applyBorder="1" applyAlignment="1">
      <alignment horizontal="center" vertical="center"/>
    </xf>
    <xf numFmtId="0" fontId="8" fillId="0" borderId="89" xfId="3" applyFont="1" applyBorder="1" applyAlignment="1">
      <alignment horizontal="right" vertical="center"/>
    </xf>
    <xf numFmtId="0" fontId="8" fillId="3" borderId="11" xfId="0" applyFont="1" applyFill="1" applyBorder="1" applyAlignment="1" applyProtection="1">
      <alignment horizontal="left" vertical="center" wrapText="1"/>
      <protection locked="0"/>
    </xf>
    <xf numFmtId="0" fontId="8" fillId="0" borderId="0" xfId="3" applyFont="1" applyAlignment="1">
      <alignment horizontal="right" vertical="center"/>
    </xf>
    <xf numFmtId="0" fontId="1" fillId="8" borderId="0" xfId="3" applyFont="1" applyFill="1" applyAlignment="1">
      <alignment horizontal="center"/>
    </xf>
    <xf numFmtId="0" fontId="12" fillId="8" borderId="0" xfId="3" applyFont="1" applyFill="1" applyAlignment="1">
      <alignment horizontal="center"/>
    </xf>
    <xf numFmtId="166" fontId="1" fillId="0" borderId="27" xfId="1" applyNumberFormat="1" applyBorder="1" applyAlignment="1">
      <alignment horizontal="center" vertical="center"/>
    </xf>
    <xf numFmtId="166" fontId="1" fillId="0" borderId="26" xfId="1" applyNumberFormat="1" applyBorder="1" applyAlignment="1">
      <alignment horizontal="center" vertical="center"/>
    </xf>
    <xf numFmtId="166" fontId="1" fillId="0" borderId="28" xfId="1" applyNumberFormat="1" applyBorder="1" applyAlignment="1">
      <alignment horizontal="center" vertical="center"/>
    </xf>
    <xf numFmtId="166" fontId="1" fillId="0" borderId="33" xfId="1" applyNumberFormat="1" applyBorder="1" applyAlignment="1">
      <alignment horizontal="center" vertical="center" wrapText="1"/>
    </xf>
    <xf numFmtId="166" fontId="1" fillId="0" borderId="7" xfId="1" applyNumberFormat="1" applyBorder="1" applyAlignment="1">
      <alignment horizontal="center" vertical="center" wrapText="1"/>
    </xf>
    <xf numFmtId="166" fontId="1" fillId="0" borderId="34" xfId="1" applyNumberFormat="1" applyBorder="1" applyAlignment="1">
      <alignment horizontal="center" vertical="center" wrapText="1"/>
    </xf>
    <xf numFmtId="0" fontId="14" fillId="0" borderId="0" xfId="1" applyFont="1" applyAlignment="1">
      <alignment horizontal="left" vertical="top" wrapText="1"/>
    </xf>
    <xf numFmtId="0" fontId="8" fillId="0" borderId="0" xfId="1" applyFont="1" applyAlignment="1">
      <alignment vertical="center" wrapText="1"/>
    </xf>
    <xf numFmtId="0" fontId="1" fillId="0" borderId="0" xfId="1" applyAlignment="1">
      <alignment vertical="center" wrapText="1"/>
    </xf>
    <xf numFmtId="164" fontId="1" fillId="0" borderId="0" xfId="1" applyNumberFormat="1" applyAlignment="1">
      <alignment horizontal="left"/>
    </xf>
    <xf numFmtId="0" fontId="8" fillId="0" borderId="16" xfId="3" applyFont="1" applyBorder="1" applyAlignment="1">
      <alignment horizontal="center"/>
    </xf>
    <xf numFmtId="0" fontId="8" fillId="0" borderId="0" xfId="3" applyFont="1" applyBorder="1" applyAlignment="1">
      <alignment horizontal="center"/>
    </xf>
    <xf numFmtId="0" fontId="8" fillId="0" borderId="0" xfId="0" applyFont="1" applyAlignment="1">
      <alignment vertical="top" wrapText="1"/>
    </xf>
    <xf numFmtId="0" fontId="7" fillId="0" borderId="0" xfId="1" applyFont="1" applyBorder="1" applyAlignment="1">
      <alignment vertical="top" wrapText="1"/>
    </xf>
    <xf numFmtId="0" fontId="40" fillId="0" borderId="0" xfId="0" applyFont="1" applyAlignment="1">
      <alignment vertical="top" wrapText="1"/>
    </xf>
    <xf numFmtId="0" fontId="8" fillId="0" borderId="0" xfId="1" applyFont="1" applyAlignment="1">
      <alignment vertical="top" wrapText="1"/>
    </xf>
    <xf numFmtId="0" fontId="7" fillId="0" borderId="0" xfId="0" applyFont="1" applyAlignment="1"/>
    <xf numFmtId="0" fontId="46" fillId="0" borderId="0" xfId="0" applyFont="1" applyAlignment="1">
      <alignment vertical="top" wrapText="1"/>
    </xf>
    <xf numFmtId="0" fontId="8" fillId="0" borderId="16" xfId="0" applyFont="1" applyBorder="1" applyAlignment="1">
      <alignment horizontal="left" vertical="center" wrapText="1" indent="1"/>
    </xf>
    <xf numFmtId="0" fontId="8" fillId="0" borderId="0" xfId="0" applyFont="1" applyAlignment="1">
      <alignment horizontal="left" vertical="center" wrapText="1" indent="1"/>
    </xf>
    <xf numFmtId="174" fontId="5" fillId="0" borderId="0" xfId="0" applyNumberFormat="1" applyFont="1" applyAlignment="1">
      <alignment vertical="center"/>
    </xf>
    <xf numFmtId="0" fontId="14" fillId="0" borderId="0" xfId="0" applyFont="1" applyAlignment="1">
      <alignment vertical="top" wrapText="1"/>
    </xf>
    <xf numFmtId="0" fontId="3" fillId="0" borderId="0" xfId="1" applyFont="1" applyAlignment="1">
      <alignment wrapText="1"/>
    </xf>
    <xf numFmtId="0" fontId="5" fillId="0" borderId="0" xfId="1" applyFont="1" applyAlignment="1">
      <alignment wrapText="1"/>
    </xf>
    <xf numFmtId="0" fontId="1" fillId="0" borderId="23" xfId="1" applyBorder="1" applyAlignment="1">
      <alignment horizontal="center" vertical="center" wrapText="1"/>
    </xf>
    <xf numFmtId="0" fontId="1" fillId="0" borderId="29" xfId="1" applyBorder="1" applyAlignment="1">
      <alignment horizontal="center" vertical="center" wrapText="1"/>
    </xf>
    <xf numFmtId="0" fontId="1" fillId="0" borderId="24" xfId="1" applyBorder="1" applyAlignment="1">
      <alignment horizontal="center" vertical="center" wrapText="1"/>
    </xf>
    <xf numFmtId="0" fontId="1" fillId="0" borderId="30" xfId="1" applyBorder="1" applyAlignment="1">
      <alignment horizontal="center" vertical="center" wrapText="1"/>
    </xf>
    <xf numFmtId="0" fontId="1" fillId="0" borderId="36" xfId="1" applyBorder="1" applyAlignment="1">
      <alignment horizontal="center" vertical="center" wrapText="1"/>
    </xf>
    <xf numFmtId="0" fontId="29" fillId="0" borderId="0" xfId="1" applyFont="1" applyAlignment="1">
      <alignment horizontal="center" textRotation="90"/>
    </xf>
    <xf numFmtId="0" fontId="27" fillId="8" borderId="0" xfId="3" applyFont="1" applyFill="1" applyAlignment="1">
      <alignment vertical="center"/>
    </xf>
    <xf numFmtId="0" fontId="28" fillId="8" borderId="0" xfId="3" applyFont="1" applyFill="1" applyAlignment="1">
      <alignment vertical="center"/>
    </xf>
    <xf numFmtId="0" fontId="12" fillId="8" borderId="0" xfId="3" applyFont="1" applyFill="1" applyAlignment="1">
      <alignment horizontal="right"/>
    </xf>
    <xf numFmtId="0" fontId="10" fillId="0" borderId="0" xfId="3" applyFont="1" applyAlignment="1">
      <alignment horizontal="center" vertical="center"/>
    </xf>
    <xf numFmtId="0" fontId="12" fillId="8" borderId="0" xfId="3" applyFont="1" applyFill="1" applyAlignment="1">
      <alignment horizontal="right" vertical="center"/>
    </xf>
    <xf numFmtId="0" fontId="1" fillId="0" borderId="18" xfId="1" applyBorder="1" applyAlignment="1">
      <alignment horizontal="center" vertical="center" textRotation="255"/>
    </xf>
    <xf numFmtId="0" fontId="1" fillId="0" borderId="25" xfId="1" applyBorder="1" applyAlignment="1">
      <alignment horizontal="center" vertical="center" textRotation="255"/>
    </xf>
    <xf numFmtId="0" fontId="1" fillId="0" borderId="32" xfId="3" applyBorder="1" applyAlignment="1">
      <alignment horizontal="center" vertical="center" textRotation="255"/>
    </xf>
    <xf numFmtId="0" fontId="1" fillId="0" borderId="19" xfId="1" applyBorder="1" applyAlignment="1">
      <alignment horizontal="center" vertical="center" wrapText="1"/>
    </xf>
    <xf numFmtId="0" fontId="1" fillId="0" borderId="26" xfId="1" applyBorder="1" applyAlignment="1">
      <alignment horizontal="center" vertical="center" wrapText="1"/>
    </xf>
    <xf numFmtId="0" fontId="1" fillId="0" borderId="7" xfId="3" applyBorder="1" applyAlignment="1">
      <alignment horizontal="center" vertical="center" wrapText="1"/>
    </xf>
    <xf numFmtId="0" fontId="1" fillId="0" borderId="10" xfId="1" applyBorder="1" applyAlignment="1">
      <alignment horizontal="center" vertical="center" wrapText="1"/>
    </xf>
    <xf numFmtId="0" fontId="1" fillId="0" borderId="9" xfId="1" applyBorder="1" applyAlignment="1">
      <alignment horizontal="center" vertical="center" wrapText="1"/>
    </xf>
    <xf numFmtId="0" fontId="1" fillId="0" borderId="6" xfId="1" applyBorder="1" applyAlignment="1">
      <alignment horizontal="center" vertical="center" wrapText="1"/>
    </xf>
    <xf numFmtId="0" fontId="1" fillId="0" borderId="20" xfId="1" applyBorder="1" applyAlignment="1">
      <alignment horizontal="center" vertical="center" wrapText="1"/>
    </xf>
    <xf numFmtId="0" fontId="1" fillId="0" borderId="8" xfId="1" applyBorder="1" applyAlignment="1">
      <alignment horizontal="center" vertical="center" wrapText="1"/>
    </xf>
    <xf numFmtId="0" fontId="1" fillId="0" borderId="5" xfId="1" applyBorder="1" applyAlignment="1">
      <alignment horizontal="center" vertical="center" wrapText="1"/>
    </xf>
    <xf numFmtId="0" fontId="40" fillId="0" borderId="0" xfId="0" applyFont="1" applyAlignment="1" applyProtection="1">
      <alignment wrapText="1"/>
      <protection locked="0"/>
    </xf>
    <xf numFmtId="0" fontId="8" fillId="0" borderId="0" xfId="1" applyNumberFormat="1" applyFont="1" applyFill="1" applyAlignment="1" applyProtection="1">
      <alignment horizontal="center"/>
      <protection locked="0"/>
    </xf>
    <xf numFmtId="0" fontId="1" fillId="0" borderId="0" xfId="1" applyFill="1" applyAlignment="1">
      <alignment horizontal="center"/>
    </xf>
    <xf numFmtId="0" fontId="8" fillId="0" borderId="0" xfId="1" applyNumberFormat="1" applyFont="1" applyFill="1" applyBorder="1" applyAlignment="1" applyProtection="1">
      <protection locked="0"/>
    </xf>
    <xf numFmtId="0" fontId="8" fillId="0" borderId="0" xfId="1" applyNumberFormat="1" applyFont="1" applyFill="1" applyAlignment="1" applyProtection="1">
      <protection locked="0"/>
    </xf>
    <xf numFmtId="0" fontId="35" fillId="0" borderId="3" xfId="1" applyFont="1" applyBorder="1" applyAlignment="1">
      <alignment vertical="center" shrinkToFit="1"/>
    </xf>
    <xf numFmtId="0" fontId="35" fillId="0" borderId="55" xfId="1" applyFont="1" applyBorder="1" applyAlignment="1">
      <alignment vertical="center" shrinkToFit="1"/>
    </xf>
    <xf numFmtId="171" fontId="1" fillId="0" borderId="62" xfId="1" applyNumberFormat="1" applyFont="1" applyBorder="1" applyAlignment="1">
      <alignment horizontal="left" indent="1"/>
    </xf>
    <xf numFmtId="171" fontId="1" fillId="0" borderId="65" xfId="1" applyNumberFormat="1" applyFont="1" applyBorder="1" applyAlignment="1">
      <alignment horizontal="left" indent="1"/>
    </xf>
    <xf numFmtId="171" fontId="1" fillId="0" borderId="69" xfId="1" applyNumberFormat="1" applyFont="1" applyBorder="1" applyAlignment="1">
      <alignment horizontal="left" indent="1"/>
    </xf>
    <xf numFmtId="171" fontId="1" fillId="0" borderId="67" xfId="1" applyNumberFormat="1" applyFont="1" applyBorder="1" applyAlignment="1">
      <alignment horizontal="left" indent="1"/>
    </xf>
    <xf numFmtId="0" fontId="8" fillId="0" borderId="26" xfId="1" applyFont="1" applyBorder="1" applyAlignment="1">
      <alignment horizontal="center" vertical="center" wrapText="1"/>
    </xf>
    <xf numFmtId="0" fontId="8" fillId="0" borderId="77" xfId="1" applyFont="1" applyBorder="1" applyAlignment="1">
      <alignment horizontal="center" vertical="center" wrapText="1"/>
    </xf>
    <xf numFmtId="44" fontId="8" fillId="0" borderId="56" xfId="1" applyNumberFormat="1" applyFont="1" applyBorder="1" applyAlignment="1">
      <alignment vertical="center"/>
    </xf>
    <xf numFmtId="44" fontId="8" fillId="0" borderId="80" xfId="1" applyNumberFormat="1" applyFont="1" applyBorder="1" applyAlignment="1">
      <alignment vertical="center"/>
    </xf>
    <xf numFmtId="44" fontId="8" fillId="0" borderId="83" xfId="1" applyNumberFormat="1" applyFont="1" applyBorder="1" applyAlignment="1">
      <alignment vertical="center"/>
    </xf>
    <xf numFmtId="0" fontId="8" fillId="0" borderId="27"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0" xfId="1" applyFont="1" applyFill="1" applyAlignment="1" applyProtection="1">
      <alignment horizontal="left"/>
      <protection locked="0"/>
    </xf>
    <xf numFmtId="0" fontId="8" fillId="0" borderId="2" xfId="1" applyNumberFormat="1" applyFont="1" applyFill="1" applyBorder="1" applyAlignment="1" applyProtection="1">
      <alignment horizontal="left"/>
      <protection locked="0"/>
    </xf>
    <xf numFmtId="0" fontId="8" fillId="0" borderId="2" xfId="1" applyFont="1" applyFill="1" applyBorder="1" applyAlignment="1" applyProtection="1">
      <alignment horizontal="left"/>
      <protection locked="0"/>
    </xf>
    <xf numFmtId="0" fontId="8" fillId="0" borderId="59" xfId="1" applyNumberFormat="1" applyFont="1" applyFill="1" applyBorder="1" applyAlignment="1" applyProtection="1">
      <alignment horizontal="center"/>
    </xf>
    <xf numFmtId="0" fontId="1" fillId="0" borderId="60" xfId="1" applyFill="1" applyBorder="1" applyAlignment="1" applyProtection="1">
      <alignment horizontal="center"/>
    </xf>
    <xf numFmtId="0" fontId="8" fillId="0" borderId="0" xfId="1" applyNumberFormat="1" applyFont="1" applyFill="1" applyAlignment="1" applyProtection="1">
      <alignment horizontal="center"/>
    </xf>
    <xf numFmtId="0" fontId="1" fillId="0" borderId="0" xfId="1" applyFill="1" applyAlignment="1" applyProtection="1">
      <alignment horizontal="center"/>
    </xf>
    <xf numFmtId="0" fontId="8" fillId="0" borderId="0" xfId="1" applyFont="1" applyFill="1" applyAlignment="1" applyProtection="1">
      <alignment horizontal="left" vertical="center" wrapText="1" indent="1"/>
      <protection locked="0"/>
    </xf>
    <xf numFmtId="44" fontId="8" fillId="0" borderId="0" xfId="1" applyNumberFormat="1" applyFont="1" applyFill="1" applyAlignment="1" applyProtection="1">
      <alignment vertical="center" wrapText="1"/>
      <protection locked="0"/>
    </xf>
    <xf numFmtId="0" fontId="7" fillId="0" borderId="66" xfId="1" applyFont="1" applyBorder="1" applyAlignment="1">
      <alignment horizontal="center" vertical="top"/>
    </xf>
    <xf numFmtId="44" fontId="35" fillId="0" borderId="28" xfId="1" applyNumberFormat="1" applyFont="1" applyBorder="1" applyAlignment="1" applyProtection="1">
      <protection locked="0"/>
    </xf>
    <xf numFmtId="44" fontId="35" fillId="0" borderId="70" xfId="1" applyNumberFormat="1" applyFont="1" applyBorder="1" applyAlignment="1" applyProtection="1">
      <protection locked="0"/>
    </xf>
    <xf numFmtId="0" fontId="8" fillId="0" borderId="0" xfId="1" applyFont="1" applyAlignment="1">
      <alignment horizontal="center"/>
    </xf>
    <xf numFmtId="0" fontId="7" fillId="0" borderId="66" xfId="1" applyFont="1" applyFill="1" applyBorder="1" applyAlignment="1" applyProtection="1">
      <alignment horizontal="center" vertical="top"/>
      <protection locked="0"/>
    </xf>
    <xf numFmtId="0" fontId="8" fillId="0" borderId="3" xfId="1" applyFont="1" applyBorder="1" applyAlignment="1">
      <alignment vertical="center" shrinkToFit="1"/>
    </xf>
    <xf numFmtId="0" fontId="8" fillId="0" borderId="67" xfId="1" applyFont="1" applyBorder="1" applyAlignment="1">
      <alignment vertical="center" shrinkToFit="1"/>
    </xf>
    <xf numFmtId="0" fontId="32" fillId="12" borderId="0" xfId="1" applyFont="1" applyFill="1" applyAlignment="1">
      <alignment horizontal="center" shrinkToFit="1"/>
    </xf>
    <xf numFmtId="169" fontId="32" fillId="13" borderId="0" xfId="1" applyNumberFormat="1" applyFont="1" applyFill="1" applyAlignment="1">
      <alignment horizontal="center"/>
    </xf>
    <xf numFmtId="0" fontId="32" fillId="12" borderId="0" xfId="1" applyFont="1" applyFill="1" applyAlignment="1">
      <alignment horizontal="center"/>
    </xf>
  </cellXfs>
  <cellStyles count="4">
    <cellStyle name="Hyperlink" xfId="2" builtinId="8"/>
    <cellStyle name="Normal" xfId="0" builtinId="0" customBuiltin="1"/>
    <cellStyle name="Normal 2" xfId="1" xr:uid="{00000000-0005-0000-0000-000002000000}"/>
    <cellStyle name="Normal_Estimate1" xfId="3" xr:uid="{00000000-0005-0000-0000-000003000000}"/>
  </cellStyles>
  <dxfs count="347">
    <dxf>
      <numFmt numFmtId="0" formatCode="General"/>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0" indent="0" justifyLastLine="0" shrinkToFit="1" readingOrder="0"/>
    </dxf>
    <dxf>
      <numFmt numFmtId="0" formatCode="General"/>
      <alignment horizontal="general" vertical="bottom" textRotation="0" wrapText="0" indent="0" justifyLastLine="0" shrinkToFit="0" readingOrder="0"/>
    </dxf>
    <dxf>
      <numFmt numFmtId="0" formatCode="General"/>
      <fill>
        <patternFill patternType="solid">
          <fgColor indexed="64"/>
          <bgColor indexed="43"/>
        </patternFill>
      </fill>
      <border diagonalUp="0" diagonalDown="0">
        <left/>
        <right style="thick">
          <color indexed="60"/>
        </right>
        <top/>
        <bottom/>
        <vertical/>
        <horizontal/>
      </border>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border diagonalUp="0" diagonalDown="0">
        <left style="thick">
          <color rgb="FF0066FF"/>
        </left>
        <right/>
        <top/>
        <bottom/>
        <vertical/>
        <horizontal/>
      </border>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border diagonalUp="0" diagonalDown="0">
        <left style="thick">
          <color rgb="FFFF9900"/>
        </left>
        <right/>
        <top/>
        <bottom/>
        <vertical/>
        <horizontal/>
      </border>
    </dxf>
    <dxf>
      <numFmt numFmtId="0" formatCode="General"/>
      <alignment horizontal="general" vertical="bottom" textRotation="0" wrapText="0" indent="0" justifyLastLine="0" shrinkToFit="0" readingOrder="0"/>
    </dxf>
    <dxf>
      <numFmt numFmtId="0" formatCode="General"/>
      <fill>
        <patternFill patternType="solid">
          <fgColor indexed="64"/>
          <bgColor indexed="43"/>
        </patternFill>
      </fill>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border diagonalUp="0" diagonalDown="0">
        <left style="thick">
          <color rgb="FF0066FF"/>
        </left>
        <right/>
        <top/>
        <bottom/>
        <vertical/>
        <horizontal/>
      </border>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border diagonalUp="0" diagonalDown="0">
        <left style="thick">
          <color rgb="FFFF9900"/>
        </left>
        <right/>
        <top/>
        <bottom/>
        <vertical/>
        <horizontal/>
      </border>
    </dxf>
    <dxf>
      <numFmt numFmtId="0" formatCode="General"/>
    </dxf>
    <dxf>
      <numFmt numFmtId="0" formatCode="General"/>
    </dxf>
    <dxf>
      <numFmt numFmtId="0" formatCode="General"/>
      <alignment horizontal="center" vertical="bottom" textRotation="0" wrapText="0" indent="0" justifyLastLine="0" shrinkToFit="0" readingOrder="0"/>
    </dxf>
    <dxf>
      <alignment horizontal="general" vertical="bottom" textRotation="0" wrapText="0" indent="0" justifyLastLine="0" shrinkToFit="1" readingOrder="0"/>
    </dxf>
    <dxf>
      <font>
        <b val="0"/>
        <i val="0"/>
        <color theme="0" tint="-0.24994659260841701"/>
      </font>
    </dxf>
    <dxf>
      <font>
        <condense val="0"/>
        <extend val="0"/>
        <color indexed="12"/>
      </font>
      <fill>
        <patternFill>
          <bgColor indexed="48"/>
        </patternFill>
      </fill>
    </dxf>
    <dxf>
      <font>
        <condense val="0"/>
        <extend val="0"/>
        <color indexed="12"/>
      </font>
      <fill>
        <patternFill>
          <bgColor indexed="48"/>
        </patternFill>
      </fill>
    </dxf>
    <dxf>
      <font>
        <condense val="0"/>
        <extend val="0"/>
        <color indexed="53"/>
      </font>
      <fill>
        <patternFill>
          <bgColor indexed="52"/>
        </patternFill>
      </fill>
    </dxf>
    <dxf>
      <font>
        <condense val="0"/>
        <extend val="0"/>
        <color indexed="53"/>
      </font>
      <fill>
        <patternFill>
          <bgColor indexed="52"/>
        </patternFill>
      </fill>
    </dxf>
    <dxf>
      <border>
        <top/>
        <bottom style="thin">
          <color rgb="FF993300"/>
        </bottom>
        <vertical/>
        <horizontal/>
      </border>
    </dxf>
    <dxf>
      <fill>
        <patternFill>
          <bgColor indexed="42"/>
        </patternFill>
      </fill>
    </dxf>
    <dxf>
      <fill>
        <patternFill patternType="darkUp">
          <fgColor indexed="10"/>
          <bgColor indexed="22"/>
        </patternFill>
      </fill>
    </dxf>
    <dxf>
      <fill>
        <patternFill patternType="darkHorizontal">
          <fgColor indexed="10"/>
          <bgColor indexed="8"/>
        </patternFill>
      </fill>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b val="0"/>
        <i val="0"/>
        <strike val="0"/>
        <condense val="0"/>
        <extend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numFmt numFmtId="0" formatCode="General"/>
      <alignment horizontal="center" vertical="bottom" textRotation="0" wrapText="0" indent="0" justifyLastLine="0" shrinkToFit="0" readingOrder="0"/>
    </dxf>
    <dxf>
      <font>
        <strike val="0"/>
        <outline val="0"/>
        <shadow val="0"/>
        <u val="none"/>
        <vertAlign val="baseline"/>
        <sz val="10"/>
        <color theme="1"/>
        <name val="Verdana"/>
        <scheme val="none"/>
      </font>
      <numFmt numFmtId="0" formatCode="General"/>
      <alignment horizontal="center" vertical="bottom" textRotation="0" wrapText="0" indent="0" justifyLastLine="0" shrinkToFit="0" readingOrder="0"/>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numFmt numFmtId="19" formatCode="m/d/yyyy"/>
      <alignment horizontal="center" vertical="bottom" textRotation="0" wrapText="0" indent="0" justifyLastLine="0" shrinkToFit="0" readingOrder="0"/>
    </dxf>
    <dxf>
      <font>
        <strike val="0"/>
        <outline val="0"/>
        <shadow val="0"/>
        <u val="none"/>
        <vertAlign val="baseline"/>
        <sz val="10"/>
        <color theme="1"/>
        <name val="Verdana"/>
        <scheme val="none"/>
      </font>
      <numFmt numFmtId="0" formatCode="General"/>
      <alignment horizontal="center" vertical="bottom" textRotation="0" wrapText="0" indent="0" justifyLastLine="0" shrinkToFit="0" readingOrder="0"/>
    </dxf>
    <dxf>
      <font>
        <strike val="0"/>
        <outline val="0"/>
        <shadow val="0"/>
        <u val="none"/>
        <vertAlign val="baseline"/>
        <sz val="10"/>
        <color theme="1"/>
        <name val="Verdana"/>
        <scheme val="none"/>
      </font>
      <numFmt numFmtId="0" formatCode="General"/>
      <alignment horizontal="center" vertical="bottom" textRotation="0" wrapText="0" indent="0" justifyLastLine="0" shrinkToFit="0" readingOrder="0"/>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dxf>
    <dxf>
      <font>
        <b val="0"/>
        <i val="0"/>
        <strike val="0"/>
        <condense val="0"/>
        <extend val="0"/>
        <outline val="0"/>
        <shadow val="0"/>
        <u val="none"/>
        <vertAlign val="baseline"/>
        <sz val="10"/>
        <color theme="1"/>
        <name val="Verdana"/>
        <scheme val="none"/>
      </font>
    </dxf>
    <dxf>
      <font>
        <color theme="8" tint="0.59996337778862885"/>
      </font>
      <fill>
        <patternFill>
          <bgColor theme="8"/>
        </patternFill>
      </fill>
    </dxf>
    <dxf>
      <font>
        <color theme="8" tint="0.59996337778862885"/>
      </font>
      <fill>
        <patternFill>
          <bgColor theme="8"/>
        </patternFill>
      </fill>
    </dxf>
    <dxf>
      <font>
        <color theme="0"/>
      </font>
    </dxf>
    <dxf>
      <font>
        <b val="0"/>
        <i/>
        <color theme="0" tint="-0.24994659260841701"/>
      </font>
      <fill>
        <patternFill>
          <bgColor rgb="FFFFFF99"/>
        </patternFill>
      </fill>
    </dxf>
    <dxf>
      <fill>
        <patternFill>
          <bgColor rgb="FFFF99CC"/>
        </patternFill>
      </fill>
    </dxf>
    <dxf>
      <fill>
        <patternFill patternType="gray0625">
          <fgColor rgb="FF92D050"/>
        </patternFill>
      </fill>
    </dxf>
    <dxf>
      <font>
        <color rgb="FFC00000"/>
      </font>
      <fill>
        <gradientFill type="path" left="0.5" right="0.5" top="0.5" bottom="0.5">
          <stop position="0">
            <color rgb="FFFFC000"/>
          </stop>
          <stop position="1">
            <color theme="0"/>
          </stop>
        </gradientFill>
      </fill>
    </dxf>
    <dxf>
      <font>
        <color theme="0"/>
      </font>
    </dxf>
    <dxf>
      <font>
        <b val="0"/>
        <i/>
        <color theme="0" tint="-0.24994659260841701"/>
      </font>
      <fill>
        <patternFill>
          <bgColor rgb="FFFFFF99"/>
        </patternFill>
      </fill>
    </dxf>
    <dxf>
      <fill>
        <patternFill>
          <bgColor rgb="FFFF99CC"/>
        </patternFill>
      </fill>
    </dxf>
    <dxf>
      <fill>
        <patternFill patternType="gray0625">
          <fgColor rgb="FF92D050"/>
        </patternFill>
      </fill>
    </dxf>
    <dxf>
      <font>
        <color rgb="FFC00000"/>
      </font>
      <fill>
        <gradientFill type="path" left="0.5" right="0.5" top="0.5" bottom="0.5">
          <stop position="0">
            <color rgb="FFFFC000"/>
          </stop>
          <stop position="1">
            <color theme="0"/>
          </stop>
        </gradientFill>
      </fill>
    </dxf>
    <dxf>
      <font>
        <color theme="0"/>
      </font>
    </dxf>
    <dxf>
      <font>
        <b val="0"/>
        <i/>
        <color theme="0" tint="-0.24994659260841701"/>
      </font>
      <fill>
        <patternFill>
          <bgColor rgb="FFFFFF99"/>
        </patternFill>
      </fill>
    </dxf>
    <dxf>
      <font>
        <color rgb="FFFF0000"/>
      </font>
      <fill>
        <patternFill>
          <bgColor rgb="FFFFC000"/>
        </patternFill>
      </fill>
      <border>
        <left style="thin">
          <color rgb="FFC00000"/>
        </left>
        <right style="thin">
          <color rgb="FFC00000"/>
        </right>
        <top style="thin">
          <color rgb="FFC00000"/>
        </top>
        <bottom style="thin">
          <color rgb="FFC00000"/>
        </bottom>
        <vertical/>
        <horizontal/>
      </border>
    </dxf>
    <dxf>
      <fill>
        <patternFill>
          <bgColor rgb="FFFF99CC"/>
        </patternFill>
      </fill>
    </dxf>
    <dxf>
      <font>
        <condense val="0"/>
        <extend val="0"/>
        <color indexed="22"/>
      </font>
    </dxf>
    <dxf>
      <fill>
        <patternFill patternType="gray0625">
          <fgColor rgb="FF92D050"/>
        </patternFill>
      </fill>
    </dxf>
    <dxf>
      <font>
        <color rgb="FFC00000"/>
      </font>
      <fill>
        <gradientFill type="path" left="0.5" right="0.5" top="0.5" bottom="0.5">
          <stop position="0">
            <color rgb="FFFFC000"/>
          </stop>
          <stop position="1">
            <color theme="0"/>
          </stop>
        </gradientFill>
      </fill>
    </dxf>
    <dxf>
      <font>
        <b val="0"/>
        <i val="0"/>
        <color rgb="FFFF99CC"/>
      </font>
    </dxf>
    <dxf>
      <font>
        <b/>
        <i val="0"/>
        <color rgb="FFFF0000"/>
      </font>
      <fill>
        <patternFill>
          <bgColor rgb="FFFFC000"/>
        </patternFill>
      </fill>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patternType="solid">
          <fgColor auto="1"/>
          <bgColor rgb="FFFFFF00"/>
        </patternFill>
      </fill>
    </dxf>
    <dxf>
      <fill>
        <patternFill patternType="solid">
          <fgColor auto="1"/>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gColor indexed="64"/>
          <bgColor indexed="65"/>
        </patternFill>
      </fill>
    </dxf>
    <dxf>
      <fill>
        <patternFill patternType="none">
          <fgColor indexed="64"/>
          <bgColor indexed="65"/>
        </patternFill>
      </fill>
    </dxf>
    <dxf>
      <numFmt numFmtId="0" formatCode="General"/>
      <alignment horizontal="center" vertical="bottom" textRotation="0" wrapText="0" indent="0" justifyLastLine="0" shrinkToFit="0" readingOrder="0"/>
    </dxf>
    <dxf>
      <font>
        <b/>
        <i val="0"/>
        <color rgb="FFFF0000"/>
      </font>
      <fill>
        <patternFill>
          <bgColor rgb="FFFFC000"/>
        </patternFill>
      </fill>
      <border>
        <left style="thin">
          <color rgb="FFFF0000"/>
        </left>
        <right style="thin">
          <color rgb="FFFF0000"/>
        </right>
        <top style="thin">
          <color rgb="FFFF0000"/>
        </top>
        <bottom style="thin">
          <color rgb="FFFF0000"/>
        </bottom>
        <vertical/>
        <horizontal/>
      </border>
    </dxf>
    <dxf>
      <fill>
        <patternFill>
          <bgColor rgb="FF92D050"/>
        </patternFill>
      </fill>
    </dxf>
    <dxf>
      <font>
        <color theme="0"/>
      </font>
      <border>
        <left style="thin">
          <color theme="0"/>
        </left>
        <right style="thin">
          <color theme="0"/>
        </right>
        <top style="thin">
          <color theme="0"/>
        </top>
        <bottom style="thin">
          <color theme="0"/>
        </bottom>
        <vertical/>
        <horizontal/>
      </border>
    </dxf>
    <dxf>
      <font>
        <color theme="0" tint="-0.34998626667073579"/>
      </font>
      <fill>
        <patternFill patternType="lightGray">
          <fgColor theme="0" tint="-0.24994659260841701"/>
        </patternFill>
      </fill>
    </dxf>
    <dxf>
      <font>
        <color theme="0" tint="-0.34998626667073579"/>
      </font>
      <fill>
        <patternFill patternType="lightGray">
          <fgColor theme="0" tint="-0.24994659260841701"/>
        </patternFill>
      </fill>
    </dxf>
    <dxf>
      <font>
        <color rgb="FFC00000"/>
      </font>
    </dxf>
    <dxf>
      <font>
        <color rgb="FFFF0000"/>
      </font>
      <fill>
        <patternFill patternType="solid">
          <fgColor auto="1"/>
          <bgColor rgb="FFFFC000"/>
        </patternFill>
      </fill>
    </dxf>
    <dxf>
      <font>
        <color theme="0" tint="-0.14996795556505021"/>
      </font>
    </dxf>
    <dxf>
      <fill>
        <patternFill>
          <bgColor rgb="FFFF99CC"/>
        </patternFill>
      </fill>
    </dxf>
    <dxf>
      <font>
        <color theme="0"/>
      </font>
      <border>
        <left/>
        <right/>
        <top/>
        <bottom/>
        <vertical/>
        <horizontal/>
      </border>
    </dxf>
    <dxf>
      <font>
        <b val="0"/>
        <i val="0"/>
        <color rgb="FFFF99CC"/>
      </font>
    </dxf>
    <dxf>
      <font>
        <condense val="0"/>
        <extend val="0"/>
        <color indexed="22"/>
      </font>
    </dxf>
    <dxf>
      <font>
        <b/>
        <i val="0"/>
        <color rgb="FFFF0000"/>
      </font>
      <fill>
        <patternFill>
          <bgColor rgb="FFFFC00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patternType="solid">
          <fgColor auto="1"/>
          <bgColor rgb="FFFFFF00"/>
        </patternFill>
      </fill>
    </dxf>
    <dxf>
      <fill>
        <gradientFill degree="180">
          <stop position="0">
            <color rgb="FFB2B2B2"/>
          </stop>
          <stop position="1">
            <color rgb="FFFF0000"/>
          </stop>
        </gradientFill>
      </fill>
      <border>
        <left style="thin">
          <color rgb="FFC00000"/>
        </left>
      </border>
    </dxf>
    <dxf>
      <fill>
        <gradientFill>
          <stop position="0">
            <color rgb="FFB2B2B2"/>
          </stop>
          <stop position="1">
            <color rgb="FFFF0000"/>
          </stop>
        </gradientFill>
      </fill>
      <border>
        <right style="thin">
          <color rgb="FFC00000"/>
        </right>
      </border>
    </dxf>
    <dxf>
      <font>
        <strike/>
        <condense val="0"/>
        <extend val="0"/>
      </font>
    </dxf>
    <dxf>
      <border>
        <bottom style="thin">
          <color indexed="64"/>
        </bottom>
      </border>
    </dxf>
    <dxf>
      <border>
        <left/>
        <right/>
        <top/>
        <bottom/>
      </border>
    </dxf>
    <dxf>
      <numFmt numFmtId="0" formatCode="General"/>
    </dxf>
    <dxf>
      <numFmt numFmtId="0" formatCode="Genera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alignment horizontal="center" vertical="bottom" textRotation="0" wrapText="0" indent="0" justifyLastLine="0" shrinkToFit="0" readingOrder="0"/>
      <protection locked="1" hidden="0"/>
    </dxf>
    <dxf>
      <numFmt numFmtId="0" formatCode="General"/>
      <alignment horizontal="center" vertical="bottom" textRotation="0" wrapText="0" indent="0" justifyLastLine="0" shrinkToFit="0" readingOrder="0"/>
      <protection locked="1"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0" indent="0" justifyLastLine="0" shrinkToFit="0" readingOrder="0"/>
      <protection locked="0" hidden="0"/>
    </dxf>
    <dxf>
      <numFmt numFmtId="34" formatCode="_(&quot;$&quot;* #,##0.00_);_(&quot;$&quot;* \(#,##0.00\);_(&quot;$&quot;* &quot;-&quot;??_);_(@_)"/>
      <fill>
        <patternFill patternType="none">
          <fgColor indexed="64"/>
          <bgColor auto="1"/>
        </patternFill>
      </fill>
      <alignment horizontal="general" vertical="bottom" textRotation="0" wrapText="0" indent="0" justifyLastLine="0" shrinkToFit="0" readingOrder="0"/>
      <protection locked="0" hidden="0"/>
    </dxf>
    <dxf>
      <numFmt numFmtId="34" formatCode="_(&quot;$&quot;* #,##0.00_);_(&quot;$&quot;* \(#,##0.00\);_(&quot;$&quot;* &quot;-&quot;??_);_(@_)"/>
      <fill>
        <patternFill patternType="none">
          <fgColor indexed="64"/>
          <bgColor auto="1"/>
        </patternFill>
      </fill>
      <alignment horizontal="general" vertical="bottom" textRotation="0" wrapText="0" relativeIndent="0" justifyLastLine="0" shrinkToFit="0" readingOrder="0"/>
      <protection locked="0" hidden="0"/>
    </dxf>
    <dxf>
      <fill>
        <patternFill patternType="none">
          <fgColor indexed="64"/>
          <bgColor indexed="65"/>
        </patternFill>
      </fill>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center" vertical="bottom" textRotation="0" wrapText="0" indent="0" justifyLastLine="0" shrinkToFit="0" readingOrder="0"/>
      <protection locked="0" hidden="0"/>
    </dxf>
    <dxf>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auto="1"/>
        </patternFill>
      </fill>
      <alignment horizontal="center" vertical="bottom" textRotation="0" wrapText="0" 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general" vertical="bottom" textRotation="0" wrapText="0" relativeIndent="0" justifyLastLine="0" shrinkToFit="0" readingOrder="0"/>
      <protection locked="0" hidden="0"/>
    </dxf>
    <dxf>
      <numFmt numFmtId="0" formatCode="General"/>
      <fill>
        <patternFill patternType="none">
          <fgColor indexed="64"/>
          <bgColor auto="1"/>
        </patternFill>
      </fill>
      <alignment horizontal="center" vertical="bottom" textRotation="0" wrapText="0" relativeIndent="0" justifyLastLine="0" shrinkToFit="0" readingOrder="0"/>
    </dxf>
    <dxf>
      <numFmt numFmtId="0" formatCode="General"/>
      <fill>
        <patternFill patternType="none">
          <fgColor indexed="64"/>
          <bgColor auto="1"/>
        </patternFill>
      </fill>
      <alignment horizontal="center" vertical="bottom" textRotation="0" wrapText="0" relativeIndent="0" justifyLastLine="0" shrinkToFit="0" readingOrder="0"/>
    </dxf>
    <dxf>
      <numFmt numFmtId="0" formatCode="General"/>
      <fill>
        <patternFill patternType="none">
          <fgColor indexed="64"/>
          <bgColor auto="1"/>
        </patternFill>
      </fill>
      <alignment horizontal="center" vertical="bottom" textRotation="0" wrapText="0" relativeIndent="0" justifyLastLine="0" shrinkToFit="0" readingOrder="0"/>
    </dxf>
    <dxf>
      <numFmt numFmtId="0" formatCode="General"/>
      <fill>
        <patternFill patternType="none">
          <fgColor indexed="64"/>
          <bgColor auto="1"/>
        </patternFill>
      </fill>
      <alignment textRotation="0" wrapText="1" indent="0" justifyLastLine="0" shrinkToFit="0" readingOrder="0"/>
    </dxf>
    <dxf>
      <numFmt numFmtId="30" formatCode="@"/>
      <fill>
        <patternFill patternType="none">
          <fgColor indexed="64"/>
          <bgColor auto="1"/>
        </patternFill>
      </fill>
      <alignment horizontal="general" vertical="center" textRotation="0" wrapText="0" indent="0" justifyLastLine="0" shrinkToFit="0" readingOrder="0"/>
      <protection locked="0" hidden="0"/>
    </dxf>
    <dxf>
      <fill>
        <patternFill patternType="solid">
          <fgColor indexed="64"/>
          <bgColor indexed="41"/>
        </patternFill>
      </fill>
      <protection locked="0" hidden="0"/>
    </dxf>
    <dxf>
      <numFmt numFmtId="0" formatCode="General"/>
    </dxf>
    <dxf>
      <numFmt numFmtId="0" formatCode="General"/>
    </dxf>
    <dxf>
      <numFmt numFmtId="0" formatCode="General"/>
    </dxf>
    <dxf>
      <border outline="0">
        <bottom style="thick">
          <color indexed="17"/>
        </bottom>
      </border>
    </dxf>
    <dxf>
      <border outline="0">
        <bottom style="medium">
          <color indexed="64"/>
        </bottom>
      </border>
    </dxf>
    <dxf>
      <font>
        <strike val="0"/>
        <outline val="0"/>
        <shadow val="0"/>
        <u val="none"/>
        <vertAlign val="baseline"/>
        <sz val="8"/>
        <color theme="1"/>
        <name val="Verdana"/>
        <scheme val="none"/>
      </font>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solid">
          <fgColor indexed="64"/>
          <bgColor rgb="FFFFC000"/>
        </patternFill>
      </fill>
      <border diagonalUp="0" diagonalDown="0" outline="0">
        <left/>
        <right/>
        <top style="thin">
          <color rgb="FFFFC000"/>
        </top>
        <bottom style="thin">
          <color rgb="FFFFC000"/>
        </bottom>
      </border>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0" hidden="0"/>
    </dxf>
    <dxf>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numFmt numFmtId="34" formatCode="_(&quot;$&quot;* #,##0.00_);_(&quot;$&quot;* \(#,##0.00\);_(&quot;$&quot;* &quot;-&quot;??_);_(@_)"/>
      <fill>
        <patternFill patternType="solid">
          <fgColor indexed="64"/>
          <bgColor rgb="FFFFFF66"/>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0" hidden="0"/>
    </dxf>
    <dxf>
      <numFmt numFmtId="34" formatCode="_(&quot;$&quot;* #,##0.00_);_(&quot;$&quot;* \(#,##0.00\);_(&quot;$&quot;* &quot;-&quot;??_);_(@_)"/>
      <fill>
        <patternFill patternType="solid">
          <fgColor indexed="64"/>
          <bgColor rgb="FFFFFF66"/>
        </patternFill>
      </fill>
      <alignment horizontal="general"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numFmt numFmtId="0" formatCode="General"/>
      <fill>
        <patternFill patternType="solid">
          <fgColor indexed="64"/>
          <bgColor rgb="FFFFFF66"/>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fill>
        <patternFill patternType="solid">
          <fgColor indexed="64"/>
          <bgColor rgb="FFFFC000"/>
        </patternFill>
      </fill>
      <border diagonalUp="0" diagonalDown="0">
        <left/>
        <right/>
        <top style="thin">
          <color rgb="FFFFC000"/>
        </top>
        <bottom style="thin">
          <color rgb="FFFFC000"/>
        </bottom>
        <vertical/>
        <horizontal/>
      </border>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fill>
        <patternFill patternType="solid">
          <fgColor indexed="64"/>
          <bgColor rgb="FFFFFF66"/>
        </patternFill>
      </fill>
      <alignment textRotation="0" wrapText="1" 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0" hidden="0"/>
    </dxf>
    <dxf>
      <numFmt numFmtId="30" formatCode="@"/>
      <fill>
        <patternFill patternType="solid">
          <fgColor indexed="64"/>
          <bgColor rgb="FFFFFF66"/>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Verdana"/>
        <scheme val="none"/>
      </font>
      <numFmt numFmtId="0" formatCode="General"/>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dxf>
    <dxf>
      <font>
        <b val="0"/>
        <i val="0"/>
        <strike val="0"/>
        <outline val="0"/>
        <shadow val="0"/>
        <u val="none"/>
        <vertAlign val="baseline"/>
        <sz val="8"/>
        <color auto="1"/>
        <name val="Verdana"/>
        <scheme val="none"/>
      </font>
      <fill>
        <patternFill patternType="none">
          <fgColor indexed="64"/>
          <bgColor indexed="65"/>
        </patternFill>
      </fill>
    </dxf>
    <dxf>
      <font>
        <color rgb="FFFF0000"/>
      </font>
      <fill>
        <gradientFill type="path" left="0.5" right="0.5" top="0.5" bottom="0.5">
          <stop position="0">
            <color rgb="FFFFC000"/>
          </stop>
          <stop position="1">
            <color rgb="FFFFFF99"/>
          </stop>
        </gradientFill>
      </fill>
    </dxf>
    <dxf>
      <fill>
        <patternFill>
          <bgColor rgb="FFFFFF00"/>
        </patternFill>
      </fill>
    </dxf>
    <dxf>
      <border>
        <left/>
        <vertical/>
        <horizontal/>
      </border>
    </dxf>
    <dxf>
      <border>
        <right/>
        <vertical/>
        <horizontal/>
      </border>
    </dxf>
    <dxf>
      <font>
        <b val="0"/>
        <i/>
        <color rgb="FF7F7F7F"/>
      </font>
    </dxf>
    <dxf>
      <fill>
        <patternFill>
          <bgColor rgb="FFFFFF99"/>
        </patternFill>
      </fill>
    </dxf>
    <dxf>
      <fill>
        <patternFill>
          <bgColor indexed="45"/>
        </patternFill>
      </fill>
    </dxf>
    <dxf>
      <fill>
        <patternFill patternType="lightUp">
          <fgColor rgb="FFFF0000"/>
          <bgColor rgb="FFFFFF66"/>
        </patternFill>
      </fill>
    </dxf>
    <dxf>
      <font>
        <color rgb="FF0070C0"/>
      </font>
      <fill>
        <patternFill>
          <bgColor rgb="FF99CCFF"/>
        </patternFill>
      </fill>
    </dxf>
    <dxf>
      <font>
        <b/>
        <i val="0"/>
        <condense val="0"/>
        <extend val="0"/>
        <color indexed="9"/>
      </font>
      <fill>
        <patternFill>
          <bgColor indexed="10"/>
        </patternFill>
      </fill>
    </dxf>
    <dxf>
      <font>
        <b val="0"/>
        <i val="0"/>
        <color indexed="10"/>
      </font>
      <fill>
        <patternFill>
          <bgColor theme="2" tint="-0.24994659260841701"/>
        </patternFill>
      </fill>
      <border>
        <left style="thin">
          <color theme="2" tint="-0.24994659260841701"/>
        </left>
        <right style="thin">
          <color theme="2" tint="-0.24994659260841701"/>
        </right>
        <top style="thin">
          <color theme="2" tint="-0.24994659260841701"/>
        </top>
        <bottom style="thin">
          <color theme="2" tint="-0.24994659260841701"/>
        </bottom>
      </border>
    </dxf>
    <dxf>
      <font>
        <condense val="0"/>
        <extend val="0"/>
        <color indexed="22"/>
      </font>
      <fill>
        <patternFill patternType="solid">
          <bgColor indexed="22"/>
        </patternFill>
      </fill>
    </dxf>
    <dxf>
      <font>
        <strike val="0"/>
        <outline val="0"/>
        <shadow val="0"/>
        <u val="none"/>
        <vertAlign val="baseline"/>
        <sz val="10"/>
        <color auto="1"/>
      </font>
      <numFmt numFmtId="0" formatCode="General"/>
    </dxf>
    <dxf>
      <font>
        <strike val="0"/>
        <outline val="0"/>
        <shadow val="0"/>
        <u val="none"/>
        <vertAlign val="baseline"/>
        <sz val="10"/>
        <color auto="1"/>
      </font>
      <numFmt numFmtId="0" formatCode="General"/>
      <alignment horizontal="center" vertical="bottom" textRotation="0" wrapText="0" indent="0" justifyLastLine="0" shrinkToFit="0" readingOrder="0"/>
    </dxf>
    <dxf>
      <font>
        <strike val="0"/>
        <outline val="0"/>
        <shadow val="0"/>
        <u val="none"/>
        <vertAlign val="baseline"/>
        <sz val="10"/>
        <color auto="1"/>
      </font>
    </dxf>
    <dxf>
      <font>
        <strike val="0"/>
        <outline val="0"/>
        <shadow val="0"/>
        <u val="none"/>
        <vertAlign val="baseline"/>
        <sz val="10"/>
        <color auto="1"/>
      </font>
      <numFmt numFmtId="0" formatCode="General"/>
    </dxf>
    <dxf>
      <font>
        <strike val="0"/>
        <outline val="0"/>
        <shadow val="0"/>
        <u val="none"/>
        <vertAlign val="baseline"/>
        <sz val="10"/>
        <color auto="1"/>
      </font>
      <numFmt numFmtId="0" formatCode="General"/>
      <alignment horizontal="center" vertical="bottom" textRotation="0" wrapText="0" indent="0" justifyLastLine="0" shrinkToFit="0" readingOrder="0"/>
    </dxf>
    <dxf>
      <font>
        <strike val="0"/>
        <outline val="0"/>
        <shadow val="0"/>
        <u val="none"/>
        <vertAlign val="baseline"/>
        <sz val="10"/>
        <color auto="1"/>
      </font>
    </dxf>
    <dxf>
      <font>
        <color theme="0" tint="-0.499984740745262"/>
      </font>
      <fill>
        <patternFill>
          <bgColor rgb="FFFFFF99"/>
        </patternFill>
      </fill>
    </dxf>
    <dxf>
      <font>
        <color theme="2"/>
      </font>
      <fill>
        <patternFill>
          <bgColor theme="2"/>
        </patternFill>
      </fill>
      <border>
        <left style="thin">
          <color theme="2"/>
        </left>
        <right style="thin">
          <color theme="2"/>
        </right>
        <top style="thin">
          <color theme="2"/>
        </top>
        <bottom style="thin">
          <color theme="2"/>
        </bottom>
        <vertical/>
        <horizontal/>
      </border>
    </dxf>
    <dxf>
      <fill>
        <patternFill>
          <bgColor theme="5" tint="0.79998168889431442"/>
        </patternFill>
      </fill>
    </dxf>
    <dxf>
      <fill>
        <patternFill>
          <bgColor theme="5" tint="0.79998168889431442"/>
        </patternFill>
      </fill>
    </dxf>
    <dxf>
      <fill>
        <patternFill>
          <bgColor theme="5" tint="0.79998168889431442"/>
        </patternFill>
      </fill>
    </dxf>
    <dxf>
      <font>
        <color rgb="FFC00000"/>
      </font>
      <fill>
        <patternFill>
          <bgColor theme="5" tint="0.59996337778862885"/>
        </patternFill>
      </fill>
    </dxf>
    <dxf>
      <fill>
        <patternFill>
          <bgColor theme="5" tint="0.79998168889431442"/>
        </patternFill>
      </fill>
    </dxf>
    <dxf>
      <font>
        <color rgb="FF003300"/>
      </font>
      <fill>
        <patternFill>
          <bgColor rgb="FF80FF80"/>
        </patternFill>
      </fill>
      <border>
        <bottom style="thin">
          <color rgb="FF003300"/>
        </bottom>
      </border>
    </dxf>
    <dxf>
      <font>
        <color rgb="FFFF0000"/>
      </font>
      <fill>
        <patternFill>
          <bgColor theme="5" tint="0.79998168889431442"/>
        </patternFill>
      </fill>
    </dxf>
    <dxf>
      <font>
        <condense val="0"/>
        <extend val="0"/>
        <color indexed="10"/>
      </font>
    </dxf>
    <dxf>
      <font>
        <b val="0"/>
        <i/>
        <condense val="0"/>
        <extend val="0"/>
        <color indexed="22"/>
      </font>
    </dxf>
    <dxf>
      <font>
        <color theme="2"/>
      </font>
      <fill>
        <patternFill>
          <bgColor theme="2"/>
        </patternFill>
      </fill>
      <border>
        <left style="thin">
          <color theme="2"/>
        </left>
        <right style="thin">
          <color theme="2"/>
        </right>
        <top style="thin">
          <color theme="2"/>
        </top>
        <bottom style="thin">
          <color theme="2"/>
        </bottom>
        <vertical/>
        <horizontal/>
      </border>
    </dxf>
    <dxf>
      <fill>
        <patternFill>
          <bgColor rgb="FF0070C0"/>
        </patternFill>
      </fill>
      <border>
        <left style="medium">
          <color rgb="FF0070C0"/>
        </left>
        <right style="medium">
          <color rgb="FF0070C0"/>
        </right>
        <top style="thick">
          <color rgb="FF0070C0"/>
        </top>
        <bottom style="thick">
          <color rgb="FF0070C0"/>
        </bottom>
        <vertical style="thin">
          <color rgb="FF0070C0"/>
        </vertical>
        <horizontal style="thin">
          <color rgb="FF0070C0"/>
        </horizontal>
      </border>
    </dxf>
    <dxf>
      <font>
        <b/>
        <i val="0"/>
        <color rgb="FF0070C0"/>
      </font>
      <fill>
        <patternFill>
          <bgColor rgb="FFFFC000"/>
        </patternFill>
      </fill>
      <border>
        <bottom style="thick">
          <color rgb="FFFFC000"/>
        </bottom>
        <vertical style="thin">
          <color theme="0" tint="-0.24994659260841701"/>
        </vertical>
      </border>
    </dxf>
    <dxf>
      <border>
        <left style="medium">
          <color rgb="FFFFC000"/>
        </left>
        <right style="medium">
          <color rgb="FFFFC000"/>
        </right>
        <top style="medium">
          <color rgb="FFFFC000"/>
        </top>
        <bottom style="medium">
          <color rgb="FFFFC000"/>
        </bottom>
        <vertical style="thin">
          <color theme="0" tint="-0.499984740745262"/>
        </vertical>
        <horizontal style="thin">
          <color theme="0" tint="-0.24994659260841701"/>
        </horizontal>
      </border>
    </dxf>
    <dxf>
      <fill>
        <patternFill>
          <bgColor rgb="FF008000"/>
        </patternFill>
      </fill>
      <border>
        <left style="thin">
          <color rgb="FF008000"/>
        </left>
        <right style="thin">
          <color rgb="FF008000"/>
        </right>
        <top style="thick">
          <color rgb="FF008000"/>
        </top>
        <bottom style="thick">
          <color rgb="FF008000"/>
        </bottom>
        <vertical style="thin">
          <color rgb="FF008000"/>
        </vertical>
        <horizontal style="thin">
          <color rgb="FF008000"/>
        </horizontal>
      </border>
    </dxf>
    <dxf>
      <font>
        <b/>
        <i val="0"/>
        <color theme="0" tint="-4.9989318521683403E-2"/>
      </font>
      <fill>
        <patternFill>
          <bgColor rgb="FF008000"/>
        </patternFill>
      </fill>
      <border>
        <bottom style="thick">
          <color rgb="FF008000"/>
        </bottom>
        <vertical style="thin">
          <color theme="0" tint="-4.9989318521683403E-2"/>
        </vertical>
      </border>
    </dxf>
    <dxf>
      <border>
        <left style="medium">
          <color rgb="FF008000"/>
        </left>
        <right style="medium">
          <color rgb="FF008000"/>
        </right>
        <top style="thick">
          <color rgb="FF008000"/>
        </top>
        <bottom style="thick">
          <color rgb="FF008000"/>
        </bottom>
        <vertical style="thin">
          <color theme="0" tint="-0.499984740745262"/>
        </vertical>
        <horizontal style="thin">
          <color theme="0" tint="-0.24994659260841701"/>
        </horizontal>
      </border>
    </dxf>
  </dxfs>
  <tableStyles count="2" defaultTableStyle="TableStyleMedium9" defaultPivotStyle="PivotStyleLight16">
    <tableStyle name="Pay Items" pivot="0" count="3" xr9:uid="{00000000-0011-0000-FFFF-FFFF00000000}">
      <tableStyleElement type="wholeTable" dxfId="346"/>
      <tableStyleElement type="headerRow" dxfId="345"/>
      <tableStyleElement type="totalRow" dxfId="344"/>
    </tableStyle>
    <tableStyle name="Pay Items Added" pivot="0" count="3" xr9:uid="{00000000-0011-0000-FFFF-FFFF01000000}">
      <tableStyleElement type="wholeTable" dxfId="343"/>
      <tableStyleElement type="headerRow" dxfId="342"/>
      <tableStyleElement type="totalRow" dxfId="341"/>
    </tableStyle>
  </tableStyles>
  <colors>
    <mruColors>
      <color rgb="FFFF99CC"/>
      <color rgb="FFFFFF66"/>
      <color rgb="FFFFFF99"/>
      <color rgb="FFB2B2B2"/>
      <color rgb="FFC0C0C0"/>
      <color rgb="FFFF00FF"/>
      <color rgb="FFFFE07D"/>
      <color rgb="FFFFDC6D"/>
      <color rgb="FFFFCC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4</xdr:col>
      <xdr:colOff>0</xdr:colOff>
      <xdr:row>3</xdr:row>
      <xdr:rowOff>8238</xdr:rowOff>
    </xdr:from>
    <xdr:to>
      <xdr:col>25</xdr:col>
      <xdr:colOff>0</xdr:colOff>
      <xdr:row>48</xdr:row>
      <xdr:rowOff>11930</xdr:rowOff>
    </xdr:to>
    <xdr:grpSp>
      <xdr:nvGrpSpPr>
        <xdr:cNvPr id="2" name="Group 1">
          <a:extLst>
            <a:ext uri="{FF2B5EF4-FFF2-40B4-BE49-F238E27FC236}">
              <a16:creationId xmlns:a16="http://schemas.microsoft.com/office/drawing/2014/main" id="{528A0279-694B-4FBA-B197-25A606CA0865}"/>
            </a:ext>
          </a:extLst>
        </xdr:cNvPr>
        <xdr:cNvGrpSpPr/>
      </xdr:nvGrpSpPr>
      <xdr:grpSpPr>
        <a:xfrm>
          <a:off x="1752600" y="379713"/>
          <a:ext cx="14478000" cy="9509642"/>
          <a:chOff x="1754982" y="674988"/>
          <a:chExt cx="14482751" cy="9509642"/>
        </a:xfrm>
      </xdr:grpSpPr>
      <xdr:sp macro="" textlink="">
        <xdr:nvSpPr>
          <xdr:cNvPr id="3" name="Rectangle 2">
            <a:extLst>
              <a:ext uri="{FF2B5EF4-FFF2-40B4-BE49-F238E27FC236}">
                <a16:creationId xmlns:a16="http://schemas.microsoft.com/office/drawing/2014/main" id="{1FD2BA76-0A42-9E78-1ACF-CFD518176F21}"/>
              </a:ext>
            </a:extLst>
          </xdr:cNvPr>
          <xdr:cNvSpPr>
            <a:spLocks noChangeArrowheads="1"/>
          </xdr:cNvSpPr>
        </xdr:nvSpPr>
        <xdr:spPr bwMode="auto">
          <a:xfrm>
            <a:off x="14404596" y="678961"/>
            <a:ext cx="1828800" cy="367071"/>
          </a:xfrm>
          <a:prstGeom prst="rect">
            <a:avLst/>
          </a:prstGeom>
          <a:solidFill>
            <a:srgbClr val="FFFFFF"/>
          </a:solidFill>
          <a:ln w="12700">
            <a:solidFill>
              <a:srgbClr val="000000"/>
            </a:solidFill>
            <a:miter lim="800000"/>
            <a:headEnd/>
            <a:tailEnd/>
          </a:ln>
        </xdr:spPr>
        <xdr:txBody>
          <a:bodyPr vertOverflow="clip" wrap="square" lIns="54864" tIns="54864" rIns="91440" bIns="45720" anchor="t" anchorCtr="0" upright="1"/>
          <a:lstStyle/>
          <a:p>
            <a:pPr algn="l" rtl="0">
              <a:defRPr sz="1000"/>
            </a:pPr>
            <a:r>
              <a:rPr lang="en-US" sz="600" b="0" i="0" baseline="0">
                <a:effectLst/>
                <a:latin typeface="+mn-lt"/>
                <a:ea typeface="+mn-ea"/>
                <a:cs typeface="+mn-cs"/>
              </a:rPr>
              <a:t>       </a:t>
            </a:r>
            <a:r>
              <a:rPr lang="en-US" sz="600" b="0" i="0" u="none" strike="noStrike" baseline="0">
                <a:solidFill>
                  <a:srgbClr val="000000"/>
                </a:solidFill>
                <a:latin typeface="Verdana"/>
              </a:rPr>
              <a:t>PROJECT</a:t>
            </a:r>
          </a:p>
        </xdr:txBody>
      </xdr:sp>
      <xdr:sp macro="" textlink="">
        <xdr:nvSpPr>
          <xdr:cNvPr id="4" name="Rectangle 21" descr="Sheet border&#10;10.4&quot; x 15.85&quot;">
            <a:extLst>
              <a:ext uri="{FF2B5EF4-FFF2-40B4-BE49-F238E27FC236}">
                <a16:creationId xmlns:a16="http://schemas.microsoft.com/office/drawing/2014/main" id="{89D007F6-132F-6B73-62AF-FA7D7786355F}"/>
              </a:ext>
            </a:extLst>
          </xdr:cNvPr>
          <xdr:cNvSpPr>
            <a:spLocks noChangeArrowheads="1"/>
          </xdr:cNvSpPr>
        </xdr:nvSpPr>
        <xdr:spPr bwMode="auto">
          <a:xfrm>
            <a:off x="1754982" y="674988"/>
            <a:ext cx="14482751" cy="9509642"/>
          </a:xfrm>
          <a:prstGeom prst="rect">
            <a:avLst/>
          </a:prstGeom>
          <a:noFill/>
          <a:ln w="22225">
            <a:solidFill>
              <a:srgbClr val="000000"/>
            </a:solidFill>
            <a:miter lim="800000"/>
            <a:headEnd/>
            <a:tailEnd/>
          </a:ln>
        </xdr:spPr>
      </xdr:sp>
      <xdr:sp macro="" textlink="">
        <xdr:nvSpPr>
          <xdr:cNvPr id="5" name="Line 22">
            <a:extLst>
              <a:ext uri="{FF2B5EF4-FFF2-40B4-BE49-F238E27FC236}">
                <a16:creationId xmlns:a16="http://schemas.microsoft.com/office/drawing/2014/main" id="{2A10FACF-26D7-CC34-611D-1C607B33813E}"/>
              </a:ext>
            </a:extLst>
          </xdr:cNvPr>
          <xdr:cNvSpPr>
            <a:spLocks noChangeShapeType="1"/>
          </xdr:cNvSpPr>
        </xdr:nvSpPr>
        <xdr:spPr bwMode="auto">
          <a:xfrm>
            <a:off x="14406980" y="863190"/>
            <a:ext cx="1829400" cy="0"/>
          </a:xfrm>
          <a:prstGeom prst="line">
            <a:avLst/>
          </a:prstGeom>
          <a:noFill/>
          <a:ln w="9525">
            <a:solidFill>
              <a:srgbClr val="000000"/>
            </a:solidFill>
            <a:round/>
            <a:headEnd/>
            <a:tailEnd/>
          </a:ln>
        </xdr:spPr>
      </xdr:sp>
      <xdr:sp macro="" textlink="">
        <xdr:nvSpPr>
          <xdr:cNvPr id="6" name="Line 17">
            <a:extLst>
              <a:ext uri="{FF2B5EF4-FFF2-40B4-BE49-F238E27FC236}">
                <a16:creationId xmlns:a16="http://schemas.microsoft.com/office/drawing/2014/main" id="{25EA8F5B-5E65-744D-F73D-9F318C09BD8F}"/>
              </a:ext>
            </a:extLst>
          </xdr:cNvPr>
          <xdr:cNvSpPr>
            <a:spLocks noChangeAspect="1" noChangeShapeType="1"/>
          </xdr:cNvSpPr>
        </xdr:nvSpPr>
        <xdr:spPr bwMode="auto">
          <a:xfrm flipV="1">
            <a:off x="15860318" y="683724"/>
            <a:ext cx="0" cy="367071"/>
          </a:xfrm>
          <a:prstGeom prst="line">
            <a:avLst/>
          </a:prstGeom>
          <a:noFill/>
          <a:ln w="9525">
            <a:solidFill>
              <a:srgbClr val="000000"/>
            </a:solidFill>
            <a:round/>
            <a:headEnd/>
            <a:tailEnd/>
          </a:ln>
        </xdr:spPr>
      </xdr:sp>
      <xdr:sp macro="" textlink="SheetNum">
        <xdr:nvSpPr>
          <xdr:cNvPr id="7" name="Text Box 4">
            <a:extLst>
              <a:ext uri="{FF2B5EF4-FFF2-40B4-BE49-F238E27FC236}">
                <a16:creationId xmlns:a16="http://schemas.microsoft.com/office/drawing/2014/main" id="{4DCBA009-CFF6-6B94-9D36-8D572EE47CD9}"/>
              </a:ext>
            </a:extLst>
          </xdr:cNvPr>
          <xdr:cNvSpPr txBox="1">
            <a:spLocks noChangeArrowheads="1" noTextEdit="1"/>
          </xdr:cNvSpPr>
        </xdr:nvSpPr>
        <xdr:spPr bwMode="auto">
          <a:xfrm>
            <a:off x="15866650" y="860518"/>
            <a:ext cx="364849" cy="183536"/>
          </a:xfrm>
          <a:prstGeom prst="rect">
            <a:avLst/>
          </a:prstGeom>
          <a:noFill/>
          <a:ln w="0">
            <a:noFill/>
            <a:miter lim="800000"/>
            <a:headEnd/>
            <a:tailEnd/>
          </a:ln>
        </xdr:spPr>
        <xdr:txBody>
          <a:bodyPr vertOverflow="overflow" horzOverflow="overflow" wrap="square" lIns="0" tIns="0" rIns="0" bIns="0" anchor="ctr" anchorCtr="1" upright="1"/>
          <a:lstStyle/>
          <a:p>
            <a:pPr algn="ctr" rtl="0">
              <a:defRPr sz="1000"/>
            </a:pPr>
            <a:fld id="{A83EDD77-23E5-4C34-A722-09B1029F024C}" type="TxLink">
              <a:rPr lang="en-US" sz="600" b="0" i="0" u="none" strike="noStrike" baseline="0">
                <a:solidFill>
                  <a:srgbClr val="000000"/>
                </a:solidFill>
                <a:latin typeface="Verdana"/>
                <a:ea typeface="Verdana"/>
                <a:cs typeface="Verdana"/>
              </a:rPr>
              <a:pPr algn="ctr" rtl="0">
                <a:defRPr sz="1000"/>
              </a:pPr>
              <a:t>C.1</a:t>
            </a:fld>
            <a:endParaRPr lang="en-US" sz="600" b="0" i="0" u="none" strike="noStrike" baseline="0">
              <a:solidFill>
                <a:srgbClr val="000000"/>
              </a:solidFill>
              <a:latin typeface="Verdana"/>
            </a:endParaRPr>
          </a:p>
        </xdr:txBody>
      </xdr:sp>
      <xdr:sp macro="" textlink="Project">
        <xdr:nvSpPr>
          <xdr:cNvPr id="8" name="Text Box 3">
            <a:extLst>
              <a:ext uri="{FF2B5EF4-FFF2-40B4-BE49-F238E27FC236}">
                <a16:creationId xmlns:a16="http://schemas.microsoft.com/office/drawing/2014/main" id="{EBA5FEC7-BA13-649C-9204-8545DF7618D0}"/>
              </a:ext>
            </a:extLst>
          </xdr:cNvPr>
          <xdr:cNvSpPr txBox="1">
            <a:spLocks noChangeArrowheads="1" noTextEdit="1"/>
          </xdr:cNvSpPr>
        </xdr:nvSpPr>
        <xdr:spPr bwMode="auto">
          <a:xfrm>
            <a:off x="14409836" y="858405"/>
            <a:ext cx="1463520" cy="183536"/>
          </a:xfrm>
          <a:prstGeom prst="rect">
            <a:avLst/>
          </a:prstGeom>
          <a:noFill/>
          <a:ln w="0">
            <a:noFill/>
            <a:miter lim="800000"/>
            <a:headEnd/>
            <a:tailEnd/>
          </a:ln>
        </xdr:spPr>
        <xdr:txBody>
          <a:bodyPr vertOverflow="overflow" horzOverflow="overflow" wrap="square" lIns="0" tIns="0" rIns="0" bIns="0" anchor="ctr" anchorCtr="1" upright="1"/>
          <a:lstStyle/>
          <a:p>
            <a:pPr algn="ctr" rtl="0">
              <a:defRPr sz="1000"/>
            </a:pPr>
            <a:fld id="{C4B26DC0-D3B0-4BE4-A8E0-A5C90BB98EB6}" type="TxLink">
              <a:rPr lang="en-US" sz="600" b="0" i="0" u="none" strike="noStrike" baseline="0">
                <a:solidFill>
                  <a:srgbClr val="000000"/>
                </a:solidFill>
                <a:latin typeface="Verdana"/>
              </a:rPr>
              <a:pPr algn="ctr" rtl="0">
                <a:defRPr sz="1000"/>
              </a:pPr>
              <a:t>AZ FTNP GRCA 13(1)
MT OMAD 18(38)</a:t>
            </a:fld>
            <a:endParaRPr lang="en-US" sz="600" b="0" i="0" u="none" strike="noStrike" baseline="0">
              <a:solidFill>
                <a:srgbClr val="000000"/>
              </a:solidFill>
              <a:latin typeface="Verdana"/>
            </a:endParaRPr>
          </a:p>
        </xdr:txBody>
      </xdr:sp>
      <xdr:sp macro="" textlink="">
        <xdr:nvSpPr>
          <xdr:cNvPr id="9" name="Text Box 20">
            <a:extLst>
              <a:ext uri="{FF2B5EF4-FFF2-40B4-BE49-F238E27FC236}">
                <a16:creationId xmlns:a16="http://schemas.microsoft.com/office/drawing/2014/main" id="{1F5B5CB9-FEC3-9544-D1CC-51534B8484F4}"/>
              </a:ext>
            </a:extLst>
          </xdr:cNvPr>
          <xdr:cNvSpPr txBox="1">
            <a:spLocks noChangeArrowheads="1"/>
          </xdr:cNvSpPr>
        </xdr:nvSpPr>
        <xdr:spPr bwMode="auto">
          <a:xfrm>
            <a:off x="15860314" y="681036"/>
            <a:ext cx="365756" cy="182880"/>
          </a:xfrm>
          <a:prstGeom prst="rect">
            <a:avLst/>
          </a:prstGeom>
          <a:noFill/>
          <a:ln w="9525">
            <a:noFill/>
            <a:miter lim="800000"/>
            <a:headEnd/>
            <a:tailEnd/>
          </a:ln>
        </xdr:spPr>
        <xdr:txBody>
          <a:bodyPr vertOverflow="overflow" horzOverflow="overflow" wrap="none" lIns="0" tIns="0" rIns="0" bIns="0" anchor="t" anchorCtr="1" upright="1"/>
          <a:lstStyle/>
          <a:p>
            <a:pPr algn="ctr" rtl="0">
              <a:defRPr sz="1000"/>
            </a:pPr>
            <a:r>
              <a:rPr lang="en-US" sz="600" b="0" i="0" u="none" strike="noStrike" baseline="0">
                <a:solidFill>
                  <a:srgbClr val="000000"/>
                </a:solidFill>
                <a:latin typeface="Verdana"/>
              </a:rPr>
              <a:t>SHEET</a:t>
            </a:r>
          </a:p>
          <a:p>
            <a:pPr algn="ctr" rtl="0">
              <a:defRPr sz="1000"/>
            </a:pPr>
            <a:r>
              <a:rPr lang="en-US" sz="600" b="0" i="0" u="none" strike="noStrike" baseline="0">
                <a:solidFill>
                  <a:srgbClr val="000000"/>
                </a:solidFill>
                <a:latin typeface="Verdana"/>
              </a:rPr>
              <a:t>NUMBER</a:t>
            </a:r>
          </a:p>
        </xdr:txBody>
      </xdr:sp>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900-000000000000}" autoFormatId="16" applyNumberFormats="0" applyBorderFormats="0" applyFontFormats="0" applyPatternFormats="0" applyAlignmentFormats="0" applyWidthHeightFormats="0">
  <queryTableRefresh nextId="23">
    <queryTableFields count="10">
      <queryTableField id="1" name="Pay Item" tableColumnId="11"/>
      <queryTableField id="11" name="Item Description MET" tableColumnId="1"/>
      <queryTableField id="12" name="Unit MET" tableColumnId="2"/>
      <queryTableField id="13" name="Item Description USC" tableColumnId="3"/>
      <queryTableField id="14" name="UNIT USC" tableColumnId="4"/>
      <queryTableField id="15" name="BidDec" tableColumnId="5"/>
      <queryTableField id="16" name="PayDec" tableColumnId="6"/>
      <queryTableField id="8" name="Pay Item Type" tableColumnId="8"/>
      <queryTableField id="9" name="Changed" tableColumnId="9"/>
      <queryTableField id="10" name="Comments" tableColumnId="10"/>
    </queryTableFields>
  </queryTableRefresh>
</queryTable>
</file>

<file path=xl/tables/_rels/table7.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heetNames" displayName="SheetNames" ref="B53:F73" totalsRowShown="0" dataDxfId="328" dataCellStyle="Normal 2">
  <autoFilter ref="B53:F73" xr:uid="{00000000-0009-0000-0100-000001000000}"/>
  <tableColumns count="5">
    <tableColumn id="1" xr3:uid="{00000000-0010-0000-0000-000001000000}" name="Sheet num" dataDxfId="327" dataCellStyle="Normal 2">
      <calculatedColumnFormula>IFERROR(IF(ISREF(INDIRECT("'"&amp;C54&amp;"'!A1")),OFFSET(B54,-1,0)+1,"-"),VALUE(SUBSTITUTE(Sheet,Prefix,"")))</calculatedColumnFormula>
    </tableColumn>
    <tableColumn id="2" xr3:uid="{00000000-0010-0000-0000-000002000000}" name="Worksheet" dataDxfId="326" dataCellStyle="Normal 2">
      <calculatedColumnFormula>Base&amp;IF(OFFSET(C54,-1,0)="Worksheet",""," ("&amp;ROW(C54)-ROW(SheetNames[[#Headers],[Worksheet]])&amp;")")</calculatedColumnFormula>
    </tableColumn>
    <tableColumn id="3" xr3:uid="{00000000-0010-0000-0000-000003000000}" name="Sheet" dataDxfId="325" dataCellStyle="Normal 2">
      <calculatedColumnFormula>IF(ISREF(INDIRECT("'"&amp;C54&amp;"'!A1")),Prefix&amp;B54,"Undefined")</calculatedColumnFormula>
    </tableColumn>
    <tableColumn id="4" xr3:uid="{00000000-0010-0000-0000-000004000000}" name="Begins" dataDxfId="324" dataCellStyle="Normal 2">
      <calculatedColumnFormula>IFERROR(MIN(VALUE(OFFSET(E54,-1,1)),TotalLines+1),0)</calculatedColumnFormula>
    </tableColumn>
    <tableColumn id="5" xr3:uid="{00000000-0010-0000-0000-000005000000}" name="Ends" dataDxfId="323" dataCellStyle="Normal 2">
      <calculatedColumnFormula>VLOOKUP(SheetNames[[#This Row],[Begins]]+Table_rows,Calcs[Counter],1,TRUE)</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oposed" displayName="Proposed" ref="A265:AN286" totalsRowCount="1" headerRowDxfId="310">
  <autoFilter ref="A265:AN285" xr:uid="{00000000-0009-0000-0100-000002000000}"/>
  <tableColumns count="40">
    <tableColumn id="1" xr3:uid="{00000000-0010-0000-0100-000001000000}" name="Count" totalsRowFunction="custom" dataDxfId="309" totalsRowDxfId="308" dataCellStyle="Normal 2">
      <calculatedColumnFormula>IFERROR(RANK(Proposed[[#This Row],[Sort]],OFFSET(Items[Sort],0,0,ROW(Proposed[])-ROW(Items[])+ROWS(Proposed[]),1),1),"")</calculatedColumnFormula>
      <totalsRowFormula>MAX(Items[Count],Proposed[Count])+1</totalsRowFormula>
    </tableColumn>
    <tableColumn id="2" xr3:uid="{00000000-0010-0000-0100-000002000000}" name="Sort" dataDxfId="307" totalsRowDxfId="306" dataCellStyle="Normal 2">
      <calculatedColumnFormula>IF(LEN(Proposed[[#This Row],[Item]])&gt;0,Proposed[[#This Row],[Raw Item]]+COUNTIF(AN$265:AN266,Proposed[[#This Row],[Item]])/100,"")</calculatedColumnFormula>
    </tableColumn>
    <tableColumn id="32" xr3:uid="{00000000-0010-0000-0100-000020000000}" name="Raw Item" dataDxfId="305" totalsRowDxfId="304" dataCellStyle="Normal 2">
      <calculatedColumnFormula>IFERROR(VALUE(LEFT(VALUE(SUBSTITUTE(Proposed[[#This Row],[Pay Item]],"-",""))*100000000,9)),0)</calculatedColumnFormula>
    </tableColumn>
    <tableColumn id="3" xr3:uid="{00000000-0010-0000-0100-000003000000}" name="Notes" dataDxfId="303" totalsRowDxfId="302" dataCellStyle="Normal 2">
      <calculatedColumnFormula>IF(C266&gt;0,IF(LEN(AN266)=0,"Item Exists","New Item"),"")</calculatedColumnFormula>
    </tableColumn>
    <tableColumn id="4" xr3:uid="{00000000-0010-0000-0100-000004000000}" name="Pay Item" totalsRowFunction="custom" dataDxfId="301" totalsRowDxfId="300" dataCellStyle="Normal 2">
      <totalsRowFormula>CELL("width",INDIRECT(Base&amp;"!"&amp;ADDRESS(1,7)))</totalsRowFormula>
    </tableColumn>
    <tableColumn id="5" xr3:uid="{00000000-0010-0000-0100-000005000000}" name="Description" dataDxfId="299" totalsRowDxfId="298" dataCellStyle="Normal 2"/>
    <tableColumn id="6" xr3:uid="{00000000-0010-0000-0100-000006000000}" name="Unit" totalsRowFunction="custom" dataDxfId="297" totalsRowDxfId="296" dataCellStyle="Normal 2">
      <totalsRowFormula>""</totalsRowFormula>
    </tableColumn>
    <tableColumn id="7" xr3:uid="{00000000-0010-0000-0100-000007000000}" name="Bid_Dec" dataDxfId="295" totalsRowDxfId="294" dataCellStyle="Normal 2"/>
    <tableColumn id="8" xr3:uid="{00000000-0010-0000-0100-000008000000}" name="Pay_Dec" dataDxfId="293" totalsRowDxfId="292" dataCellStyle="Normal 2"/>
    <tableColumn id="10" xr3:uid="{00000000-0010-0000-0100-00000A000000}" name="Description2" dataDxfId="291" totalsRowDxfId="290" dataCellStyle="Normal 2">
      <calculatedColumnFormula>""</calculatedColumnFormula>
    </tableColumn>
    <tableColumn id="11" xr3:uid="{00000000-0010-0000-0100-00000B000000}" name="Col_1" dataDxfId="289" totalsRowDxfId="288" dataCellStyle="Normal 2"/>
    <tableColumn id="12" xr3:uid="{00000000-0010-0000-0100-00000C000000}" name="Col_2" dataDxfId="287" totalsRowDxfId="286" dataCellStyle="Normal 2"/>
    <tableColumn id="13" xr3:uid="{00000000-0010-0000-0100-00000D000000}" name="Col_3" dataDxfId="285" totalsRowDxfId="284" dataCellStyle="Normal 2"/>
    <tableColumn id="14" xr3:uid="{00000000-0010-0000-0100-00000E000000}" name="Col_4" dataDxfId="283" totalsRowDxfId="282" dataCellStyle="Normal 2"/>
    <tableColumn id="15" xr3:uid="{00000000-0010-0000-0100-00000F000000}" name="Col_5" dataDxfId="281" totalsRowDxfId="280" dataCellStyle="Normal 2"/>
    <tableColumn id="16" xr3:uid="{00000000-0010-0000-0100-000010000000}" name="Col_6" dataDxfId="279" totalsRowDxfId="278" dataCellStyle="Normal 2"/>
    <tableColumn id="17" xr3:uid="{00000000-0010-0000-0100-000011000000}" name="Col_7" dataDxfId="277" totalsRowDxfId="276" dataCellStyle="Normal 2"/>
    <tableColumn id="18" xr3:uid="{00000000-0010-0000-0100-000012000000}" name="Col_8" dataDxfId="275" totalsRowDxfId="274" dataCellStyle="Normal 2"/>
    <tableColumn id="19" xr3:uid="{00000000-0010-0000-0100-000013000000}" name="Col_9" dataDxfId="273" totalsRowDxfId="272" dataCellStyle="Normal 2"/>
    <tableColumn id="20" xr3:uid="{00000000-0010-0000-0100-000014000000}" name="Col_10" dataDxfId="271" totalsRowDxfId="270" dataCellStyle="Normal 2"/>
    <tableColumn id="21" xr3:uid="{00000000-0010-0000-0100-000015000000}" name="Col_11" dataDxfId="269" totalsRowDxfId="268" dataCellStyle="Normal 2"/>
    <tableColumn id="22" xr3:uid="{00000000-0010-0000-0100-000016000000}" name="Col_12" dataDxfId="267" totalsRowDxfId="266" dataCellStyle="Normal 2"/>
    <tableColumn id="23" xr3:uid="{00000000-0010-0000-0100-000017000000}" name="Col_13" dataDxfId="265" totalsRowDxfId="264" dataCellStyle="Normal 2"/>
    <tableColumn id="27" xr3:uid="{00000000-0010-0000-0100-00001B000000}" name="Quantity" totalsRowFunction="custom" dataDxfId="263" totalsRowDxfId="262" dataCellStyle="Normal 2">
      <calculatedColumnFormula>IF(LEN(Proposed[[#This Row],[Item]])&gt;0,IF(Proposed[[#This Row],[Unit]]="LPSM",1,SUM(Proposed[[#This Row],[Col_1]:[Col_13]])),0)</calculatedColumnFormula>
      <totalsRowFormula>""</totalsRowFormula>
    </tableColumn>
    <tableColumn id="9" xr3:uid="{00000000-0010-0000-0100-000009000000}" name="Account1" dataDxfId="261" totalsRowDxfId="260" dataCellStyle="Normal 2">
      <calculatedColumnFormula>MAX(Proposed[[#This Row],[Quantity]]-SUM(Proposed[[#This Row],[Account2]]:Proposed[[#This Row],[Account7]]),0)</calculatedColumnFormula>
    </tableColumn>
    <tableColumn id="29" xr3:uid="{00000000-0010-0000-0100-00001D000000}" name="Account2" dataDxfId="259" totalsRowDxfId="258" dataCellStyle="Normal 2"/>
    <tableColumn id="30" xr3:uid="{00000000-0010-0000-0100-00001E000000}" name="Account3" dataDxfId="257" totalsRowDxfId="256" dataCellStyle="Normal 2"/>
    <tableColumn id="38" xr3:uid="{00000000-0010-0000-0100-000026000000}" name="Account4" dataDxfId="255" totalsRowDxfId="254" dataCellStyle="Normal 2"/>
    <tableColumn id="39" xr3:uid="{00000000-0010-0000-0100-000027000000}" name="Account5" dataDxfId="253" totalsRowDxfId="252" dataCellStyle="Normal 2"/>
    <tableColumn id="40" xr3:uid="{00000000-0010-0000-0100-000028000000}" name="Account6" dataDxfId="251" totalsRowDxfId="250" dataCellStyle="Normal 2"/>
    <tableColumn id="35" xr3:uid="{00000000-0010-0000-0100-000023000000}" name="Account7" dataDxfId="249" totalsRowDxfId="248" dataCellStyle="Normal 2"/>
    <tableColumn id="25" xr3:uid="{00000000-0010-0000-0100-000019000000}" name="UnitPrice" totalsRowFunction="custom" dataDxfId="247" totalsRowDxfId="246" dataCellStyle="Normal 2">
      <totalsRowFormula>""</totalsRowFormula>
    </tableColumn>
    <tableColumn id="24" xr3:uid="{00000000-0010-0000-0100-000018000000}" name="Remarks" dataDxfId="245" totalsRowDxfId="244" dataCellStyle="Normal 2"/>
    <tableColumn id="28" xr3:uid="{00000000-0010-0000-0100-00001C000000}" name="ContrQty" dataDxfId="243" totalsRowDxfId="242" dataCellStyle="Normal 2"/>
    <tableColumn id="33" xr3:uid="{00000000-0010-0000-0100-000021000000}" name="Amend" dataDxfId="241" totalsRowDxfId="240" dataCellStyle="Normal 2">
      <calculatedColumnFormula>""</calculatedColumnFormula>
    </tableColumn>
    <tableColumn id="36" xr3:uid="{00000000-0010-0000-0100-000024000000}" name="EstCount" totalsRowFunction="custom" dataDxfId="239" totalsRowDxfId="238" dataCellStyle="Normal 2">
      <calculatedColumnFormula>IFERROR(RANK(Proposed[[#This Row],[EstSort]],OFFSET(Items[EstSort],0,0,ROW(Proposed[])-ROW(Items[])+ROWS(Proposed[]),1),1),"")</calculatedColumnFormula>
      <totalsRowFormula>MAX(Items[EstCount],Proposed[EstCount])</totalsRowFormula>
    </tableColumn>
    <tableColumn id="37" xr3:uid="{00000000-0010-0000-0100-000025000000}" name="EstSort" dataDxfId="237" totalsRowDxfId="236" dataCellStyle="Normal 2">
      <calculatedColumnFormula>IF(CHOOSE(MATCH(Account,Accounts,0),Proposed[[#This Row],[Count]],Proposed[[#This Row],[Account1]],Proposed[[#This Row],[Account2]],Proposed[[#This Row],[Account3]],Proposed[[#This Row],[Account7]])&gt;0,Proposed[[#This Row],[Sort]],"")</calculatedColumnFormula>
    </tableColumn>
    <tableColumn id="26" xr3:uid="{00000000-0010-0000-0100-00001A000000}" name="PlanCounter" dataDxfId="235" totalsRowDxfId="234" dataCellStyle="Normal 2">
      <calculatedColumnFormula>IF(LEN(Proposed[[#This Row],[Count]])&gt;0,IFERROR(INDEX(Calcs[Counter],MATCH(Proposed[[#This Row],[Line]],Calcs[Line],0)),""),"")</calculatedColumnFormula>
    </tableColumn>
    <tableColumn id="34" xr3:uid="{00000000-0010-0000-0100-000022000000}" name="Line" dataDxfId="233" totalsRowDxfId="232" dataCellStyle="Normal 2">
      <calculatedColumnFormula>IFERROR(Letter&amp;TEXT((Proposed[[#This Row],[Count]]-1)*Incr+BeginLine,"0000"),"")</calculatedColumnFormula>
    </tableColumn>
    <tableColumn id="31" xr3:uid="{00000000-0010-0000-0100-00001F000000}" name="Item" totalsRowFunction="custom" dataDxfId="231" totalsRowDxfId="230" dataCellStyle="Normal 2">
      <calculatedColumnFormula>IF(ISNA(MATCH(LEFT(Proposed[[#This Row],[Raw Item]],5)&amp;"-"&amp;RIGHT(Proposed[[#This Row],[Raw Item]],4),Pay.Item.Listing[Pay Item],0)),"",LEFT(Proposed[[#This Row],[Raw Item]],5)&amp;"-"&amp;RIGHT(Proposed[[#This Row],[Raw Item]],4))</calculatedColumnFormula>
      <totalsRowFormula>""</totalsRowFormula>
    </tableColumn>
  </tableColumns>
  <tableStyleInfo name="Pay Items Added"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tems" displayName="Items" ref="A4:AN263" totalsRowShown="0" headerRowDxfId="229" headerRowBorderDxfId="228" tableBorderDxfId="227">
  <autoFilter ref="A4:AN263" xr:uid="{00000000-000C-0000-FFFF-FFFF02000000}"/>
  <tableColumns count="40">
    <tableColumn id="1" xr3:uid="{00000000-0010-0000-0200-000001000000}" name="Count" dataDxfId="226">
      <calculatedColumnFormula>IFERROR(RANK(Items[[#This Row],[Sort]],OFFSET(Items[Sort],0,0,ROW(Proposed[])-ROW(Items[])+ROWS(Proposed[]),1),1),"")</calculatedColumnFormula>
    </tableColumn>
    <tableColumn id="2" xr3:uid="{00000000-0010-0000-0200-000002000000}" name="Sort" dataDxfId="225">
      <calculatedColumnFormula>IF(LEN(Items[[#This Row],[Item]])&gt;0,Items[[#This Row],[Raw Item]]+COUNTIF(AN$4:AN5,AN5)/100,"")</calculatedColumnFormula>
    </tableColumn>
    <tableColumn id="33" xr3:uid="{00000000-0010-0000-0200-000021000000}" name="Raw Item" dataDxfId="224">
      <calculatedColumnFormula>IFERROR(VALUE(LEFT(VALUE(SUBSTITUTE(Items[[#This Row],[Pay Item]],"-",""))*100000000,9)),0)</calculatedColumnFormula>
    </tableColumn>
    <tableColumn id="3" xr3:uid="{00000000-0010-0000-0200-000003000000}" name="Viewer" dataDxfId="223"/>
    <tableColumn id="4" xr3:uid="{00000000-0010-0000-0200-000004000000}" name="Pay Item" dataDxfId="222"/>
    <tableColumn id="5" xr3:uid="{00000000-0010-0000-0200-000005000000}" name="Description" dataDxfId="221">
      <calculatedColumnFormula>IFERROR(SUBSTITUTE(VLOOKUP(Items[[#This Row],[Item]],Pay.Item.Listing[],2+2*(Units&lt;&gt;"Metric"),0),"{","&lt;"),"&lt;&lt; Pay Item not found &gt;&gt;")</calculatedColumnFormula>
    </tableColumn>
    <tableColumn id="6" xr3:uid="{00000000-0010-0000-0200-000006000000}" name="Unit" dataDxfId="220">
      <calculatedColumnFormula>IFERROR(VLOOKUP(Items[[#This Row],[Item]],Pay.Item.Listing[],3+2*(Units&lt;&gt;"Metric"),0),"–")</calculatedColumnFormula>
    </tableColumn>
    <tableColumn id="7" xr3:uid="{00000000-0010-0000-0200-000007000000}" name="Bid_Dec" dataDxfId="219">
      <calculatedColumnFormula>IFERROR(VLOOKUP(Items[[#This Row],[Item]],Pay.Item.Listing[],6,0),"–")</calculatedColumnFormula>
    </tableColumn>
    <tableColumn id="8" xr3:uid="{00000000-0010-0000-0200-000008000000}" name="Pay_Dec" dataDxfId="218">
      <calculatedColumnFormula>IFERROR(VLOOKUP(Items[[#This Row],[Item]],Pay.Item.Listing[],7,0),"–")</calculatedColumnFormula>
    </tableColumn>
    <tableColumn id="10" xr3:uid="{00000000-0010-0000-0200-00000A000000}" name="Description2" dataDxfId="217"/>
    <tableColumn id="11" xr3:uid="{00000000-0010-0000-0200-00000B000000}" name="Col_1" dataDxfId="216"/>
    <tableColumn id="12" xr3:uid="{00000000-0010-0000-0200-00000C000000}" name="Col_2" dataDxfId="215"/>
    <tableColumn id="13" xr3:uid="{00000000-0010-0000-0200-00000D000000}" name="Col_3" dataDxfId="214"/>
    <tableColumn id="14" xr3:uid="{00000000-0010-0000-0200-00000E000000}" name="Col_4" dataDxfId="213"/>
    <tableColumn id="15" xr3:uid="{00000000-0010-0000-0200-00000F000000}" name="Col_5" dataDxfId="212"/>
    <tableColumn id="16" xr3:uid="{00000000-0010-0000-0200-000010000000}" name="Col_6" dataDxfId="211"/>
    <tableColumn id="17" xr3:uid="{00000000-0010-0000-0200-000011000000}" name="Col_7" dataDxfId="210"/>
    <tableColumn id="18" xr3:uid="{00000000-0010-0000-0200-000012000000}" name="Col_8" dataDxfId="209"/>
    <tableColumn id="19" xr3:uid="{00000000-0010-0000-0200-000013000000}" name="Col_9" dataDxfId="208"/>
    <tableColumn id="20" xr3:uid="{00000000-0010-0000-0200-000014000000}" name="Col_10" dataDxfId="207"/>
    <tableColumn id="21" xr3:uid="{00000000-0010-0000-0200-000015000000}" name="Col_11" dataDxfId="206"/>
    <tableColumn id="22" xr3:uid="{00000000-0010-0000-0200-000016000000}" name="Col_12" dataDxfId="205"/>
    <tableColumn id="23" xr3:uid="{00000000-0010-0000-0200-000017000000}" name="Col_13" dataDxfId="204"/>
    <tableColumn id="27" xr3:uid="{00000000-0010-0000-0200-00001B000000}" name="Quantity" dataDxfId="203" dataCellStyle="Normal 2">
      <calculatedColumnFormula>IF(LEN(Items[[#This Row],[Item]])&gt;0,IF(Items[[#This Row],[Unit]]="LPSM",1,SUM(Items[[#This Row],[Col_1]:[Col_13]])),0)</calculatedColumnFormula>
    </tableColumn>
    <tableColumn id="9" xr3:uid="{00000000-0010-0000-0200-000009000000}" name="Account1" dataDxfId="202" dataCellStyle="Normal 2">
      <calculatedColumnFormula>MAX(Items[[#This Row],[Quantity]]-SUM(Items[[#This Row],[Account2]]:Items[[#This Row],[Account7]]),0)</calculatedColumnFormula>
    </tableColumn>
    <tableColumn id="29" xr3:uid="{00000000-0010-0000-0200-00001D000000}" name="Account2" dataDxfId="201" dataCellStyle="Normal 2"/>
    <tableColumn id="30" xr3:uid="{00000000-0010-0000-0200-00001E000000}" name="Account3" dataDxfId="200" dataCellStyle="Normal 2"/>
    <tableColumn id="39" xr3:uid="{00000000-0010-0000-0200-000027000000}" name="Account4" dataDxfId="199" dataCellStyle="Normal 2"/>
    <tableColumn id="38" xr3:uid="{00000000-0010-0000-0200-000026000000}" name="Account5" dataDxfId="198" dataCellStyle="Normal 2"/>
    <tableColumn id="40" xr3:uid="{00000000-0010-0000-0200-000028000000}" name="Account6" dataDxfId="197" dataCellStyle="Normal 2"/>
    <tableColumn id="32" xr3:uid="{00000000-0010-0000-0200-000020000000}" name="Account7" dataDxfId="196" dataCellStyle="Normal 2"/>
    <tableColumn id="25" xr3:uid="{00000000-0010-0000-0200-000019000000}" name="UnitPrice" dataDxfId="195"/>
    <tableColumn id="24" xr3:uid="{00000000-0010-0000-0200-000018000000}" name="Remarks" dataDxfId="194" dataCellStyle="Normal 2"/>
    <tableColumn id="28" xr3:uid="{00000000-0010-0000-0200-00001C000000}" name="ContrQty" dataDxfId="193" dataCellStyle="Normal 2"/>
    <tableColumn id="34" xr3:uid="{00000000-0010-0000-0200-000022000000}" name="Amend" dataDxfId="192" dataCellStyle="Normal 2"/>
    <tableColumn id="36" xr3:uid="{00000000-0010-0000-0200-000024000000}" name="EstCount" dataDxfId="191" dataCellStyle="Normal 2">
      <calculatedColumnFormula>IFERROR(RANK(Items[[#This Row],[EstSort]],OFFSET(Items[EstSort],0,0,ROW(Proposed[])-ROW(Items[])+ROWS(Proposed[]),1),1),"")</calculatedColumnFormula>
    </tableColumn>
    <tableColumn id="37" xr3:uid="{00000000-0010-0000-0200-000025000000}" name="EstSort" dataDxfId="190" dataCellStyle="Normal 2">
      <calculatedColumnFormula>IF(CHOOSE(MATCH(Account,Accounts,0),Items[[#This Row],[Count]],Items[[#This Row],[Account1]],Items[[#This Row],[Account2]],Items[[#This Row],[Account3]],Items[[#This Row],[Account7]])&gt;0,Items[[#This Row],[Sort]],"")</calculatedColumnFormula>
    </tableColumn>
    <tableColumn id="26" xr3:uid="{00000000-0010-0000-0200-00001A000000}" name="PlanCounter" dataDxfId="189" dataCellStyle="Normal 2">
      <calculatedColumnFormula>IF(LEN(Items[[#This Row],[Count]])&gt;0,IFERROR(INDEX(Calcs[Counter],MATCH(Items[[#This Row],[Line]],Calcs[Line],0)),""),"")</calculatedColumnFormula>
    </tableColumn>
    <tableColumn id="35" xr3:uid="{00000000-0010-0000-0200-000023000000}" name="Line" dataDxfId="188" dataCellStyle="Normal 2">
      <calculatedColumnFormula>IFERROR(Letter&amp;TEXT((Items[[#This Row],[Count]]-1)*Incr+BeginLine,"0000"),"")</calculatedColumnFormula>
    </tableColumn>
    <tableColumn id="31" xr3:uid="{00000000-0010-0000-0200-00001F000000}" name="Item" dataDxfId="187">
      <calculatedColumnFormula>IF(ISNA(MATCH(LEFT(Items[[#This Row],[Raw Item]],5)&amp;"-"&amp;RIGHT(Items[[#This Row],[Raw Item]],4),Pay.Item.Listing[Pay Item],0)),"",LEFT(Items[[#This Row],[Raw Item]],5)&amp;"-"&amp;RIGHT(Items[[#This Row],[Raw Item]],4))</calculatedColumnFormula>
    </tableColumn>
  </tableColumns>
  <tableStyleInfo name="Pay Item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Reports" displayName="Reports" ref="Q28:V44" totalsRowShown="0" dataCellStyle="Normal 2">
  <autoFilter ref="Q28:V44" xr:uid="{00000000-0009-0000-0100-000008000000}"/>
  <sortState xmlns:xlrd2="http://schemas.microsoft.com/office/spreadsheetml/2017/richdata2" ref="Q24:V39">
    <sortCondition descending="1" ref="R23:R39"/>
  </sortState>
  <tableColumns count="6">
    <tableColumn id="1" xr3:uid="{00000000-0010-0000-0300-000001000000}" name="Code" dataDxfId="166" dataCellStyle="Normal 2">
      <calculatedColumnFormula>(0+Reports[[#This Row],[Bid?]])&amp;(0+Reports[[#This Row],[Awd?]])&amp;(0+Reports[[#This Row],[All?]])&amp;(0+Reports[[#This Row],[Full?]])</calculatedColumnFormula>
    </tableColumn>
    <tableColumn id="4" xr3:uid="{00000000-0010-0000-0300-000004000000}" name="Bid?" dataCellStyle="Normal 2"/>
    <tableColumn id="5" xr3:uid="{00000000-0010-0000-0300-000005000000}" name="Awd?" dataCellStyle="Normal 2"/>
    <tableColumn id="2" xr3:uid="{00000000-0010-0000-0300-000002000000}" name="All?" dataDxfId="165" dataCellStyle="Normal 2"/>
    <tableColumn id="3" xr3:uid="{00000000-0010-0000-0300-000003000000}" name="Full?" dataDxfId="164" dataCellStyle="Normal 2"/>
    <tableColumn id="6" xr3:uid="{00000000-0010-0000-0300-000006000000}" name="Resulting Report" dataCellStyle="Normal 2"/>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GIS" displayName="GIS" ref="A1:AA21" totalsRowShown="0" headerRowDxfId="134" dataDxfId="133">
  <autoFilter ref="A1:AA21" xr:uid="{00000000-0009-0000-0100-000009000000}"/>
  <tableColumns count="27">
    <tableColumn id="1" xr3:uid="{00000000-0010-0000-0400-000001000000}" name="FLH Division" dataDxfId="132">
      <calculatedColumnFormula>IF(COUNTA($N2:$AA2)&gt;0,Division,"")</calculatedColumnFormula>
    </tableColumn>
    <tableColumn id="2" xr3:uid="{00000000-0010-0000-0400-000002000000}" name="Project Number" dataDxfId="131">
      <calculatedColumnFormula>IF(COUNTA($N2:$AA2)&gt;0,ProjectLine1&amp;IF(LEN(ProjectLine2)&gt;0,"; "&amp;ProjectLine2,""),"")</calculatedColumnFormula>
    </tableColumn>
    <tableColumn id="3" xr3:uid="{00000000-0010-0000-0400-000003000000}" name="Project Name" dataDxfId="130">
      <calculatedColumnFormula>IF(COUNTA($N2:$AA2)&gt;0,Name,"")</calculatedColumnFormula>
    </tableColumn>
    <tableColumn id="4" xr3:uid="{00000000-0010-0000-0400-000004000000}" name="Project Description" dataDxfId="129">
      <calculatedColumnFormula>IF(COUNTA($N2:$AA2)&gt;0,Description,"")</calculatedColumnFormula>
    </tableColumn>
    <tableColumn id="5" xr3:uid="{00000000-0010-0000-0400-000005000000}" name="State" dataDxfId="128">
      <calculatedColumnFormula>IF(COUNTA($N2:$AA2)&gt;0,_xlfn.TEXTBEFORE(ProjectLine1," ")&amp;IF(LEN(ProjectLine2)&gt;0,", "&amp;_xlfn.TEXTBEFORE(ProjectLine2," "),""),"")</calculatedColumnFormula>
    </tableColumn>
    <tableColumn id="6" xr3:uid="{00000000-0010-0000-0400-000006000000}" name="Milestone Name" dataDxfId="127">
      <calculatedColumnFormula>IF(COUNTA($N2:$AA2)&gt;0,"Final Estimate","")</calculatedColumnFormula>
    </tableColumn>
    <tableColumn id="7" xr3:uid="{00000000-0010-0000-0400-000007000000}" name="Schedule Letter" dataDxfId="126">
      <calculatedColumnFormula>IF(COUNTA($N2:$AA2)&gt;0,Letter,"")</calculatedColumnFormula>
    </tableColumn>
    <tableColumn id="8" xr3:uid="{00000000-0010-0000-0400-000008000000}" name="Schedule Awarded?" dataDxfId="125">
      <calculatedColumnFormula>IF(COUNTA($N2:$AA2)&gt;0,LEN(Awarded2)&gt;0,"")</calculatedColumnFormula>
    </tableColumn>
    <tableColumn id="9" xr3:uid="{00000000-0010-0000-0400-000009000000}" name="Award Date" dataDxfId="124">
      <calculatedColumnFormula>IF(COUNTA($N2:$AA2)&gt;0,AwardDate,"")</calculatedColumnFormula>
    </tableColumn>
    <tableColumn id="10" xr3:uid="{00000000-0010-0000-0400-00000A000000}" name="Schedule Type" dataDxfId="123">
      <calculatedColumnFormula>IF(COUNTA($N2:$AA2)&gt;0,SchedOpt,"")</calculatedColumnFormula>
    </tableColumn>
    <tableColumn id="11" xr3:uid="{00000000-0010-0000-0400-00000B000000}" name="Schedule Length" dataDxfId="122">
      <calculatedColumnFormula>IF(COUNTA($N2:$AA2)&gt;0,SUM(ProjectLength),"")</calculatedColumnFormula>
    </tableColumn>
    <tableColumn id="12" xr3:uid="{00000000-0010-0000-0400-00000C000000}" name="Schedule Lane Miles" dataDxfId="121">
      <calculatedColumnFormula>IF(COUNTA($N2:$AA2)&gt;0,LaneMiles,"")</calculatedColumnFormula>
    </tableColumn>
    <tableColumn id="13" xr3:uid="{00000000-0010-0000-0400-00000D000000}" name="Construction Type (Schedule)" dataDxfId="120">
      <calculatedColumnFormula>IF(COUNTA($N2:$AA2)&gt;0,ConstrType,"")</calculatedColumnFormula>
    </tableColumn>
    <tableColumn id="23" xr3:uid="{00000000-0010-0000-0400-000017000000}" name="Road/ Bridge" dataDxfId="119"/>
    <tableColumn id="14" xr3:uid="{00000000-0010-0000-0400-00000E000000}" name="GIS Route" dataDxfId="118"/>
    <tableColumn id="15" xr3:uid="{00000000-0010-0000-0400-00000F000000}" name="Bridge Iden. (No.)" dataDxfId="117"/>
    <tableColumn id="24" xr3:uid="{00000000-0010-0000-0400-000018000000}" name="Construction Type (Roadway/Bridge)" dataDxfId="116"/>
    <tableColumn id="16" xr3:uid="{00000000-0010-0000-0400-000010000000}" name="GIS Milepost Start" dataDxfId="115"/>
    <tableColumn id="17" xr3:uid="{00000000-0010-0000-0400-000011000000}" name="GIS Milepost End" dataDxfId="114"/>
    <tableColumn id="18" xr3:uid="{00000000-0010-0000-0400-000012000000}" name="GIS Length" dataDxfId="113"/>
    <tableColumn id="19" xr3:uid="{00000000-0010-0000-0400-000013000000}" name="Lat Begin" dataDxfId="112"/>
    <tableColumn id="20" xr3:uid="{00000000-0010-0000-0400-000014000000}" name="Long Begin" dataDxfId="111"/>
    <tableColumn id="21" xr3:uid="{00000000-0010-0000-0400-000015000000}" name="Lat End" dataDxfId="110"/>
    <tableColumn id="22" xr3:uid="{00000000-0010-0000-0400-000016000000}" name="Long End" dataDxfId="109"/>
    <tableColumn id="25" xr3:uid="{00000000-0010-0000-0400-000019000000}" name="Parking Lot Area" dataDxfId="108"/>
    <tableColumn id="26" xr3:uid="{00000000-0010-0000-0400-00001A000000}" name="Bridge Size (Area)" dataDxfId="107"/>
    <tableColumn id="27" xr3:uid="{00000000-0010-0000-0400-00001B000000}" name="Bridge Length" dataDxfId="106"/>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lcs" displayName="Calcs" ref="A3:CJ253" totalsRowShown="0" dataDxfId="96" headerRowCellStyle="Normal 2" dataCellStyle="Normal 2">
  <autoFilter ref="A3:CJ253" xr:uid="{00000000-0009-0000-0100-000006000000}"/>
  <tableColumns count="88">
    <tableColumn id="1" xr3:uid="{00000000-0010-0000-0500-000001000000}" name="Counter" dataDxfId="95" dataCellStyle="Normal 2">
      <calculatedColumnFormula>IFERROR(OFFSET(A4,-1,0)+0,0)+MAX(IF(LEN(Calcs[[#This Row],[Line]])&gt;0,1,0),Calcs[[#This Row],[DL]],Calcs[[#This Row],[RL]])</calculatedColumnFormula>
    </tableColumn>
    <tableColumn id="3" xr3:uid="{00000000-0010-0000-0500-000003000000}" name="Line" dataDxfId="94" dataCellStyle="Normal 2">
      <calculatedColumnFormula>IFERROR(INDEX(OFFSET(Items[Line],0,0,ROW(Proposed[])-ROW(Items[])+ROWS(Proposed[]),1),MATCH(ROW(B4)-ROW(B$3),INDIRECT(RangeCount),0)),"")</calculatedColumnFormula>
    </tableColumn>
    <tableColumn id="4" xr3:uid="{00000000-0010-0000-0500-000004000000}" name="Description" dataDxfId="93" dataCellStyle="Normal 2">
      <calculatedColumnFormula>IF(LEN(Calcs[[#This Row],[Line]])&gt;0,TRIM(IFERROR(INDEX(Items[Description],MATCH(Calcs[[#This Row],[Line]],Items[Line],0))&amp;INDEX(Items[Description2],MATCH(Calcs[[#This Row],[Line]],Items[Line],0)),INDEX(Proposed[Description],MATCH(Calcs[[#This Row],[Line]],Proposed[Line],0)))),"")</calculatedColumnFormula>
    </tableColumn>
    <tableColumn id="5" xr3:uid="{00000000-0010-0000-0500-000005000000}" name="DW01" dataDxfId="92" dataCellStyle="Normal 2">
      <calculatedColumnFormula>IFERROR(FIND(" ",$C4,IFERROR(OFFSET(D4,0,-1)+1,1)),LEN($C4))</calculatedColumnFormula>
    </tableColumn>
    <tableColumn id="6" xr3:uid="{00000000-0010-0000-0500-000006000000}" name="DW02" dataDxfId="91" dataCellStyle="Normal 2">
      <calculatedColumnFormula>IFERROR(FIND(" ",$C4,IFERROR(OFFSET(E4,0,-1)+1,1)),LEN($C4))</calculatedColumnFormula>
    </tableColumn>
    <tableColumn id="7" xr3:uid="{00000000-0010-0000-0500-000007000000}" name="DW03" dataDxfId="90" dataCellStyle="Normal 2">
      <calculatedColumnFormula>IFERROR(FIND(" ",$C4,IFERROR(OFFSET(F4,0,-1)+1,1)),LEN($C4))</calculatedColumnFormula>
    </tableColumn>
    <tableColumn id="8" xr3:uid="{00000000-0010-0000-0500-000008000000}" name="DW04" dataDxfId="89" dataCellStyle="Normal 2">
      <calculatedColumnFormula>IFERROR(FIND(" ",$C4,IFERROR(OFFSET(G4,0,-1)+1,1)),LEN($C4))</calculatedColumnFormula>
    </tableColumn>
    <tableColumn id="9" xr3:uid="{00000000-0010-0000-0500-000009000000}" name="DW05" dataDxfId="88" dataCellStyle="Normal 2">
      <calculatedColumnFormula>IFERROR(FIND(" ",$C4,IFERROR(OFFSET(H4,0,-1)+1,1)),LEN($C4))</calculatedColumnFormula>
    </tableColumn>
    <tableColumn id="10" xr3:uid="{00000000-0010-0000-0500-00000A000000}" name="DW06" dataDxfId="87" dataCellStyle="Normal 2">
      <calculatedColumnFormula>IFERROR(FIND(" ",$C4,IFERROR(OFFSET(I4,0,-1)+1,1)),LEN($C4))</calculatedColumnFormula>
    </tableColumn>
    <tableColumn id="11" xr3:uid="{00000000-0010-0000-0500-00000B000000}" name="DW07" dataDxfId="86" dataCellStyle="Normal 2">
      <calculatedColumnFormula>IFERROR(FIND(" ",$C4,IFERROR(OFFSET(J4,0,-1)+1,1)),LEN($C4))</calculatedColumnFormula>
    </tableColumn>
    <tableColumn id="12" xr3:uid="{00000000-0010-0000-0500-00000C000000}" name="DW08" dataDxfId="85" dataCellStyle="Normal 2">
      <calculatedColumnFormula>IFERROR(FIND(" ",$C4,IFERROR(OFFSET(K4,0,-1)+1,1)),LEN($C4))</calculatedColumnFormula>
    </tableColumn>
    <tableColumn id="13" xr3:uid="{00000000-0010-0000-0500-00000D000000}" name="DW09" dataDxfId="84" dataCellStyle="Normal 2">
      <calculatedColumnFormula>IFERROR(FIND(" ",$C4,IFERROR(OFFSET(L4,0,-1)+1,1)),LEN($C4))</calculatedColumnFormula>
    </tableColumn>
    <tableColumn id="14" xr3:uid="{00000000-0010-0000-0500-00000E000000}" name="DW10" dataDxfId="83" dataCellStyle="Normal 2">
      <calculatedColumnFormula>IFERROR(FIND(" ",$C4,IFERROR(OFFSET(M4,0,-1)+1,1)),LEN($C4))</calculatedColumnFormula>
    </tableColumn>
    <tableColumn id="15" xr3:uid="{00000000-0010-0000-0500-00000F000000}" name="DW11" dataDxfId="82" dataCellStyle="Normal 2">
      <calculatedColumnFormula>IFERROR(FIND(" ",$C4,IFERROR(OFFSET(N4,0,-1)+1,1)),LEN($C4))</calculatedColumnFormula>
    </tableColumn>
    <tableColumn id="16" xr3:uid="{00000000-0010-0000-0500-000010000000}" name="DW12" dataDxfId="81" dataCellStyle="Normal 2">
      <calculatedColumnFormula>IFERROR(FIND(" ",$C4,IFERROR(OFFSET(O4,0,-1)+1,1)),LEN($C4))</calculatedColumnFormula>
    </tableColumn>
    <tableColumn id="17" xr3:uid="{00000000-0010-0000-0500-000011000000}" name="DW13" dataDxfId="80" dataCellStyle="Normal 2">
      <calculatedColumnFormula>IFERROR(FIND(" ",$C4,IFERROR(OFFSET(P4,0,-1)+1,1)),LEN($C4))</calculatedColumnFormula>
    </tableColumn>
    <tableColumn id="18" xr3:uid="{00000000-0010-0000-0500-000012000000}" name="DW14" dataDxfId="79" dataCellStyle="Normal 2">
      <calculatedColumnFormula>IFERROR(FIND(" ",$C4,IFERROR(OFFSET(Q4,0,-1)+1,1)),LEN($C4))</calculatedColumnFormula>
    </tableColumn>
    <tableColumn id="19" xr3:uid="{00000000-0010-0000-0500-000013000000}" name="DW15" dataDxfId="78" dataCellStyle="Normal 2">
      <calculatedColumnFormula>IFERROR(FIND(" ",$C4,IFERROR(OFFSET(R4,0,-1)+1,1)),LEN($C4))</calculatedColumnFormula>
    </tableColumn>
    <tableColumn id="20" xr3:uid="{00000000-0010-0000-0500-000014000000}" name="DW16" dataDxfId="77" dataCellStyle="Normal 2">
      <calculatedColumnFormula>IFERROR(FIND(" ",$C4,IFERROR(OFFSET(S4,0,-1)+1,1)),LEN($C4))</calculatedColumnFormula>
    </tableColumn>
    <tableColumn id="21" xr3:uid="{00000000-0010-0000-0500-000015000000}" name="DW17" dataDxfId="76" dataCellStyle="Normal 2">
      <calculatedColumnFormula>IFERROR(FIND(" ",$C4,IFERROR(OFFSET(T4,0,-1)+1,1)),LEN($C4))</calculatedColumnFormula>
    </tableColumn>
    <tableColumn id="22" xr3:uid="{00000000-0010-0000-0500-000016000000}" name="DW18" dataDxfId="75" dataCellStyle="Normal 2">
      <calculatedColumnFormula>IFERROR(FIND(" ",$C4,IFERROR(OFFSET(U4,0,-1)+1,1)),LEN($C4))</calculatedColumnFormula>
    </tableColumn>
    <tableColumn id="23" xr3:uid="{00000000-0010-0000-0500-000017000000}" name="DW19" dataDxfId="74" dataCellStyle="Normal 2">
      <calculatedColumnFormula>IFERROR(FIND(" ",$C4,IFERROR(OFFSET(V4,0,-1)+1,1)),LEN($C4))</calculatedColumnFormula>
    </tableColumn>
    <tableColumn id="24" xr3:uid="{00000000-0010-0000-0500-000018000000}" name="DW20" dataDxfId="73" dataCellStyle="Normal 2">
      <calculatedColumnFormula>IFERROR(FIND(" ",$C4,IFERROR(OFFSET(W4,0,-1)+1,1)),LEN($C4))</calculatedColumnFormula>
    </tableColumn>
    <tableColumn id="25" xr3:uid="{00000000-0010-0000-0500-000019000000}" name="DW21" dataDxfId="72" dataCellStyle="Normal 2">
      <calculatedColumnFormula>IFERROR(FIND(" ",$C4,IFERROR(OFFSET(X4,0,-1)+1,1)),LEN($C4))</calculatedColumnFormula>
    </tableColumn>
    <tableColumn id="26" xr3:uid="{00000000-0010-0000-0500-00001A000000}" name="DW22" dataDxfId="71" dataCellStyle="Normal 2">
      <calculatedColumnFormula>IFERROR(FIND(" ",$C4,IFERROR(OFFSET(Y4,0,-1)+1,1)),LEN($C4))</calculatedColumnFormula>
    </tableColumn>
    <tableColumn id="27" xr3:uid="{00000000-0010-0000-0500-00001B000000}" name="DW23" dataDxfId="70" dataCellStyle="Normal 2">
      <calculatedColumnFormula>IFERROR(FIND(" ",$C4,IFERROR(OFFSET(Z4,0,-1)+1,1)),LEN($C4))</calculatedColumnFormula>
    </tableColumn>
    <tableColumn id="28" xr3:uid="{00000000-0010-0000-0500-00001C000000}" name="DW24" dataDxfId="69" dataCellStyle="Normal 2">
      <calculatedColumnFormula>IFERROR(FIND(" ",$C4,IFERROR(OFFSET(AA4,0,-1)+1,1)),LEN($C4))</calculatedColumnFormula>
    </tableColumn>
    <tableColumn id="29" xr3:uid="{00000000-0010-0000-0500-00001D000000}" name="DW25" dataDxfId="68" dataCellStyle="Normal 2">
      <calculatedColumnFormula>IFERROR(FIND(" ",$C4,IFERROR(OFFSET(AB4,0,-1)+1,1)),LEN($C4))</calculatedColumnFormula>
    </tableColumn>
    <tableColumn id="30" xr3:uid="{00000000-0010-0000-0500-00001E000000}" name="DW26" dataDxfId="67" dataCellStyle="Normal 2">
      <calculatedColumnFormula>IFERROR(FIND(" ",$C4,IFERROR(OFFSET(AC4,0,-1)+1,1)),LEN($C4))</calculatedColumnFormula>
    </tableColumn>
    <tableColumn id="31" xr3:uid="{00000000-0010-0000-0500-00001F000000}" name="DW27" dataDxfId="66" dataCellStyle="Normal 2">
      <calculatedColumnFormula>IFERROR(FIND(" ",$C4,IFERROR(OFFSET(AD4,0,-1)+1,1)),LEN($C4))</calculatedColumnFormula>
    </tableColumn>
    <tableColumn id="32" xr3:uid="{00000000-0010-0000-0500-000020000000}" name="DW28" dataDxfId="65" dataCellStyle="Normal 2">
      <calculatedColumnFormula>IFERROR(FIND(" ",$C4,IFERROR(OFFSET(AE4,0,-1)+1,1)),LEN($C4))</calculatedColumnFormula>
    </tableColumn>
    <tableColumn id="33" xr3:uid="{00000000-0010-0000-0500-000021000000}" name="DW29" dataDxfId="64" dataCellStyle="Normal 2">
      <calculatedColumnFormula>IFERROR(FIND(" ",$C4,IFERROR(OFFSET(AF4,0,-1)+1,1)),LEN($C4))</calculatedColumnFormula>
    </tableColumn>
    <tableColumn id="34" xr3:uid="{00000000-0010-0000-0500-000022000000}" name="DW30" dataDxfId="63" dataCellStyle="Normal 2">
      <calculatedColumnFormula>IFERROR(FIND(" ",$C4,IFERROR(OFFSET(AG4,0,-1)+1,1)),LEN($C4))</calculatedColumnFormula>
    </tableColumn>
    <tableColumn id="35" xr3:uid="{00000000-0010-0000-0500-000023000000}" name="DW31" dataDxfId="62" dataCellStyle="Normal 2">
      <calculatedColumnFormula>IFERROR(FIND(" ",$C4,IFERROR(OFFSET(AH4,0,-1)+1,1)),LEN($C4))</calculatedColumnFormula>
    </tableColumn>
    <tableColumn id="36" xr3:uid="{00000000-0010-0000-0500-000024000000}" name="DW32" dataDxfId="61" dataCellStyle="Normal 2">
      <calculatedColumnFormula>IFERROR(FIND(" ",$C4,IFERROR(OFFSET(AI4,0,-1)+1,1)),LEN($C4))</calculatedColumnFormula>
    </tableColumn>
    <tableColumn id="37" xr3:uid="{00000000-0010-0000-0500-000025000000}" name="DL1" dataDxfId="60" dataCellStyle="Normal 2">
      <calculatedColumnFormula>HLOOKUP(IF(COLUMN(AJ4)-COLUMN($AJ$3)=0,0,OFFSET(AJ4,0,-1))+widthPayItem,$D4:$AI4,1)</calculatedColumnFormula>
    </tableColumn>
    <tableColumn id="38" xr3:uid="{00000000-0010-0000-0500-000026000000}" name="DL2" dataDxfId="59" dataCellStyle="Normal 2">
      <calculatedColumnFormula>HLOOKUP(IF(COLUMN(AK4)-COLUMN($AJ$3)=0,0,OFFSET(AK4,0,-1))+widthPayItem,$D4:$AI4,1)</calculatedColumnFormula>
    </tableColumn>
    <tableColumn id="39" xr3:uid="{00000000-0010-0000-0500-000027000000}" name="DL3" dataDxfId="58" dataCellStyle="Normal 2">
      <calculatedColumnFormula>HLOOKUP(IF(COLUMN(AL4)-COLUMN($AJ$3)=0,0,OFFSET(AL4,0,-1))+widthPayItem,$D4:$AI4,1)</calculatedColumnFormula>
    </tableColumn>
    <tableColumn id="40" xr3:uid="{00000000-0010-0000-0500-000028000000}" name="DL4" dataDxfId="57" dataCellStyle="Normal 2">
      <calculatedColumnFormula>HLOOKUP(IF(COLUMN(AM4)-COLUMN($AJ$3)=0,0,OFFSET(AM4,0,-1))+widthPayItem,$D4:$AI4,1)</calculatedColumnFormula>
    </tableColumn>
    <tableColumn id="41" xr3:uid="{00000000-0010-0000-0500-000029000000}" name="DL5" dataDxfId="56" dataCellStyle="Normal 2">
      <calculatedColumnFormula>HLOOKUP(IF(COLUMN(AN4)-COLUMN($AJ$3)=0,0,OFFSET(AN4,0,-1))+widthPayItem,$D4:$AI4,1)</calculatedColumnFormula>
    </tableColumn>
    <tableColumn id="42" xr3:uid="{00000000-0010-0000-0500-00002A000000}" name="DL6" dataDxfId="55" dataCellStyle="Normal 2">
      <calculatedColumnFormula>HLOOKUP(IF(COLUMN(AO4)-COLUMN($AJ$3)=0,0,OFFSET(AO4,0,-1))+widthPayItem,$D4:$AI4,1)</calculatedColumnFormula>
    </tableColumn>
    <tableColumn id="43" xr3:uid="{00000000-0010-0000-0500-00002B000000}" name="DL7" dataDxfId="54" dataCellStyle="Normal 2">
      <calculatedColumnFormula>HLOOKUP(IF(COLUMN(AP4)-COLUMN($AJ$3)=0,0,OFFSET(AP4,0,-1))+widthPayItem,$D4:$AI4,1)</calculatedColumnFormula>
    </tableColumn>
    <tableColumn id="44" xr3:uid="{00000000-0010-0000-0500-00002C000000}" name="DL8" dataDxfId="53" dataCellStyle="Normal 2">
      <calculatedColumnFormula>HLOOKUP(IF(COLUMN(AQ4)-COLUMN($AJ$3)=0,0,OFFSET(AQ4,0,-1))+widthPayItem,$D4:$AI4,1)</calculatedColumnFormula>
    </tableColumn>
    <tableColumn id="45" xr3:uid="{00000000-0010-0000-0500-00002D000000}" name="DL" dataDxfId="52" dataCellStyle="Normal 2">
      <calculatedColumnFormula>COUNTIF(AJ4:AQ4,"&lt;"&amp;MAX(AJ4:AQ4))+IF(Calcs[[#This Row],[DL1]]=0,0,1)</calculatedColumnFormula>
    </tableColumn>
    <tableColumn id="46" xr3:uid="{00000000-0010-0000-0500-00002E000000}" name="Remarks" dataDxfId="51" dataCellStyle="Normal 2">
      <calculatedColumnFormula>IF(LEN(Calcs[[#This Row],[Line]])&gt;0,IF(RIGHT(Calcs[[#This Row],[Remark]],3)=".  ",LEFT(Calcs[[#This Row],[Remark]],LEN(Calcs[[#This Row],[Remark]])-3),Calcs[[#This Row],[Remark]]),"")</calculatedColumnFormula>
    </tableColumn>
    <tableColumn id="47" xr3:uid="{00000000-0010-0000-0500-00002F000000}" name="RW01" dataDxfId="50" dataCellStyle="Normal 2">
      <calculatedColumnFormula>IFERROR(FIND(" ",$AS4,IFERROR(OFFSET(AT4,0,-1)+1,1)),LEN($AS4))</calculatedColumnFormula>
    </tableColumn>
    <tableColumn id="48" xr3:uid="{00000000-0010-0000-0500-000030000000}" name="RW02" dataDxfId="49" dataCellStyle="Normal 2">
      <calculatedColumnFormula>IFERROR(FIND(" ",$AS4,IFERROR(OFFSET(AU4,0,-1)+1,1)),LEN($AS4))</calculatedColumnFormula>
    </tableColumn>
    <tableColumn id="49" xr3:uid="{00000000-0010-0000-0500-000031000000}" name="RW03" dataDxfId="48" dataCellStyle="Normal 2">
      <calculatedColumnFormula>IFERROR(FIND(" ",$AS4,IFERROR(OFFSET(AV4,0,-1)+1,1)),LEN($AS4))</calculatedColumnFormula>
    </tableColumn>
    <tableColumn id="50" xr3:uid="{00000000-0010-0000-0500-000032000000}" name="RW04" dataDxfId="47" dataCellStyle="Normal 2">
      <calculatedColumnFormula>IFERROR(FIND(" ",$AS4,IFERROR(OFFSET(AW4,0,-1)+1,1)),LEN($AS4))</calculatedColumnFormula>
    </tableColumn>
    <tableColumn id="51" xr3:uid="{00000000-0010-0000-0500-000033000000}" name="RW05" dataDxfId="46" dataCellStyle="Normal 2">
      <calculatedColumnFormula>IFERROR(FIND(" ",$AS4,IFERROR(OFFSET(AX4,0,-1)+1,1)),LEN($AS4))</calculatedColumnFormula>
    </tableColumn>
    <tableColumn id="52" xr3:uid="{00000000-0010-0000-0500-000034000000}" name="RW06" dataDxfId="45" dataCellStyle="Normal 2">
      <calculatedColumnFormula>IFERROR(FIND(" ",$AS4,IFERROR(OFFSET(AY4,0,-1)+1,1)),LEN($AS4))</calculatedColumnFormula>
    </tableColumn>
    <tableColumn id="53" xr3:uid="{00000000-0010-0000-0500-000035000000}" name="RW07" dataDxfId="44" dataCellStyle="Normal 2">
      <calculatedColumnFormula>IFERROR(FIND(" ",$AS4,IFERROR(OFFSET(AZ4,0,-1)+1,1)),LEN($AS4))</calculatedColumnFormula>
    </tableColumn>
    <tableColumn id="54" xr3:uid="{00000000-0010-0000-0500-000036000000}" name="RW08" dataDxfId="43" dataCellStyle="Normal 2">
      <calculatedColumnFormula>IFERROR(FIND(" ",$AS4,IFERROR(OFFSET(BA4,0,-1)+1,1)),LEN($AS4))</calculatedColumnFormula>
    </tableColumn>
    <tableColumn id="55" xr3:uid="{00000000-0010-0000-0500-000037000000}" name="RW09" dataDxfId="42" dataCellStyle="Normal 2">
      <calculatedColumnFormula>IFERROR(FIND(" ",$AS4,IFERROR(OFFSET(BB4,0,-1)+1,1)),LEN($AS4))</calculatedColumnFormula>
    </tableColumn>
    <tableColumn id="56" xr3:uid="{00000000-0010-0000-0500-000038000000}" name="RW10" dataDxfId="41" dataCellStyle="Normal 2">
      <calculatedColumnFormula>IFERROR(FIND(" ",$AS4,IFERROR(OFFSET(BC4,0,-1)+1,1)),LEN($AS4))</calculatedColumnFormula>
    </tableColumn>
    <tableColumn id="57" xr3:uid="{00000000-0010-0000-0500-000039000000}" name="RW11" dataDxfId="40" dataCellStyle="Normal 2">
      <calculatedColumnFormula>IFERROR(FIND(" ",$AS4,IFERROR(OFFSET(BD4,0,-1)+1,1)),LEN($AS4))</calculatedColumnFormula>
    </tableColumn>
    <tableColumn id="58" xr3:uid="{00000000-0010-0000-0500-00003A000000}" name="RW12" dataDxfId="39" dataCellStyle="Normal 2">
      <calculatedColumnFormula>IFERROR(FIND(" ",$AS4,IFERROR(OFFSET(BE4,0,-1)+1,1)),LEN($AS4))</calculatedColumnFormula>
    </tableColumn>
    <tableColumn id="59" xr3:uid="{00000000-0010-0000-0500-00003B000000}" name="RW13" dataDxfId="38" dataCellStyle="Normal 2">
      <calculatedColumnFormula>IFERROR(FIND(" ",$AS4,IFERROR(OFFSET(BF4,0,-1)+1,1)),LEN($AS4))</calculatedColumnFormula>
    </tableColumn>
    <tableColumn id="60" xr3:uid="{00000000-0010-0000-0500-00003C000000}" name="RW14" dataDxfId="37" dataCellStyle="Normal 2">
      <calculatedColumnFormula>IFERROR(FIND(" ",$AS4,IFERROR(OFFSET(BG4,0,-1)+1,1)),LEN($AS4))</calculatedColumnFormula>
    </tableColumn>
    <tableColumn id="61" xr3:uid="{00000000-0010-0000-0500-00003D000000}" name="RW15" dataDxfId="36" dataCellStyle="Normal 2">
      <calculatedColumnFormula>IFERROR(FIND(" ",$AS4,IFERROR(OFFSET(BH4,0,-1)+1,1)),LEN($AS4))</calculatedColumnFormula>
    </tableColumn>
    <tableColumn id="62" xr3:uid="{00000000-0010-0000-0500-00003E000000}" name="RW16" dataDxfId="35" dataCellStyle="Normal 2">
      <calculatedColumnFormula>IFERROR(FIND(" ",$AS4,IFERROR(OFFSET(BI4,0,-1)+1,1)),LEN($AS4))</calculatedColumnFormula>
    </tableColumn>
    <tableColumn id="63" xr3:uid="{00000000-0010-0000-0500-00003F000000}" name="RW17" dataDxfId="34" dataCellStyle="Normal 2">
      <calculatedColumnFormula>IFERROR(FIND(" ",$AS4,IFERROR(OFFSET(BJ4,0,-1)+1,1)),LEN($AS4))</calculatedColumnFormula>
    </tableColumn>
    <tableColumn id="64" xr3:uid="{00000000-0010-0000-0500-000040000000}" name="RW18" dataDxfId="33" dataCellStyle="Normal 2">
      <calculatedColumnFormula>IFERROR(FIND(" ",$AS4,IFERROR(OFFSET(BK4,0,-1)+1,1)),LEN($AS4))</calculatedColumnFormula>
    </tableColumn>
    <tableColumn id="65" xr3:uid="{00000000-0010-0000-0500-000041000000}" name="RW19" dataDxfId="32" dataCellStyle="Normal 2">
      <calculatedColumnFormula>IFERROR(FIND(" ",$AS4,IFERROR(OFFSET(BL4,0,-1)+1,1)),LEN($AS4))</calculatedColumnFormula>
    </tableColumn>
    <tableColumn id="66" xr3:uid="{00000000-0010-0000-0500-000042000000}" name="RW20" dataDxfId="31" dataCellStyle="Normal 2">
      <calculatedColumnFormula>IFERROR(FIND(" ",$AS4,IFERROR(OFFSET(BM4,0,-1)+1,1)),LEN($AS4))</calculatedColumnFormula>
    </tableColumn>
    <tableColumn id="67" xr3:uid="{00000000-0010-0000-0500-000043000000}" name="RW21" dataDxfId="30" dataCellStyle="Normal 2">
      <calculatedColumnFormula>IFERROR(FIND(" ",$AS4,IFERROR(OFFSET(BN4,0,-1)+1,1)),LEN($AS4))</calculatedColumnFormula>
    </tableColumn>
    <tableColumn id="68" xr3:uid="{00000000-0010-0000-0500-000044000000}" name="RW22" dataDxfId="29" dataCellStyle="Normal 2">
      <calculatedColumnFormula>IFERROR(FIND(" ",$AS4,IFERROR(OFFSET(BO4,0,-1)+1,1)),LEN($AS4))</calculatedColumnFormula>
    </tableColumn>
    <tableColumn id="69" xr3:uid="{00000000-0010-0000-0500-000045000000}" name="RW23" dataDxfId="28" dataCellStyle="Normal 2">
      <calculatedColumnFormula>IFERROR(FIND(" ",$AS4,IFERROR(OFFSET(BP4,0,-1)+1,1)),LEN($AS4))</calculatedColumnFormula>
    </tableColumn>
    <tableColumn id="70" xr3:uid="{00000000-0010-0000-0500-000046000000}" name="RW24" dataDxfId="27" dataCellStyle="Normal 2">
      <calculatedColumnFormula>IFERROR(FIND(" ",$AS4,IFERROR(OFFSET(BQ4,0,-1)+1,1)),LEN($AS4))</calculatedColumnFormula>
    </tableColumn>
    <tableColumn id="71" xr3:uid="{00000000-0010-0000-0500-000047000000}" name="RW25" dataDxfId="26" dataCellStyle="Normal 2">
      <calculatedColumnFormula>IFERROR(FIND(" ",$AS4,IFERROR(OFFSET(BR4,0,-1)+1,1)),LEN($AS4))</calculatedColumnFormula>
    </tableColumn>
    <tableColumn id="72" xr3:uid="{00000000-0010-0000-0500-000048000000}" name="RW26" dataDxfId="25" dataCellStyle="Normal 2">
      <calculatedColumnFormula>IFERROR(FIND(" ",$AS4,IFERROR(OFFSET(BS4,0,-1)+1,1)),LEN($AS4))</calculatedColumnFormula>
    </tableColumn>
    <tableColumn id="73" xr3:uid="{00000000-0010-0000-0500-000049000000}" name="RW27" dataDxfId="24" dataCellStyle="Normal 2">
      <calculatedColumnFormula>IFERROR(FIND(" ",$AS4,IFERROR(OFFSET(BT4,0,-1)+1,1)),LEN($AS4))</calculatedColumnFormula>
    </tableColumn>
    <tableColumn id="74" xr3:uid="{00000000-0010-0000-0500-00004A000000}" name="RW28" dataDxfId="23" dataCellStyle="Normal 2">
      <calculatedColumnFormula>IFERROR(FIND(" ",$AS4,IFERROR(OFFSET(BU4,0,-1)+1,1)),LEN($AS4))</calculatedColumnFormula>
    </tableColumn>
    <tableColumn id="75" xr3:uid="{00000000-0010-0000-0500-00004B000000}" name="RW29" dataDxfId="22" dataCellStyle="Normal 2">
      <calculatedColumnFormula>IFERROR(FIND(" ",$AS4,IFERROR(OFFSET(BV4,0,-1)+1,1)),LEN($AS4))</calculatedColumnFormula>
    </tableColumn>
    <tableColumn id="76" xr3:uid="{00000000-0010-0000-0500-00004C000000}" name="RW30" dataDxfId="21" dataCellStyle="Normal 2">
      <calculatedColumnFormula>IFERROR(FIND(" ",$AS4,IFERROR(OFFSET(BW4,0,-1)+1,1)),LEN($AS4))</calculatedColumnFormula>
    </tableColumn>
    <tableColumn id="77" xr3:uid="{00000000-0010-0000-0500-00004D000000}" name="RW31" dataDxfId="20" dataCellStyle="Normal 2">
      <calculatedColumnFormula>IFERROR(FIND(" ",$AS4,IFERROR(OFFSET(BX4,0,-1)+1,1)),LEN($AS4))</calculatedColumnFormula>
    </tableColumn>
    <tableColumn id="78" xr3:uid="{00000000-0010-0000-0500-00004E000000}" name="RW32" dataDxfId="19" dataCellStyle="Normal 2">
      <calculatedColumnFormula>IFERROR(FIND(" ",$AS4,IFERROR(OFFSET(BY4,0,-1)+1,1)),LEN($AS4))</calculatedColumnFormula>
    </tableColumn>
    <tableColumn id="79" xr3:uid="{00000000-0010-0000-0500-00004F000000}" name="RL1" dataDxfId="18" dataCellStyle="Normal 2">
      <calculatedColumnFormula>HLOOKUP(IF(COLUMN(BZ4)-COLUMN($BZ$3)=0,0,OFFSET(BZ4,0,-1))+widthRemarks,$AT4:$BY4,1)</calculatedColumnFormula>
    </tableColumn>
    <tableColumn id="80" xr3:uid="{00000000-0010-0000-0500-000050000000}" name="RL2" dataDxfId="17" dataCellStyle="Normal 2">
      <calculatedColumnFormula>HLOOKUP(IF(COLUMN(CA4)-COLUMN($BZ$3)=0,0,OFFSET(CA4,0,-1))+widthRemarks,$AT4:$BY4,1)</calculatedColumnFormula>
    </tableColumn>
    <tableColumn id="81" xr3:uid="{00000000-0010-0000-0500-000051000000}" name="RL3" dataDxfId="16" dataCellStyle="Normal 2">
      <calculatedColumnFormula>HLOOKUP(IF(COLUMN(CB4)-COLUMN($BZ$3)=0,0,OFFSET(CB4,0,-1))+widthRemarks,$AT4:$BY4,1)</calculatedColumnFormula>
    </tableColumn>
    <tableColumn id="82" xr3:uid="{00000000-0010-0000-0500-000052000000}" name="RL4" dataDxfId="15" dataCellStyle="Normal 2">
      <calculatedColumnFormula>HLOOKUP(IF(COLUMN(CC4)-COLUMN($BZ$3)=0,0,OFFSET(CC4,0,-1))+widthRemarks,$AT4:$BY4,1)</calculatedColumnFormula>
    </tableColumn>
    <tableColumn id="83" xr3:uid="{00000000-0010-0000-0500-000053000000}" name="RL5" dataDxfId="14" dataCellStyle="Normal 2">
      <calculatedColumnFormula>HLOOKUP(IF(COLUMN(CD4)-COLUMN($BZ$3)=0,0,OFFSET(CD4,0,-1))+widthRemarks,$AT4:$BY4,1)</calculatedColumnFormula>
    </tableColumn>
    <tableColumn id="84" xr3:uid="{00000000-0010-0000-0500-000054000000}" name="RL6" dataDxfId="13" dataCellStyle="Normal 2">
      <calculatedColumnFormula>HLOOKUP(IF(COLUMN(CE4)-COLUMN($BZ$3)=0,0,OFFSET(CE4,0,-1))+widthRemarks,$AT4:$BY4,1)</calculatedColumnFormula>
    </tableColumn>
    <tableColumn id="85" xr3:uid="{00000000-0010-0000-0500-000055000000}" name="RL7" dataDxfId="12" dataCellStyle="Normal 2">
      <calculatedColumnFormula>HLOOKUP(IF(COLUMN(CF4)-COLUMN($BZ$3)=0,0,OFFSET(CF4,0,-1))+widthRemarks,$AT4:$BY4,1)</calculatedColumnFormula>
    </tableColumn>
    <tableColumn id="86" xr3:uid="{00000000-0010-0000-0500-000056000000}" name="RL8" dataDxfId="11" dataCellStyle="Normal 2">
      <calculatedColumnFormula>HLOOKUP(IF(COLUMN(CG4)-COLUMN($BZ$3)=0,0,OFFSET(CG4,0,-1))+widthRemarks,$AT4:$BY4,1)</calculatedColumnFormula>
    </tableColumn>
    <tableColumn id="87" xr3:uid="{00000000-0010-0000-0500-000057000000}" name="RL" dataDxfId="10" dataCellStyle="Normal 2">
      <calculatedColumnFormula>COUNTIF(BZ4:CG4,"&lt;"&amp;MAX(BZ4:CG4))+IF(Calcs[[#This Row],[RL1]]=0,0,1)</calculatedColumnFormula>
    </tableColumn>
    <tableColumn id="90" xr3:uid="{00000000-0010-0000-0500-00005A000000}" name="Remark" dataDxfId="9" dataCellStyle="Normal 2">
      <calculatedColumnFormula>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calculatedColumnFormula>
    </tableColumn>
    <tableColumn id="2" xr3:uid="{00000000-0010-0000-0500-000002000000}" name="ContrQty" dataDxfId="8" dataCellStyle="Normal 2">
      <calculatedColumnFormula>IFERROR(OFFSET(CJ4,-1,0)+0,0)+IF(INDEX(INDIRECT(RangeContrQty),MATCH(Calcs[[#This Row],[Line]],OFFSET(Items[Line],0,0,ROW(Proposed[])-ROW(Items[])+ROWS(Proposed[]),1),0)),1,0)</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Pay.Item.Listing" displayName="Pay.Item.Listing" ref="A2:J3521" tableType="queryTable" totalsRowShown="0">
  <autoFilter ref="A2:J3521" xr:uid="{00000000-0009-0000-0100-00000A000000}"/>
  <tableColumns count="10">
    <tableColumn id="11" xr3:uid="{00000000-0010-0000-0600-00000B000000}" uniqueName="11" name="Pay Item" queryTableFieldId="1" dataDxfId="7"/>
    <tableColumn id="1" xr3:uid="{E99D8D34-A6BF-4A9D-B4DE-25776136494A}" uniqueName="1" name="Item Description MET" queryTableFieldId="11" dataDxfId="6"/>
    <tableColumn id="2" xr3:uid="{481DCCB6-EF62-418D-B0A5-80C86AA153A9}" uniqueName="2" name="Unit MET" queryTableFieldId="12" dataDxfId="5"/>
    <tableColumn id="3" xr3:uid="{7550C818-21B7-457B-A5BE-1708D8FE2F54}" uniqueName="3" name="Item Description USC" queryTableFieldId="13" dataDxfId="4"/>
    <tableColumn id="4" xr3:uid="{2122236A-9A77-4E68-B05D-D038BC0387C9}" uniqueName="4" name="UNIT USC" queryTableFieldId="14" dataDxfId="3"/>
    <tableColumn id="5" xr3:uid="{69BDF85E-9140-43C7-A49B-B26CF990B7C2}" uniqueName="5" name="BidDec" queryTableFieldId="15"/>
    <tableColumn id="6" xr3:uid="{5790BA72-0867-4493-AEB2-6715C86AAD97}" uniqueName="6" name="PayDec" queryTableFieldId="16"/>
    <tableColumn id="8" xr3:uid="{00000000-0010-0000-0600-000008000000}" uniqueName="8" name="Pay Item Type" queryTableFieldId="8" dataDxfId="2"/>
    <tableColumn id="9" xr3:uid="{00000000-0010-0000-0600-000009000000}" uniqueName="9" name="Changed" queryTableFieldId="9" dataDxfId="1"/>
    <tableColumn id="10" xr3:uid="{00000000-0010-0000-0600-00000A000000}" uniqueName="10" name="Comments" queryTableFieldId="10" dataDxfId="0"/>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ConstrTypes" displayName="ConstrTypes" ref="L2:L96" totalsRowShown="0">
  <autoFilter ref="L2:L96" xr:uid="{00000000-0009-0000-0100-000005000000}"/>
  <sortState xmlns:xlrd2="http://schemas.microsoft.com/office/spreadsheetml/2017/richdata2" ref="L3:L96">
    <sortCondition ref="L2:L96"/>
  </sortState>
  <tableColumns count="1">
    <tableColumn id="1" xr3:uid="{00000000-0010-0000-0700-000001000000}" name="Construction Types"/>
  </tableColumns>
  <tableStyleInfo name="TableStyleMedium2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Partners" displayName="Partners" ref="N2:N14" totalsRowShown="0">
  <autoFilter ref="N2:N14" xr:uid="{00000000-0009-0000-0100-000004000000}"/>
  <sortState xmlns:xlrd2="http://schemas.microsoft.com/office/spreadsheetml/2017/richdata2" ref="N3:N14">
    <sortCondition ref="N2:N14"/>
  </sortState>
  <tableColumns count="1">
    <tableColumn id="1" xr3:uid="{00000000-0010-0000-0800-000001000000}" name="List"/>
  </tableColumns>
  <tableStyleInfo name="TableStyleMedium1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Funding" displayName="Funding" ref="P2:Q40" totalsRowShown="0">
  <autoFilter ref="P2:Q40" xr:uid="{00000000-0009-0000-0100-000007000000}"/>
  <tableColumns count="2">
    <tableColumn id="1" xr3:uid="{00000000-0010-0000-0900-000001000000}" name="List"/>
    <tableColumn id="2" xr3:uid="{00000000-0010-0000-0900-000002000000}" name="Description"/>
  </tableColumns>
  <tableStyleInfo name="TableStyleMedium2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10.bin"/><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92"/>
  <sheetViews>
    <sheetView showGridLines="0" tabSelected="1" workbookViewId="0">
      <selection activeCell="I5" sqref="I5"/>
    </sheetView>
  </sheetViews>
  <sheetFormatPr defaultColWidth="10.7109375" defaultRowHeight="10.5" x14ac:dyDescent="0.15"/>
  <cols>
    <col min="1" max="1" width="6.7109375" style="1" customWidth="1"/>
    <col min="2" max="2" width="10.7109375" style="1"/>
    <col min="3" max="3" width="20.7109375" style="1" customWidth="1"/>
    <col min="4" max="4" width="18" style="1" customWidth="1"/>
    <col min="5" max="5" width="10.7109375" style="1"/>
    <col min="6" max="6" width="12.7109375" style="1" customWidth="1"/>
    <col min="7" max="7" width="10.7109375" style="1"/>
    <col min="8" max="8" width="16.7109375" style="1" customWidth="1"/>
    <col min="9" max="9" width="32.7109375" style="1" customWidth="1"/>
    <col min="10" max="10" width="14.7109375" style="1" customWidth="1"/>
    <col min="11" max="12" width="14.7109375" style="1" bestFit="1" customWidth="1"/>
    <col min="13" max="16384" width="10.7109375" style="1"/>
  </cols>
  <sheetData>
    <row r="1" spans="1:18" ht="18" x14ac:dyDescent="0.25">
      <c r="A1"/>
      <c r="B1" s="333" t="s">
        <v>10207</v>
      </c>
      <c r="C1" s="333"/>
      <c r="D1" s="333"/>
      <c r="E1" s="333"/>
      <c r="F1" s="269"/>
      <c r="H1" s="28" t="s">
        <v>0</v>
      </c>
      <c r="K1" s="51"/>
      <c r="L1" s="270"/>
      <c r="M1" s="268"/>
      <c r="N1" s="268"/>
      <c r="O1" s="268"/>
    </row>
    <row r="2" spans="1:18" ht="15" customHeight="1" x14ac:dyDescent="0.15">
      <c r="A2" s="50">
        <f ca="1">MAX(OFFSET(A$1,0,0,ROW(A2)-ROW(A$1),1))+1</f>
        <v>1</v>
      </c>
      <c r="B2" s="325" t="s">
        <v>1</v>
      </c>
      <c r="C2" s="325"/>
      <c r="D2" s="325"/>
      <c r="E2" s="325"/>
      <c r="F2" s="325"/>
      <c r="H2" s="320" t="s">
        <v>2</v>
      </c>
      <c r="I2" s="321"/>
      <c r="J2" s="321"/>
      <c r="K2" s="321"/>
      <c r="L2" s="321"/>
      <c r="M2"/>
      <c r="N2" s="268"/>
      <c r="O2" s="268"/>
    </row>
    <row r="3" spans="1:18" ht="15" customHeight="1" x14ac:dyDescent="0.15">
      <c r="B3" s="325"/>
      <c r="C3" s="325"/>
      <c r="D3" s="325"/>
      <c r="E3" s="325"/>
      <c r="F3" s="325"/>
      <c r="M3"/>
      <c r="N3" s="268"/>
      <c r="O3" s="268"/>
    </row>
    <row r="4" spans="1:18" ht="15" customHeight="1" x14ac:dyDescent="0.15">
      <c r="B4" s="325"/>
      <c r="C4" s="325"/>
      <c r="D4" s="325"/>
      <c r="E4" s="325"/>
      <c r="F4" s="325"/>
      <c r="H4" s="29" t="s">
        <v>3</v>
      </c>
      <c r="I4" s="182" t="s">
        <v>4</v>
      </c>
      <c r="M4"/>
      <c r="N4" s="268"/>
      <c r="O4" s="268"/>
    </row>
    <row r="5" spans="1:18" ht="30" customHeight="1" x14ac:dyDescent="0.15">
      <c r="A5" s="50">
        <f ca="1">MAX(OFFSET(A$1,0,0,ROW(A5)-ROW(A$1),1))+1</f>
        <v>2</v>
      </c>
      <c r="B5" s="325" t="s">
        <v>5</v>
      </c>
      <c r="C5" s="325"/>
      <c r="D5" s="325"/>
      <c r="E5" s="325"/>
      <c r="F5" s="325"/>
      <c r="H5" s="255" t="s">
        <v>8</v>
      </c>
      <c r="I5" s="185" t="s">
        <v>10208</v>
      </c>
      <c r="J5" s="326" t="s">
        <v>6</v>
      </c>
      <c r="K5" s="326"/>
      <c r="L5" s="107"/>
      <c r="M5"/>
      <c r="N5" s="268"/>
      <c r="O5" s="268"/>
    </row>
    <row r="6" spans="1:18" ht="37.5" customHeight="1" x14ac:dyDescent="0.15">
      <c r="A6" s="51" t="str">
        <f ca="1">IF(SheetsNeeded&gt;SheetsAvailable,"=&gt;","")</f>
        <v/>
      </c>
      <c r="B6" s="325" t="s">
        <v>7</v>
      </c>
      <c r="C6" s="325"/>
      <c r="D6" s="325"/>
      <c r="E6" s="325"/>
      <c r="F6" s="325"/>
      <c r="H6" s="255" t="s">
        <v>10</v>
      </c>
      <c r="I6" s="30"/>
      <c r="J6" s="326"/>
      <c r="K6" s="326"/>
    </row>
    <row r="7" spans="1:18" ht="30" customHeight="1" x14ac:dyDescent="0.15">
      <c r="A7" s="51" t="str">
        <f ca="1">IF(TODAY()-I19&gt;90,"=&gt;","")</f>
        <v/>
      </c>
      <c r="B7" s="334" t="s">
        <v>9</v>
      </c>
      <c r="C7" s="334"/>
      <c r="D7" s="334"/>
      <c r="E7" s="334"/>
      <c r="F7" s="334"/>
      <c r="H7" s="308" t="s">
        <v>10209</v>
      </c>
      <c r="I7" s="309" t="s">
        <v>10209</v>
      </c>
      <c r="J7" s="331" t="s">
        <v>10210</v>
      </c>
      <c r="K7" s="332"/>
      <c r="L7" s="107"/>
    </row>
    <row r="8" spans="1:18" ht="30" customHeight="1" x14ac:dyDescent="0.2">
      <c r="A8" s="52"/>
      <c r="B8" s="325" t="s">
        <v>11</v>
      </c>
      <c r="C8" s="325"/>
      <c r="D8" s="325"/>
      <c r="E8" s="325"/>
      <c r="F8" s="325"/>
      <c r="H8" s="310" t="s">
        <v>10211</v>
      </c>
      <c r="I8" s="309" t="s">
        <v>10211</v>
      </c>
      <c r="J8" s="331"/>
      <c r="K8" s="332"/>
      <c r="L8" s="107"/>
    </row>
    <row r="9" spans="1:18" ht="45" customHeight="1" x14ac:dyDescent="0.15">
      <c r="A9" s="50">
        <f ca="1">MAX(OFFSET(A$1,0,0,ROW(A9)-ROW(A$1),1))+1</f>
        <v>3</v>
      </c>
      <c r="B9" s="325" t="s">
        <v>12</v>
      </c>
      <c r="C9" s="325"/>
      <c r="D9" s="325"/>
      <c r="E9" s="325"/>
      <c r="F9" s="325"/>
      <c r="H9" s="255" t="s">
        <v>13</v>
      </c>
      <c r="I9" s="248"/>
    </row>
    <row r="10" spans="1:18" ht="15" customHeight="1" x14ac:dyDescent="0.15">
      <c r="B10" s="325"/>
      <c r="C10" s="325"/>
      <c r="D10" s="325"/>
      <c r="E10" s="325"/>
      <c r="F10" s="325"/>
      <c r="H10" s="29" t="s">
        <v>14</v>
      </c>
      <c r="I10" s="30" t="s">
        <v>15</v>
      </c>
      <c r="J10" s="107"/>
      <c r="K10" s="107"/>
      <c r="L10" s="107"/>
    </row>
    <row r="11" spans="1:18" ht="15" customHeight="1" x14ac:dyDescent="0.15">
      <c r="B11" s="325"/>
      <c r="C11" s="325"/>
      <c r="D11" s="325"/>
      <c r="E11" s="325"/>
      <c r="F11" s="325"/>
      <c r="H11" s="29" t="s">
        <v>16</v>
      </c>
      <c r="I11" s="30" t="s">
        <v>10213</v>
      </c>
      <c r="J11" s="66" t="s">
        <v>17</v>
      </c>
      <c r="K11" s="107"/>
      <c r="L11" s="107"/>
    </row>
    <row r="12" spans="1:18" ht="15" customHeight="1" x14ac:dyDescent="0.15">
      <c r="B12" s="325"/>
      <c r="C12" s="325"/>
      <c r="D12" s="325"/>
      <c r="E12" s="325"/>
      <c r="F12" s="325"/>
      <c r="H12" s="29" t="str">
        <f>IF(SchedOpt="Option","Option","Schedule")&amp;" Letter: "</f>
        <v xml:space="preserve">Schedule Letter: </v>
      </c>
      <c r="I12" s="67" t="s">
        <v>18</v>
      </c>
      <c r="J12" s="68" t="str">
        <f>IF(OR(ISNUMBER(I12),LEN(LEFT(TRIM(I12),1))=0),"A",LEFT(TRIM(I12),1))</f>
        <v>A</v>
      </c>
      <c r="K12" s="40" t="str">
        <f>IF(SchedOpt="Option","Option","Schedule")&amp;" letter used"</f>
        <v>Schedule letter used</v>
      </c>
      <c r="L12" s="107"/>
    </row>
    <row r="13" spans="1:18" ht="15" customHeight="1" x14ac:dyDescent="0.2">
      <c r="B13" s="325"/>
      <c r="C13" s="325"/>
      <c r="D13" s="325"/>
      <c r="E13" s="325"/>
      <c r="F13" s="325"/>
      <c r="H13" s="17" t="str">
        <f>IF(SchedOpt="Option","Option","Schedule")&amp;" lane miles: "</f>
        <v xml:space="preserve">Schedule lane miles: </v>
      </c>
      <c r="I13" s="30"/>
    </row>
    <row r="14" spans="1:18" ht="15" customHeight="1" x14ac:dyDescent="0.2">
      <c r="A14" s="50">
        <f ca="1">MAX(OFFSET(A$1,0,0,ROW(A14)-ROW(A$1),1))+1</f>
        <v>4</v>
      </c>
      <c r="B14" s="328" t="s">
        <v>19</v>
      </c>
      <c r="C14" s="328"/>
      <c r="D14" s="328"/>
      <c r="E14" s="328"/>
      <c r="F14" s="328"/>
      <c r="H14" s="17" t="s">
        <v>20</v>
      </c>
      <c r="I14" s="183"/>
      <c r="L14" s="107"/>
      <c r="N14"/>
      <c r="O14"/>
      <c r="P14"/>
      <c r="Q14"/>
      <c r="R14"/>
    </row>
    <row r="15" spans="1:18" ht="15" customHeight="1" x14ac:dyDescent="0.2">
      <c r="A15" s="50"/>
      <c r="B15" s="328"/>
      <c r="C15" s="328"/>
      <c r="D15" s="328"/>
      <c r="E15" s="328"/>
      <c r="F15" s="328"/>
      <c r="H15" s="17" t="s">
        <v>21</v>
      </c>
      <c r="I15" s="183"/>
      <c r="L15" s="107"/>
      <c r="N15"/>
      <c r="O15"/>
      <c r="P15"/>
      <c r="Q15"/>
      <c r="R15"/>
    </row>
    <row r="16" spans="1:18" ht="15" customHeight="1" x14ac:dyDescent="0.2">
      <c r="A16" s="50"/>
      <c r="B16" s="328"/>
      <c r="C16" s="328"/>
      <c r="D16" s="328"/>
      <c r="E16" s="328"/>
      <c r="F16" s="328"/>
      <c r="H16" s="17" t="s">
        <v>22</v>
      </c>
      <c r="I16" s="183"/>
      <c r="J16" s="183"/>
      <c r="K16" s="183"/>
      <c r="L16" s="107"/>
      <c r="N16"/>
      <c r="O16"/>
      <c r="P16"/>
      <c r="Q16"/>
      <c r="R16"/>
    </row>
    <row r="17" spans="1:18" ht="15" customHeight="1" x14ac:dyDescent="0.2">
      <c r="A17" s="50"/>
      <c r="B17" s="328" t="s">
        <v>23</v>
      </c>
      <c r="C17" s="328"/>
      <c r="D17" s="328"/>
      <c r="E17" s="328"/>
      <c r="F17" s="328"/>
      <c r="H17" s="17" t="s">
        <v>24</v>
      </c>
      <c r="I17" s="183"/>
      <c r="J17" s="184"/>
      <c r="K17" s="184"/>
      <c r="L17" s="107"/>
      <c r="N17"/>
      <c r="O17"/>
      <c r="P17"/>
      <c r="Q17"/>
      <c r="R17"/>
    </row>
    <row r="18" spans="1:18" ht="15" customHeight="1" x14ac:dyDescent="0.2">
      <c r="A18" s="50"/>
      <c r="B18" s="328"/>
      <c r="C18" s="328"/>
      <c r="D18" s="328"/>
      <c r="E18" s="328"/>
      <c r="F18" s="328"/>
      <c r="H18" s="17" t="s">
        <v>25</v>
      </c>
      <c r="I18" s="31" t="s">
        <v>10212</v>
      </c>
      <c r="J18" s="323" t="str">
        <f ca="1">MIN(SheetsNeeded,SheetsAvailable)&amp;" of "&amp;SheetsNeeded&amp;" Needed sheets available"</f>
        <v>1 of 1 Needed sheets available</v>
      </c>
      <c r="K18" s="324"/>
      <c r="L18" s="324"/>
      <c r="N18"/>
      <c r="O18"/>
      <c r="P18"/>
      <c r="Q18"/>
      <c r="R18"/>
    </row>
    <row r="19" spans="1:18" ht="12.75" x14ac:dyDescent="0.2">
      <c r="A19" s="50"/>
      <c r="B19" s="328"/>
      <c r="C19" s="328"/>
      <c r="D19" s="328"/>
      <c r="E19" s="328"/>
      <c r="F19" s="328"/>
      <c r="H19" s="17" t="s">
        <v>26</v>
      </c>
      <c r="I19" s="118">
        <f>MAX(Pay.Item.Listing[Changed])</f>
        <v>45568</v>
      </c>
      <c r="J19"/>
      <c r="K19"/>
      <c r="L19"/>
      <c r="N19"/>
      <c r="O19"/>
      <c r="P19"/>
      <c r="Q19"/>
      <c r="R19"/>
    </row>
    <row r="20" spans="1:18" ht="15" customHeight="1" x14ac:dyDescent="0.2">
      <c r="A20" s="50"/>
      <c r="B20" s="328" t="s">
        <v>27</v>
      </c>
      <c r="C20" s="328"/>
      <c r="D20" s="328"/>
      <c r="E20" s="328"/>
      <c r="F20" s="328"/>
      <c r="H20" s="17"/>
      <c r="I20" s="3" t="s">
        <v>28</v>
      </c>
      <c r="J20" s="322">
        <v>45628</v>
      </c>
      <c r="K20" s="322"/>
      <c r="N20"/>
      <c r="O20"/>
      <c r="P20"/>
      <c r="Q20"/>
      <c r="R20"/>
    </row>
    <row r="21" spans="1:18" ht="15" customHeight="1" x14ac:dyDescent="0.25">
      <c r="A21" s="50"/>
      <c r="B21" s="328"/>
      <c r="C21" s="328"/>
      <c r="D21" s="328"/>
      <c r="E21" s="328"/>
      <c r="F21" s="328"/>
      <c r="H21" s="28" t="s">
        <v>29</v>
      </c>
      <c r="N21"/>
      <c r="O21"/>
      <c r="P21"/>
      <c r="Q21"/>
      <c r="R21"/>
    </row>
    <row r="22" spans="1:18" ht="15" customHeight="1" x14ac:dyDescent="0.2">
      <c r="A22" s="50"/>
      <c r="B22" s="328"/>
      <c r="C22" s="328"/>
      <c r="D22" s="328"/>
      <c r="E22" s="328"/>
      <c r="F22" s="328"/>
      <c r="H22" s="16" t="s">
        <v>30</v>
      </c>
      <c r="N22"/>
      <c r="O22"/>
      <c r="P22"/>
      <c r="Q22"/>
      <c r="R22"/>
    </row>
    <row r="23" spans="1:18" ht="15" customHeight="1" x14ac:dyDescent="0.2">
      <c r="B23" s="328" t="s">
        <v>31</v>
      </c>
      <c r="C23" s="328"/>
      <c r="D23" s="328"/>
      <c r="E23" s="328"/>
      <c r="F23" s="328"/>
      <c r="H23" s="17" t="s">
        <v>32</v>
      </c>
      <c r="I23" s="75">
        <v>20</v>
      </c>
      <c r="N23"/>
      <c r="O23"/>
      <c r="P23"/>
      <c r="Q23"/>
      <c r="R23"/>
    </row>
    <row r="24" spans="1:18" ht="15" customHeight="1" x14ac:dyDescent="0.2">
      <c r="A24" s="53"/>
      <c r="B24" s="328"/>
      <c r="C24" s="328"/>
      <c r="D24" s="328"/>
      <c r="E24" s="328"/>
      <c r="F24" s="328"/>
      <c r="H24" s="17" t="s">
        <v>33</v>
      </c>
      <c r="I24" s="41">
        <v>20</v>
      </c>
      <c r="N24"/>
      <c r="O24"/>
      <c r="P24"/>
      <c r="Q24"/>
      <c r="R24"/>
    </row>
    <row r="25" spans="1:18" ht="15" customHeight="1" x14ac:dyDescent="0.2">
      <c r="A25" s="50"/>
      <c r="B25" s="328"/>
      <c r="C25" s="328"/>
      <c r="D25" s="328"/>
      <c r="E25" s="328"/>
      <c r="F25" s="328"/>
      <c r="H25" s="17" t="s">
        <v>34</v>
      </c>
      <c r="I25" s="41" t="s">
        <v>35</v>
      </c>
      <c r="N25"/>
      <c r="O25"/>
      <c r="P25"/>
      <c r="Q25"/>
      <c r="R25"/>
    </row>
    <row r="26" spans="1:18" ht="15" customHeight="1" x14ac:dyDescent="0.2">
      <c r="A26" s="53"/>
      <c r="B26" s="328"/>
      <c r="C26" s="328"/>
      <c r="D26" s="328"/>
      <c r="E26" s="328"/>
      <c r="F26" s="328"/>
      <c r="H26" s="46" t="s">
        <v>36</v>
      </c>
      <c r="I26" s="75" t="s">
        <v>37</v>
      </c>
      <c r="N26"/>
      <c r="O26"/>
      <c r="P26"/>
      <c r="Q26"/>
      <c r="R26"/>
    </row>
    <row r="27" spans="1:18" ht="15" customHeight="1" x14ac:dyDescent="0.2">
      <c r="A27" s="53"/>
      <c r="B27" s="325" t="s">
        <v>38</v>
      </c>
      <c r="C27" s="325"/>
      <c r="D27" s="325"/>
      <c r="E27" s="325"/>
      <c r="F27" s="325"/>
      <c r="H27" s="17" t="s">
        <v>39</v>
      </c>
      <c r="I27" s="41">
        <v>5</v>
      </c>
      <c r="N27"/>
      <c r="O27"/>
      <c r="P27"/>
      <c r="Q27"/>
      <c r="R27"/>
    </row>
    <row r="28" spans="1:18" ht="15" customHeight="1" x14ac:dyDescent="0.2">
      <c r="A28" s="53"/>
      <c r="B28" s="325"/>
      <c r="C28" s="325"/>
      <c r="D28" s="325"/>
      <c r="E28" s="325"/>
      <c r="F28" s="325"/>
      <c r="H28" s="17" t="s">
        <v>40</v>
      </c>
      <c r="I28" s="41">
        <v>40</v>
      </c>
      <c r="N28"/>
      <c r="O28"/>
      <c r="P28"/>
      <c r="Q28"/>
      <c r="R28"/>
    </row>
    <row r="29" spans="1:18" ht="15" customHeight="1" x14ac:dyDescent="0.2">
      <c r="A29" s="53"/>
      <c r="B29" s="325"/>
      <c r="C29" s="325"/>
      <c r="D29" s="325"/>
      <c r="E29" s="325"/>
      <c r="F29" s="325"/>
      <c r="H29" s="17" t="s">
        <v>41</v>
      </c>
      <c r="I29" s="119">
        <f ca="1">IF(AND(MOD(TotalLines,MaxRows)&gt;0,MOD(TotalLines,MaxRows)&lt;MinRows),IFERROR(INT((TotalLines-MinRows)/ROUND((TotalLines-MinRows)/MaxRows,0)),MaxRows),MaxRows)</f>
        <v>40</v>
      </c>
    </row>
    <row r="30" spans="1:18" ht="15" customHeight="1" x14ac:dyDescent="0.2">
      <c r="A30" s="50">
        <f ca="1">MAX(OFFSET(A$1,0,0,ROW(A30)-ROW(A$1),1))+1</f>
        <v>5</v>
      </c>
      <c r="B30" s="330" t="s">
        <v>42</v>
      </c>
      <c r="C30" s="330"/>
      <c r="D30" s="330"/>
      <c r="E30" s="330"/>
      <c r="F30" s="330"/>
      <c r="H30" s="17" t="s">
        <v>43</v>
      </c>
      <c r="I30" s="119">
        <f ca="1">MAX(Calcs[Counter])</f>
        <v>10</v>
      </c>
    </row>
    <row r="31" spans="1:18" ht="15" customHeight="1" x14ac:dyDescent="0.2">
      <c r="A31" s="53"/>
      <c r="B31" s="330"/>
      <c r="C31" s="330"/>
      <c r="D31" s="330"/>
      <c r="E31" s="330"/>
      <c r="F31" s="330"/>
      <c r="H31" s="17" t="s">
        <v>44</v>
      </c>
      <c r="I31" s="119" t="str">
        <f>LEFT(Sheet,MIN(FIND({0,1,2,3,4,5,6,7,8,9},Sheet&amp;"0123456789"))-1)</f>
        <v>C.</v>
      </c>
    </row>
    <row r="32" spans="1:18" ht="15" customHeight="1" x14ac:dyDescent="0.2">
      <c r="B32" s="330"/>
      <c r="C32" s="330"/>
      <c r="D32" s="330"/>
      <c r="E32" s="330"/>
      <c r="F32" s="330"/>
      <c r="H32" s="46" t="s">
        <v>45</v>
      </c>
      <c r="I32" s="119">
        <f ca="1">MATCH(MAX(SheetNames[Begins]),SheetNames[Begins],0)-1</f>
        <v>1</v>
      </c>
    </row>
    <row r="33" spans="1:27" ht="15" customHeight="1" x14ac:dyDescent="0.2">
      <c r="A33" s="50">
        <f ca="1">MAX(OFFSET(A$1,0,0,ROW(A33)-ROW(A$1),1))+1</f>
        <v>6</v>
      </c>
      <c r="B33" s="327" t="s">
        <v>46</v>
      </c>
      <c r="C33" s="327"/>
      <c r="D33" s="327"/>
      <c r="E33" s="327"/>
      <c r="F33" s="327"/>
      <c r="H33" s="46" t="s">
        <v>47</v>
      </c>
      <c r="I33" s="119">
        <f ca="1">MAX(SheetNames[Sheet num])</f>
        <v>1</v>
      </c>
    </row>
    <row r="34" spans="1:27" ht="15" customHeight="1" x14ac:dyDescent="0.2">
      <c r="B34" s="327"/>
      <c r="C34" s="327"/>
      <c r="D34" s="327"/>
      <c r="E34" s="327"/>
      <c r="F34" s="327"/>
      <c r="H34" s="46" t="s">
        <v>48</v>
      </c>
      <c r="I34" s="119">
        <v>7</v>
      </c>
    </row>
    <row r="35" spans="1:27" ht="15" customHeight="1" x14ac:dyDescent="0.15">
      <c r="B35" s="327"/>
      <c r="C35" s="327"/>
      <c r="D35" s="327"/>
      <c r="E35" s="327"/>
      <c r="F35" s="327"/>
    </row>
    <row r="36" spans="1:27" ht="15" customHeight="1" x14ac:dyDescent="0.25">
      <c r="B36" s="327" t="s">
        <v>49</v>
      </c>
      <c r="C36" s="327"/>
      <c r="D36" s="327"/>
      <c r="E36" s="327"/>
      <c r="F36" s="327"/>
      <c r="H36" s="28" t="s">
        <v>50</v>
      </c>
    </row>
    <row r="37" spans="1:27" ht="15" customHeight="1" x14ac:dyDescent="0.15">
      <c r="B37" s="327"/>
      <c r="C37" s="327"/>
      <c r="D37" s="327"/>
      <c r="E37" s="327"/>
      <c r="F37" s="327"/>
      <c r="H37" s="1" t="s">
        <v>51</v>
      </c>
      <c r="I37" s="1" t="str">
        <f ca="1">REPLACE(CELL("filename",Items[]),1,FIND("[",CELL("filename",Items[])),"'[")&amp;"'!"&amp;ADDRESS(ROW(Items[]),COLUMN(Items[Item]))&amp;":"&amp;ADDRESS(ROW(Items[])+ROW(Proposed[])-ROW(Items[])+ROWS(Proposed[])-1,COLUMN(Items[Item]))</f>
        <v>'[estimate-24.xlsx]Inputs'!$AN$5:$AN$285</v>
      </c>
    </row>
    <row r="38" spans="1:27" ht="15" customHeight="1" x14ac:dyDescent="0.15">
      <c r="B38" s="327"/>
      <c r="C38" s="327"/>
      <c r="D38" s="327"/>
      <c r="E38" s="327"/>
      <c r="F38" s="327"/>
      <c r="H38" s="1" t="s">
        <v>52</v>
      </c>
      <c r="I38" s="1" t="str">
        <f ca="1">REPLACE(CELL("filename",Items[]),1,FIND("[",CELL("filename",Items[])),"'[")&amp;"'!"&amp;ADDRESS(ROW(Items[]),COLUMN(Items[Description]))&amp;":"&amp;ADDRESS(ROW(Items[])+ROW(Proposed[])-ROW(Items[])+ROWS(Proposed[])-1,COLUMN(Items[Description]))</f>
        <v>'[estimate-24.xlsx]Inputs'!$F$5:$F$285</v>
      </c>
    </row>
    <row r="39" spans="1:27" ht="15" customHeight="1" x14ac:dyDescent="0.15">
      <c r="A39" s="50">
        <f ca="1">MAX(OFFSET(A$1,0,0,ROW(A39)-ROW(A$1),1))+1</f>
        <v>7</v>
      </c>
      <c r="B39" s="325" t="s">
        <v>53</v>
      </c>
      <c r="C39" s="325"/>
      <c r="D39" s="325"/>
      <c r="E39" s="325"/>
      <c r="F39" s="325"/>
      <c r="H39" s="1" t="s">
        <v>54</v>
      </c>
      <c r="I39" s="1" t="str">
        <f ca="1">REPLACE(CELL("filename",Items[]),1,FIND("[",CELL("filename",Items[])),"'[")&amp;"'!"&amp;ADDRESS(ROW(Items[]),COLUMN(Items[Description2]))&amp;":"&amp;ADDRESS(ROW(Items[])+ROW(Proposed[])-ROW(Items[])+ROWS(Proposed[])-1,COLUMN(Items[Description2]))</f>
        <v>'[estimate-24.xlsx]Inputs'!$J$5:$J$285</v>
      </c>
    </row>
    <row r="40" spans="1:27" ht="15" customHeight="1" x14ac:dyDescent="0.15">
      <c r="B40" s="325"/>
      <c r="C40" s="325"/>
      <c r="D40" s="325"/>
      <c r="E40" s="325"/>
      <c r="F40" s="325"/>
      <c r="H40" s="1" t="s">
        <v>55</v>
      </c>
      <c r="I40" s="1" t="str">
        <f ca="1">REPLACE(CELL("filename",Items[]),1,FIND("[",CELL("filename",Items[])),"'[")&amp;"'!"&amp;ADDRESS(ROW(Items[]),COLUMN(Items[Unit]))&amp;":"&amp;ADDRESS(ROW(Items[])+ROW(Proposed[])-ROW(Items[])+ROWS(Proposed[])-1,COLUMN(Items[Unit]))</f>
        <v>'[estimate-24.xlsx]Inputs'!$G$5:$G$285</v>
      </c>
    </row>
    <row r="41" spans="1:27" ht="15" customHeight="1" x14ac:dyDescent="0.15">
      <c r="B41" s="325"/>
      <c r="C41" s="325"/>
      <c r="D41" s="325"/>
      <c r="E41" s="325"/>
      <c r="F41" s="325"/>
      <c r="H41" s="1" t="s">
        <v>56</v>
      </c>
      <c r="I41" s="1" t="str">
        <f ca="1">REPLACE(CELL("filename",Items[]),1,FIND("[",CELL("filename",Items[])),"'[")&amp;"'!"&amp;ADDRESS(ROW(Items[]),COLUMN(Items[Quantity]))&amp;":"&amp;ADDRESS(ROW(Items[])+ROW(Proposed[])-ROW(Items[])+ROWS(Proposed[])-1,COLUMN(Items[Quantity]))</f>
        <v>'[estimate-24.xlsx]Inputs'!$X$5:$X$285</v>
      </c>
    </row>
    <row r="42" spans="1:27" ht="15" customHeight="1" x14ac:dyDescent="0.15">
      <c r="A42" s="50">
        <f ca="1">MAX(OFFSET(A$1,0,0,ROW(A42)-ROW(A$1),1))+1</f>
        <v>8</v>
      </c>
      <c r="B42" s="328" t="s">
        <v>57</v>
      </c>
      <c r="C42" s="328"/>
      <c r="D42" s="328"/>
      <c r="E42" s="328"/>
      <c r="F42" s="328"/>
      <c r="H42" s="1" t="s">
        <v>58</v>
      </c>
      <c r="I42" s="1" t="str">
        <f ca="1">REPLACE(CELL("filename",Bids),1,FIND("[",CELL("filename",Bids)),"'[")&amp;"'!"&amp;ADDRESS(ROW(Bids)-1,COLUMN(Bids))&amp;":"&amp;ADDRESS(ROW(Bids)-1,COLUMN(Bids)+COLUMNS(Bids)-1)</f>
        <v>'[estimate-24.xlsx]Bid Tabs'!$H$2:$H$2</v>
      </c>
    </row>
    <row r="43" spans="1:27" ht="15" customHeight="1" x14ac:dyDescent="0.15">
      <c r="A43" s="50"/>
      <c r="B43" s="328"/>
      <c r="C43" s="328"/>
      <c r="D43" s="328"/>
      <c r="E43" s="328"/>
      <c r="F43" s="328"/>
      <c r="H43" s="1" t="s">
        <v>59</v>
      </c>
      <c r="I43" s="1" t="str">
        <f ca="1">REPLACE(CELL("filename",Bidders),1,FIND("[",CELL("filename",Bidders)),"'[")&amp;"'!"&amp;ADDRESS(ROW(Bidders),COLUMN(Bidders))&amp;":"&amp;ADDRESS(ROW(Bidders),COLUMN(Bidders)+COLUMNS(Bidders)-1)</f>
        <v>'[estimate-24.xlsx]Bid Tabs'!$H$7:$H$7</v>
      </c>
      <c r="AA43" s="117"/>
    </row>
    <row r="44" spans="1:27" ht="15" customHeight="1" x14ac:dyDescent="0.15">
      <c r="A44" s="50"/>
      <c r="B44" s="328"/>
      <c r="C44" s="328"/>
      <c r="D44" s="328"/>
      <c r="E44" s="328"/>
      <c r="F44" s="328"/>
      <c r="H44" s="1" t="s">
        <v>60</v>
      </c>
      <c r="I44" s="1" t="str">
        <f ca="1">REPLACE(CELL("filename",EE),1,FIND("[",CELL("filename",EE)),"'[")&amp;"'!"&amp;ADDRESS(ROW(EE)+2,COLUMN(EE))&amp;":"&amp;ADDRESS(ROW(EE)+1+2*NumPayItems,COLUMN(EE))</f>
        <v>'[estimate-24.xlsx]Bid Tabs'!$F$9:$F$22</v>
      </c>
      <c r="AA44" s="117"/>
    </row>
    <row r="45" spans="1:27" ht="15" customHeight="1" x14ac:dyDescent="0.15">
      <c r="A45" s="50">
        <f ca="1">MAX(OFFSET(A$1,0,0,ROW(A45)-ROW(A$1),1))+1</f>
        <v>9</v>
      </c>
      <c r="B45" s="325" t="s">
        <v>61</v>
      </c>
      <c r="C45" s="325"/>
      <c r="D45" s="325"/>
      <c r="E45" s="325"/>
      <c r="F45" s="325"/>
      <c r="H45" s="1" t="s">
        <v>62</v>
      </c>
      <c r="I45" s="1" t="str">
        <f ca="1">ADDRESS(ROW(Items[]),COLUMN(Items[Count]),,,REPLACE(CELL("filename",Items[]),1,FIND("]",CELL("filename",Items[])),""))&amp;":"&amp;ADDRESS(ROW(Items[])+ROW(Proposed[])-ROW(Items[])+ROWS(Proposed[])-1,COLUMN(Items[Count]))</f>
        <v>Inputs!$A$5:$A$285</v>
      </c>
      <c r="AA45" s="117"/>
    </row>
    <row r="46" spans="1:27" ht="15" customHeight="1" x14ac:dyDescent="0.15">
      <c r="B46" s="325"/>
      <c r="C46" s="325"/>
      <c r="D46" s="325"/>
      <c r="E46" s="325"/>
      <c r="F46" s="325"/>
      <c r="H46" s="1" t="s">
        <v>63</v>
      </c>
      <c r="I46" s="1" t="str">
        <f ca="1">ADDRESS(ROW(Items[]),COLUMN(Items[EstCount]),,,REPLACE(CELL("filename",Items[]),1,FIND("]",CELL("filename",Items[])),""))&amp;":"&amp;ADDRESS(ROW(Items[])+ROW(Proposed[])-ROW(Items[])+ROWS(Proposed[])-1,COLUMN(Items[EstCount]))</f>
        <v>Inputs!$AJ$5:$AJ$285</v>
      </c>
      <c r="AA46" s="117"/>
    </row>
    <row r="47" spans="1:27" ht="15" customHeight="1" x14ac:dyDescent="0.2">
      <c r="A47" s="245">
        <f ca="1">MAX(OFFSET(A$1,0,0,ROW(A47)-ROW(A$1),1))+1</f>
        <v>10</v>
      </c>
      <c r="B47" s="329" t="s">
        <v>64</v>
      </c>
      <c r="C47" s="329"/>
      <c r="D47" s="329"/>
      <c r="E47" s="329"/>
      <c r="F47" s="329"/>
      <c r="H47" s="1" t="s">
        <v>65</v>
      </c>
      <c r="I47" s="1" t="str">
        <f ca="1">ADDRESS(ROW(Items[]),COLUMN(Items[PlanCounter]),,,REPLACE(CELL("filename",Items[]),1,FIND("]",CELL("filename",Items[])),""))&amp;":"&amp;ADDRESS(ROW(Items[])+ROW(Proposed[])-ROW(Items[])+ROWS(Proposed[])-1,COLUMN(Items[PlanCounter]))</f>
        <v>Inputs!$AL$5:$AL$285</v>
      </c>
      <c r="AA47" s="117"/>
    </row>
    <row r="48" spans="1:27" ht="15" customHeight="1" x14ac:dyDescent="0.15">
      <c r="B48" s="328" t="str">
        <f>"right click and select Refresh.  The source data is located on the web at https://highways.dot.gov/federal-lands/estimates/pay-items-fp"&amp;FP</f>
        <v>right click and select Refresh.  The source data is located on the web at https://highways.dot.gov/federal-lands/estimates/pay-items-fp24</v>
      </c>
      <c r="C48" s="328"/>
      <c r="D48" s="328"/>
      <c r="E48" s="328"/>
      <c r="F48" s="328"/>
      <c r="H48" s="1" t="s">
        <v>66</v>
      </c>
      <c r="I48" s="1" t="str">
        <f ca="1">ADDRESS(ROW(Items[]),COLUMN(Items[ContrQty]),,,REPLACE(CELL("filename",Items[]),1,FIND("]",CELL("filename",Items[])),""))&amp;":"&amp;ADDRESS(ROW(Items[])+ROW(Proposed[])-ROW(Items[])+ROWS(Proposed[])-1,COLUMN(Items[ContrQty]))</f>
        <v>Inputs!$AH$5:$AH$285</v>
      </c>
      <c r="AA48" s="117"/>
    </row>
    <row r="49" spans="2:27" ht="15" customHeight="1" x14ac:dyDescent="0.15">
      <c r="B49" s="328"/>
      <c r="C49" s="328"/>
      <c r="D49" s="328"/>
      <c r="E49" s="328"/>
      <c r="F49" s="328"/>
      <c r="H49" s="1" t="s">
        <v>67</v>
      </c>
      <c r="I49" s="1" t="str">
        <f ca="1">ADDRESS(ROW(Items[]),COLUMN(Items[Amend]),,,REPLACE(CELL("filename",Items[]),1,FIND("]",CELL("filename",Items[])),""))&amp;":"&amp;ADDRESS(ROW(Items[])+ROW(Proposed[])-ROW(Items[])+ROWS(Proposed[])-1,COLUMN(Items[Amend]))</f>
        <v>Inputs!$AI$5:$AI$285</v>
      </c>
      <c r="K49" s="50"/>
      <c r="AA49" s="117"/>
    </row>
    <row r="50" spans="2:27" ht="12.75" x14ac:dyDescent="0.15">
      <c r="B50" s="268"/>
      <c r="C50" s="268"/>
      <c r="D50" s="268"/>
      <c r="E50" s="268"/>
      <c r="F50" s="268"/>
      <c r="H50" s="1" t="s">
        <v>68</v>
      </c>
      <c r="I50" s="1" t="str">
        <f ca="1">ADDRESS(ROW(Items[]),COLUMN(Items[UnitPrice]),,,REPLACE(CELL("filename",Items[]),1,FIND("]",CELL("filename",Items[])),""))&amp;":"&amp;ADDRESS(ROW(Items[])+ROW(Proposed[])-ROW(Items[])+ROWS(Proposed[])-1,COLUMN(Items[UnitPrice]))</f>
        <v>Inputs!$AF$5:$AF$285</v>
      </c>
      <c r="K50" s="50"/>
      <c r="AA50" s="117"/>
    </row>
    <row r="51" spans="2:27" ht="18" x14ac:dyDescent="0.15">
      <c r="B51" s="32" t="s">
        <v>69</v>
      </c>
      <c r="C51" s="33"/>
      <c r="D51" s="33"/>
      <c r="E51" s="33"/>
      <c r="F51" s="33"/>
      <c r="AA51" s="117"/>
    </row>
    <row r="52" spans="2:27" ht="25.5" x14ac:dyDescent="0.2">
      <c r="B52" s="319" t="s">
        <v>70</v>
      </c>
      <c r="C52" s="319"/>
      <c r="D52" s="319"/>
      <c r="E52" s="34" t="s">
        <v>71</v>
      </c>
      <c r="H52" s="48" t="s">
        <v>72</v>
      </c>
      <c r="AA52" s="117"/>
    </row>
    <row r="53" spans="2:27" ht="12.75" x14ac:dyDescent="0.2">
      <c r="B53" t="s">
        <v>73</v>
      </c>
      <c r="C53" t="s">
        <v>74</v>
      </c>
      <c r="D53" t="s">
        <v>35</v>
      </c>
      <c r="E53" t="s">
        <v>75</v>
      </c>
      <c r="F53" t="s">
        <v>76</v>
      </c>
      <c r="H53" s="35" t="s">
        <v>77</v>
      </c>
      <c r="I53" s="35" t="s">
        <v>15</v>
      </c>
      <c r="AA53" s="117"/>
    </row>
    <row r="54" spans="2:27" ht="12.75" x14ac:dyDescent="0.2">
      <c r="B54" s="44">
        <f t="shared" ref="B54:B73" ca="1" si="0">IFERROR(IF(ISREF(INDIRECT("'"&amp;C54&amp;"'!A1")),OFFSET(B54,-1,0)+1,"-"),VALUE(SUBSTITUTE(Sheet,Prefix,"")))</f>
        <v>1</v>
      </c>
      <c r="C54" s="43" t="str">
        <f ca="1">Base&amp;IF(OFFSET(C54,-1,0)="Worksheet",""," ("&amp;ROW(C54)-ROW(SheetNames[[#Headers],[Worksheet]])&amp;")")</f>
        <v>Sheet</v>
      </c>
      <c r="D54" s="42" t="str">
        <f t="shared" ref="D54:D55" ca="1" si="1">IF(ISREF(INDIRECT("'"&amp;C54&amp;"'!A1")),Prefix&amp;B54,"Undefined")</f>
        <v>C.1</v>
      </c>
      <c r="E54" s="45">
        <f t="shared" ref="E54:E73" ca="1" si="2">IFERROR(MIN(VALUE(OFFSET(E54,-1,1)),TotalLines+1),0)</f>
        <v>0</v>
      </c>
      <c r="F54" s="113">
        <f ca="1">VLOOKUP(SheetNames[[#This Row],[Begins]]+Table_rows,Calcs[Counter],1,TRUE)</f>
        <v>10</v>
      </c>
      <c r="H54" s="16" t="s">
        <v>78</v>
      </c>
      <c r="I54" s="16" t="s">
        <v>79</v>
      </c>
      <c r="AA54" s="117"/>
    </row>
    <row r="55" spans="2:27" ht="12.75" x14ac:dyDescent="0.2">
      <c r="B55" s="44" t="str">
        <f t="shared" ca="1" si="0"/>
        <v>-</v>
      </c>
      <c r="C55" s="43" t="str">
        <f ca="1">Base&amp;IF(OFFSET(C55,-1,0)="Worksheet",""," ("&amp;ROW(C55)-ROW(SheetNames[[#Headers],[Worksheet]])&amp;")")</f>
        <v>Sheet (2)</v>
      </c>
      <c r="D55" s="42" t="str">
        <f t="shared" ca="1" si="1"/>
        <v>Undefined</v>
      </c>
      <c r="E55" s="44">
        <f t="shared" ca="1" si="2"/>
        <v>10</v>
      </c>
      <c r="F55" s="113">
        <f ca="1">VLOOKUP(SheetNames[[#This Row],[Begins]]+Table_rows,Calcs[Counter],1,TRUE)</f>
        <v>10</v>
      </c>
      <c r="H55" s="16" t="s">
        <v>80</v>
      </c>
      <c r="I55" s="16" t="s">
        <v>78</v>
      </c>
      <c r="AA55" s="117"/>
    </row>
    <row r="56" spans="2:27" ht="12.75" x14ac:dyDescent="0.2">
      <c r="B56" s="44" t="str">
        <f t="shared" ca="1" si="0"/>
        <v>-</v>
      </c>
      <c r="C56" s="43" t="str">
        <f ca="1">Base&amp;IF(OFFSET(C56,-1,0)="Worksheet",""," ("&amp;ROW(C56)-ROW(SheetNames[[#Headers],[Worksheet]])&amp;")")</f>
        <v>Sheet (3)</v>
      </c>
      <c r="D56" s="42" t="str">
        <f t="shared" ref="D56:D64" ca="1" si="3">IF(ISREF(INDIRECT("'"&amp;C56&amp;"'!A1")),Prefix&amp;B56,"Undefined")</f>
        <v>Undefined</v>
      </c>
      <c r="E56" s="44">
        <f t="shared" ca="1" si="2"/>
        <v>10</v>
      </c>
      <c r="F56" s="113">
        <f ca="1">VLOOKUP(SheetNames[[#This Row],[Begins]]+Table_rows,Calcs[Counter],1,TRUE)</f>
        <v>10</v>
      </c>
      <c r="H56" s="16" t="s">
        <v>81</v>
      </c>
      <c r="I56" s="16" t="s">
        <v>82</v>
      </c>
      <c r="AA56" s="117"/>
    </row>
    <row r="57" spans="2:27" ht="12.75" x14ac:dyDescent="0.2">
      <c r="B57" s="44" t="str">
        <f t="shared" ca="1" si="0"/>
        <v>-</v>
      </c>
      <c r="C57" s="43" t="str">
        <f ca="1">Base&amp;IF(OFFSET(C57,-1,0)="Worksheet",""," ("&amp;ROW(C57)-ROW(SheetNames[[#Headers],[Worksheet]])&amp;")")</f>
        <v>Sheet (4)</v>
      </c>
      <c r="D57" s="42" t="str">
        <f t="shared" ca="1" si="3"/>
        <v>Undefined</v>
      </c>
      <c r="E57" s="44">
        <f t="shared" ca="1" si="2"/>
        <v>10</v>
      </c>
      <c r="F57" s="113">
        <f ca="1">VLOOKUP(SheetNames[[#This Row],[Begins]]+Table_rows,Calcs[Counter],1,TRUE)</f>
        <v>10</v>
      </c>
      <c r="H57" s="16" t="s">
        <v>83</v>
      </c>
      <c r="I57" s="16" t="s">
        <v>84</v>
      </c>
      <c r="AA57" s="117"/>
    </row>
    <row r="58" spans="2:27" ht="12.75" x14ac:dyDescent="0.2">
      <c r="B58" s="44" t="str">
        <f t="shared" ca="1" si="0"/>
        <v>-</v>
      </c>
      <c r="C58" s="43" t="str">
        <f ca="1">Base&amp;IF(OFFSET(C58,-1,0)="Worksheet",""," ("&amp;ROW(C58)-ROW(SheetNames[[#Headers],[Worksheet]])&amp;")")</f>
        <v>Sheet (5)</v>
      </c>
      <c r="D58" s="42" t="str">
        <f t="shared" ca="1" si="3"/>
        <v>Undefined</v>
      </c>
      <c r="E58" s="44">
        <f t="shared" ca="1" si="2"/>
        <v>10</v>
      </c>
      <c r="F58" s="113">
        <f ca="1">VLOOKUP(SheetNames[[#This Row],[Begins]]+Table_rows,Calcs[Counter],1,TRUE)</f>
        <v>10</v>
      </c>
      <c r="H58" s="16" t="s">
        <v>85</v>
      </c>
      <c r="I58" s="16" t="s">
        <v>86</v>
      </c>
      <c r="AA58" s="117"/>
    </row>
    <row r="59" spans="2:27" ht="12.75" x14ac:dyDescent="0.2">
      <c r="B59" s="44" t="str">
        <f t="shared" ca="1" si="0"/>
        <v>-</v>
      </c>
      <c r="C59" s="43" t="str">
        <f ca="1">Base&amp;IF(OFFSET(C59,-1,0)="Worksheet",""," ("&amp;ROW(C59)-ROW(SheetNames[[#Headers],[Worksheet]])&amp;")")</f>
        <v>Sheet (6)</v>
      </c>
      <c r="D59" s="42" t="str">
        <f t="shared" ca="1" si="3"/>
        <v>Undefined</v>
      </c>
      <c r="E59" s="44">
        <f t="shared" ca="1" si="2"/>
        <v>10</v>
      </c>
      <c r="F59" s="113">
        <f ca="1">VLOOKUP(SheetNames[[#This Row],[Begins]]+Table_rows,Calcs[Counter],1,TRUE)</f>
        <v>10</v>
      </c>
      <c r="H59" s="16" t="s">
        <v>87</v>
      </c>
      <c r="I59" s="16" t="s">
        <v>88</v>
      </c>
      <c r="AA59" s="117"/>
    </row>
    <row r="60" spans="2:27" ht="12.75" x14ac:dyDescent="0.2">
      <c r="B60" s="44" t="str">
        <f t="shared" ca="1" si="0"/>
        <v>-</v>
      </c>
      <c r="C60" s="43" t="str">
        <f ca="1">Base&amp;IF(OFFSET(C60,-1,0)="Worksheet",""," ("&amp;ROW(C60)-ROW(SheetNames[[#Headers],[Worksheet]])&amp;")")</f>
        <v>Sheet (7)</v>
      </c>
      <c r="D60" s="42" t="str">
        <f t="shared" ca="1" si="3"/>
        <v>Undefined</v>
      </c>
      <c r="E60" s="44">
        <f t="shared" ca="1" si="2"/>
        <v>10</v>
      </c>
      <c r="F60" s="113">
        <f ca="1">VLOOKUP(SheetNames[[#This Row],[Begins]]+Table_rows,Calcs[Counter],1,TRUE)</f>
        <v>10</v>
      </c>
      <c r="H60" s="16" t="s">
        <v>89</v>
      </c>
      <c r="I60" s="16" t="s">
        <v>83</v>
      </c>
      <c r="AA60" s="117"/>
    </row>
    <row r="61" spans="2:27" ht="12.75" x14ac:dyDescent="0.2">
      <c r="B61" s="44" t="str">
        <f t="shared" ca="1" si="0"/>
        <v>-</v>
      </c>
      <c r="C61" s="43" t="str">
        <f ca="1">Base&amp;IF(OFFSET(C61,-1,0)="Worksheet",""," ("&amp;ROW(C61)-ROW(SheetNames[[#Headers],[Worksheet]])&amp;")")</f>
        <v>Sheet (8)</v>
      </c>
      <c r="D61" s="42" t="str">
        <f t="shared" ca="1" si="3"/>
        <v>Undefined</v>
      </c>
      <c r="E61" s="44">
        <f t="shared" ca="1" si="2"/>
        <v>10</v>
      </c>
      <c r="F61" s="113">
        <f ca="1">VLOOKUP(SheetNames[[#This Row],[Begins]]+Table_rows,Calcs[Counter],1,TRUE)</f>
        <v>10</v>
      </c>
      <c r="H61" s="16" t="s">
        <v>90</v>
      </c>
      <c r="I61" s="16" t="s">
        <v>91</v>
      </c>
      <c r="AA61" s="117"/>
    </row>
    <row r="62" spans="2:27" ht="12.75" x14ac:dyDescent="0.2">
      <c r="B62" s="44" t="str">
        <f t="shared" ca="1" si="0"/>
        <v>-</v>
      </c>
      <c r="C62" s="43" t="str">
        <f ca="1">Base&amp;IF(OFFSET(C62,-1,0)="Worksheet",""," ("&amp;ROW(C62)-ROW(SheetNames[[#Headers],[Worksheet]])&amp;")")</f>
        <v>Sheet (9)</v>
      </c>
      <c r="D62" s="42" t="str">
        <f t="shared" ca="1" si="3"/>
        <v>Undefined</v>
      </c>
      <c r="E62" s="44">
        <f t="shared" ca="1" si="2"/>
        <v>10</v>
      </c>
      <c r="F62" s="113">
        <f ca="1">VLOOKUP(SheetNames[[#This Row],[Begins]]+Table_rows,Calcs[Counter],1,TRUE)</f>
        <v>10</v>
      </c>
      <c r="H62" s="16" t="s">
        <v>92</v>
      </c>
      <c r="I62" s="16" t="s">
        <v>93</v>
      </c>
      <c r="AA62" s="117"/>
    </row>
    <row r="63" spans="2:27" ht="12.75" x14ac:dyDescent="0.2">
      <c r="B63" s="44" t="str">
        <f t="shared" ca="1" si="0"/>
        <v>-</v>
      </c>
      <c r="C63" s="43" t="str">
        <f ca="1">Base&amp;IF(OFFSET(C63,-1,0)="Worksheet",""," ("&amp;ROW(C63)-ROW(SheetNames[[#Headers],[Worksheet]])&amp;")")</f>
        <v>Sheet (10)</v>
      </c>
      <c r="D63" s="42" t="str">
        <f t="shared" ca="1" si="3"/>
        <v>Undefined</v>
      </c>
      <c r="E63" s="44">
        <f t="shared" ca="1" si="2"/>
        <v>10</v>
      </c>
      <c r="F63" s="113">
        <f ca="1">VLOOKUP(SheetNames[[#This Row],[Begins]]+Table_rows,Calcs[Counter],1,TRUE)</f>
        <v>10</v>
      </c>
      <c r="H63" s="16" t="s">
        <v>94</v>
      </c>
      <c r="I63" s="16" t="s">
        <v>95</v>
      </c>
      <c r="AA63" s="117"/>
    </row>
    <row r="64" spans="2:27" ht="12.75" x14ac:dyDescent="0.2">
      <c r="B64" s="44" t="str">
        <f t="shared" ca="1" si="0"/>
        <v>-</v>
      </c>
      <c r="C64" s="43" t="str">
        <f ca="1">Base&amp;IF(OFFSET(C64,-1,0)="Worksheet",""," ("&amp;ROW(C64)-ROW(SheetNames[[#Headers],[Worksheet]])&amp;")")</f>
        <v>Sheet (11)</v>
      </c>
      <c r="D64" s="42" t="str">
        <f t="shared" ca="1" si="3"/>
        <v>Undefined</v>
      </c>
      <c r="E64" s="44">
        <f t="shared" ca="1" si="2"/>
        <v>10</v>
      </c>
      <c r="F64" s="113">
        <f ca="1">VLOOKUP(SheetNames[[#This Row],[Begins]]+Table_rows,Calcs[Counter],1,TRUE)</f>
        <v>10</v>
      </c>
      <c r="H64" s="16" t="s">
        <v>96</v>
      </c>
      <c r="I64" s="16" t="s">
        <v>97</v>
      </c>
      <c r="AA64" s="117"/>
    </row>
    <row r="65" spans="2:27" ht="12.75" x14ac:dyDescent="0.2">
      <c r="B65" s="44" t="str">
        <f t="shared" ca="1" si="0"/>
        <v>-</v>
      </c>
      <c r="C65" s="43" t="str">
        <f ca="1">Base&amp;IF(OFFSET(C65,-1,0)="Worksheet",""," ("&amp;ROW(C65)-ROW(SheetNames[[#Headers],[Worksheet]])&amp;")")</f>
        <v>Sheet (12)</v>
      </c>
      <c r="D65" s="42" t="str">
        <f t="shared" ref="D65:D73" ca="1" si="4">IF(ISREF(INDIRECT("'"&amp;C65&amp;"'!A1")),Prefix&amp;B65,"Undefined")</f>
        <v>Undefined</v>
      </c>
      <c r="E65" s="44">
        <f t="shared" ca="1" si="2"/>
        <v>10</v>
      </c>
      <c r="F65" s="113">
        <f ca="1">VLOOKUP(SheetNames[[#This Row],[Begins]]+Table_rows,Calcs[Counter],1,TRUE)</f>
        <v>10</v>
      </c>
      <c r="H65" s="16" t="s">
        <v>98</v>
      </c>
      <c r="I65" s="16" t="s">
        <v>94</v>
      </c>
      <c r="AA65" s="117"/>
    </row>
    <row r="66" spans="2:27" ht="12.75" x14ac:dyDescent="0.2">
      <c r="B66" s="44" t="str">
        <f t="shared" ca="1" si="0"/>
        <v>-</v>
      </c>
      <c r="C66" s="43" t="str">
        <f ca="1">Base&amp;IF(OFFSET(C66,-1,0)="Worksheet",""," ("&amp;ROW(C66)-ROW(SheetNames[[#Headers],[Worksheet]])&amp;")")</f>
        <v>Sheet (13)</v>
      </c>
      <c r="D66" s="42" t="str">
        <f t="shared" ca="1" si="4"/>
        <v>Undefined</v>
      </c>
      <c r="E66" s="44">
        <f t="shared" ca="1" si="2"/>
        <v>10</v>
      </c>
      <c r="F66" s="113">
        <f ca="1">VLOOKUP(SheetNames[[#This Row],[Begins]]+Table_rows,Calcs[Counter],1,TRUE)</f>
        <v>10</v>
      </c>
      <c r="H66" s="16" t="s">
        <v>99</v>
      </c>
      <c r="I66" s="16" t="s">
        <v>100</v>
      </c>
      <c r="AA66" s="117"/>
    </row>
    <row r="67" spans="2:27" ht="12.75" x14ac:dyDescent="0.2">
      <c r="B67" s="44" t="str">
        <f t="shared" ca="1" si="0"/>
        <v>-</v>
      </c>
      <c r="C67" s="43" t="str">
        <f ca="1">Base&amp;IF(OFFSET(C67,-1,0)="Worksheet",""," ("&amp;ROW(C67)-ROW(SheetNames[[#Headers],[Worksheet]])&amp;")")</f>
        <v>Sheet (14)</v>
      </c>
      <c r="D67" s="42" t="str">
        <f t="shared" ca="1" si="4"/>
        <v>Undefined</v>
      </c>
      <c r="E67" s="44">
        <f t="shared" ca="1" si="2"/>
        <v>10</v>
      </c>
      <c r="F67" s="113">
        <f ca="1">VLOOKUP(SheetNames[[#This Row],[Begins]]+Table_rows,Calcs[Counter],1,TRUE)</f>
        <v>10</v>
      </c>
      <c r="H67" s="16" t="s">
        <v>101</v>
      </c>
      <c r="I67" s="16" t="s">
        <v>102</v>
      </c>
      <c r="AA67" s="117"/>
    </row>
    <row r="68" spans="2:27" ht="12.75" x14ac:dyDescent="0.2">
      <c r="B68" s="44" t="str">
        <f t="shared" ca="1" si="0"/>
        <v>-</v>
      </c>
      <c r="C68" s="43" t="str">
        <f ca="1">Base&amp;IF(OFFSET(C68,-1,0)="Worksheet",""," ("&amp;ROW(C68)-ROW(SheetNames[[#Headers],[Worksheet]])&amp;")")</f>
        <v>Sheet (15)</v>
      </c>
      <c r="D68" s="42" t="str">
        <f t="shared" ca="1" si="4"/>
        <v>Undefined</v>
      </c>
      <c r="E68" s="44">
        <f t="shared" ca="1" si="2"/>
        <v>10</v>
      </c>
      <c r="F68" s="113">
        <f ca="1">VLOOKUP(SheetNames[[#This Row],[Begins]]+Table_rows,Calcs[Counter],1,TRUE)</f>
        <v>10</v>
      </c>
      <c r="H68" s="16" t="s">
        <v>103</v>
      </c>
      <c r="I68" s="16" t="s">
        <v>104</v>
      </c>
      <c r="AA68" s="117"/>
    </row>
    <row r="69" spans="2:27" ht="12.75" x14ac:dyDescent="0.2">
      <c r="B69" s="44" t="str">
        <f t="shared" ca="1" si="0"/>
        <v>-</v>
      </c>
      <c r="C69" s="43" t="str">
        <f ca="1">Base&amp;IF(OFFSET(C69,-1,0)="Worksheet",""," ("&amp;ROW(C69)-ROW(SheetNames[[#Headers],[Worksheet]])&amp;")")</f>
        <v>Sheet (16)</v>
      </c>
      <c r="D69" s="42" t="str">
        <f t="shared" ca="1" si="4"/>
        <v>Undefined</v>
      </c>
      <c r="E69" s="44">
        <f t="shared" ca="1" si="2"/>
        <v>10</v>
      </c>
      <c r="F69" s="113">
        <f ca="1">VLOOKUP(SheetNames[[#This Row],[Begins]]+Table_rows,Calcs[Counter],1,TRUE)</f>
        <v>10</v>
      </c>
      <c r="H69" s="16" t="s">
        <v>105</v>
      </c>
      <c r="I69" s="16" t="s">
        <v>106</v>
      </c>
      <c r="AA69" s="117"/>
    </row>
    <row r="70" spans="2:27" ht="12.75" x14ac:dyDescent="0.2">
      <c r="B70" s="44" t="str">
        <f t="shared" ca="1" si="0"/>
        <v>-</v>
      </c>
      <c r="C70" s="43" t="str">
        <f ca="1">Base&amp;IF(OFFSET(C70,-1,0)="Worksheet",""," ("&amp;ROW(C70)-ROW(SheetNames[[#Headers],[Worksheet]])&amp;")")</f>
        <v>Sheet (17)</v>
      </c>
      <c r="D70" s="42" t="str">
        <f t="shared" ca="1" si="4"/>
        <v>Undefined</v>
      </c>
      <c r="E70" s="44">
        <f t="shared" ca="1" si="2"/>
        <v>10</v>
      </c>
      <c r="F70" s="113">
        <f ca="1">VLOOKUP(SheetNames[[#This Row],[Begins]]+Table_rows,Calcs[Counter],1,TRUE)</f>
        <v>10</v>
      </c>
      <c r="H70" s="16" t="s">
        <v>107</v>
      </c>
      <c r="I70" s="16" t="s">
        <v>108</v>
      </c>
      <c r="AA70" s="117"/>
    </row>
    <row r="71" spans="2:27" ht="12.75" x14ac:dyDescent="0.2">
      <c r="B71" s="44" t="str">
        <f t="shared" ca="1" si="0"/>
        <v>-</v>
      </c>
      <c r="C71" s="43" t="str">
        <f ca="1">Base&amp;IF(OFFSET(C71,-1,0)="Worksheet",""," ("&amp;ROW(C71)-ROW(SheetNames[[#Headers],[Worksheet]])&amp;")")</f>
        <v>Sheet (18)</v>
      </c>
      <c r="D71" s="42" t="str">
        <f t="shared" ca="1" si="4"/>
        <v>Undefined</v>
      </c>
      <c r="E71" s="44">
        <f t="shared" ca="1" si="2"/>
        <v>10</v>
      </c>
      <c r="F71" s="113">
        <f ca="1">VLOOKUP(SheetNames[[#This Row],[Begins]]+Table_rows,Calcs[Counter],1,TRUE)</f>
        <v>10</v>
      </c>
      <c r="H71" s="16"/>
      <c r="I71" s="16" t="s">
        <v>109</v>
      </c>
      <c r="AA71" s="117"/>
    </row>
    <row r="72" spans="2:27" ht="12.75" x14ac:dyDescent="0.2">
      <c r="B72" s="44" t="str">
        <f t="shared" ca="1" si="0"/>
        <v>-</v>
      </c>
      <c r="C72" s="43" t="str">
        <f ca="1">Base&amp;IF(OFFSET(C72,-1,0)="Worksheet",""," ("&amp;ROW(C72)-ROW(SheetNames[[#Headers],[Worksheet]])&amp;")")</f>
        <v>Sheet (19)</v>
      </c>
      <c r="D72" s="42" t="str">
        <f t="shared" ca="1" si="4"/>
        <v>Undefined</v>
      </c>
      <c r="E72" s="44">
        <f t="shared" ca="1" si="2"/>
        <v>10</v>
      </c>
      <c r="F72" s="113">
        <f ca="1">VLOOKUP(SheetNames[[#This Row],[Begins]]+Table_rows,Calcs[Counter],1,TRUE)</f>
        <v>10</v>
      </c>
      <c r="H72" s="16"/>
      <c r="I72" s="16" t="s">
        <v>110</v>
      </c>
      <c r="AA72" s="117"/>
    </row>
    <row r="73" spans="2:27" ht="12.75" x14ac:dyDescent="0.2">
      <c r="B73" s="44" t="str">
        <f t="shared" ca="1" si="0"/>
        <v>-</v>
      </c>
      <c r="C73" s="43" t="str">
        <f ca="1">Base&amp;IF(OFFSET(C73,-1,0)="Worksheet",""," ("&amp;ROW(C73)-ROW(SheetNames[[#Headers],[Worksheet]])&amp;")")</f>
        <v>Sheet (20)</v>
      </c>
      <c r="D73" s="42" t="str">
        <f t="shared" ca="1" si="4"/>
        <v>Undefined</v>
      </c>
      <c r="E73" s="44">
        <f t="shared" ca="1" si="2"/>
        <v>10</v>
      </c>
      <c r="F73" s="113">
        <f ca="1">VLOOKUP(SheetNames[[#This Row],[Begins]]+Table_rows,Calcs[Counter],1,TRUE)</f>
        <v>10</v>
      </c>
      <c r="H73" s="16"/>
      <c r="I73" s="16" t="s">
        <v>111</v>
      </c>
      <c r="AA73" s="117"/>
    </row>
    <row r="74" spans="2:27" ht="12.75" x14ac:dyDescent="0.2">
      <c r="H74" s="16"/>
      <c r="I74" s="16" t="s">
        <v>112</v>
      </c>
      <c r="AA74" s="117"/>
    </row>
    <row r="75" spans="2:27" ht="12.75" x14ac:dyDescent="0.2">
      <c r="H75" s="16"/>
      <c r="I75" s="16" t="s">
        <v>113</v>
      </c>
      <c r="AA75" s="117"/>
    </row>
    <row r="76" spans="2:27" x14ac:dyDescent="0.15">
      <c r="AA76" s="117"/>
    </row>
    <row r="77" spans="2:27" x14ac:dyDescent="0.15">
      <c r="AA77" s="117"/>
    </row>
    <row r="78" spans="2:27" x14ac:dyDescent="0.15">
      <c r="AA78" s="117"/>
    </row>
    <row r="79" spans="2:27" x14ac:dyDescent="0.15">
      <c r="AA79" s="117"/>
    </row>
    <row r="80" spans="2:27" x14ac:dyDescent="0.15">
      <c r="AA80" s="117"/>
    </row>
    <row r="81" spans="27:27" x14ac:dyDescent="0.15">
      <c r="AA81" s="117"/>
    </row>
    <row r="82" spans="27:27" x14ac:dyDescent="0.15">
      <c r="AA82" s="117"/>
    </row>
    <row r="83" spans="27:27" x14ac:dyDescent="0.15">
      <c r="AA83" s="117"/>
    </row>
    <row r="84" spans="27:27" x14ac:dyDescent="0.15">
      <c r="AA84" s="117"/>
    </row>
    <row r="85" spans="27:27" x14ac:dyDescent="0.15">
      <c r="AA85" s="117"/>
    </row>
    <row r="86" spans="27:27" x14ac:dyDescent="0.15">
      <c r="AA86" s="117"/>
    </row>
    <row r="87" spans="27:27" x14ac:dyDescent="0.15">
      <c r="AA87" s="117"/>
    </row>
    <row r="88" spans="27:27" x14ac:dyDescent="0.15">
      <c r="AA88" s="117"/>
    </row>
    <row r="89" spans="27:27" x14ac:dyDescent="0.15">
      <c r="AA89" s="117"/>
    </row>
    <row r="90" spans="27:27" x14ac:dyDescent="0.15">
      <c r="AA90" s="117"/>
    </row>
    <row r="91" spans="27:27" x14ac:dyDescent="0.15">
      <c r="AA91" s="117"/>
    </row>
    <row r="92" spans="27:27" x14ac:dyDescent="0.15">
      <c r="AA92" s="117"/>
    </row>
    <row r="93" spans="27:27" x14ac:dyDescent="0.15">
      <c r="AA93" s="117"/>
    </row>
    <row r="94" spans="27:27" x14ac:dyDescent="0.15">
      <c r="AA94" s="117"/>
    </row>
    <row r="95" spans="27:27" x14ac:dyDescent="0.15">
      <c r="AA95" s="117"/>
    </row>
    <row r="96" spans="27:27" x14ac:dyDescent="0.15">
      <c r="AA96" s="117"/>
    </row>
    <row r="97" spans="27:27" x14ac:dyDescent="0.15">
      <c r="AA97" s="117"/>
    </row>
    <row r="98" spans="27:27" x14ac:dyDescent="0.15">
      <c r="AA98" s="117"/>
    </row>
    <row r="99" spans="27:27" x14ac:dyDescent="0.15">
      <c r="AA99" s="117"/>
    </row>
    <row r="100" spans="27:27" x14ac:dyDescent="0.15">
      <c r="AA100" s="117"/>
    </row>
    <row r="101" spans="27:27" x14ac:dyDescent="0.15">
      <c r="AA101" s="117"/>
    </row>
    <row r="102" spans="27:27" x14ac:dyDescent="0.15">
      <c r="AA102" s="117"/>
    </row>
    <row r="103" spans="27:27" x14ac:dyDescent="0.15">
      <c r="AA103" s="117"/>
    </row>
    <row r="104" spans="27:27" x14ac:dyDescent="0.15">
      <c r="AA104" s="117"/>
    </row>
    <row r="105" spans="27:27" x14ac:dyDescent="0.15">
      <c r="AA105" s="117"/>
    </row>
    <row r="106" spans="27:27" x14ac:dyDescent="0.15">
      <c r="AA106" s="117"/>
    </row>
    <row r="107" spans="27:27" x14ac:dyDescent="0.15">
      <c r="AA107" s="117"/>
    </row>
    <row r="108" spans="27:27" x14ac:dyDescent="0.15">
      <c r="AA108" s="117"/>
    </row>
    <row r="109" spans="27:27" x14ac:dyDescent="0.15">
      <c r="AA109" s="117"/>
    </row>
    <row r="110" spans="27:27" x14ac:dyDescent="0.15">
      <c r="AA110" s="117"/>
    </row>
    <row r="111" spans="27:27" x14ac:dyDescent="0.15">
      <c r="AA111" s="117"/>
    </row>
    <row r="112" spans="27:27" x14ac:dyDescent="0.15">
      <c r="AA112" s="117"/>
    </row>
    <row r="113" spans="27:27" x14ac:dyDescent="0.15">
      <c r="AA113" s="117"/>
    </row>
    <row r="114" spans="27:27" x14ac:dyDescent="0.15">
      <c r="AA114" s="117"/>
    </row>
    <row r="115" spans="27:27" x14ac:dyDescent="0.15">
      <c r="AA115" s="117"/>
    </row>
    <row r="116" spans="27:27" x14ac:dyDescent="0.15">
      <c r="AA116" s="117"/>
    </row>
    <row r="117" spans="27:27" x14ac:dyDescent="0.15">
      <c r="AA117" s="117"/>
    </row>
    <row r="118" spans="27:27" x14ac:dyDescent="0.15">
      <c r="AA118" s="117"/>
    </row>
    <row r="119" spans="27:27" x14ac:dyDescent="0.15">
      <c r="AA119" s="117"/>
    </row>
    <row r="120" spans="27:27" x14ac:dyDescent="0.15">
      <c r="AA120" s="117"/>
    </row>
    <row r="121" spans="27:27" x14ac:dyDescent="0.15">
      <c r="AA121" s="117"/>
    </row>
    <row r="122" spans="27:27" x14ac:dyDescent="0.15">
      <c r="AA122" s="117"/>
    </row>
    <row r="123" spans="27:27" x14ac:dyDescent="0.15">
      <c r="AA123" s="117"/>
    </row>
    <row r="124" spans="27:27" x14ac:dyDescent="0.15">
      <c r="AA124" s="117"/>
    </row>
    <row r="125" spans="27:27" x14ac:dyDescent="0.15">
      <c r="AA125" s="117"/>
    </row>
    <row r="126" spans="27:27" x14ac:dyDescent="0.15">
      <c r="AA126" s="117"/>
    </row>
    <row r="127" spans="27:27" x14ac:dyDescent="0.15">
      <c r="AA127" s="117"/>
    </row>
    <row r="128" spans="27:27" x14ac:dyDescent="0.15">
      <c r="AA128" s="117"/>
    </row>
    <row r="129" spans="27:27" x14ac:dyDescent="0.15">
      <c r="AA129" s="117"/>
    </row>
    <row r="130" spans="27:27" x14ac:dyDescent="0.15">
      <c r="AA130" s="117"/>
    </row>
    <row r="131" spans="27:27" x14ac:dyDescent="0.15">
      <c r="AA131" s="117"/>
    </row>
    <row r="132" spans="27:27" x14ac:dyDescent="0.15">
      <c r="AA132" s="117"/>
    </row>
    <row r="133" spans="27:27" x14ac:dyDescent="0.15">
      <c r="AA133" s="117"/>
    </row>
    <row r="134" spans="27:27" x14ac:dyDescent="0.15">
      <c r="AA134" s="117"/>
    </row>
    <row r="135" spans="27:27" x14ac:dyDescent="0.15">
      <c r="AA135" s="117"/>
    </row>
    <row r="136" spans="27:27" x14ac:dyDescent="0.15">
      <c r="AA136" s="117"/>
    </row>
    <row r="137" spans="27:27" x14ac:dyDescent="0.15">
      <c r="AA137" s="117"/>
    </row>
    <row r="138" spans="27:27" x14ac:dyDescent="0.15">
      <c r="AA138" s="117"/>
    </row>
    <row r="139" spans="27:27" x14ac:dyDescent="0.15">
      <c r="AA139" s="117"/>
    </row>
    <row r="140" spans="27:27" x14ac:dyDescent="0.15">
      <c r="AA140" s="117"/>
    </row>
    <row r="141" spans="27:27" x14ac:dyDescent="0.15">
      <c r="AA141" s="117"/>
    </row>
    <row r="142" spans="27:27" x14ac:dyDescent="0.15">
      <c r="AA142" s="117"/>
    </row>
    <row r="143" spans="27:27" x14ac:dyDescent="0.15">
      <c r="AA143" s="117"/>
    </row>
    <row r="144" spans="27:27" x14ac:dyDescent="0.15">
      <c r="AA144" s="117"/>
    </row>
    <row r="145" spans="27:27" x14ac:dyDescent="0.15">
      <c r="AA145" s="117"/>
    </row>
    <row r="146" spans="27:27" x14ac:dyDescent="0.15">
      <c r="AA146" s="117"/>
    </row>
    <row r="147" spans="27:27" x14ac:dyDescent="0.15">
      <c r="AA147" s="117"/>
    </row>
    <row r="148" spans="27:27" x14ac:dyDescent="0.15">
      <c r="AA148" s="117"/>
    </row>
    <row r="149" spans="27:27" x14ac:dyDescent="0.15">
      <c r="AA149" s="117"/>
    </row>
    <row r="150" spans="27:27" x14ac:dyDescent="0.15">
      <c r="AA150" s="117"/>
    </row>
    <row r="151" spans="27:27" x14ac:dyDescent="0.15">
      <c r="AA151" s="117"/>
    </row>
    <row r="152" spans="27:27" x14ac:dyDescent="0.15">
      <c r="AA152" s="117"/>
    </row>
    <row r="153" spans="27:27" x14ac:dyDescent="0.15">
      <c r="AA153" s="117"/>
    </row>
    <row r="154" spans="27:27" x14ac:dyDescent="0.15">
      <c r="AA154" s="117"/>
    </row>
    <row r="155" spans="27:27" x14ac:dyDescent="0.15">
      <c r="AA155" s="117"/>
    </row>
    <row r="156" spans="27:27" x14ac:dyDescent="0.15">
      <c r="AA156" s="117"/>
    </row>
    <row r="157" spans="27:27" x14ac:dyDescent="0.15">
      <c r="AA157" s="117"/>
    </row>
    <row r="158" spans="27:27" x14ac:dyDescent="0.15">
      <c r="AA158" s="117"/>
    </row>
    <row r="159" spans="27:27" x14ac:dyDescent="0.15">
      <c r="AA159" s="117"/>
    </row>
    <row r="160" spans="27:27" x14ac:dyDescent="0.15">
      <c r="AA160" s="117"/>
    </row>
    <row r="161" spans="27:27" x14ac:dyDescent="0.15">
      <c r="AA161" s="117"/>
    </row>
    <row r="162" spans="27:27" x14ac:dyDescent="0.15">
      <c r="AA162" s="117"/>
    </row>
    <row r="163" spans="27:27" x14ac:dyDescent="0.15">
      <c r="AA163" s="117"/>
    </row>
    <row r="164" spans="27:27" x14ac:dyDescent="0.15">
      <c r="AA164" s="117"/>
    </row>
    <row r="165" spans="27:27" x14ac:dyDescent="0.15">
      <c r="AA165" s="117"/>
    </row>
    <row r="166" spans="27:27" x14ac:dyDescent="0.15">
      <c r="AA166" s="117"/>
    </row>
    <row r="167" spans="27:27" x14ac:dyDescent="0.15">
      <c r="AA167" s="117"/>
    </row>
    <row r="168" spans="27:27" x14ac:dyDescent="0.15">
      <c r="AA168" s="117"/>
    </row>
    <row r="169" spans="27:27" x14ac:dyDescent="0.15">
      <c r="AA169" s="117"/>
    </row>
    <row r="170" spans="27:27" x14ac:dyDescent="0.15">
      <c r="AA170" s="117"/>
    </row>
    <row r="171" spans="27:27" x14ac:dyDescent="0.15">
      <c r="AA171" s="117"/>
    </row>
    <row r="172" spans="27:27" x14ac:dyDescent="0.15">
      <c r="AA172" s="117"/>
    </row>
    <row r="173" spans="27:27" x14ac:dyDescent="0.15">
      <c r="AA173" s="117"/>
    </row>
    <row r="174" spans="27:27" x14ac:dyDescent="0.15">
      <c r="AA174" s="117"/>
    </row>
    <row r="175" spans="27:27" x14ac:dyDescent="0.15">
      <c r="AA175" s="117"/>
    </row>
    <row r="176" spans="27:27" x14ac:dyDescent="0.15">
      <c r="AA176" s="117"/>
    </row>
    <row r="177" spans="27:27" x14ac:dyDescent="0.15">
      <c r="AA177" s="117"/>
    </row>
    <row r="178" spans="27:27" x14ac:dyDescent="0.15">
      <c r="AA178" s="117"/>
    </row>
    <row r="179" spans="27:27" x14ac:dyDescent="0.15">
      <c r="AA179" s="117"/>
    </row>
    <row r="180" spans="27:27" x14ac:dyDescent="0.15">
      <c r="AA180" s="117"/>
    </row>
    <row r="181" spans="27:27" x14ac:dyDescent="0.15">
      <c r="AA181" s="117"/>
    </row>
    <row r="182" spans="27:27" x14ac:dyDescent="0.15">
      <c r="AA182" s="117"/>
    </row>
    <row r="183" spans="27:27" x14ac:dyDescent="0.15">
      <c r="AA183" s="117"/>
    </row>
    <row r="184" spans="27:27" x14ac:dyDescent="0.15">
      <c r="AA184" s="117"/>
    </row>
    <row r="185" spans="27:27" x14ac:dyDescent="0.15">
      <c r="AA185" s="117"/>
    </row>
    <row r="186" spans="27:27" x14ac:dyDescent="0.15">
      <c r="AA186" s="117"/>
    </row>
    <row r="187" spans="27:27" x14ac:dyDescent="0.15">
      <c r="AA187" s="117"/>
    </row>
    <row r="188" spans="27:27" x14ac:dyDescent="0.15">
      <c r="AA188" s="117"/>
    </row>
    <row r="189" spans="27:27" x14ac:dyDescent="0.15">
      <c r="AA189" s="117"/>
    </row>
    <row r="190" spans="27:27" x14ac:dyDescent="0.15">
      <c r="AA190" s="117"/>
    </row>
    <row r="191" spans="27:27" x14ac:dyDescent="0.15">
      <c r="AA191" s="117"/>
    </row>
    <row r="192" spans="27:27" x14ac:dyDescent="0.15">
      <c r="AA192" s="117"/>
    </row>
    <row r="193" spans="27:27" x14ac:dyDescent="0.15">
      <c r="AA193" s="117"/>
    </row>
    <row r="194" spans="27:27" x14ac:dyDescent="0.15">
      <c r="AA194" s="117"/>
    </row>
    <row r="195" spans="27:27" x14ac:dyDescent="0.15">
      <c r="AA195" s="117"/>
    </row>
    <row r="196" spans="27:27" x14ac:dyDescent="0.15">
      <c r="AA196" s="117"/>
    </row>
    <row r="197" spans="27:27" x14ac:dyDescent="0.15">
      <c r="AA197" s="117"/>
    </row>
    <row r="198" spans="27:27" x14ac:dyDescent="0.15">
      <c r="AA198" s="117"/>
    </row>
    <row r="199" spans="27:27" x14ac:dyDescent="0.15">
      <c r="AA199" s="117"/>
    </row>
    <row r="200" spans="27:27" x14ac:dyDescent="0.15">
      <c r="AA200" s="117"/>
    </row>
    <row r="201" spans="27:27" x14ac:dyDescent="0.15">
      <c r="AA201" s="117"/>
    </row>
    <row r="202" spans="27:27" x14ac:dyDescent="0.15">
      <c r="AA202" s="117"/>
    </row>
    <row r="203" spans="27:27" x14ac:dyDescent="0.15">
      <c r="AA203" s="117"/>
    </row>
    <row r="204" spans="27:27" x14ac:dyDescent="0.15">
      <c r="AA204" s="117"/>
    </row>
    <row r="205" spans="27:27" x14ac:dyDescent="0.15">
      <c r="AA205" s="117"/>
    </row>
    <row r="206" spans="27:27" x14ac:dyDescent="0.15">
      <c r="AA206" s="117"/>
    </row>
    <row r="207" spans="27:27" x14ac:dyDescent="0.15">
      <c r="AA207" s="117"/>
    </row>
    <row r="208" spans="27:27" x14ac:dyDescent="0.15">
      <c r="AA208" s="117"/>
    </row>
    <row r="209" spans="27:27" x14ac:dyDescent="0.15">
      <c r="AA209" s="117"/>
    </row>
    <row r="210" spans="27:27" x14ac:dyDescent="0.15">
      <c r="AA210" s="117"/>
    </row>
    <row r="211" spans="27:27" x14ac:dyDescent="0.15">
      <c r="AA211" s="117"/>
    </row>
    <row r="212" spans="27:27" x14ac:dyDescent="0.15">
      <c r="AA212" s="117"/>
    </row>
    <row r="213" spans="27:27" x14ac:dyDescent="0.15">
      <c r="AA213" s="117"/>
    </row>
    <row r="214" spans="27:27" x14ac:dyDescent="0.15">
      <c r="AA214" s="117"/>
    </row>
    <row r="215" spans="27:27" x14ac:dyDescent="0.15">
      <c r="AA215" s="117"/>
    </row>
    <row r="216" spans="27:27" x14ac:dyDescent="0.15">
      <c r="AA216" s="117"/>
    </row>
    <row r="217" spans="27:27" x14ac:dyDescent="0.15">
      <c r="AA217" s="117"/>
    </row>
    <row r="218" spans="27:27" x14ac:dyDescent="0.15">
      <c r="AA218" s="117"/>
    </row>
    <row r="219" spans="27:27" x14ac:dyDescent="0.15">
      <c r="AA219" s="117"/>
    </row>
    <row r="220" spans="27:27" x14ac:dyDescent="0.15">
      <c r="AA220" s="117"/>
    </row>
    <row r="221" spans="27:27" x14ac:dyDescent="0.15">
      <c r="AA221" s="117"/>
    </row>
    <row r="222" spans="27:27" x14ac:dyDescent="0.15">
      <c r="AA222" s="117"/>
    </row>
    <row r="223" spans="27:27" x14ac:dyDescent="0.15">
      <c r="AA223" s="117"/>
    </row>
    <row r="224" spans="27:27" x14ac:dyDescent="0.15">
      <c r="AA224" s="117"/>
    </row>
    <row r="225" spans="27:27" x14ac:dyDescent="0.15">
      <c r="AA225" s="117"/>
    </row>
    <row r="226" spans="27:27" x14ac:dyDescent="0.15">
      <c r="AA226" s="117"/>
    </row>
    <row r="227" spans="27:27" x14ac:dyDescent="0.15">
      <c r="AA227" s="117"/>
    </row>
    <row r="228" spans="27:27" x14ac:dyDescent="0.15">
      <c r="AA228" s="117"/>
    </row>
    <row r="229" spans="27:27" x14ac:dyDescent="0.15">
      <c r="AA229" s="117"/>
    </row>
    <row r="230" spans="27:27" x14ac:dyDescent="0.15">
      <c r="AA230" s="117"/>
    </row>
    <row r="231" spans="27:27" x14ac:dyDescent="0.15">
      <c r="AA231" s="117"/>
    </row>
    <row r="232" spans="27:27" x14ac:dyDescent="0.15">
      <c r="AA232" s="117"/>
    </row>
    <row r="233" spans="27:27" x14ac:dyDescent="0.15">
      <c r="AA233" s="117"/>
    </row>
    <row r="234" spans="27:27" x14ac:dyDescent="0.15">
      <c r="AA234" s="117"/>
    </row>
    <row r="235" spans="27:27" x14ac:dyDescent="0.15">
      <c r="AA235" s="117"/>
    </row>
    <row r="236" spans="27:27" x14ac:dyDescent="0.15">
      <c r="AA236" s="117"/>
    </row>
    <row r="237" spans="27:27" x14ac:dyDescent="0.15">
      <c r="AA237" s="117"/>
    </row>
    <row r="238" spans="27:27" x14ac:dyDescent="0.15">
      <c r="AA238" s="117"/>
    </row>
    <row r="239" spans="27:27" x14ac:dyDescent="0.15">
      <c r="AA239" s="117"/>
    </row>
    <row r="240" spans="27:27" x14ac:dyDescent="0.15">
      <c r="AA240" s="117"/>
    </row>
    <row r="241" spans="27:27" x14ac:dyDescent="0.15">
      <c r="AA241" s="117"/>
    </row>
    <row r="242" spans="27:27" x14ac:dyDescent="0.15">
      <c r="AA242" s="117"/>
    </row>
    <row r="243" spans="27:27" x14ac:dyDescent="0.15">
      <c r="AA243" s="117"/>
    </row>
    <row r="244" spans="27:27" x14ac:dyDescent="0.15">
      <c r="AA244" s="117"/>
    </row>
    <row r="245" spans="27:27" x14ac:dyDescent="0.15">
      <c r="AA245" s="117"/>
    </row>
    <row r="246" spans="27:27" x14ac:dyDescent="0.15">
      <c r="AA246" s="117"/>
    </row>
    <row r="247" spans="27:27" x14ac:dyDescent="0.15">
      <c r="AA247" s="117"/>
    </row>
    <row r="248" spans="27:27" x14ac:dyDescent="0.15">
      <c r="AA248" s="117"/>
    </row>
    <row r="249" spans="27:27" x14ac:dyDescent="0.15">
      <c r="AA249" s="117"/>
    </row>
    <row r="250" spans="27:27" x14ac:dyDescent="0.15">
      <c r="AA250" s="117"/>
    </row>
    <row r="251" spans="27:27" x14ac:dyDescent="0.15">
      <c r="AA251" s="117"/>
    </row>
    <row r="252" spans="27:27" x14ac:dyDescent="0.15">
      <c r="AA252" s="117"/>
    </row>
    <row r="253" spans="27:27" x14ac:dyDescent="0.15">
      <c r="AA253" s="117"/>
    </row>
    <row r="254" spans="27:27" x14ac:dyDescent="0.15">
      <c r="AA254" s="117"/>
    </row>
    <row r="255" spans="27:27" x14ac:dyDescent="0.15">
      <c r="AA255" s="117"/>
    </row>
    <row r="256" spans="27:27" x14ac:dyDescent="0.15">
      <c r="AA256" s="117"/>
    </row>
    <row r="257" spans="27:27" x14ac:dyDescent="0.15">
      <c r="AA257" s="117"/>
    </row>
    <row r="258" spans="27:27" x14ac:dyDescent="0.15">
      <c r="AA258" s="117"/>
    </row>
    <row r="259" spans="27:27" x14ac:dyDescent="0.15">
      <c r="AA259" s="117"/>
    </row>
    <row r="260" spans="27:27" x14ac:dyDescent="0.15">
      <c r="AA260" s="117"/>
    </row>
    <row r="261" spans="27:27" x14ac:dyDescent="0.15">
      <c r="AA261" s="117"/>
    </row>
    <row r="262" spans="27:27" x14ac:dyDescent="0.15">
      <c r="AA262" s="117"/>
    </row>
    <row r="263" spans="27:27" x14ac:dyDescent="0.15">
      <c r="AA263" s="117"/>
    </row>
    <row r="264" spans="27:27" x14ac:dyDescent="0.15">
      <c r="AA264" s="117"/>
    </row>
    <row r="265" spans="27:27" x14ac:dyDescent="0.15">
      <c r="AA265" s="117"/>
    </row>
    <row r="266" spans="27:27" x14ac:dyDescent="0.15">
      <c r="AA266" s="117"/>
    </row>
    <row r="267" spans="27:27" x14ac:dyDescent="0.15">
      <c r="AA267" s="117"/>
    </row>
    <row r="268" spans="27:27" x14ac:dyDescent="0.15">
      <c r="AA268" s="117"/>
    </row>
    <row r="269" spans="27:27" x14ac:dyDescent="0.15">
      <c r="AA269" s="117"/>
    </row>
    <row r="270" spans="27:27" x14ac:dyDescent="0.15">
      <c r="AA270" s="117"/>
    </row>
    <row r="271" spans="27:27" x14ac:dyDescent="0.15">
      <c r="AA271" s="117"/>
    </row>
    <row r="272" spans="27:27" x14ac:dyDescent="0.15">
      <c r="AA272" s="117"/>
    </row>
    <row r="273" spans="27:27" x14ac:dyDescent="0.15">
      <c r="AA273" s="117"/>
    </row>
    <row r="274" spans="27:27" x14ac:dyDescent="0.15">
      <c r="AA274" s="117"/>
    </row>
    <row r="275" spans="27:27" x14ac:dyDescent="0.15">
      <c r="AA275" s="117"/>
    </row>
    <row r="276" spans="27:27" x14ac:dyDescent="0.15">
      <c r="AA276" s="117"/>
    </row>
    <row r="277" spans="27:27" x14ac:dyDescent="0.15">
      <c r="AA277" s="117"/>
    </row>
    <row r="278" spans="27:27" x14ac:dyDescent="0.15">
      <c r="AA278" s="117"/>
    </row>
    <row r="279" spans="27:27" x14ac:dyDescent="0.15">
      <c r="AA279" s="117"/>
    </row>
    <row r="280" spans="27:27" x14ac:dyDescent="0.15">
      <c r="AA280" s="117"/>
    </row>
    <row r="281" spans="27:27" x14ac:dyDescent="0.15">
      <c r="AA281" s="117"/>
    </row>
    <row r="282" spans="27:27" x14ac:dyDescent="0.15">
      <c r="AA282" s="117"/>
    </row>
    <row r="283" spans="27:27" x14ac:dyDescent="0.15">
      <c r="AA283" s="117"/>
    </row>
    <row r="284" spans="27:27" x14ac:dyDescent="0.15">
      <c r="AA284" s="117"/>
    </row>
    <row r="285" spans="27:27" x14ac:dyDescent="0.15">
      <c r="AA285" s="117"/>
    </row>
    <row r="286" spans="27:27" x14ac:dyDescent="0.15">
      <c r="AA286" s="117"/>
    </row>
    <row r="287" spans="27:27" x14ac:dyDescent="0.15">
      <c r="AA287" s="117"/>
    </row>
    <row r="288" spans="27:27" x14ac:dyDescent="0.15">
      <c r="AA288" s="117"/>
    </row>
    <row r="289" spans="27:27" x14ac:dyDescent="0.15">
      <c r="AA289" s="117"/>
    </row>
    <row r="290" spans="27:27" x14ac:dyDescent="0.15">
      <c r="AA290" s="117"/>
    </row>
    <row r="291" spans="27:27" x14ac:dyDescent="0.15">
      <c r="AA291" s="117"/>
    </row>
    <row r="292" spans="27:27" x14ac:dyDescent="0.15">
      <c r="AA292" s="117"/>
    </row>
  </sheetData>
  <mergeCells count="26">
    <mergeCell ref="J7:K8"/>
    <mergeCell ref="B1:E1"/>
    <mergeCell ref="B6:F6"/>
    <mergeCell ref="B7:F7"/>
    <mergeCell ref="B2:F4"/>
    <mergeCell ref="B30:F32"/>
    <mergeCell ref="B14:F16"/>
    <mergeCell ref="B17:F19"/>
    <mergeCell ref="B20:F22"/>
    <mergeCell ref="B23:F26"/>
    <mergeCell ref="B52:D52"/>
    <mergeCell ref="H2:L2"/>
    <mergeCell ref="J20:K20"/>
    <mergeCell ref="J18:L18"/>
    <mergeCell ref="B8:F8"/>
    <mergeCell ref="B27:F29"/>
    <mergeCell ref="B5:F5"/>
    <mergeCell ref="B9:F13"/>
    <mergeCell ref="J5:K6"/>
    <mergeCell ref="B33:F35"/>
    <mergeCell ref="B36:F38"/>
    <mergeCell ref="B39:F41"/>
    <mergeCell ref="B42:F44"/>
    <mergeCell ref="B45:F46"/>
    <mergeCell ref="B47:F47"/>
    <mergeCell ref="B48:F49"/>
  </mergeCells>
  <conditionalFormatting sqref="B51:F52 H52:I75 B54:F74 L20 H21 H23:I34">
    <cfRule type="expression" dxfId="340" priority="5" stopIfTrue="1">
      <formula>Hide</formula>
    </cfRule>
  </conditionalFormatting>
  <conditionalFormatting sqref="D54:D73">
    <cfRule type="expression" dxfId="339" priority="10" stopIfTrue="1">
      <formula>AND(D54="Undefined",E54&gt;Total_pay_items)</formula>
    </cfRule>
    <cfRule type="cellIs" dxfId="338" priority="12" stopIfTrue="1" operator="equal">
      <formula>"Undefined"</formula>
    </cfRule>
  </conditionalFormatting>
  <conditionalFormatting sqref="J18">
    <cfRule type="expression" dxfId="337" priority="6">
      <formula>SheetsAvailable&lt;SheetsNeeded</formula>
    </cfRule>
  </conditionalFormatting>
  <conditionalFormatting sqref="C54:C73">
    <cfRule type="expression" dxfId="336" priority="9">
      <formula>E54&lt;Total_pay_items</formula>
    </cfRule>
  </conditionalFormatting>
  <conditionalFormatting sqref="L1:O1">
    <cfRule type="expression" dxfId="335" priority="3">
      <formula>LEN($K1)&gt;0</formula>
    </cfRule>
  </conditionalFormatting>
  <conditionalFormatting sqref="I19">
    <cfRule type="expression" dxfId="334" priority="207">
      <formula>LEN(#REF!)&gt;0</formula>
    </cfRule>
  </conditionalFormatting>
  <conditionalFormatting sqref="B6:E7">
    <cfRule type="expression" dxfId="333" priority="209">
      <formula>LEN($A6)&gt;0</formula>
    </cfRule>
  </conditionalFormatting>
  <conditionalFormatting sqref="N3:O5">
    <cfRule type="expression" dxfId="332" priority="210">
      <formula>LEN(#REF!)&gt;0</formula>
    </cfRule>
  </conditionalFormatting>
  <conditionalFormatting sqref="N2:O2">
    <cfRule type="expression" dxfId="331" priority="7029">
      <formula>LEN(#REF!)&gt;0</formula>
    </cfRule>
  </conditionalFormatting>
  <conditionalFormatting sqref="H36">
    <cfRule type="expression" dxfId="330" priority="2" stopIfTrue="1">
      <formula>Hide</formula>
    </cfRule>
  </conditionalFormatting>
  <conditionalFormatting sqref="I7:I8">
    <cfRule type="expression" dxfId="329" priority="1">
      <formula>LEN(SUBSTITUTE(SUBSTITUTE($C7,".","")," ",""))&lt;=9</formula>
    </cfRule>
  </conditionalFormatting>
  <dataValidations count="13">
    <dataValidation allowBlank="1" showInputMessage="1" showErrorMessage="1" promptTitle="Minimum rows per table" prompt="The minimum numbers of rows per table.  Allows user to avoid having 1 or 2 points alone on a table." sqref="I27" xr:uid="{00000000-0002-0000-0000-000000000000}"/>
    <dataValidation allowBlank="1" showInputMessage="1" showErrorMessage="1" promptTitle="Base sheet name" prompt="The default name for the worksheets containing the plan sheets (Used in calculating subsequent worksheet names below)" sqref="I25" xr:uid="{00000000-0002-0000-0000-000001000000}"/>
    <dataValidation allowBlank="1" showInputMessage="1" showErrorMessage="1" promptTitle="First Sheet Number" prompt="Input the number of the first sheet.  Any following sheets will be numbered sequentially." sqref="I18" xr:uid="{00000000-0002-0000-0000-000002000000}"/>
    <dataValidation type="list" allowBlank="1" showInputMessage="1" showErrorMessage="1" promptTitle="Select Units" prompt="Select Project Units (Metric or US Customary)" sqref="I10" xr:uid="{00000000-0002-0000-0000-000003000000}">
      <formula1>"Metric, US Customary"</formula1>
    </dataValidation>
    <dataValidation type="list" allowBlank="1" showInputMessage="1" showErrorMessage="1" promptTitle="Sheet Title" prompt="Choose to display Schedule / Option text in sheet title" sqref="I11" xr:uid="{00000000-0002-0000-0000-000004000000}">
      <formula1>"Schedule,Option,&lt; Don't show &gt;"</formula1>
    </dataValidation>
    <dataValidation allowBlank="1" showInputMessage="1" showErrorMessage="1" promptTitle="Base sheet name" prompt="First liine item number." sqref="I23" xr:uid="{00000000-0002-0000-0000-000005000000}"/>
    <dataValidation allowBlank="1" showInputMessage="1" showErrorMessage="1" promptTitle="Minimum rows per table" prompt="Line item increment number" sqref="I24" xr:uid="{00000000-0002-0000-0000-000006000000}"/>
    <dataValidation type="list" allowBlank="1" showInputMessage="1" showErrorMessage="1" sqref="I26" xr:uid="{00000000-0002-0000-0000-000008000000}">
      <formula1>"Bid_Dec,Pay_Dec"</formula1>
    </dataValidation>
    <dataValidation type="list" allowBlank="1" showInputMessage="1" showErrorMessage="1" sqref="I4" xr:uid="{00000000-0002-0000-0000-000009000000}">
      <formula1>"Central,Eastern,Western"</formula1>
    </dataValidation>
    <dataValidation type="list" allowBlank="1" showInputMessage="1" showErrorMessage="1" sqref="I14" xr:uid="{00000000-0002-0000-0000-00000A000000}">
      <formula1>"Level,Rolling,Mountainous"</formula1>
    </dataValidation>
    <dataValidation type="list" allowBlank="1" showInputMessage="1" showErrorMessage="1" sqref="I15" xr:uid="{00000000-0002-0000-0000-00000B000000}">
      <formula1>"Rural,Urban"</formula1>
    </dataValidation>
    <dataValidation type="whole" showInputMessage="1" showErrorMessage="1" sqref="I28" xr:uid="{00000000-0002-0000-0000-00000C000000}">
      <formula1>I27</formula1>
      <formula2>40</formula2>
    </dataValidation>
    <dataValidation allowBlank="1" showInputMessage="1" showErrorMessage="1" promptTitle="NPS Numbers" prompt="Field greyed out and not visible on the sheet until additional text is added" sqref="I7:I8" xr:uid="{42AE3E4F-0001-428E-B9AC-3E93F2B6FEFE}"/>
  </dataValidations>
  <pageMargins left="0.75" right="0.75" top="1" bottom="1" header="0.5" footer="0.5"/>
  <pageSetup orientation="portrait" horizontalDpi="1200" verticalDpi="1200" r:id="rId1"/>
  <headerFooter alignWithMargins="0"/>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Title="Partner Agency" prompt="Select up to three partner agencies" xr:uid="{00000000-0002-0000-0000-00000D000000}">
          <x14:formula1>
            <xm:f>'Pay Items'!$N$3:$N$14</xm:f>
          </x14:formula1>
          <xm:sqref>I16:K16</xm:sqref>
        </x14:dataValidation>
        <x14:dataValidation type="list" allowBlank="1" showInputMessage="1" showErrorMessage="1" promptTitle="Funding Source" prompt="Select up to three funding sources" xr:uid="{00000000-0002-0000-0000-00000E000000}">
          <x14:formula1>
            <xm:f>'Pay Items'!$P$3:$P$40</xm:f>
          </x14:formula1>
          <xm:sqref>I17:K17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91"/>
  <sheetViews>
    <sheetView showGridLines="0" zoomScaleNormal="100" workbookViewId="0">
      <pane xSplit="5" ySplit="4" topLeftCell="F5" activePane="bottomRight" state="frozen"/>
      <selection pane="topRight" activeCell="C27" sqref="C27"/>
      <selection pane="bottomLeft" activeCell="C27" sqref="C27"/>
      <selection pane="bottomRight" activeCell="E13" sqref="E13"/>
    </sheetView>
  </sheetViews>
  <sheetFormatPr defaultRowHeight="10.5" x14ac:dyDescent="0.15"/>
  <cols>
    <col min="1" max="2" width="10.42578125" style="1" hidden="1" customWidth="1"/>
    <col min="3" max="3" width="10.7109375" style="1" hidden="1" customWidth="1"/>
    <col min="4" max="5" width="10.7109375" style="1" customWidth="1"/>
    <col min="6" max="6" width="60.7109375" style="121" customWidth="1"/>
    <col min="7" max="7" width="10.5703125" style="1" customWidth="1"/>
    <col min="8" max="9" width="8.7109375" style="1" customWidth="1"/>
    <col min="10" max="10" width="26.140625" style="1" customWidth="1"/>
    <col min="11" max="23" width="11.42578125" style="1" customWidth="1"/>
    <col min="24" max="31" width="11.7109375" style="1" customWidth="1"/>
    <col min="32" max="32" width="16.7109375" style="1" customWidth="1"/>
    <col min="33" max="34" width="11.42578125" style="1" customWidth="1"/>
    <col min="35" max="35" width="11.7109375" style="1" customWidth="1"/>
    <col min="36" max="37" width="10" style="1" hidden="1" customWidth="1"/>
    <col min="38" max="38" width="9.140625" style="1" hidden="1" customWidth="1"/>
    <col min="39" max="39" width="9.140625" style="1"/>
    <col min="40" max="40" width="10.7109375" style="1" bestFit="1" customWidth="1"/>
    <col min="41" max="16384" width="9.140625" style="1"/>
  </cols>
  <sheetData>
    <row r="1" spans="1:40" x14ac:dyDescent="0.15">
      <c r="A1" s="249" t="s">
        <v>114</v>
      </c>
      <c r="B1" s="249" t="s">
        <v>114</v>
      </c>
      <c r="C1" s="249" t="s">
        <v>114</v>
      </c>
      <c r="D1" s="250" t="s">
        <v>115</v>
      </c>
      <c r="E1" s="251" t="str">
        <f ca="1">HYPERLINK("#"&amp;REPLACE(CELL("address",Pay.Item.Listing[]),1,FIND("]",CELL("address",Pay.Item.Listing[])),"'"),"[ Items List ]")</f>
        <v>[ Items List ]</v>
      </c>
      <c r="F1" s="265"/>
      <c r="G1" s="252"/>
      <c r="H1" s="252"/>
      <c r="I1" s="252"/>
      <c r="J1" s="252"/>
      <c r="K1" s="253">
        <f t="shared" ref="K1:W1" ca="1" si="0">INDIRECT(ADDRESS(2,MATCH(K$4,INDIRECT(Base&amp;"!Headings"),0)+COLUMN(INDIRECT(Base&amp;"!Headings"))-1,,,Base))</f>
        <v>9</v>
      </c>
      <c r="L1" s="253">
        <f t="shared" ca="1" si="0"/>
        <v>9</v>
      </c>
      <c r="M1" s="253">
        <f t="shared" ca="1" si="0"/>
        <v>8</v>
      </c>
      <c r="N1" s="253">
        <f t="shared" ca="1" si="0"/>
        <v>8</v>
      </c>
      <c r="O1" s="253">
        <f t="shared" ca="1" si="0"/>
        <v>9</v>
      </c>
      <c r="P1" s="253">
        <f t="shared" ca="1" si="0"/>
        <v>8</v>
      </c>
      <c r="Q1" s="253">
        <f t="shared" ca="1" si="0"/>
        <v>8</v>
      </c>
      <c r="R1" s="253">
        <f t="shared" ca="1" si="0"/>
        <v>8</v>
      </c>
      <c r="S1" s="253">
        <f t="shared" ca="1" si="0"/>
        <v>12</v>
      </c>
      <c r="T1" s="253">
        <f t="shared" ca="1" si="0"/>
        <v>9</v>
      </c>
      <c r="U1" s="253">
        <f t="shared" ca="1" si="0"/>
        <v>9</v>
      </c>
      <c r="V1" s="253">
        <f t="shared" ca="1" si="0"/>
        <v>9</v>
      </c>
      <c r="W1" s="253">
        <f t="shared" ca="1" si="0"/>
        <v>11</v>
      </c>
      <c r="X1" s="252"/>
      <c r="Y1" s="252"/>
      <c r="Z1" s="252"/>
      <c r="AA1" s="252"/>
      <c r="AB1" s="252"/>
      <c r="AC1" s="252"/>
      <c r="AD1" s="252"/>
      <c r="AE1" s="252"/>
      <c r="AF1" s="252"/>
      <c r="AG1" s="254"/>
      <c r="AH1" s="252"/>
      <c r="AI1" s="252"/>
      <c r="AJ1" s="249" t="s">
        <v>114</v>
      </c>
      <c r="AK1" s="249" t="s">
        <v>114</v>
      </c>
      <c r="AL1" s="249" t="s">
        <v>114</v>
      </c>
      <c r="AM1" s="252"/>
      <c r="AN1" s="252"/>
    </row>
    <row r="2" spans="1:40" x14ac:dyDescent="0.15">
      <c r="D2" s="47" t="str">
        <f>HYPERLINK("#"&amp;ADDRESS(ROW(Items[]),COLUMN(E4)),"[ Top ]")</f>
        <v>[ Top ]</v>
      </c>
      <c r="E2" s="114" t="str">
        <f>HYPERLINK("#"&amp;ADDRESS(ROW(Proposed[]),COLUMN(E4)),"[ Proposed ]")</f>
        <v>[ Proposed ]</v>
      </c>
      <c r="F2" s="335" t="s">
        <v>116</v>
      </c>
      <c r="J2" s="3" t="s">
        <v>117</v>
      </c>
      <c r="K2" s="88" t="s">
        <v>118</v>
      </c>
      <c r="L2" s="88" t="s">
        <v>119</v>
      </c>
      <c r="M2" s="88" t="s">
        <v>120</v>
      </c>
      <c r="N2" s="88" t="s">
        <v>121</v>
      </c>
      <c r="O2" s="88" t="s">
        <v>122</v>
      </c>
      <c r="P2" s="88" t="s">
        <v>123</v>
      </c>
      <c r="Q2" s="88" t="s">
        <v>124</v>
      </c>
      <c r="R2" s="88" t="s">
        <v>125</v>
      </c>
      <c r="S2" s="88" t="s">
        <v>126</v>
      </c>
      <c r="T2" s="88" t="s">
        <v>127</v>
      </c>
      <c r="U2" s="88" t="s">
        <v>128</v>
      </c>
      <c r="V2" s="88" t="s">
        <v>129</v>
      </c>
      <c r="W2" s="88"/>
      <c r="Y2" s="262" t="str">
        <f>IF(COUNTIF(Items[#Headers],"Account?")&lt;&gt;MaxAccts,"Accounts provided does not match 'MaxAccts'","")</f>
        <v/>
      </c>
      <c r="AG2"/>
      <c r="AJ2"/>
    </row>
    <row r="3" spans="1:40" ht="31.5" x14ac:dyDescent="0.15">
      <c r="D3" s="36" t="s">
        <v>130</v>
      </c>
      <c r="E3" s="4">
        <f ca="1">Proposed[[#Totals],[Count]]-1</f>
        <v>7</v>
      </c>
      <c r="F3" s="336"/>
      <c r="H3" s="37" t="s">
        <v>131</v>
      </c>
      <c r="I3" s="38"/>
      <c r="J3" s="39" t="s">
        <v>132</v>
      </c>
      <c r="K3" s="89" t="s">
        <v>133</v>
      </c>
      <c r="L3" s="89" t="s">
        <v>134</v>
      </c>
      <c r="M3" s="89" t="s">
        <v>135</v>
      </c>
      <c r="N3" s="89" t="s">
        <v>136</v>
      </c>
      <c r="O3" s="89" t="s">
        <v>137</v>
      </c>
      <c r="P3" s="89" t="s">
        <v>138</v>
      </c>
      <c r="Q3" s="89" t="s">
        <v>139</v>
      </c>
      <c r="R3" s="89" t="s">
        <v>140</v>
      </c>
      <c r="S3" s="89" t="s">
        <v>141</v>
      </c>
      <c r="T3" s="89" t="s">
        <v>142</v>
      </c>
      <c r="U3" s="89" t="s">
        <v>143</v>
      </c>
      <c r="V3" s="89" t="s">
        <v>144</v>
      </c>
      <c r="W3" s="89" t="s">
        <v>145</v>
      </c>
      <c r="X3" s="39" t="s">
        <v>146</v>
      </c>
      <c r="Y3" s="198" t="s">
        <v>147</v>
      </c>
      <c r="Z3" s="196" t="s">
        <v>148</v>
      </c>
      <c r="AA3" s="196"/>
      <c r="AB3" s="196"/>
      <c r="AC3" s="196"/>
      <c r="AD3" s="196"/>
      <c r="AE3" s="197" t="s">
        <v>149</v>
      </c>
      <c r="AF3" s="1">
        <f ca="1">Proposed[[#Totals],[EstCount]]</f>
        <v>7</v>
      </c>
      <c r="AG3" s="36" t="s">
        <v>150</v>
      </c>
      <c r="AH3" s="1">
        <f ca="1">CELL("width", OFFSET(AH1,0,-1))</f>
        <v>11</v>
      </c>
    </row>
    <row r="4" spans="1:40" x14ac:dyDescent="0.15">
      <c r="A4" s="14" t="s">
        <v>151</v>
      </c>
      <c r="B4" s="14" t="s">
        <v>152</v>
      </c>
      <c r="C4" s="14" t="s">
        <v>153</v>
      </c>
      <c r="D4" s="14" t="s">
        <v>154</v>
      </c>
      <c r="E4" s="14" t="s">
        <v>130</v>
      </c>
      <c r="F4" s="122" t="s">
        <v>155</v>
      </c>
      <c r="G4" s="14" t="s">
        <v>156</v>
      </c>
      <c r="H4" s="14" t="s">
        <v>37</v>
      </c>
      <c r="I4" s="14" t="s">
        <v>157</v>
      </c>
      <c r="J4" s="14" t="s">
        <v>158</v>
      </c>
      <c r="K4" s="14" t="s">
        <v>159</v>
      </c>
      <c r="L4" s="14" t="s">
        <v>160</v>
      </c>
      <c r="M4" s="14" t="s">
        <v>161</v>
      </c>
      <c r="N4" s="14" t="s">
        <v>162</v>
      </c>
      <c r="O4" s="14" t="s">
        <v>163</v>
      </c>
      <c r="P4" s="14" t="s">
        <v>164</v>
      </c>
      <c r="Q4" s="14" t="s">
        <v>165</v>
      </c>
      <c r="R4" s="14" t="s">
        <v>166</v>
      </c>
      <c r="S4" s="14" t="s">
        <v>167</v>
      </c>
      <c r="T4" s="14" t="s">
        <v>168</v>
      </c>
      <c r="U4" s="14" t="s">
        <v>169</v>
      </c>
      <c r="V4" s="14" t="s">
        <v>170</v>
      </c>
      <c r="W4" s="14" t="s">
        <v>171</v>
      </c>
      <c r="X4" s="49" t="s">
        <v>172</v>
      </c>
      <c r="Y4" t="s">
        <v>173</v>
      </c>
      <c r="Z4" t="s">
        <v>174</v>
      </c>
      <c r="AA4" t="s">
        <v>175</v>
      </c>
      <c r="AB4" t="s">
        <v>176</v>
      </c>
      <c r="AC4" t="s">
        <v>177</v>
      </c>
      <c r="AD4" t="s">
        <v>178</v>
      </c>
      <c r="AE4" t="s">
        <v>179</v>
      </c>
      <c r="AF4" s="49" t="s">
        <v>180</v>
      </c>
      <c r="AG4" s="49" t="s">
        <v>181</v>
      </c>
      <c r="AH4" s="49" t="s">
        <v>182</v>
      </c>
      <c r="AI4" t="s">
        <v>183</v>
      </c>
      <c r="AJ4" t="s">
        <v>184</v>
      </c>
      <c r="AK4" t="s">
        <v>185</v>
      </c>
      <c r="AL4" s="49" t="s">
        <v>186</v>
      </c>
      <c r="AM4" t="s">
        <v>187</v>
      </c>
      <c r="AN4" s="14" t="s">
        <v>188</v>
      </c>
    </row>
    <row r="5" spans="1:40" x14ac:dyDescent="0.15">
      <c r="A5" s="7">
        <f ca="1">IFERROR(RANK(Items[[#This Row],[Sort]],OFFSET(Items[Sort],0,0,ROW(Proposed[])-ROW(Items[])+ROWS(Proposed[]),1),1),"")</f>
        <v>1</v>
      </c>
      <c r="B5" s="7">
        <f>IF(LEN(Items[[#This Row],[Item]])&gt;0,Items[[#This Row],[Raw Item]]+COUNTIF(AN$4:AN5,AN5)/100,"")</f>
        <v>151010000.00999999</v>
      </c>
      <c r="C5" s="7">
        <f>IFERROR(VALUE(LEFT(VALUE(SUBSTITUTE(Items[[#This Row],[Pay Item]],"-",""))*100000000,9)),0)</f>
        <v>151010000</v>
      </c>
      <c r="D5" s="8"/>
      <c r="E5" s="127" t="s">
        <v>189</v>
      </c>
      <c r="F5" s="123" t="str">
        <f>IFERROR(SUBSTITUTE(VLOOKUP(Items[[#This Row],[Item]],Pay.Item.Listing[],2+2*(Units&lt;&gt;"Metric"),0),"{","&lt;"),"&lt;&lt; Pay Item not found &gt;&gt;")</f>
        <v>MOBILIZATION</v>
      </c>
      <c r="G5" s="70" t="str">
        <f>IFERROR(VLOOKUP(Items[[#This Row],[Item]],Pay.Item.Listing[],3+2*(Units&lt;&gt;"Metric"),0),"–")</f>
        <v>LPSM</v>
      </c>
      <c r="H5" s="70">
        <f>IFERROR(VLOOKUP(Items[[#This Row],[Item]],Pay.Item.Listing[],6,0),"–")</f>
        <v>0</v>
      </c>
      <c r="I5" s="70">
        <f>IFERROR(VLOOKUP(Items[[#This Row],[Item]],Pay.Item.Listing[],7,0),"–")</f>
        <v>2</v>
      </c>
      <c r="J5" s="71"/>
      <c r="K5" s="69"/>
      <c r="L5" s="69"/>
      <c r="M5" s="69"/>
      <c r="N5" s="69"/>
      <c r="O5" s="69"/>
      <c r="P5" s="69"/>
      <c r="Q5" s="69"/>
      <c r="R5" s="69"/>
      <c r="S5" s="69"/>
      <c r="T5" s="69"/>
      <c r="U5" s="69"/>
      <c r="V5" s="69"/>
      <c r="W5" s="69"/>
      <c r="X5" s="72">
        <f>IF(LEN(Items[[#This Row],[Item]])&gt;0,IF(Items[[#This Row],[Unit]]="LPSM",1,SUM(Items[[#This Row],[Col_1]:[Col_13]])),0)</f>
        <v>1</v>
      </c>
      <c r="Y5" s="190">
        <f>MAX(Items[[#This Row],[Quantity]]-SUM(Items[[#This Row],[Account2]]:Items[[#This Row],[Account7]]),0)</f>
        <v>1</v>
      </c>
      <c r="Z5" s="61"/>
      <c r="AA5" s="61"/>
      <c r="AB5" s="61"/>
      <c r="AC5" s="61"/>
      <c r="AD5" s="61"/>
      <c r="AE5" s="61"/>
      <c r="AF5" s="73"/>
      <c r="AG5" s="71"/>
      <c r="AH5" s="74" t="b">
        <v>0</v>
      </c>
      <c r="AI5" s="59"/>
      <c r="AJ5" s="190">
        <f ca="1">IFERROR(RANK(Items[[#This Row],[EstSort]],OFFSET(Items[EstSort],0,0,ROW(Proposed[])-ROW(Items[])+ROWS(Proposed[]),1),1),"")</f>
        <v>1</v>
      </c>
      <c r="AK5" s="190">
        <f ca="1">IF(CHOOSE(MATCH(Account,Accounts,0),Items[[#This Row],[Count]],Items[[#This Row],[Account1]],Items[[#This Row],[Account2]],Items[[#This Row],[Account3]],Items[[#This Row],[Account7]])&gt;0,Items[[#This Row],[Sort]],"")</f>
        <v>151010000.00999999</v>
      </c>
      <c r="AL5" s="70">
        <f ca="1">IF(LEN(Items[[#This Row],[Count]])&gt;0,IFERROR(INDEX(Calcs[Counter],MATCH(Items[[#This Row],[Line]],Calcs[Line],0)),""),"")</f>
        <v>1</v>
      </c>
      <c r="AM5" s="156" t="str">
        <f ca="1">IFERROR(Letter&amp;TEXT((Items[[#This Row],[Count]]-1)*Incr+BeginLine,"0000"),"")</f>
        <v>A0020</v>
      </c>
      <c r="AN5" s="7" t="str">
        <f>IF(ISNA(MATCH(LEFT(Items[[#This Row],[Raw Item]],5)&amp;"-"&amp;RIGHT(Items[[#This Row],[Raw Item]],4),Pay.Item.Listing[Pay Item],0)),"",LEFT(Items[[#This Row],[Raw Item]],5)&amp;"-"&amp;RIGHT(Items[[#This Row],[Raw Item]],4))</f>
        <v>15101-0000</v>
      </c>
    </row>
    <row r="6" spans="1:40" x14ac:dyDescent="0.15">
      <c r="A6" s="7">
        <f ca="1">IFERROR(RANK(Items[[#This Row],[Sort]],OFFSET(Items[Sort],0,0,ROW(Proposed[])-ROW(Items[])+ROWS(Proposed[]),1),1),"")</f>
        <v>2</v>
      </c>
      <c r="B6" s="7">
        <f>IF(LEN(Items[[#This Row],[Item]])&gt;0,Items[[#This Row],[Raw Item]]+COUNTIF(AN$4:AN6,AN6)/100,"")</f>
        <v>152103000.00999999</v>
      </c>
      <c r="C6" s="7">
        <f>IFERROR(VALUE(LEFT(VALUE(SUBSTITUTE(Items[[#This Row],[Pay Item]],"-",""))*100000000,9)),0)</f>
        <v>152103000</v>
      </c>
      <c r="D6" s="8"/>
      <c r="E6" s="127" t="s">
        <v>190</v>
      </c>
      <c r="F6" s="123" t="str">
        <f>IFERROR(SUBSTITUTE(VLOOKUP(Items[[#This Row],[Item]],Pay.Item.Listing[],2+2*(Units&lt;&gt;"Metric"),0),"{","&lt;"),"&lt;&lt; Pay Item not found &gt;&gt;")</f>
        <v>CENTERLINE, VERIFICATION AND STAKING</v>
      </c>
      <c r="G6" s="70" t="str">
        <f>IFERROR(VLOOKUP(Items[[#This Row],[Item]],Pay.Item.Listing[],3+2*(Units&lt;&gt;"Metric"),0),"–")</f>
        <v>MILE</v>
      </c>
      <c r="H6" s="70">
        <f>IFERROR(VLOOKUP(Items[[#This Row],[Item]],Pay.Item.Listing[],6,0),"–")</f>
        <v>2</v>
      </c>
      <c r="I6" s="70">
        <f>IFERROR(VLOOKUP(Items[[#This Row],[Item]],Pay.Item.Listing[],7,0),"–")</f>
        <v>2</v>
      </c>
      <c r="J6" s="71"/>
      <c r="K6" s="69"/>
      <c r="L6" s="69"/>
      <c r="M6" s="69"/>
      <c r="N6" s="69"/>
      <c r="O6" s="69"/>
      <c r="P6" s="69"/>
      <c r="Q6" s="69"/>
      <c r="R6" s="69"/>
      <c r="S6" s="69"/>
      <c r="T6" s="69"/>
      <c r="U6" s="69"/>
      <c r="V6" s="69"/>
      <c r="W6" s="69"/>
      <c r="X6" s="72">
        <f>IF(LEN(Items[[#This Row],[Item]])&gt;0,IF(Items[[#This Row],[Unit]]="LPSM",1,SUM(Items[[#This Row],[Col_1]:[Col_13]])),0)</f>
        <v>0</v>
      </c>
      <c r="Y6" s="191">
        <f>MAX(Items[[#This Row],[Quantity]]-SUM(Items[[#This Row],[Account2]]:Items[[#This Row],[Account7]]),0)</f>
        <v>0</v>
      </c>
      <c r="Z6" s="192"/>
      <c r="AA6" s="192"/>
      <c r="AB6" s="192"/>
      <c r="AC6" s="192"/>
      <c r="AD6" s="192"/>
      <c r="AE6" s="192"/>
      <c r="AF6" s="73"/>
      <c r="AG6" s="71"/>
      <c r="AH6" s="74" t="b">
        <v>0</v>
      </c>
      <c r="AI6" s="155"/>
      <c r="AJ6" s="191">
        <f ca="1">IFERROR(RANK(Items[[#This Row],[EstSort]],OFFSET(Items[EstSort],0,0,ROW(Proposed[])-ROW(Items[])+ROWS(Proposed[]),1),1),"")</f>
        <v>2</v>
      </c>
      <c r="AK6" s="191">
        <f ca="1">IF(CHOOSE(MATCH(Account,Accounts,0),Items[[#This Row],[Count]],Items[[#This Row],[Account1]],Items[[#This Row],[Account2]],Items[[#This Row],[Account3]],Items[[#This Row],[Account7]])&gt;0,Items[[#This Row],[Sort]],"")</f>
        <v>152103000.00999999</v>
      </c>
      <c r="AL6" s="70">
        <f ca="1">IF(LEN(Items[[#This Row],[Count]])&gt;0,IFERROR(INDEX(Calcs[Counter],MATCH(Items[[#This Row],[Line]],Calcs[Line],0)),""),"")</f>
        <v>3</v>
      </c>
      <c r="AM6" s="156" t="str">
        <f ca="1">IFERROR(Letter&amp;TEXT((Items[[#This Row],[Count]]-1)*Incr+BeginLine,"0000"),"")</f>
        <v>A0040</v>
      </c>
      <c r="AN6" s="7" t="str">
        <f>IF(ISNA(MATCH(LEFT(Items[[#This Row],[Raw Item]],5)&amp;"-"&amp;RIGHT(Items[[#This Row],[Raw Item]],4),Pay.Item.Listing[Pay Item],0)),"",LEFT(Items[[#This Row],[Raw Item]],5)&amp;"-"&amp;RIGHT(Items[[#This Row],[Raw Item]],4))</f>
        <v>15210-3000</v>
      </c>
    </row>
    <row r="7" spans="1:40" x14ac:dyDescent="0.15">
      <c r="A7" s="7">
        <f ca="1">IFERROR(RANK(Items[[#This Row],[Sort]],OFFSET(Items[Sort],0,0,ROW(Proposed[])-ROW(Items[])+ROWS(Proposed[]),1),1),"")</f>
        <v>3</v>
      </c>
      <c r="B7" s="7">
        <f>IF(LEN(Items[[#This Row],[Item]])&gt;0,Items[[#This Row],[Raw Item]]+COUNTIF(AN$4:AN7,AN7)/100,"")</f>
        <v>152151000.00999999</v>
      </c>
      <c r="C7" s="7">
        <f>IFERROR(VALUE(LEFT(VALUE(SUBSTITUTE(Items[[#This Row],[Pay Item]],"-",""))*100000000,9)),0)</f>
        <v>152151000</v>
      </c>
      <c r="D7" s="8"/>
      <c r="E7" s="127" t="s">
        <v>191</v>
      </c>
      <c r="F7" s="123" t="str">
        <f>IFERROR(SUBSTITUTE(VLOOKUP(Items[[#This Row],[Item]],Pay.Item.Listing[],2+2*(Units&lt;&gt;"Metric"),0),"{","&lt;"),"&lt;&lt; Pay Item not found &gt;&gt;")</f>
        <v>SURVEY AND STAKING, APPROACH ROAD</v>
      </c>
      <c r="G7" s="70" t="str">
        <f>IFERROR(VLOOKUP(Items[[#This Row],[Item]],Pay.Item.Listing[],3+2*(Units&lt;&gt;"Metric"),0),"–")</f>
        <v>EACH</v>
      </c>
      <c r="H7" s="70">
        <f>IFERROR(VLOOKUP(Items[[#This Row],[Item]],Pay.Item.Listing[],6,0),"–")</f>
        <v>0</v>
      </c>
      <c r="I7" s="70">
        <f>IFERROR(VLOOKUP(Items[[#This Row],[Item]],Pay.Item.Listing[],7,0),"–")</f>
        <v>2</v>
      </c>
      <c r="J7" s="71"/>
      <c r="K7" s="69"/>
      <c r="L7" s="69"/>
      <c r="M7" s="69"/>
      <c r="N7" s="69"/>
      <c r="O7" s="69"/>
      <c r="P7" s="69"/>
      <c r="Q7" s="69"/>
      <c r="R7" s="69"/>
      <c r="S7" s="69"/>
      <c r="T7" s="69"/>
      <c r="U7" s="69"/>
      <c r="V7" s="69"/>
      <c r="W7" s="69"/>
      <c r="X7" s="72">
        <f>IF(LEN(Items[[#This Row],[Item]])&gt;0,IF(Items[[#This Row],[Unit]]="LPSM",1,SUM(Items[[#This Row],[Col_1]:[Col_13]])),0)</f>
        <v>0</v>
      </c>
      <c r="Y7" s="190">
        <f>MAX(Items[[#This Row],[Quantity]]-SUM(Items[[#This Row],[Account2]]:Items[[#This Row],[Account7]]),0)</f>
        <v>0</v>
      </c>
      <c r="Z7" s="61"/>
      <c r="AA7" s="61"/>
      <c r="AB7" s="61"/>
      <c r="AC7" s="61"/>
      <c r="AD7" s="61"/>
      <c r="AE7" s="61"/>
      <c r="AF7" s="73"/>
      <c r="AG7" s="71"/>
      <c r="AH7" s="74" t="b">
        <v>0</v>
      </c>
      <c r="AI7" s="59"/>
      <c r="AJ7" s="190">
        <f ca="1">IFERROR(RANK(Items[[#This Row],[EstSort]],OFFSET(Items[EstSort],0,0,ROW(Proposed[])-ROW(Items[])+ROWS(Proposed[]),1),1),"")</f>
        <v>3</v>
      </c>
      <c r="AK7" s="190">
        <f ca="1">IF(CHOOSE(MATCH(Account,Accounts,0),Items[[#This Row],[Count]],Items[[#This Row],[Account1]],Items[[#This Row],[Account2]],Items[[#This Row],[Account3]],Items[[#This Row],[Account7]])&gt;0,Items[[#This Row],[Sort]],"")</f>
        <v>152151000.00999999</v>
      </c>
      <c r="AL7" s="70">
        <f ca="1">IF(LEN(Items[[#This Row],[Count]])&gt;0,IFERROR(INDEX(Calcs[Counter],MATCH(Items[[#This Row],[Line]],Calcs[Line],0)),""),"")</f>
        <v>5</v>
      </c>
      <c r="AM7" s="156" t="str">
        <f ca="1">IFERROR(Letter&amp;TEXT((Items[[#This Row],[Count]]-1)*Incr+BeginLine,"0000"),"")</f>
        <v>A0060</v>
      </c>
      <c r="AN7" s="7" t="str">
        <f>IF(ISNA(MATCH(LEFT(Items[[#This Row],[Raw Item]],5)&amp;"-"&amp;RIGHT(Items[[#This Row],[Raw Item]],4),Pay.Item.Listing[Pay Item],0)),"",LEFT(Items[[#This Row],[Raw Item]],5)&amp;"-"&amp;RIGHT(Items[[#This Row],[Raw Item]],4))</f>
        <v>15215-1000</v>
      </c>
    </row>
    <row r="8" spans="1:40" x14ac:dyDescent="0.15">
      <c r="A8" s="7">
        <f ca="1">IFERROR(RANK(Items[[#This Row],[Sort]],OFFSET(Items[Sort],0,0,ROW(Proposed[])-ROW(Items[])+ROWS(Proposed[]),1),1),"")</f>
        <v>4</v>
      </c>
      <c r="B8" s="7">
        <f>IF(LEN(Items[[#This Row],[Item]])&gt;0,Items[[#This Row],[Raw Item]]+COUNTIF(AN$4:AN8,AN8)/100,"")</f>
        <v>152153000.00999999</v>
      </c>
      <c r="C8" s="7">
        <f>IFERROR(VALUE(LEFT(VALUE(SUBSTITUTE(Items[[#This Row],[Pay Item]],"-",""))*100000000,9)),0)</f>
        <v>152153000</v>
      </c>
      <c r="D8" s="8"/>
      <c r="E8" s="127" t="s">
        <v>192</v>
      </c>
      <c r="F8" s="123" t="str">
        <f>IFERROR(SUBSTITUTE(VLOOKUP(Items[[#This Row],[Item]],Pay.Item.Listing[],2+2*(Units&lt;&gt;"Metric"),0),"{","&lt;"),"&lt;&lt; Pay Item not found &gt;&gt;")</f>
        <v>SURVEY AND STAKING, DRAINAGE STRUCTURE</v>
      </c>
      <c r="G8" s="70" t="str">
        <f>IFERROR(VLOOKUP(Items[[#This Row],[Item]],Pay.Item.Listing[],3+2*(Units&lt;&gt;"Metric"),0),"–")</f>
        <v>EACH</v>
      </c>
      <c r="H8" s="70">
        <f>IFERROR(VLOOKUP(Items[[#This Row],[Item]],Pay.Item.Listing[],6,0),"–")</f>
        <v>0</v>
      </c>
      <c r="I8" s="70">
        <f>IFERROR(VLOOKUP(Items[[#This Row],[Item]],Pay.Item.Listing[],7,0),"–")</f>
        <v>2</v>
      </c>
      <c r="J8" s="71"/>
      <c r="K8" s="69"/>
      <c r="L8" s="69"/>
      <c r="M8" s="69"/>
      <c r="N8" s="69"/>
      <c r="O8" s="69"/>
      <c r="P8" s="69"/>
      <c r="Q8" s="69"/>
      <c r="R8" s="69"/>
      <c r="S8" s="69"/>
      <c r="T8" s="69"/>
      <c r="U8" s="69"/>
      <c r="V8" s="69"/>
      <c r="W8" s="69"/>
      <c r="X8" s="72">
        <f>IF(LEN(Items[[#This Row],[Item]])&gt;0,IF(Items[[#This Row],[Unit]]="LPSM",1,SUM(Items[[#This Row],[Col_1]:[Col_13]])),0)</f>
        <v>0</v>
      </c>
      <c r="Y8" s="190">
        <f>MAX(Items[[#This Row],[Quantity]]-SUM(Items[[#This Row],[Account2]]:Items[[#This Row],[Account7]]),0)</f>
        <v>0</v>
      </c>
      <c r="Z8" s="61"/>
      <c r="AA8" s="61"/>
      <c r="AB8" s="61"/>
      <c r="AC8" s="61"/>
      <c r="AD8" s="61"/>
      <c r="AE8" s="61"/>
      <c r="AF8" s="73"/>
      <c r="AG8" s="71"/>
      <c r="AH8" s="74" t="b">
        <v>0</v>
      </c>
      <c r="AI8" s="59"/>
      <c r="AJ8" s="190">
        <f ca="1">IFERROR(RANK(Items[[#This Row],[EstSort]],OFFSET(Items[EstSort],0,0,ROW(Proposed[])-ROW(Items[])+ROWS(Proposed[]),1),1),"")</f>
        <v>4</v>
      </c>
      <c r="AK8" s="190">
        <f ca="1">IF(CHOOSE(MATCH(Account,Accounts,0),Items[[#This Row],[Count]],Items[[#This Row],[Account1]],Items[[#This Row],[Account2]],Items[[#This Row],[Account3]],Items[[#This Row],[Account7]])&gt;0,Items[[#This Row],[Sort]],"")</f>
        <v>152153000.00999999</v>
      </c>
      <c r="AL8" s="70">
        <f ca="1">IF(LEN(Items[[#This Row],[Count]])&gt;0,IFERROR(INDEX(Calcs[Counter],MATCH(Items[[#This Row],[Line]],Calcs[Line],0)),""),"")</f>
        <v>7</v>
      </c>
      <c r="AM8" s="156" t="str">
        <f ca="1">IFERROR(Letter&amp;TEXT((Items[[#This Row],[Count]]-1)*Incr+BeginLine,"0000"),"")</f>
        <v>A0080</v>
      </c>
      <c r="AN8" s="7" t="str">
        <f>IF(ISNA(MATCH(LEFT(Items[[#This Row],[Raw Item]],5)&amp;"-"&amp;RIGHT(Items[[#This Row],[Raw Item]],4),Pay.Item.Listing[Pay Item],0)),"",LEFT(Items[[#This Row],[Raw Item]],5)&amp;"-"&amp;RIGHT(Items[[#This Row],[Raw Item]],4))</f>
        <v>15215-3000</v>
      </c>
    </row>
    <row r="9" spans="1:40" x14ac:dyDescent="0.15">
      <c r="A9" s="7" t="str">
        <f ca="1">IFERROR(RANK(Items[[#This Row],[Sort]],OFFSET(Items[Sort],0,0,ROW(Proposed[])-ROW(Items[])+ROWS(Proposed[]),1),1),"")</f>
        <v/>
      </c>
      <c r="B9" s="7" t="str">
        <f>IF(LEN(Items[[#This Row],[Item]])&gt;0,Items[[#This Row],[Raw Item]]+COUNTIF(AN$4:AN9,AN9)/100,"")</f>
        <v/>
      </c>
      <c r="C9" s="7">
        <f>IFERROR(VALUE(LEFT(VALUE(SUBSTITUTE(Items[[#This Row],[Pay Item]],"-",""))*100000000,9)),0)</f>
        <v>152162000</v>
      </c>
      <c r="D9" s="8"/>
      <c r="E9" s="127" t="s">
        <v>193</v>
      </c>
      <c r="F9" s="123" t="str">
        <f>IFERROR(SUBSTITUTE(VLOOKUP(Items[[#This Row],[Item]],Pay.Item.Listing[],2+2*(Units&lt;&gt;"Metric"),0),"{","&lt;"),"&lt;&lt; Pay Item not found &gt;&gt;")</f>
        <v>&lt;&lt; Pay Item not found &gt;&gt;</v>
      </c>
      <c r="G9" s="70" t="str">
        <f>IFERROR(VLOOKUP(Items[[#This Row],[Item]],Pay.Item.Listing[],3+2*(Units&lt;&gt;"Metric"),0),"–")</f>
        <v>–</v>
      </c>
      <c r="H9" s="70" t="str">
        <f>IFERROR(VLOOKUP(Items[[#This Row],[Item]],Pay.Item.Listing[],6,0),"–")</f>
        <v>–</v>
      </c>
      <c r="I9" s="70" t="str">
        <f>IFERROR(VLOOKUP(Items[[#This Row],[Item]],Pay.Item.Listing[],7,0),"–")</f>
        <v>–</v>
      </c>
      <c r="J9" s="71"/>
      <c r="K9" s="69"/>
      <c r="L9" s="69"/>
      <c r="M9" s="69"/>
      <c r="N9" s="69"/>
      <c r="O9" s="69"/>
      <c r="P9" s="69"/>
      <c r="Q9" s="69"/>
      <c r="R9" s="69"/>
      <c r="S9" s="69"/>
      <c r="T9" s="69"/>
      <c r="U9" s="69"/>
      <c r="V9" s="69"/>
      <c r="W9" s="69"/>
      <c r="X9" s="72">
        <f>IF(LEN(Items[[#This Row],[Item]])&gt;0,IF(Items[[#This Row],[Unit]]="LPSM",1,SUM(Items[[#This Row],[Col_1]:[Col_13]])),0)</f>
        <v>0</v>
      </c>
      <c r="Y9" s="190">
        <f>MAX(Items[[#This Row],[Quantity]]-SUM(Items[[#This Row],[Account2]]:Items[[#This Row],[Account7]]),0)</f>
        <v>0</v>
      </c>
      <c r="Z9" s="61"/>
      <c r="AA9" s="61"/>
      <c r="AB9" s="61"/>
      <c r="AC9" s="61"/>
      <c r="AD9" s="61"/>
      <c r="AE9" s="61"/>
      <c r="AF9" s="73"/>
      <c r="AG9" s="71"/>
      <c r="AH9" s="74" t="b">
        <v>0</v>
      </c>
      <c r="AI9" s="59"/>
      <c r="AJ9" s="190" t="str">
        <f ca="1">IFERROR(RANK(Items[[#This Row],[EstSort]],OFFSET(Items[EstSort],0,0,ROW(Proposed[])-ROW(Items[])+ROWS(Proposed[]),1),1),"")</f>
        <v/>
      </c>
      <c r="AK9" s="190" t="str">
        <f ca="1">IF(CHOOSE(MATCH(Account,Accounts,0),Items[[#This Row],[Count]],Items[[#This Row],[Account1]],Items[[#This Row],[Account2]],Items[[#This Row],[Account3]],Items[[#This Row],[Account7]])&gt;0,Items[[#This Row],[Sort]],"")</f>
        <v/>
      </c>
      <c r="AL9" s="70" t="str">
        <f ca="1">IF(LEN(Items[[#This Row],[Count]])&gt;0,IFERROR(INDEX(Calcs[Counter],MATCH(Items[[#This Row],[Line]],Calcs[Line],0)),""),"")</f>
        <v/>
      </c>
      <c r="AM9" s="156" t="str">
        <f ca="1">IFERROR(Letter&amp;TEXT((Items[[#This Row],[Count]]-1)*Incr+BeginLine,"0000"),"")</f>
        <v/>
      </c>
      <c r="AN9" s="7" t="str">
        <f>IF(ISNA(MATCH(LEFT(Items[[#This Row],[Raw Item]],5)&amp;"-"&amp;RIGHT(Items[[#This Row],[Raw Item]],4),Pay.Item.Listing[Pay Item],0)),"",LEFT(Items[[#This Row],[Raw Item]],5)&amp;"-"&amp;RIGHT(Items[[#This Row],[Raw Item]],4))</f>
        <v/>
      </c>
    </row>
    <row r="10" spans="1:40" x14ac:dyDescent="0.15">
      <c r="A10" s="7">
        <f ca="1">IFERROR(RANK(Items[[#This Row],[Sort]],OFFSET(Items[Sort],0,0,ROW(Proposed[])-ROW(Items[])+ROWS(Proposed[]),1),1),"")</f>
        <v>5</v>
      </c>
      <c r="B10" s="7">
        <f>IF(LEN(Items[[#This Row],[Item]])&gt;0,Items[[#This Row],[Raw Item]]+COUNTIF(AN$4:AN10,AN10)/100,"")</f>
        <v>153010000.00999999</v>
      </c>
      <c r="C10" s="7">
        <f>IFERROR(VALUE(LEFT(VALUE(SUBSTITUTE(Items[[#This Row],[Pay Item]],"-",""))*100000000,9)),0)</f>
        <v>153010000</v>
      </c>
      <c r="D10" s="8"/>
      <c r="E10" s="127" t="s">
        <v>194</v>
      </c>
      <c r="F10" s="123" t="str">
        <f>IFERROR(SUBSTITUTE(VLOOKUP(Items[[#This Row],[Item]],Pay.Item.Listing[],2+2*(Units&lt;&gt;"Metric"),0),"{","&lt;"),"&lt;&lt; Pay Item not found &gt;&gt;")</f>
        <v>CONTRACTOR QUALITY CONTROL</v>
      </c>
      <c r="G10" s="70" t="str">
        <f>IFERROR(VLOOKUP(Items[[#This Row],[Item]],Pay.Item.Listing[],3+2*(Units&lt;&gt;"Metric"),0),"–")</f>
        <v>LPSM</v>
      </c>
      <c r="H10" s="70">
        <f>IFERROR(VLOOKUP(Items[[#This Row],[Item]],Pay.Item.Listing[],6,0),"–")</f>
        <v>0</v>
      </c>
      <c r="I10" s="70">
        <f>IFERROR(VLOOKUP(Items[[#This Row],[Item]],Pay.Item.Listing[],7,0),"–")</f>
        <v>2</v>
      </c>
      <c r="J10" s="71"/>
      <c r="K10" s="69"/>
      <c r="L10" s="69"/>
      <c r="M10" s="69"/>
      <c r="N10" s="69"/>
      <c r="O10" s="69"/>
      <c r="P10" s="69"/>
      <c r="Q10" s="69"/>
      <c r="R10" s="69"/>
      <c r="S10" s="69"/>
      <c r="T10" s="69"/>
      <c r="U10" s="69"/>
      <c r="V10" s="69"/>
      <c r="W10" s="69"/>
      <c r="X10" s="72">
        <f>IF(LEN(Items[[#This Row],[Item]])&gt;0,IF(Items[[#This Row],[Unit]]="LPSM",1,SUM(Items[[#This Row],[Col_1]:[Col_13]])),0)</f>
        <v>1</v>
      </c>
      <c r="Y10" s="190">
        <f>MAX(Items[[#This Row],[Quantity]]-SUM(Items[[#This Row],[Account2]]:Items[[#This Row],[Account7]]),0)</f>
        <v>1</v>
      </c>
      <c r="Z10" s="61"/>
      <c r="AA10" s="61"/>
      <c r="AB10" s="61"/>
      <c r="AC10" s="61"/>
      <c r="AD10" s="61"/>
      <c r="AE10" s="61"/>
      <c r="AF10" s="73"/>
      <c r="AG10" s="71"/>
      <c r="AH10" s="74" t="b">
        <v>0</v>
      </c>
      <c r="AI10" s="59"/>
      <c r="AJ10" s="190">
        <f ca="1">IFERROR(RANK(Items[[#This Row],[EstSort]],OFFSET(Items[EstSort],0,0,ROW(Proposed[])-ROW(Items[])+ROWS(Proposed[]),1),1),"")</f>
        <v>5</v>
      </c>
      <c r="AK10" s="190">
        <f ca="1">IF(CHOOSE(MATCH(Account,Accounts,0),Items[[#This Row],[Count]],Items[[#This Row],[Account1]],Items[[#This Row],[Account2]],Items[[#This Row],[Account3]],Items[[#This Row],[Account7]])&gt;0,Items[[#This Row],[Sort]],"")</f>
        <v>153010000.00999999</v>
      </c>
      <c r="AL10" s="70">
        <f ca="1">IF(LEN(Items[[#This Row],[Count]])&gt;0,IFERROR(INDEX(Calcs[Counter],MATCH(Items[[#This Row],[Line]],Calcs[Line],0)),""),"")</f>
        <v>8</v>
      </c>
      <c r="AM10" s="156" t="str">
        <f ca="1">IFERROR(Letter&amp;TEXT((Items[[#This Row],[Count]]-1)*Incr+BeginLine,"0000"),"")</f>
        <v>A0100</v>
      </c>
      <c r="AN10" s="7" t="str">
        <f>IF(ISNA(MATCH(LEFT(Items[[#This Row],[Raw Item]],5)&amp;"-"&amp;RIGHT(Items[[#This Row],[Raw Item]],4),Pay.Item.Listing[Pay Item],0)),"",LEFT(Items[[#This Row],[Raw Item]],5)&amp;"-"&amp;RIGHT(Items[[#This Row],[Raw Item]],4))</f>
        <v>15301-0000</v>
      </c>
    </row>
    <row r="11" spans="1:40" x14ac:dyDescent="0.15">
      <c r="A11" s="7">
        <f ca="1">IFERROR(RANK(Items[[#This Row],[Sort]],OFFSET(Items[Sort],0,0,ROW(Proposed[])-ROW(Items[])+ROWS(Proposed[]),1),1),"")</f>
        <v>6</v>
      </c>
      <c r="B11" s="7">
        <f>IF(LEN(Items[[#This Row],[Item]])&gt;0,Items[[#This Row],[Raw Item]]+COUNTIF(AN$4:AN11,AN11)/100,"")</f>
        <v>154010000.00999999</v>
      </c>
      <c r="C11" s="7">
        <f>IFERROR(VALUE(LEFT(VALUE(SUBSTITUTE(Items[[#This Row],[Pay Item]],"-",""))*100000000,9)),0)</f>
        <v>154010000</v>
      </c>
      <c r="D11" s="8"/>
      <c r="E11" s="127" t="s">
        <v>195</v>
      </c>
      <c r="F11" s="123" t="str">
        <f>IFERROR(SUBSTITUTE(VLOOKUP(Items[[#This Row],[Item]],Pay.Item.Listing[],2+2*(Units&lt;&gt;"Metric"),0),"{","&lt;"),"&lt;&lt; Pay Item not found &gt;&gt;")</f>
        <v>CONTRACTOR TESTING</v>
      </c>
      <c r="G11" s="70" t="str">
        <f>IFERROR(VLOOKUP(Items[[#This Row],[Item]],Pay.Item.Listing[],3+2*(Units&lt;&gt;"Metric"),0),"–")</f>
        <v>LPSM</v>
      </c>
      <c r="H11" s="70">
        <f>IFERROR(VLOOKUP(Items[[#This Row],[Item]],Pay.Item.Listing[],6,0),"–")</f>
        <v>0</v>
      </c>
      <c r="I11" s="70">
        <f>IFERROR(VLOOKUP(Items[[#This Row],[Item]],Pay.Item.Listing[],7,0),"–")</f>
        <v>2</v>
      </c>
      <c r="J11" s="71"/>
      <c r="K11" s="69"/>
      <c r="L11" s="69"/>
      <c r="M11" s="69"/>
      <c r="N11" s="69"/>
      <c r="O11" s="69"/>
      <c r="P11" s="69"/>
      <c r="Q11" s="69"/>
      <c r="R11" s="69"/>
      <c r="S11" s="69"/>
      <c r="T11" s="69"/>
      <c r="U11" s="69"/>
      <c r="V11" s="69"/>
      <c r="W11" s="69"/>
      <c r="X11" s="72">
        <f>IF(LEN(Items[[#This Row],[Item]])&gt;0,IF(Items[[#This Row],[Unit]]="LPSM",1,SUM(Items[[#This Row],[Col_1]:[Col_13]])),0)</f>
        <v>1</v>
      </c>
      <c r="Y11" s="190">
        <f>MAX(Items[[#This Row],[Quantity]]-SUM(Items[[#This Row],[Account2]]:Items[[#This Row],[Account7]]),0)</f>
        <v>1</v>
      </c>
      <c r="Z11" s="61"/>
      <c r="AA11" s="61"/>
      <c r="AB11" s="61"/>
      <c r="AC11" s="61"/>
      <c r="AD11" s="61"/>
      <c r="AE11" s="61"/>
      <c r="AF11" s="73"/>
      <c r="AG11" s="71"/>
      <c r="AH11" s="74" t="b">
        <v>0</v>
      </c>
      <c r="AI11" s="59"/>
      <c r="AJ11" s="190">
        <f ca="1">IFERROR(RANK(Items[[#This Row],[EstSort]],OFFSET(Items[EstSort],0,0,ROW(Proposed[])-ROW(Items[])+ROWS(Proposed[]),1),1),"")</f>
        <v>6</v>
      </c>
      <c r="AK11" s="190">
        <f ca="1">IF(CHOOSE(MATCH(Account,Accounts,0),Items[[#This Row],[Count]],Items[[#This Row],[Account1]],Items[[#This Row],[Account2]],Items[[#This Row],[Account3]],Items[[#This Row],[Account7]])&gt;0,Items[[#This Row],[Sort]],"")</f>
        <v>154010000.00999999</v>
      </c>
      <c r="AL11" s="70">
        <f ca="1">IF(LEN(Items[[#This Row],[Count]])&gt;0,IFERROR(INDEX(Calcs[Counter],MATCH(Items[[#This Row],[Line]],Calcs[Line],0)),""),"")</f>
        <v>9</v>
      </c>
      <c r="AM11" s="156" t="str">
        <f ca="1">IFERROR(Letter&amp;TEXT((Items[[#This Row],[Count]]-1)*Incr+BeginLine,"0000"),"")</f>
        <v>A0120</v>
      </c>
      <c r="AN11" s="7" t="str">
        <f>IF(ISNA(MATCH(LEFT(Items[[#This Row],[Raw Item]],5)&amp;"-"&amp;RIGHT(Items[[#This Row],[Raw Item]],4),Pay.Item.Listing[Pay Item],0)),"",LEFT(Items[[#This Row],[Raw Item]],5)&amp;"-"&amp;RIGHT(Items[[#This Row],[Raw Item]],4))</f>
        <v>15401-0000</v>
      </c>
    </row>
    <row r="12" spans="1:40" x14ac:dyDescent="0.15">
      <c r="A12" s="7">
        <f ca="1">IFERROR(RANK(Items[[#This Row],[Sort]],OFFSET(Items[Sort],0,0,ROW(Proposed[])-ROW(Items[])+ROWS(Proposed[]),1),1),"")</f>
        <v>7</v>
      </c>
      <c r="B12" s="7">
        <f>IF(LEN(Items[[#This Row],[Item]])&gt;0,Items[[#This Row],[Raw Item]]+COUNTIF(AN$4:AN12,AN12)/100,"")</f>
        <v>155010000.00999999</v>
      </c>
      <c r="C12" s="7">
        <f>IFERROR(VALUE(LEFT(VALUE(SUBSTITUTE(Items[[#This Row],[Pay Item]],"-",""))*100000000,9)),0)</f>
        <v>155010000</v>
      </c>
      <c r="D12" s="8"/>
      <c r="E12" s="127" t="s">
        <v>196</v>
      </c>
      <c r="F12" s="123" t="str">
        <f>IFERROR(SUBSTITUTE(VLOOKUP(Items[[#This Row],[Item]],Pay.Item.Listing[],2+2*(Units&lt;&gt;"Metric"),0),"{","&lt;"),"&lt;&lt; Pay Item not found &gt;&gt;")</f>
        <v>CONSTRUCTION SCHEDULE</v>
      </c>
      <c r="G12" s="70" t="str">
        <f>IFERROR(VLOOKUP(Items[[#This Row],[Item]],Pay.Item.Listing[],3+2*(Units&lt;&gt;"Metric"),0),"–")</f>
        <v>LPSM</v>
      </c>
      <c r="H12" s="70">
        <f>IFERROR(VLOOKUP(Items[[#This Row],[Item]],Pay.Item.Listing[],6,0),"–")</f>
        <v>0</v>
      </c>
      <c r="I12" s="70">
        <f>IFERROR(VLOOKUP(Items[[#This Row],[Item]],Pay.Item.Listing[],7,0),"–")</f>
        <v>2</v>
      </c>
      <c r="J12" s="71"/>
      <c r="K12" s="69"/>
      <c r="L12" s="69"/>
      <c r="M12" s="69"/>
      <c r="N12" s="69"/>
      <c r="O12" s="69"/>
      <c r="P12" s="69"/>
      <c r="Q12" s="69"/>
      <c r="R12" s="69"/>
      <c r="S12" s="69"/>
      <c r="T12" s="69"/>
      <c r="U12" s="69"/>
      <c r="V12" s="69"/>
      <c r="W12" s="69"/>
      <c r="X12" s="72">
        <f>IF(LEN(Items[[#This Row],[Item]])&gt;0,IF(Items[[#This Row],[Unit]]="LPSM",1,SUM(Items[[#This Row],[Col_1]:[Col_13]])),0)</f>
        <v>1</v>
      </c>
      <c r="Y12" s="190">
        <f>MAX(Items[[#This Row],[Quantity]]-SUM(Items[[#This Row],[Account2]]:Items[[#This Row],[Account7]]),0)</f>
        <v>1</v>
      </c>
      <c r="Z12" s="61"/>
      <c r="AA12" s="61"/>
      <c r="AB12" s="61"/>
      <c r="AC12" s="61"/>
      <c r="AD12" s="61"/>
      <c r="AE12" s="61"/>
      <c r="AF12" s="73"/>
      <c r="AG12" s="71"/>
      <c r="AH12" s="74" t="b">
        <v>0</v>
      </c>
      <c r="AI12" s="59"/>
      <c r="AJ12" s="190">
        <f ca="1">IFERROR(RANK(Items[[#This Row],[EstSort]],OFFSET(Items[EstSort],0,0,ROW(Proposed[])-ROW(Items[])+ROWS(Proposed[]),1),1),"")</f>
        <v>7</v>
      </c>
      <c r="AK12" s="190">
        <f ca="1">IF(CHOOSE(MATCH(Account,Accounts,0),Items[[#This Row],[Count]],Items[[#This Row],[Account1]],Items[[#This Row],[Account2]],Items[[#This Row],[Account3]],Items[[#This Row],[Account7]])&gt;0,Items[[#This Row],[Sort]],"")</f>
        <v>155010000.00999999</v>
      </c>
      <c r="AL12" s="70">
        <f ca="1">IF(LEN(Items[[#This Row],[Count]])&gt;0,IFERROR(INDEX(Calcs[Counter],MATCH(Items[[#This Row],[Line]],Calcs[Line],0)),""),"")</f>
        <v>10</v>
      </c>
      <c r="AM12" s="156" t="str">
        <f ca="1">IFERROR(Letter&amp;TEXT((Items[[#This Row],[Count]]-1)*Incr+BeginLine,"0000"),"")</f>
        <v>A0140</v>
      </c>
      <c r="AN12" s="7" t="str">
        <f>IF(ISNA(MATCH(LEFT(Items[[#This Row],[Raw Item]],5)&amp;"-"&amp;RIGHT(Items[[#This Row],[Raw Item]],4),Pay.Item.Listing[Pay Item],0)),"",LEFT(Items[[#This Row],[Raw Item]],5)&amp;"-"&amp;RIGHT(Items[[#This Row],[Raw Item]],4))</f>
        <v>15501-0000</v>
      </c>
    </row>
    <row r="13" spans="1:40" x14ac:dyDescent="0.15">
      <c r="A13" s="7" t="str">
        <f ca="1">IFERROR(RANK(Items[[#This Row],[Sort]],OFFSET(Items[Sort],0,0,ROW(Proposed[])-ROW(Items[])+ROWS(Proposed[]),1),1),"")</f>
        <v/>
      </c>
      <c r="B13" s="7" t="str">
        <f>IF(LEN(Items[[#This Row],[Item]])&gt;0,Items[[#This Row],[Raw Item]]+COUNTIF(AN$4:AN13,AN13)/100,"")</f>
        <v/>
      </c>
      <c r="C13" s="7">
        <f>IFERROR(VALUE(LEFT(VALUE(SUBSTITUTE(Items[[#This Row],[Pay Item]],"-",""))*100000000,9)),0)</f>
        <v>0</v>
      </c>
      <c r="D13" s="8"/>
      <c r="E13" s="127"/>
      <c r="F13" s="123" t="str">
        <f>IFERROR(SUBSTITUTE(VLOOKUP(Items[[#This Row],[Item]],Pay.Item.Listing[],2+2*(Units&lt;&gt;"Metric"),0),"{","&lt;"),"&lt;&lt; Pay Item not found &gt;&gt;")</f>
        <v>&lt;&lt; Pay Item not found &gt;&gt;</v>
      </c>
      <c r="G13" s="70" t="str">
        <f>IFERROR(VLOOKUP(Items[[#This Row],[Item]],Pay.Item.Listing[],3+2*(Units&lt;&gt;"Metric"),0),"–")</f>
        <v>–</v>
      </c>
      <c r="H13" s="70" t="str">
        <f>IFERROR(VLOOKUP(Items[[#This Row],[Item]],Pay.Item.Listing[],6,0),"–")</f>
        <v>–</v>
      </c>
      <c r="I13" s="70" t="str">
        <f>IFERROR(VLOOKUP(Items[[#This Row],[Item]],Pay.Item.Listing[],7,0),"–")</f>
        <v>–</v>
      </c>
      <c r="J13" s="71"/>
      <c r="K13" s="69"/>
      <c r="L13" s="69"/>
      <c r="M13" s="69"/>
      <c r="N13" s="69"/>
      <c r="O13" s="69"/>
      <c r="P13" s="69"/>
      <c r="Q13" s="69"/>
      <c r="R13" s="69"/>
      <c r="S13" s="69"/>
      <c r="T13" s="69"/>
      <c r="U13" s="69"/>
      <c r="V13" s="69"/>
      <c r="W13" s="69"/>
      <c r="X13" s="72">
        <f>IF(LEN(Items[[#This Row],[Item]])&gt;0,IF(Items[[#This Row],[Unit]]="LPSM",1,SUM(Items[[#This Row],[Col_1]:[Col_13]])),0)</f>
        <v>0</v>
      </c>
      <c r="Y13" s="190">
        <f>MAX(Items[[#This Row],[Quantity]]-SUM(Items[[#This Row],[Account2]]:Items[[#This Row],[Account7]]),0)</f>
        <v>0</v>
      </c>
      <c r="Z13" s="61"/>
      <c r="AA13" s="61"/>
      <c r="AB13" s="61"/>
      <c r="AC13" s="61"/>
      <c r="AD13" s="61"/>
      <c r="AE13" s="61"/>
      <c r="AF13" s="73"/>
      <c r="AG13" s="71"/>
      <c r="AH13" s="74" t="b">
        <v>0</v>
      </c>
      <c r="AI13" s="59"/>
      <c r="AJ13" s="190" t="str">
        <f ca="1">IFERROR(RANK(Items[[#This Row],[EstSort]],OFFSET(Items[EstSort],0,0,ROW(Proposed[])-ROW(Items[])+ROWS(Proposed[]),1),1),"")</f>
        <v/>
      </c>
      <c r="AK13" s="190" t="str">
        <f ca="1">IF(CHOOSE(MATCH(Account,Accounts,0),Items[[#This Row],[Count]],Items[[#This Row],[Account1]],Items[[#This Row],[Account2]],Items[[#This Row],[Account3]],Items[[#This Row],[Account7]])&gt;0,Items[[#This Row],[Sort]],"")</f>
        <v/>
      </c>
      <c r="AL13" s="70" t="str">
        <f ca="1">IF(LEN(Items[[#This Row],[Count]])&gt;0,IFERROR(INDEX(Calcs[Counter],MATCH(Items[[#This Row],[Line]],Calcs[Line],0)),""),"")</f>
        <v/>
      </c>
      <c r="AM13" s="156" t="str">
        <f ca="1">IFERROR(Letter&amp;TEXT((Items[[#This Row],[Count]]-1)*Incr+BeginLine,"0000"),"")</f>
        <v/>
      </c>
      <c r="AN13" s="7" t="str">
        <f>IF(ISNA(MATCH(LEFT(Items[[#This Row],[Raw Item]],5)&amp;"-"&amp;RIGHT(Items[[#This Row],[Raw Item]],4),Pay.Item.Listing[Pay Item],0)),"",LEFT(Items[[#This Row],[Raw Item]],5)&amp;"-"&amp;RIGHT(Items[[#This Row],[Raw Item]],4))</f>
        <v/>
      </c>
    </row>
    <row r="14" spans="1:40" x14ac:dyDescent="0.15">
      <c r="A14" s="7" t="str">
        <f ca="1">IFERROR(RANK(Items[[#This Row],[Sort]],OFFSET(Items[Sort],0,0,ROW(Proposed[])-ROW(Items[])+ROWS(Proposed[]),1),1),"")</f>
        <v/>
      </c>
      <c r="B14" s="7" t="str">
        <f>IF(LEN(Items[[#This Row],[Item]])&gt;0,Items[[#This Row],[Raw Item]]+COUNTIF(AN$4:AN14,AN14)/100,"")</f>
        <v/>
      </c>
      <c r="C14" s="7">
        <f>IFERROR(VALUE(LEFT(VALUE(SUBSTITUTE(Items[[#This Row],[Pay Item]],"-",""))*100000000,9)),0)</f>
        <v>0</v>
      </c>
      <c r="D14" s="8"/>
      <c r="E14" s="127"/>
      <c r="F14" s="123" t="str">
        <f>IFERROR(SUBSTITUTE(VLOOKUP(Items[[#This Row],[Item]],Pay.Item.Listing[],2+2*(Units&lt;&gt;"Metric"),0),"{","&lt;"),"&lt;&lt; Pay Item not found &gt;&gt;")</f>
        <v>&lt;&lt; Pay Item not found &gt;&gt;</v>
      </c>
      <c r="G14" s="70" t="str">
        <f>IFERROR(VLOOKUP(Items[[#This Row],[Item]],Pay.Item.Listing[],3+2*(Units&lt;&gt;"Metric"),0),"–")</f>
        <v>–</v>
      </c>
      <c r="H14" s="70" t="str">
        <f>IFERROR(VLOOKUP(Items[[#This Row],[Item]],Pay.Item.Listing[],6,0),"–")</f>
        <v>–</v>
      </c>
      <c r="I14" s="70" t="str">
        <f>IFERROR(VLOOKUP(Items[[#This Row],[Item]],Pay.Item.Listing[],7,0),"–")</f>
        <v>–</v>
      </c>
      <c r="J14" s="71"/>
      <c r="K14" s="69"/>
      <c r="L14" s="69"/>
      <c r="M14" s="69"/>
      <c r="N14" s="69"/>
      <c r="O14" s="69"/>
      <c r="P14" s="69"/>
      <c r="Q14" s="69"/>
      <c r="R14" s="69"/>
      <c r="S14" s="69"/>
      <c r="T14" s="69"/>
      <c r="U14" s="69"/>
      <c r="V14" s="69"/>
      <c r="W14" s="69"/>
      <c r="X14" s="72">
        <f>IF(LEN(Items[[#This Row],[Item]])&gt;0,IF(Items[[#This Row],[Unit]]="LPSM",1,SUM(Items[[#This Row],[Col_1]:[Col_13]])),0)</f>
        <v>0</v>
      </c>
      <c r="Y14" s="190">
        <f>MAX(Items[[#This Row],[Quantity]]-SUM(Items[[#This Row],[Account2]]:Items[[#This Row],[Account7]]),0)</f>
        <v>0</v>
      </c>
      <c r="Z14" s="61"/>
      <c r="AA14" s="61"/>
      <c r="AB14" s="61"/>
      <c r="AC14" s="61"/>
      <c r="AD14" s="61"/>
      <c r="AE14" s="61"/>
      <c r="AF14" s="73"/>
      <c r="AG14" s="71"/>
      <c r="AH14" s="74" t="b">
        <v>0</v>
      </c>
      <c r="AI14" s="59"/>
      <c r="AJ14" s="190" t="str">
        <f ca="1">IFERROR(RANK(Items[[#This Row],[EstSort]],OFFSET(Items[EstSort],0,0,ROW(Proposed[])-ROW(Items[])+ROWS(Proposed[]),1),1),"")</f>
        <v/>
      </c>
      <c r="AK14" s="190" t="str">
        <f ca="1">IF(CHOOSE(MATCH(Account,Accounts,0),Items[[#This Row],[Count]],Items[[#This Row],[Account1]],Items[[#This Row],[Account2]],Items[[#This Row],[Account3]],Items[[#This Row],[Account7]])&gt;0,Items[[#This Row],[Sort]],"")</f>
        <v/>
      </c>
      <c r="AL14" s="70" t="str">
        <f ca="1">IF(LEN(Items[[#This Row],[Count]])&gt;0,IFERROR(INDEX(Calcs[Counter],MATCH(Items[[#This Row],[Line]],Calcs[Line],0)),""),"")</f>
        <v/>
      </c>
      <c r="AM14" s="156" t="str">
        <f ca="1">IFERROR(Letter&amp;TEXT((Items[[#This Row],[Count]]-1)*Incr+BeginLine,"0000"),"")</f>
        <v/>
      </c>
      <c r="AN14" s="7" t="str">
        <f>IF(ISNA(MATCH(LEFT(Items[[#This Row],[Raw Item]],5)&amp;"-"&amp;RIGHT(Items[[#This Row],[Raw Item]],4),Pay.Item.Listing[Pay Item],0)),"",LEFT(Items[[#This Row],[Raw Item]],5)&amp;"-"&amp;RIGHT(Items[[#This Row],[Raw Item]],4))</f>
        <v/>
      </c>
    </row>
    <row r="15" spans="1:40" x14ac:dyDescent="0.15">
      <c r="A15" s="7" t="str">
        <f ca="1">IFERROR(RANK(Items[[#This Row],[Sort]],OFFSET(Items[Sort],0,0,ROW(Proposed[])-ROW(Items[])+ROWS(Proposed[]),1),1),"")</f>
        <v/>
      </c>
      <c r="B15" s="7" t="str">
        <f>IF(LEN(Items[[#This Row],[Item]])&gt;0,Items[[#This Row],[Raw Item]]+COUNTIF(AN$4:AN15,AN15)/100,"")</f>
        <v/>
      </c>
      <c r="C15" s="7">
        <f>IFERROR(VALUE(LEFT(VALUE(SUBSTITUTE(Items[[#This Row],[Pay Item]],"-",""))*100000000,9)),0)</f>
        <v>0</v>
      </c>
      <c r="D15" s="8"/>
      <c r="E15" s="127"/>
      <c r="F15" s="123" t="str">
        <f>IFERROR(SUBSTITUTE(VLOOKUP(Items[[#This Row],[Item]],Pay.Item.Listing[],2+2*(Units&lt;&gt;"Metric"),0),"{","&lt;"),"&lt;&lt; Pay Item not found &gt;&gt;")</f>
        <v>&lt;&lt; Pay Item not found &gt;&gt;</v>
      </c>
      <c r="G15" s="70" t="str">
        <f>IFERROR(VLOOKUP(Items[[#This Row],[Item]],Pay.Item.Listing[],3+2*(Units&lt;&gt;"Metric"),0),"–")</f>
        <v>–</v>
      </c>
      <c r="H15" s="70" t="str">
        <f>IFERROR(VLOOKUP(Items[[#This Row],[Item]],Pay.Item.Listing[],6,0),"–")</f>
        <v>–</v>
      </c>
      <c r="I15" s="70" t="str">
        <f>IFERROR(VLOOKUP(Items[[#This Row],[Item]],Pay.Item.Listing[],7,0),"–")</f>
        <v>–</v>
      </c>
      <c r="J15" s="71"/>
      <c r="K15" s="69"/>
      <c r="L15" s="69"/>
      <c r="M15" s="69"/>
      <c r="N15" s="69"/>
      <c r="O15" s="69"/>
      <c r="P15" s="69"/>
      <c r="Q15" s="69"/>
      <c r="R15" s="69"/>
      <c r="S15" s="69"/>
      <c r="T15" s="69"/>
      <c r="U15" s="69"/>
      <c r="V15" s="69"/>
      <c r="W15" s="69"/>
      <c r="X15" s="72">
        <f>IF(LEN(Items[[#This Row],[Item]])&gt;0,IF(Items[[#This Row],[Unit]]="LPSM",1,SUM(Items[[#This Row],[Col_1]:[Col_13]])),0)</f>
        <v>0</v>
      </c>
      <c r="Y15" s="190">
        <f>MAX(Items[[#This Row],[Quantity]]-SUM(Items[[#This Row],[Account2]]:Items[[#This Row],[Account7]]),0)</f>
        <v>0</v>
      </c>
      <c r="Z15" s="61"/>
      <c r="AA15" s="61"/>
      <c r="AB15" s="61"/>
      <c r="AC15" s="61"/>
      <c r="AD15" s="61"/>
      <c r="AE15" s="61"/>
      <c r="AF15" s="73"/>
      <c r="AG15" s="71"/>
      <c r="AH15" s="74"/>
      <c r="AI15" s="59"/>
      <c r="AJ15" s="190" t="str">
        <f ca="1">IFERROR(RANK(Items[[#This Row],[EstSort]],OFFSET(Items[EstSort],0,0,ROW(Proposed[])-ROW(Items[])+ROWS(Proposed[]),1),1),"")</f>
        <v/>
      </c>
      <c r="AK15" s="190" t="str">
        <f ca="1">IF(CHOOSE(MATCH(Account,Accounts,0),Items[[#This Row],[Count]],Items[[#This Row],[Account1]],Items[[#This Row],[Account2]],Items[[#This Row],[Account3]],Items[[#This Row],[Account7]])&gt;0,Items[[#This Row],[Sort]],"")</f>
        <v/>
      </c>
      <c r="AL15" s="70" t="str">
        <f ca="1">IF(LEN(Items[[#This Row],[Count]])&gt;0,IFERROR(INDEX(Calcs[Counter],MATCH(Items[[#This Row],[Line]],Calcs[Line],0)),""),"")</f>
        <v/>
      </c>
      <c r="AM15" s="156" t="str">
        <f ca="1">IFERROR(Letter&amp;TEXT((Items[[#This Row],[Count]]-1)*Incr+BeginLine,"0000"),"")</f>
        <v/>
      </c>
      <c r="AN15" s="7" t="str">
        <f>IF(ISNA(MATCH(LEFT(Items[[#This Row],[Raw Item]],5)&amp;"-"&amp;RIGHT(Items[[#This Row],[Raw Item]],4),Pay.Item.Listing[Pay Item],0)),"",LEFT(Items[[#This Row],[Raw Item]],5)&amp;"-"&amp;RIGHT(Items[[#This Row],[Raw Item]],4))</f>
        <v/>
      </c>
    </row>
    <row r="16" spans="1:40" x14ac:dyDescent="0.15">
      <c r="A16" s="7" t="str">
        <f ca="1">IFERROR(RANK(Items[[#This Row],[Sort]],OFFSET(Items[Sort],0,0,ROW(Proposed[])-ROW(Items[])+ROWS(Proposed[]),1),1),"")</f>
        <v/>
      </c>
      <c r="B16" s="7" t="str">
        <f>IF(LEN(Items[[#This Row],[Item]])&gt;0,Items[[#This Row],[Raw Item]]+COUNTIF(AN$4:AN16,AN16)/100,"")</f>
        <v/>
      </c>
      <c r="C16" s="7">
        <f>IFERROR(VALUE(LEFT(VALUE(SUBSTITUTE(Items[[#This Row],[Pay Item]],"-",""))*100000000,9)),0)</f>
        <v>0</v>
      </c>
      <c r="D16" s="8"/>
      <c r="E16" s="127"/>
      <c r="F16" s="123" t="str">
        <f>IFERROR(SUBSTITUTE(VLOOKUP(Items[[#This Row],[Item]],Pay.Item.Listing[],2+2*(Units&lt;&gt;"Metric"),0),"{","&lt;"),"&lt;&lt; Pay Item not found &gt;&gt;")</f>
        <v>&lt;&lt; Pay Item not found &gt;&gt;</v>
      </c>
      <c r="G16" s="70" t="str">
        <f>IFERROR(VLOOKUP(Items[[#This Row],[Item]],Pay.Item.Listing[],3+2*(Units&lt;&gt;"Metric"),0),"–")</f>
        <v>–</v>
      </c>
      <c r="H16" s="70" t="str">
        <f>IFERROR(VLOOKUP(Items[[#This Row],[Item]],Pay.Item.Listing[],6,0),"–")</f>
        <v>–</v>
      </c>
      <c r="I16" s="70" t="str">
        <f>IFERROR(VLOOKUP(Items[[#This Row],[Item]],Pay.Item.Listing[],7,0),"–")</f>
        <v>–</v>
      </c>
      <c r="J16" s="71"/>
      <c r="K16" s="69"/>
      <c r="L16" s="69"/>
      <c r="M16" s="69"/>
      <c r="N16" s="69"/>
      <c r="O16" s="69"/>
      <c r="P16" s="69"/>
      <c r="Q16" s="69"/>
      <c r="R16" s="69"/>
      <c r="S16" s="69"/>
      <c r="T16" s="69"/>
      <c r="U16" s="69"/>
      <c r="V16" s="69"/>
      <c r="W16" s="69"/>
      <c r="X16" s="72">
        <f>IF(LEN(Items[[#This Row],[Item]])&gt;0,IF(Items[[#This Row],[Unit]]="LPSM",1,SUM(Items[[#This Row],[Col_1]:[Col_13]])),0)</f>
        <v>0</v>
      </c>
      <c r="Y16" s="190">
        <f>MAX(Items[[#This Row],[Quantity]]-SUM(Items[[#This Row],[Account2]]:Items[[#This Row],[Account7]]),0)</f>
        <v>0</v>
      </c>
      <c r="Z16" s="61"/>
      <c r="AA16" s="61"/>
      <c r="AB16" s="61"/>
      <c r="AC16" s="61"/>
      <c r="AD16" s="61"/>
      <c r="AE16" s="61"/>
      <c r="AF16" s="73"/>
      <c r="AG16" s="71"/>
      <c r="AH16" s="74"/>
      <c r="AI16" s="59"/>
      <c r="AJ16" s="190" t="str">
        <f ca="1">IFERROR(RANK(Items[[#This Row],[EstSort]],OFFSET(Items[EstSort],0,0,ROW(Proposed[])-ROW(Items[])+ROWS(Proposed[]),1),1),"")</f>
        <v/>
      </c>
      <c r="AK16" s="190" t="str">
        <f ca="1">IF(CHOOSE(MATCH(Account,Accounts,0),Items[[#This Row],[Count]],Items[[#This Row],[Account1]],Items[[#This Row],[Account2]],Items[[#This Row],[Account3]],Items[[#This Row],[Account7]])&gt;0,Items[[#This Row],[Sort]],"")</f>
        <v/>
      </c>
      <c r="AL16" s="70" t="str">
        <f ca="1">IF(LEN(Items[[#This Row],[Count]])&gt;0,IFERROR(INDEX(Calcs[Counter],MATCH(Items[[#This Row],[Line]],Calcs[Line],0)),""),"")</f>
        <v/>
      </c>
      <c r="AM16" s="156" t="str">
        <f ca="1">IFERROR(Letter&amp;TEXT((Items[[#This Row],[Count]]-1)*Incr+BeginLine,"0000"),"")</f>
        <v/>
      </c>
      <c r="AN16" s="7" t="str">
        <f>IF(ISNA(MATCH(LEFT(Items[[#This Row],[Raw Item]],5)&amp;"-"&amp;RIGHT(Items[[#This Row],[Raw Item]],4),Pay.Item.Listing[Pay Item],0)),"",LEFT(Items[[#This Row],[Raw Item]],5)&amp;"-"&amp;RIGHT(Items[[#This Row],[Raw Item]],4))</f>
        <v/>
      </c>
    </row>
    <row r="17" spans="1:40" x14ac:dyDescent="0.15">
      <c r="A17" s="7" t="str">
        <f ca="1">IFERROR(RANK(Items[[#This Row],[Sort]],OFFSET(Items[Sort],0,0,ROW(Proposed[])-ROW(Items[])+ROWS(Proposed[]),1),1),"")</f>
        <v/>
      </c>
      <c r="B17" s="7" t="str">
        <f>IF(LEN(Items[[#This Row],[Item]])&gt;0,Items[[#This Row],[Raw Item]]+COUNTIF(AN$4:AN17,AN17)/100,"")</f>
        <v/>
      </c>
      <c r="C17" s="7">
        <f>IFERROR(VALUE(LEFT(VALUE(SUBSTITUTE(Items[[#This Row],[Pay Item]],"-",""))*100000000,9)),0)</f>
        <v>0</v>
      </c>
      <c r="D17" s="8"/>
      <c r="E17" s="127"/>
      <c r="F17" s="123" t="str">
        <f>IFERROR(SUBSTITUTE(VLOOKUP(Items[[#This Row],[Item]],Pay.Item.Listing[],2+2*(Units&lt;&gt;"Metric"),0),"{","&lt;"),"&lt;&lt; Pay Item not found &gt;&gt;")</f>
        <v>&lt;&lt; Pay Item not found &gt;&gt;</v>
      </c>
      <c r="G17" s="70" t="str">
        <f>IFERROR(VLOOKUP(Items[[#This Row],[Item]],Pay.Item.Listing[],3+2*(Units&lt;&gt;"Metric"),0),"–")</f>
        <v>–</v>
      </c>
      <c r="H17" s="70" t="str">
        <f>IFERROR(VLOOKUP(Items[[#This Row],[Item]],Pay.Item.Listing[],6,0),"–")</f>
        <v>–</v>
      </c>
      <c r="I17" s="70" t="str">
        <f>IFERROR(VLOOKUP(Items[[#This Row],[Item]],Pay.Item.Listing[],7,0),"–")</f>
        <v>–</v>
      </c>
      <c r="J17" s="71"/>
      <c r="K17" s="69"/>
      <c r="L17" s="69"/>
      <c r="M17" s="69"/>
      <c r="N17" s="69"/>
      <c r="O17" s="69"/>
      <c r="P17" s="69"/>
      <c r="Q17" s="69"/>
      <c r="R17" s="69"/>
      <c r="S17" s="69"/>
      <c r="T17" s="69"/>
      <c r="U17" s="69"/>
      <c r="V17" s="69"/>
      <c r="W17" s="69"/>
      <c r="X17" s="72">
        <f>IF(LEN(Items[[#This Row],[Item]])&gt;0,IF(Items[[#This Row],[Unit]]="LPSM",1,SUM(Items[[#This Row],[Col_1]:[Col_13]])),0)</f>
        <v>0</v>
      </c>
      <c r="Y17" s="190">
        <f>MAX(Items[[#This Row],[Quantity]]-SUM(Items[[#This Row],[Account2]]:Items[[#This Row],[Account7]]),0)</f>
        <v>0</v>
      </c>
      <c r="Z17" s="61"/>
      <c r="AA17" s="61"/>
      <c r="AB17" s="61"/>
      <c r="AC17" s="61"/>
      <c r="AD17" s="61"/>
      <c r="AE17" s="61"/>
      <c r="AF17" s="73"/>
      <c r="AG17" s="71"/>
      <c r="AH17" s="74"/>
      <c r="AI17" s="59"/>
      <c r="AJ17" s="190" t="str">
        <f ca="1">IFERROR(RANK(Items[[#This Row],[EstSort]],OFFSET(Items[EstSort],0,0,ROW(Proposed[])-ROW(Items[])+ROWS(Proposed[]),1),1),"")</f>
        <v/>
      </c>
      <c r="AK17" s="190" t="str">
        <f ca="1">IF(CHOOSE(MATCH(Account,Accounts,0),Items[[#This Row],[Count]],Items[[#This Row],[Account1]],Items[[#This Row],[Account2]],Items[[#This Row],[Account3]],Items[[#This Row],[Account7]])&gt;0,Items[[#This Row],[Sort]],"")</f>
        <v/>
      </c>
      <c r="AL17" s="70" t="str">
        <f ca="1">IF(LEN(Items[[#This Row],[Count]])&gt;0,IFERROR(INDEX(Calcs[Counter],MATCH(Items[[#This Row],[Line]],Calcs[Line],0)),""),"")</f>
        <v/>
      </c>
      <c r="AM17" s="156" t="str">
        <f ca="1">IFERROR(Letter&amp;TEXT((Items[[#This Row],[Count]]-1)*Incr+BeginLine,"0000"),"")</f>
        <v/>
      </c>
      <c r="AN17" s="7" t="str">
        <f>IF(ISNA(MATCH(LEFT(Items[[#This Row],[Raw Item]],5)&amp;"-"&amp;RIGHT(Items[[#This Row],[Raw Item]],4),Pay.Item.Listing[Pay Item],0)),"",LEFT(Items[[#This Row],[Raw Item]],5)&amp;"-"&amp;RIGHT(Items[[#This Row],[Raw Item]],4))</f>
        <v/>
      </c>
    </row>
    <row r="18" spans="1:40" x14ac:dyDescent="0.15">
      <c r="A18" s="7" t="str">
        <f ca="1">IFERROR(RANK(Items[[#This Row],[Sort]],OFFSET(Items[Sort],0,0,ROW(Proposed[])-ROW(Items[])+ROWS(Proposed[]),1),1),"")</f>
        <v/>
      </c>
      <c r="B18" s="7" t="str">
        <f>IF(LEN(Items[[#This Row],[Item]])&gt;0,Items[[#This Row],[Raw Item]]+COUNTIF(AN$4:AN18,AN18)/100,"")</f>
        <v/>
      </c>
      <c r="C18" s="7">
        <f>IFERROR(VALUE(LEFT(VALUE(SUBSTITUTE(Items[[#This Row],[Pay Item]],"-",""))*100000000,9)),0)</f>
        <v>0</v>
      </c>
      <c r="D18" s="8"/>
      <c r="E18" s="127"/>
      <c r="F18" s="123" t="str">
        <f>IFERROR(SUBSTITUTE(VLOOKUP(Items[[#This Row],[Item]],Pay.Item.Listing[],2+2*(Units&lt;&gt;"Metric"),0),"{","&lt;"),"&lt;&lt; Pay Item not found &gt;&gt;")</f>
        <v>&lt;&lt; Pay Item not found &gt;&gt;</v>
      </c>
      <c r="G18" s="70" t="str">
        <f>IFERROR(VLOOKUP(Items[[#This Row],[Item]],Pay.Item.Listing[],3+2*(Units&lt;&gt;"Metric"),0),"–")</f>
        <v>–</v>
      </c>
      <c r="H18" s="70" t="str">
        <f>IFERROR(VLOOKUP(Items[[#This Row],[Item]],Pay.Item.Listing[],6,0),"–")</f>
        <v>–</v>
      </c>
      <c r="I18" s="70" t="str">
        <f>IFERROR(VLOOKUP(Items[[#This Row],[Item]],Pay.Item.Listing[],7,0),"–")</f>
        <v>–</v>
      </c>
      <c r="J18" s="71"/>
      <c r="K18" s="69"/>
      <c r="L18" s="69"/>
      <c r="M18" s="69"/>
      <c r="N18" s="69"/>
      <c r="O18" s="69"/>
      <c r="P18" s="69"/>
      <c r="Q18" s="69"/>
      <c r="R18" s="69"/>
      <c r="S18" s="69"/>
      <c r="T18" s="69"/>
      <c r="U18" s="69"/>
      <c r="V18" s="69"/>
      <c r="W18" s="69"/>
      <c r="X18" s="72">
        <f>IF(LEN(Items[[#This Row],[Item]])&gt;0,IF(Items[[#This Row],[Unit]]="LPSM",1,SUM(Items[[#This Row],[Col_1]:[Col_13]])),0)</f>
        <v>0</v>
      </c>
      <c r="Y18" s="190">
        <f>MAX(Items[[#This Row],[Quantity]]-SUM(Items[[#This Row],[Account2]]:Items[[#This Row],[Account7]]),0)</f>
        <v>0</v>
      </c>
      <c r="Z18" s="61"/>
      <c r="AA18" s="61"/>
      <c r="AB18" s="61"/>
      <c r="AC18" s="61"/>
      <c r="AD18" s="61"/>
      <c r="AE18" s="61"/>
      <c r="AF18" s="73"/>
      <c r="AG18" s="71"/>
      <c r="AH18" s="74"/>
      <c r="AI18" s="59"/>
      <c r="AJ18" s="190" t="str">
        <f ca="1">IFERROR(RANK(Items[[#This Row],[EstSort]],OFFSET(Items[EstSort],0,0,ROW(Proposed[])-ROW(Items[])+ROWS(Proposed[]),1),1),"")</f>
        <v/>
      </c>
      <c r="AK18" s="190" t="str">
        <f ca="1">IF(CHOOSE(MATCH(Account,Accounts,0),Items[[#This Row],[Count]],Items[[#This Row],[Account1]],Items[[#This Row],[Account2]],Items[[#This Row],[Account3]],Items[[#This Row],[Account7]])&gt;0,Items[[#This Row],[Sort]],"")</f>
        <v/>
      </c>
      <c r="AL18" s="70" t="str">
        <f ca="1">IF(LEN(Items[[#This Row],[Count]])&gt;0,IFERROR(INDEX(Calcs[Counter],MATCH(Items[[#This Row],[Line]],Calcs[Line],0)),""),"")</f>
        <v/>
      </c>
      <c r="AM18" s="156" t="str">
        <f ca="1">IFERROR(Letter&amp;TEXT((Items[[#This Row],[Count]]-1)*Incr+BeginLine,"0000"),"")</f>
        <v/>
      </c>
      <c r="AN18" s="7" t="str">
        <f>IF(ISNA(MATCH(LEFT(Items[[#This Row],[Raw Item]],5)&amp;"-"&amp;RIGHT(Items[[#This Row],[Raw Item]],4),Pay.Item.Listing[Pay Item],0)),"",LEFT(Items[[#This Row],[Raw Item]],5)&amp;"-"&amp;RIGHT(Items[[#This Row],[Raw Item]],4))</f>
        <v/>
      </c>
    </row>
    <row r="19" spans="1:40" x14ac:dyDescent="0.15">
      <c r="A19" s="7" t="str">
        <f ca="1">IFERROR(RANK(Items[[#This Row],[Sort]],OFFSET(Items[Sort],0,0,ROW(Proposed[])-ROW(Items[])+ROWS(Proposed[]),1),1),"")</f>
        <v/>
      </c>
      <c r="B19" s="7" t="str">
        <f>IF(LEN(Items[[#This Row],[Item]])&gt;0,Items[[#This Row],[Raw Item]]+COUNTIF(AN$4:AN19,AN19)/100,"")</f>
        <v/>
      </c>
      <c r="C19" s="7">
        <f>IFERROR(VALUE(LEFT(VALUE(SUBSTITUTE(Items[[#This Row],[Pay Item]],"-",""))*100000000,9)),0)</f>
        <v>0</v>
      </c>
      <c r="D19" s="8"/>
      <c r="E19" s="127"/>
      <c r="F19" s="123" t="str">
        <f>IFERROR(SUBSTITUTE(VLOOKUP(Items[[#This Row],[Item]],Pay.Item.Listing[],2+2*(Units&lt;&gt;"Metric"),0),"{","&lt;"),"&lt;&lt; Pay Item not found &gt;&gt;")</f>
        <v>&lt;&lt; Pay Item not found &gt;&gt;</v>
      </c>
      <c r="G19" s="70" t="str">
        <f>IFERROR(VLOOKUP(Items[[#This Row],[Item]],Pay.Item.Listing[],3+2*(Units&lt;&gt;"Metric"),0),"–")</f>
        <v>–</v>
      </c>
      <c r="H19" s="70" t="str">
        <f>IFERROR(VLOOKUP(Items[[#This Row],[Item]],Pay.Item.Listing[],6,0),"–")</f>
        <v>–</v>
      </c>
      <c r="I19" s="70" t="str">
        <f>IFERROR(VLOOKUP(Items[[#This Row],[Item]],Pay.Item.Listing[],7,0),"–")</f>
        <v>–</v>
      </c>
      <c r="J19" s="71"/>
      <c r="K19" s="69"/>
      <c r="L19" s="69"/>
      <c r="M19" s="69"/>
      <c r="N19" s="69"/>
      <c r="O19" s="69"/>
      <c r="P19" s="69"/>
      <c r="Q19" s="69"/>
      <c r="R19" s="69"/>
      <c r="S19" s="69"/>
      <c r="T19" s="69"/>
      <c r="U19" s="69"/>
      <c r="V19" s="69"/>
      <c r="W19" s="69"/>
      <c r="X19" s="72">
        <f>IF(LEN(Items[[#This Row],[Item]])&gt;0,IF(Items[[#This Row],[Unit]]="LPSM",1,SUM(Items[[#This Row],[Col_1]:[Col_13]])),0)</f>
        <v>0</v>
      </c>
      <c r="Y19" s="190">
        <f>MAX(Items[[#This Row],[Quantity]]-SUM(Items[[#This Row],[Account2]]:Items[[#This Row],[Account7]]),0)</f>
        <v>0</v>
      </c>
      <c r="Z19" s="61"/>
      <c r="AA19" s="61"/>
      <c r="AB19" s="61"/>
      <c r="AC19" s="61"/>
      <c r="AD19" s="61"/>
      <c r="AE19" s="61"/>
      <c r="AF19" s="73"/>
      <c r="AG19" s="71"/>
      <c r="AH19" s="74"/>
      <c r="AI19" s="59"/>
      <c r="AJ19" s="190" t="str">
        <f ca="1">IFERROR(RANK(Items[[#This Row],[EstSort]],OFFSET(Items[EstSort],0,0,ROW(Proposed[])-ROW(Items[])+ROWS(Proposed[]),1),1),"")</f>
        <v/>
      </c>
      <c r="AK19" s="190" t="str">
        <f ca="1">IF(CHOOSE(MATCH(Account,Accounts,0),Items[[#This Row],[Count]],Items[[#This Row],[Account1]],Items[[#This Row],[Account2]],Items[[#This Row],[Account3]],Items[[#This Row],[Account7]])&gt;0,Items[[#This Row],[Sort]],"")</f>
        <v/>
      </c>
      <c r="AL19" s="70" t="str">
        <f ca="1">IF(LEN(Items[[#This Row],[Count]])&gt;0,IFERROR(INDEX(Calcs[Counter],MATCH(Items[[#This Row],[Line]],Calcs[Line],0)),""),"")</f>
        <v/>
      </c>
      <c r="AM19" s="156" t="str">
        <f ca="1">IFERROR(Letter&amp;TEXT((Items[[#This Row],[Count]]-1)*Incr+BeginLine,"0000"),"")</f>
        <v/>
      </c>
      <c r="AN19" s="7" t="str">
        <f>IF(ISNA(MATCH(LEFT(Items[[#This Row],[Raw Item]],5)&amp;"-"&amp;RIGHT(Items[[#This Row],[Raw Item]],4),Pay.Item.Listing[Pay Item],0)),"",LEFT(Items[[#This Row],[Raw Item]],5)&amp;"-"&amp;RIGHT(Items[[#This Row],[Raw Item]],4))</f>
        <v/>
      </c>
    </row>
    <row r="20" spans="1:40" x14ac:dyDescent="0.15">
      <c r="A20" s="7" t="str">
        <f ca="1">IFERROR(RANK(Items[[#This Row],[Sort]],OFFSET(Items[Sort],0,0,ROW(Proposed[])-ROW(Items[])+ROWS(Proposed[]),1),1),"")</f>
        <v/>
      </c>
      <c r="B20" s="7" t="str">
        <f>IF(LEN(Items[[#This Row],[Item]])&gt;0,Items[[#This Row],[Raw Item]]+COUNTIF(AN$4:AN20,AN20)/100,"")</f>
        <v/>
      </c>
      <c r="C20" s="7">
        <f>IFERROR(VALUE(LEFT(VALUE(SUBSTITUTE(Items[[#This Row],[Pay Item]],"-",""))*100000000,9)),0)</f>
        <v>0</v>
      </c>
      <c r="D20" s="8"/>
      <c r="E20" s="127"/>
      <c r="F20" s="123" t="str">
        <f>IFERROR(SUBSTITUTE(VLOOKUP(Items[[#This Row],[Item]],Pay.Item.Listing[],2+2*(Units&lt;&gt;"Metric"),0),"{","&lt;"),"&lt;&lt; Pay Item not found &gt;&gt;")</f>
        <v>&lt;&lt; Pay Item not found &gt;&gt;</v>
      </c>
      <c r="G20" s="70" t="str">
        <f>IFERROR(VLOOKUP(Items[[#This Row],[Item]],Pay.Item.Listing[],3+2*(Units&lt;&gt;"Metric"),0),"–")</f>
        <v>–</v>
      </c>
      <c r="H20" s="70" t="str">
        <f>IFERROR(VLOOKUP(Items[[#This Row],[Item]],Pay.Item.Listing[],6,0),"–")</f>
        <v>–</v>
      </c>
      <c r="I20" s="70" t="str">
        <f>IFERROR(VLOOKUP(Items[[#This Row],[Item]],Pay.Item.Listing[],7,0),"–")</f>
        <v>–</v>
      </c>
      <c r="J20" s="71"/>
      <c r="K20" s="69"/>
      <c r="L20" s="69"/>
      <c r="M20" s="69"/>
      <c r="N20" s="69"/>
      <c r="O20" s="69"/>
      <c r="P20" s="69"/>
      <c r="Q20" s="69"/>
      <c r="R20" s="69"/>
      <c r="S20" s="69"/>
      <c r="T20" s="69"/>
      <c r="U20" s="69"/>
      <c r="V20" s="69"/>
      <c r="W20" s="69"/>
      <c r="X20" s="72">
        <f>IF(LEN(Items[[#This Row],[Item]])&gt;0,IF(Items[[#This Row],[Unit]]="LPSM",1,SUM(Items[[#This Row],[Col_1]:[Col_13]])),0)</f>
        <v>0</v>
      </c>
      <c r="Y20" s="190">
        <f>MAX(Items[[#This Row],[Quantity]]-SUM(Items[[#This Row],[Account2]]:Items[[#This Row],[Account7]]),0)</f>
        <v>0</v>
      </c>
      <c r="Z20" s="61"/>
      <c r="AA20" s="61"/>
      <c r="AB20" s="61"/>
      <c r="AC20" s="61"/>
      <c r="AD20" s="61"/>
      <c r="AE20" s="61"/>
      <c r="AF20" s="73"/>
      <c r="AG20" s="71"/>
      <c r="AH20" s="74"/>
      <c r="AI20" s="59"/>
      <c r="AJ20" s="190" t="str">
        <f ca="1">IFERROR(RANK(Items[[#This Row],[EstSort]],OFFSET(Items[EstSort],0,0,ROW(Proposed[])-ROW(Items[])+ROWS(Proposed[]),1),1),"")</f>
        <v/>
      </c>
      <c r="AK20" s="190" t="str">
        <f ca="1">IF(CHOOSE(MATCH(Account,Accounts,0),Items[[#This Row],[Count]],Items[[#This Row],[Account1]],Items[[#This Row],[Account2]],Items[[#This Row],[Account3]],Items[[#This Row],[Account7]])&gt;0,Items[[#This Row],[Sort]],"")</f>
        <v/>
      </c>
      <c r="AL20" s="70" t="str">
        <f ca="1">IF(LEN(Items[[#This Row],[Count]])&gt;0,IFERROR(INDEX(Calcs[Counter],MATCH(Items[[#This Row],[Line]],Calcs[Line],0)),""),"")</f>
        <v/>
      </c>
      <c r="AM20" s="156" t="str">
        <f ca="1">IFERROR(Letter&amp;TEXT((Items[[#This Row],[Count]]-1)*Incr+BeginLine,"0000"),"")</f>
        <v/>
      </c>
      <c r="AN20" s="7" t="str">
        <f>IF(ISNA(MATCH(LEFT(Items[[#This Row],[Raw Item]],5)&amp;"-"&amp;RIGHT(Items[[#This Row],[Raw Item]],4),Pay.Item.Listing[Pay Item],0)),"",LEFT(Items[[#This Row],[Raw Item]],5)&amp;"-"&amp;RIGHT(Items[[#This Row],[Raw Item]],4))</f>
        <v/>
      </c>
    </row>
    <row r="21" spans="1:40" x14ac:dyDescent="0.15">
      <c r="A21" s="7" t="str">
        <f ca="1">IFERROR(RANK(Items[[#This Row],[Sort]],OFFSET(Items[Sort],0,0,ROW(Proposed[])-ROW(Items[])+ROWS(Proposed[]),1),1),"")</f>
        <v/>
      </c>
      <c r="B21" s="7" t="str">
        <f>IF(LEN(Items[[#This Row],[Item]])&gt;0,Items[[#This Row],[Raw Item]]+COUNTIF(AN$4:AN21,AN21)/100,"")</f>
        <v/>
      </c>
      <c r="C21" s="7">
        <f>IFERROR(VALUE(LEFT(VALUE(SUBSTITUTE(Items[[#This Row],[Pay Item]],"-",""))*100000000,9)),0)</f>
        <v>0</v>
      </c>
      <c r="D21" s="8"/>
      <c r="E21" s="127"/>
      <c r="F21" s="123" t="str">
        <f>IFERROR(SUBSTITUTE(VLOOKUP(Items[[#This Row],[Item]],Pay.Item.Listing[],2+2*(Units&lt;&gt;"Metric"),0),"{","&lt;"),"&lt;&lt; Pay Item not found &gt;&gt;")</f>
        <v>&lt;&lt; Pay Item not found &gt;&gt;</v>
      </c>
      <c r="G21" s="70" t="str">
        <f>IFERROR(VLOOKUP(Items[[#This Row],[Item]],Pay.Item.Listing[],3+2*(Units&lt;&gt;"Metric"),0),"–")</f>
        <v>–</v>
      </c>
      <c r="H21" s="70" t="str">
        <f>IFERROR(VLOOKUP(Items[[#This Row],[Item]],Pay.Item.Listing[],6,0),"–")</f>
        <v>–</v>
      </c>
      <c r="I21" s="70" t="str">
        <f>IFERROR(VLOOKUP(Items[[#This Row],[Item]],Pay.Item.Listing[],7,0),"–")</f>
        <v>–</v>
      </c>
      <c r="J21" s="71"/>
      <c r="K21" s="69"/>
      <c r="L21" s="69"/>
      <c r="M21" s="69"/>
      <c r="N21" s="69"/>
      <c r="O21" s="69"/>
      <c r="P21" s="69"/>
      <c r="Q21" s="69"/>
      <c r="R21" s="69"/>
      <c r="S21" s="69"/>
      <c r="T21" s="69"/>
      <c r="U21" s="69"/>
      <c r="V21" s="69"/>
      <c r="W21" s="69"/>
      <c r="X21" s="72">
        <f>IF(LEN(Items[[#This Row],[Item]])&gt;0,IF(Items[[#This Row],[Unit]]="LPSM",1,SUM(Items[[#This Row],[Col_1]:[Col_13]])),0)</f>
        <v>0</v>
      </c>
      <c r="Y21" s="190">
        <f>MAX(Items[[#This Row],[Quantity]]-SUM(Items[[#This Row],[Account2]]:Items[[#This Row],[Account7]]),0)</f>
        <v>0</v>
      </c>
      <c r="Z21" s="61"/>
      <c r="AA21" s="61"/>
      <c r="AB21" s="61"/>
      <c r="AC21" s="61"/>
      <c r="AD21" s="61"/>
      <c r="AE21" s="61"/>
      <c r="AF21" s="73"/>
      <c r="AG21" s="71"/>
      <c r="AH21" s="74"/>
      <c r="AI21" s="59"/>
      <c r="AJ21" s="190" t="str">
        <f ca="1">IFERROR(RANK(Items[[#This Row],[EstSort]],OFFSET(Items[EstSort],0,0,ROW(Proposed[])-ROW(Items[])+ROWS(Proposed[]),1),1),"")</f>
        <v/>
      </c>
      <c r="AK21" s="190" t="str">
        <f ca="1">IF(CHOOSE(MATCH(Account,Accounts,0),Items[[#This Row],[Count]],Items[[#This Row],[Account1]],Items[[#This Row],[Account2]],Items[[#This Row],[Account3]],Items[[#This Row],[Account7]])&gt;0,Items[[#This Row],[Sort]],"")</f>
        <v/>
      </c>
      <c r="AL21" s="70" t="str">
        <f ca="1">IF(LEN(Items[[#This Row],[Count]])&gt;0,IFERROR(INDEX(Calcs[Counter],MATCH(Items[[#This Row],[Line]],Calcs[Line],0)),""),"")</f>
        <v/>
      </c>
      <c r="AM21" s="156" t="str">
        <f ca="1">IFERROR(Letter&amp;TEXT((Items[[#This Row],[Count]]-1)*Incr+BeginLine,"0000"),"")</f>
        <v/>
      </c>
      <c r="AN21" s="7" t="str">
        <f>IF(ISNA(MATCH(LEFT(Items[[#This Row],[Raw Item]],5)&amp;"-"&amp;RIGHT(Items[[#This Row],[Raw Item]],4),Pay.Item.Listing[Pay Item],0)),"",LEFT(Items[[#This Row],[Raw Item]],5)&amp;"-"&amp;RIGHT(Items[[#This Row],[Raw Item]],4))</f>
        <v/>
      </c>
    </row>
    <row r="22" spans="1:40" x14ac:dyDescent="0.15">
      <c r="A22" s="7" t="str">
        <f ca="1">IFERROR(RANK(Items[[#This Row],[Sort]],OFFSET(Items[Sort],0,0,ROW(Proposed[])-ROW(Items[])+ROWS(Proposed[]),1),1),"")</f>
        <v/>
      </c>
      <c r="B22" s="7" t="str">
        <f>IF(LEN(Items[[#This Row],[Item]])&gt;0,Items[[#This Row],[Raw Item]]+COUNTIF(AN$4:AN22,AN22)/100,"")</f>
        <v/>
      </c>
      <c r="C22" s="7">
        <f>IFERROR(VALUE(LEFT(VALUE(SUBSTITUTE(Items[[#This Row],[Pay Item]],"-",""))*100000000,9)),0)</f>
        <v>0</v>
      </c>
      <c r="D22" s="8"/>
      <c r="E22" s="127"/>
      <c r="F22" s="123" t="str">
        <f>IFERROR(SUBSTITUTE(VLOOKUP(Items[[#This Row],[Item]],Pay.Item.Listing[],2+2*(Units&lt;&gt;"Metric"),0),"{","&lt;"),"&lt;&lt; Pay Item not found &gt;&gt;")</f>
        <v>&lt;&lt; Pay Item not found &gt;&gt;</v>
      </c>
      <c r="G22" s="70" t="str">
        <f>IFERROR(VLOOKUP(Items[[#This Row],[Item]],Pay.Item.Listing[],3+2*(Units&lt;&gt;"Metric"),0),"–")</f>
        <v>–</v>
      </c>
      <c r="H22" s="70" t="str">
        <f>IFERROR(VLOOKUP(Items[[#This Row],[Item]],Pay.Item.Listing[],6,0),"–")</f>
        <v>–</v>
      </c>
      <c r="I22" s="70" t="str">
        <f>IFERROR(VLOOKUP(Items[[#This Row],[Item]],Pay.Item.Listing[],7,0),"–")</f>
        <v>–</v>
      </c>
      <c r="J22" s="71"/>
      <c r="K22" s="69"/>
      <c r="L22" s="69"/>
      <c r="M22" s="69"/>
      <c r="N22" s="69"/>
      <c r="O22" s="69"/>
      <c r="P22" s="69"/>
      <c r="Q22" s="69"/>
      <c r="R22" s="69"/>
      <c r="S22" s="69"/>
      <c r="T22" s="69"/>
      <c r="U22" s="69"/>
      <c r="V22" s="69"/>
      <c r="W22" s="69"/>
      <c r="X22" s="72">
        <f>IF(LEN(Items[[#This Row],[Item]])&gt;0,IF(Items[[#This Row],[Unit]]="LPSM",1,SUM(Items[[#This Row],[Col_1]:[Col_13]])),0)</f>
        <v>0</v>
      </c>
      <c r="Y22" s="190">
        <f>MAX(Items[[#This Row],[Quantity]]-SUM(Items[[#This Row],[Account2]]:Items[[#This Row],[Account7]]),0)</f>
        <v>0</v>
      </c>
      <c r="Z22" s="61"/>
      <c r="AA22" s="61"/>
      <c r="AB22" s="61"/>
      <c r="AC22" s="61"/>
      <c r="AD22" s="61"/>
      <c r="AE22" s="61"/>
      <c r="AF22" s="73"/>
      <c r="AG22" s="71"/>
      <c r="AH22" s="74"/>
      <c r="AI22" s="59"/>
      <c r="AJ22" s="190" t="str">
        <f ca="1">IFERROR(RANK(Items[[#This Row],[EstSort]],OFFSET(Items[EstSort],0,0,ROW(Proposed[])-ROW(Items[])+ROWS(Proposed[]),1),1),"")</f>
        <v/>
      </c>
      <c r="AK22" s="190" t="str">
        <f ca="1">IF(CHOOSE(MATCH(Account,Accounts,0),Items[[#This Row],[Count]],Items[[#This Row],[Account1]],Items[[#This Row],[Account2]],Items[[#This Row],[Account3]],Items[[#This Row],[Account7]])&gt;0,Items[[#This Row],[Sort]],"")</f>
        <v/>
      </c>
      <c r="AL22" s="70" t="str">
        <f ca="1">IF(LEN(Items[[#This Row],[Count]])&gt;0,IFERROR(INDEX(Calcs[Counter],MATCH(Items[[#This Row],[Line]],Calcs[Line],0)),""),"")</f>
        <v/>
      </c>
      <c r="AM22" s="156" t="str">
        <f ca="1">IFERROR(Letter&amp;TEXT((Items[[#This Row],[Count]]-1)*Incr+BeginLine,"0000"),"")</f>
        <v/>
      </c>
      <c r="AN22" s="7" t="str">
        <f>IF(ISNA(MATCH(LEFT(Items[[#This Row],[Raw Item]],5)&amp;"-"&amp;RIGHT(Items[[#This Row],[Raw Item]],4),Pay.Item.Listing[Pay Item],0)),"",LEFT(Items[[#This Row],[Raw Item]],5)&amp;"-"&amp;RIGHT(Items[[#This Row],[Raw Item]],4))</f>
        <v/>
      </c>
    </row>
    <row r="23" spans="1:40" x14ac:dyDescent="0.15">
      <c r="A23" s="7" t="str">
        <f ca="1">IFERROR(RANK(Items[[#This Row],[Sort]],OFFSET(Items[Sort],0,0,ROW(Proposed[])-ROW(Items[])+ROWS(Proposed[]),1),1),"")</f>
        <v/>
      </c>
      <c r="B23" s="7" t="str">
        <f>IF(LEN(Items[[#This Row],[Item]])&gt;0,Items[[#This Row],[Raw Item]]+COUNTIF(AN$4:AN23,AN23)/100,"")</f>
        <v/>
      </c>
      <c r="C23" s="7">
        <f>IFERROR(VALUE(LEFT(VALUE(SUBSTITUTE(Items[[#This Row],[Pay Item]],"-",""))*100000000,9)),0)</f>
        <v>0</v>
      </c>
      <c r="D23" s="8"/>
      <c r="E23" s="127"/>
      <c r="F23" s="123" t="str">
        <f>IFERROR(SUBSTITUTE(VLOOKUP(Items[[#This Row],[Item]],Pay.Item.Listing[],2+2*(Units&lt;&gt;"Metric"),0),"{","&lt;"),"&lt;&lt; Pay Item not found &gt;&gt;")</f>
        <v>&lt;&lt; Pay Item not found &gt;&gt;</v>
      </c>
      <c r="G23" s="70" t="str">
        <f>IFERROR(VLOOKUP(Items[[#This Row],[Item]],Pay.Item.Listing[],3+2*(Units&lt;&gt;"Metric"),0),"–")</f>
        <v>–</v>
      </c>
      <c r="H23" s="70" t="str">
        <f>IFERROR(VLOOKUP(Items[[#This Row],[Item]],Pay.Item.Listing[],6,0),"–")</f>
        <v>–</v>
      </c>
      <c r="I23" s="70" t="str">
        <f>IFERROR(VLOOKUP(Items[[#This Row],[Item]],Pay.Item.Listing[],7,0),"–")</f>
        <v>–</v>
      </c>
      <c r="J23" s="71"/>
      <c r="K23" s="69"/>
      <c r="L23" s="69"/>
      <c r="M23" s="69"/>
      <c r="N23" s="69"/>
      <c r="O23" s="69"/>
      <c r="P23" s="69"/>
      <c r="Q23" s="69"/>
      <c r="R23" s="69"/>
      <c r="S23" s="69"/>
      <c r="T23" s="69"/>
      <c r="U23" s="69"/>
      <c r="V23" s="69"/>
      <c r="W23" s="69"/>
      <c r="X23" s="72">
        <f>IF(LEN(Items[[#This Row],[Item]])&gt;0,IF(Items[[#This Row],[Unit]]="LPSM",1,SUM(Items[[#This Row],[Col_1]:[Col_13]])),0)</f>
        <v>0</v>
      </c>
      <c r="Y23" s="190">
        <f>MAX(Items[[#This Row],[Quantity]]-SUM(Items[[#This Row],[Account2]]:Items[[#This Row],[Account7]]),0)</f>
        <v>0</v>
      </c>
      <c r="Z23" s="61"/>
      <c r="AA23" s="61"/>
      <c r="AB23" s="61"/>
      <c r="AC23" s="61"/>
      <c r="AD23" s="61"/>
      <c r="AE23" s="61"/>
      <c r="AF23" s="73"/>
      <c r="AG23" s="71"/>
      <c r="AH23" s="74"/>
      <c r="AI23" s="59"/>
      <c r="AJ23" s="190" t="str">
        <f ca="1">IFERROR(RANK(Items[[#This Row],[EstSort]],OFFSET(Items[EstSort],0,0,ROW(Proposed[])-ROW(Items[])+ROWS(Proposed[]),1),1),"")</f>
        <v/>
      </c>
      <c r="AK23" s="190" t="str">
        <f ca="1">IF(CHOOSE(MATCH(Account,Accounts,0),Items[[#This Row],[Count]],Items[[#This Row],[Account1]],Items[[#This Row],[Account2]],Items[[#This Row],[Account3]],Items[[#This Row],[Account7]])&gt;0,Items[[#This Row],[Sort]],"")</f>
        <v/>
      </c>
      <c r="AL23" s="70" t="str">
        <f ca="1">IF(LEN(Items[[#This Row],[Count]])&gt;0,IFERROR(INDEX(Calcs[Counter],MATCH(Items[[#This Row],[Line]],Calcs[Line],0)),""),"")</f>
        <v/>
      </c>
      <c r="AM23" s="156" t="str">
        <f ca="1">IFERROR(Letter&amp;TEXT((Items[[#This Row],[Count]]-1)*Incr+BeginLine,"0000"),"")</f>
        <v/>
      </c>
      <c r="AN23" s="7" t="str">
        <f>IF(ISNA(MATCH(LEFT(Items[[#This Row],[Raw Item]],5)&amp;"-"&amp;RIGHT(Items[[#This Row],[Raw Item]],4),Pay.Item.Listing[Pay Item],0)),"",LEFT(Items[[#This Row],[Raw Item]],5)&amp;"-"&amp;RIGHT(Items[[#This Row],[Raw Item]],4))</f>
        <v/>
      </c>
    </row>
    <row r="24" spans="1:40" x14ac:dyDescent="0.15">
      <c r="A24" s="7" t="str">
        <f ca="1">IFERROR(RANK(Items[[#This Row],[Sort]],OFFSET(Items[Sort],0,0,ROW(Proposed[])-ROW(Items[])+ROWS(Proposed[]),1),1),"")</f>
        <v/>
      </c>
      <c r="B24" s="7" t="str">
        <f>IF(LEN(Items[[#This Row],[Item]])&gt;0,Items[[#This Row],[Raw Item]]+COUNTIF(AN$4:AN24,AN24)/100,"")</f>
        <v/>
      </c>
      <c r="C24" s="7">
        <f>IFERROR(VALUE(LEFT(VALUE(SUBSTITUTE(Items[[#This Row],[Pay Item]],"-",""))*100000000,9)),0)</f>
        <v>0</v>
      </c>
      <c r="D24" s="8"/>
      <c r="E24" s="127"/>
      <c r="F24" s="123" t="str">
        <f>IFERROR(SUBSTITUTE(VLOOKUP(Items[[#This Row],[Item]],Pay.Item.Listing[],2+2*(Units&lt;&gt;"Metric"),0),"{","&lt;"),"&lt;&lt; Pay Item not found &gt;&gt;")</f>
        <v>&lt;&lt; Pay Item not found &gt;&gt;</v>
      </c>
      <c r="G24" s="70" t="str">
        <f>IFERROR(VLOOKUP(Items[[#This Row],[Item]],Pay.Item.Listing[],3+2*(Units&lt;&gt;"Metric"),0),"–")</f>
        <v>–</v>
      </c>
      <c r="H24" s="70" t="str">
        <f>IFERROR(VLOOKUP(Items[[#This Row],[Item]],Pay.Item.Listing[],6,0),"–")</f>
        <v>–</v>
      </c>
      <c r="I24" s="70" t="str">
        <f>IFERROR(VLOOKUP(Items[[#This Row],[Item]],Pay.Item.Listing[],7,0),"–")</f>
        <v>–</v>
      </c>
      <c r="J24" s="71"/>
      <c r="K24" s="69"/>
      <c r="L24" s="69"/>
      <c r="M24" s="69"/>
      <c r="N24" s="69"/>
      <c r="O24" s="69"/>
      <c r="P24" s="69"/>
      <c r="Q24" s="69"/>
      <c r="R24" s="69"/>
      <c r="S24" s="69"/>
      <c r="T24" s="69"/>
      <c r="U24" s="69"/>
      <c r="V24" s="69"/>
      <c r="W24" s="69"/>
      <c r="X24" s="72">
        <f>IF(LEN(Items[[#This Row],[Item]])&gt;0,IF(Items[[#This Row],[Unit]]="LPSM",1,SUM(Items[[#This Row],[Col_1]:[Col_13]])),0)</f>
        <v>0</v>
      </c>
      <c r="Y24" s="190">
        <f>MAX(Items[[#This Row],[Quantity]]-SUM(Items[[#This Row],[Account2]]:Items[[#This Row],[Account7]]),0)</f>
        <v>0</v>
      </c>
      <c r="Z24" s="61"/>
      <c r="AA24" s="61"/>
      <c r="AB24" s="61"/>
      <c r="AC24" s="61"/>
      <c r="AD24" s="61"/>
      <c r="AE24" s="61"/>
      <c r="AF24" s="73"/>
      <c r="AG24" s="71"/>
      <c r="AH24" s="74"/>
      <c r="AI24" s="59"/>
      <c r="AJ24" s="190" t="str">
        <f ca="1">IFERROR(RANK(Items[[#This Row],[EstSort]],OFFSET(Items[EstSort],0,0,ROW(Proposed[])-ROW(Items[])+ROWS(Proposed[]),1),1),"")</f>
        <v/>
      </c>
      <c r="AK24" s="190" t="str">
        <f ca="1">IF(CHOOSE(MATCH(Account,Accounts,0),Items[[#This Row],[Count]],Items[[#This Row],[Account1]],Items[[#This Row],[Account2]],Items[[#This Row],[Account3]],Items[[#This Row],[Account7]])&gt;0,Items[[#This Row],[Sort]],"")</f>
        <v/>
      </c>
      <c r="AL24" s="70" t="str">
        <f ca="1">IF(LEN(Items[[#This Row],[Count]])&gt;0,IFERROR(INDEX(Calcs[Counter],MATCH(Items[[#This Row],[Line]],Calcs[Line],0)),""),"")</f>
        <v/>
      </c>
      <c r="AM24" s="156" t="str">
        <f ca="1">IFERROR(Letter&amp;TEXT((Items[[#This Row],[Count]]-1)*Incr+BeginLine,"0000"),"")</f>
        <v/>
      </c>
      <c r="AN24" s="7" t="str">
        <f>IF(ISNA(MATCH(LEFT(Items[[#This Row],[Raw Item]],5)&amp;"-"&amp;RIGHT(Items[[#This Row],[Raw Item]],4),Pay.Item.Listing[Pay Item],0)),"",LEFT(Items[[#This Row],[Raw Item]],5)&amp;"-"&amp;RIGHT(Items[[#This Row],[Raw Item]],4))</f>
        <v/>
      </c>
    </row>
    <row r="25" spans="1:40" x14ac:dyDescent="0.15">
      <c r="A25" s="7" t="str">
        <f ca="1">IFERROR(RANK(Items[[#This Row],[Sort]],OFFSET(Items[Sort],0,0,ROW(Proposed[])-ROW(Items[])+ROWS(Proposed[]),1),1),"")</f>
        <v/>
      </c>
      <c r="B25" s="7" t="str">
        <f>IF(LEN(Items[[#This Row],[Item]])&gt;0,Items[[#This Row],[Raw Item]]+COUNTIF(AN$4:AN25,AN25)/100,"")</f>
        <v/>
      </c>
      <c r="C25" s="7">
        <f>IFERROR(VALUE(LEFT(VALUE(SUBSTITUTE(Items[[#This Row],[Pay Item]],"-",""))*100000000,9)),0)</f>
        <v>0</v>
      </c>
      <c r="D25" s="8"/>
      <c r="E25" s="127"/>
      <c r="F25" s="123" t="str">
        <f>IFERROR(SUBSTITUTE(VLOOKUP(Items[[#This Row],[Item]],Pay.Item.Listing[],2+2*(Units&lt;&gt;"Metric"),0),"{","&lt;"),"&lt;&lt; Pay Item not found &gt;&gt;")</f>
        <v>&lt;&lt; Pay Item not found &gt;&gt;</v>
      </c>
      <c r="G25" s="70" t="str">
        <f>IFERROR(VLOOKUP(Items[[#This Row],[Item]],Pay.Item.Listing[],3+2*(Units&lt;&gt;"Metric"),0),"–")</f>
        <v>–</v>
      </c>
      <c r="H25" s="70" t="str">
        <f>IFERROR(VLOOKUP(Items[[#This Row],[Item]],Pay.Item.Listing[],6,0),"–")</f>
        <v>–</v>
      </c>
      <c r="I25" s="70" t="str">
        <f>IFERROR(VLOOKUP(Items[[#This Row],[Item]],Pay.Item.Listing[],7,0),"–")</f>
        <v>–</v>
      </c>
      <c r="J25" s="71"/>
      <c r="K25" s="69"/>
      <c r="L25" s="69"/>
      <c r="M25" s="69"/>
      <c r="N25" s="69"/>
      <c r="O25" s="69"/>
      <c r="P25" s="69"/>
      <c r="Q25" s="69"/>
      <c r="R25" s="69"/>
      <c r="S25" s="69"/>
      <c r="T25" s="69"/>
      <c r="U25" s="69"/>
      <c r="V25" s="69"/>
      <c r="W25" s="69"/>
      <c r="X25" s="72">
        <f>IF(LEN(Items[[#This Row],[Item]])&gt;0,IF(Items[[#This Row],[Unit]]="LPSM",1,SUM(Items[[#This Row],[Col_1]:[Col_13]])),0)</f>
        <v>0</v>
      </c>
      <c r="Y25" s="190">
        <f>MAX(Items[[#This Row],[Quantity]]-SUM(Items[[#This Row],[Account2]]:Items[[#This Row],[Account7]]),0)</f>
        <v>0</v>
      </c>
      <c r="Z25" s="61"/>
      <c r="AA25" s="61"/>
      <c r="AB25" s="61"/>
      <c r="AC25" s="61"/>
      <c r="AD25" s="61"/>
      <c r="AE25" s="61"/>
      <c r="AF25" s="73"/>
      <c r="AG25" s="71"/>
      <c r="AH25" s="74"/>
      <c r="AI25" s="59"/>
      <c r="AJ25" s="190" t="str">
        <f ca="1">IFERROR(RANK(Items[[#This Row],[EstSort]],OFFSET(Items[EstSort],0,0,ROW(Proposed[])-ROW(Items[])+ROWS(Proposed[]),1),1),"")</f>
        <v/>
      </c>
      <c r="AK25" s="190" t="str">
        <f ca="1">IF(CHOOSE(MATCH(Account,Accounts,0),Items[[#This Row],[Count]],Items[[#This Row],[Account1]],Items[[#This Row],[Account2]],Items[[#This Row],[Account3]],Items[[#This Row],[Account7]])&gt;0,Items[[#This Row],[Sort]],"")</f>
        <v/>
      </c>
      <c r="AL25" s="70" t="str">
        <f ca="1">IF(LEN(Items[[#This Row],[Count]])&gt;0,IFERROR(INDEX(Calcs[Counter],MATCH(Items[[#This Row],[Line]],Calcs[Line],0)),""),"")</f>
        <v/>
      </c>
      <c r="AM25" s="156" t="str">
        <f ca="1">IFERROR(Letter&amp;TEXT((Items[[#This Row],[Count]]-1)*Incr+BeginLine,"0000"),"")</f>
        <v/>
      </c>
      <c r="AN25" s="7" t="str">
        <f>IF(ISNA(MATCH(LEFT(Items[[#This Row],[Raw Item]],5)&amp;"-"&amp;RIGHT(Items[[#This Row],[Raw Item]],4),Pay.Item.Listing[Pay Item],0)),"",LEFT(Items[[#This Row],[Raw Item]],5)&amp;"-"&amp;RIGHT(Items[[#This Row],[Raw Item]],4))</f>
        <v/>
      </c>
    </row>
    <row r="26" spans="1:40" x14ac:dyDescent="0.15">
      <c r="A26" s="7" t="str">
        <f ca="1">IFERROR(RANK(Items[[#This Row],[Sort]],OFFSET(Items[Sort],0,0,ROW(Proposed[])-ROW(Items[])+ROWS(Proposed[]),1),1),"")</f>
        <v/>
      </c>
      <c r="B26" s="7" t="str">
        <f>IF(LEN(Items[[#This Row],[Item]])&gt;0,Items[[#This Row],[Raw Item]]+COUNTIF(AN$4:AN26,AN26)/100,"")</f>
        <v/>
      </c>
      <c r="C26" s="7">
        <f>IFERROR(VALUE(LEFT(VALUE(SUBSTITUTE(Items[[#This Row],[Pay Item]],"-",""))*100000000,9)),0)</f>
        <v>0</v>
      </c>
      <c r="D26" s="8"/>
      <c r="E26" s="127"/>
      <c r="F26" s="123" t="str">
        <f>IFERROR(SUBSTITUTE(VLOOKUP(Items[[#This Row],[Item]],Pay.Item.Listing[],2+2*(Units&lt;&gt;"Metric"),0),"{","&lt;"),"&lt;&lt; Pay Item not found &gt;&gt;")</f>
        <v>&lt;&lt; Pay Item not found &gt;&gt;</v>
      </c>
      <c r="G26" s="70" t="str">
        <f>IFERROR(VLOOKUP(Items[[#This Row],[Item]],Pay.Item.Listing[],3+2*(Units&lt;&gt;"Metric"),0),"–")</f>
        <v>–</v>
      </c>
      <c r="H26" s="70" t="str">
        <f>IFERROR(VLOOKUP(Items[[#This Row],[Item]],Pay.Item.Listing[],6,0),"–")</f>
        <v>–</v>
      </c>
      <c r="I26" s="70" t="str">
        <f>IFERROR(VLOOKUP(Items[[#This Row],[Item]],Pay.Item.Listing[],7,0),"–")</f>
        <v>–</v>
      </c>
      <c r="J26" s="71"/>
      <c r="K26" s="69"/>
      <c r="L26" s="69"/>
      <c r="M26" s="69"/>
      <c r="N26" s="69"/>
      <c r="O26" s="69"/>
      <c r="P26" s="69"/>
      <c r="Q26" s="69"/>
      <c r="R26" s="69"/>
      <c r="S26" s="69"/>
      <c r="T26" s="69"/>
      <c r="U26" s="69"/>
      <c r="V26" s="69"/>
      <c r="W26" s="69"/>
      <c r="X26" s="72">
        <f>IF(LEN(Items[[#This Row],[Item]])&gt;0,IF(Items[[#This Row],[Unit]]="LPSM",1,SUM(Items[[#This Row],[Col_1]:[Col_13]])),0)</f>
        <v>0</v>
      </c>
      <c r="Y26" s="190">
        <f>MAX(Items[[#This Row],[Quantity]]-SUM(Items[[#This Row],[Account2]]:Items[[#This Row],[Account7]]),0)</f>
        <v>0</v>
      </c>
      <c r="Z26" s="61"/>
      <c r="AA26" s="61"/>
      <c r="AB26" s="61"/>
      <c r="AC26" s="61"/>
      <c r="AD26" s="61"/>
      <c r="AE26" s="61"/>
      <c r="AF26" s="73"/>
      <c r="AG26" s="71"/>
      <c r="AH26" s="74"/>
      <c r="AI26" s="59"/>
      <c r="AJ26" s="190" t="str">
        <f ca="1">IFERROR(RANK(Items[[#This Row],[EstSort]],OFFSET(Items[EstSort],0,0,ROW(Proposed[])-ROW(Items[])+ROWS(Proposed[]),1),1),"")</f>
        <v/>
      </c>
      <c r="AK26" s="190" t="str">
        <f ca="1">IF(CHOOSE(MATCH(Account,Accounts,0),Items[[#This Row],[Count]],Items[[#This Row],[Account1]],Items[[#This Row],[Account2]],Items[[#This Row],[Account3]],Items[[#This Row],[Account7]])&gt;0,Items[[#This Row],[Sort]],"")</f>
        <v/>
      </c>
      <c r="AL26" s="70" t="str">
        <f ca="1">IF(LEN(Items[[#This Row],[Count]])&gt;0,IFERROR(INDEX(Calcs[Counter],MATCH(Items[[#This Row],[Line]],Calcs[Line],0)),""),"")</f>
        <v/>
      </c>
      <c r="AM26" s="156" t="str">
        <f ca="1">IFERROR(Letter&amp;TEXT((Items[[#This Row],[Count]]-1)*Incr+BeginLine,"0000"),"")</f>
        <v/>
      </c>
      <c r="AN26" s="7" t="str">
        <f>IF(ISNA(MATCH(LEFT(Items[[#This Row],[Raw Item]],5)&amp;"-"&amp;RIGHT(Items[[#This Row],[Raw Item]],4),Pay.Item.Listing[Pay Item],0)),"",LEFT(Items[[#This Row],[Raw Item]],5)&amp;"-"&amp;RIGHT(Items[[#This Row],[Raw Item]],4))</f>
        <v/>
      </c>
    </row>
    <row r="27" spans="1:40" x14ac:dyDescent="0.15">
      <c r="A27" s="7" t="str">
        <f ca="1">IFERROR(RANK(Items[[#This Row],[Sort]],OFFSET(Items[Sort],0,0,ROW(Proposed[])-ROW(Items[])+ROWS(Proposed[]),1),1),"")</f>
        <v/>
      </c>
      <c r="B27" s="7" t="str">
        <f>IF(LEN(Items[[#This Row],[Item]])&gt;0,Items[[#This Row],[Raw Item]]+COUNTIF(AN$4:AN27,AN27)/100,"")</f>
        <v/>
      </c>
      <c r="C27" s="7">
        <f>IFERROR(VALUE(LEFT(VALUE(SUBSTITUTE(Items[[#This Row],[Pay Item]],"-",""))*100000000,9)),0)</f>
        <v>0</v>
      </c>
      <c r="D27" s="8"/>
      <c r="E27" s="127"/>
      <c r="F27" s="123" t="str">
        <f>IFERROR(SUBSTITUTE(VLOOKUP(Items[[#This Row],[Item]],Pay.Item.Listing[],2+2*(Units&lt;&gt;"Metric"),0),"{","&lt;"),"&lt;&lt; Pay Item not found &gt;&gt;")</f>
        <v>&lt;&lt; Pay Item not found &gt;&gt;</v>
      </c>
      <c r="G27" s="70" t="str">
        <f>IFERROR(VLOOKUP(Items[[#This Row],[Item]],Pay.Item.Listing[],3+2*(Units&lt;&gt;"Metric"),0),"–")</f>
        <v>–</v>
      </c>
      <c r="H27" s="70" t="str">
        <f>IFERROR(VLOOKUP(Items[[#This Row],[Item]],Pay.Item.Listing[],6,0),"–")</f>
        <v>–</v>
      </c>
      <c r="I27" s="70" t="str">
        <f>IFERROR(VLOOKUP(Items[[#This Row],[Item]],Pay.Item.Listing[],7,0),"–")</f>
        <v>–</v>
      </c>
      <c r="J27" s="71"/>
      <c r="K27" s="69"/>
      <c r="L27" s="69"/>
      <c r="M27" s="69"/>
      <c r="N27" s="69"/>
      <c r="O27" s="69"/>
      <c r="P27" s="69"/>
      <c r="Q27" s="69"/>
      <c r="R27" s="69"/>
      <c r="S27" s="69"/>
      <c r="T27" s="69"/>
      <c r="U27" s="69"/>
      <c r="V27" s="69"/>
      <c r="W27" s="69"/>
      <c r="X27" s="72">
        <f>IF(LEN(Items[[#This Row],[Item]])&gt;0,IF(Items[[#This Row],[Unit]]="LPSM",1,SUM(Items[[#This Row],[Col_1]:[Col_13]])),0)</f>
        <v>0</v>
      </c>
      <c r="Y27" s="190">
        <f>MAX(Items[[#This Row],[Quantity]]-SUM(Items[[#This Row],[Account2]]:Items[[#This Row],[Account7]]),0)</f>
        <v>0</v>
      </c>
      <c r="Z27" s="61"/>
      <c r="AA27" s="61"/>
      <c r="AB27" s="61"/>
      <c r="AC27" s="61"/>
      <c r="AD27" s="61"/>
      <c r="AE27" s="61"/>
      <c r="AF27" s="73"/>
      <c r="AG27" s="71"/>
      <c r="AH27" s="74"/>
      <c r="AI27" s="59"/>
      <c r="AJ27" s="190" t="str">
        <f ca="1">IFERROR(RANK(Items[[#This Row],[EstSort]],OFFSET(Items[EstSort],0,0,ROW(Proposed[])-ROW(Items[])+ROWS(Proposed[]),1),1),"")</f>
        <v/>
      </c>
      <c r="AK27" s="190" t="str">
        <f ca="1">IF(CHOOSE(MATCH(Account,Accounts,0),Items[[#This Row],[Count]],Items[[#This Row],[Account1]],Items[[#This Row],[Account2]],Items[[#This Row],[Account3]],Items[[#This Row],[Account7]])&gt;0,Items[[#This Row],[Sort]],"")</f>
        <v/>
      </c>
      <c r="AL27" s="70" t="str">
        <f ca="1">IF(LEN(Items[[#This Row],[Count]])&gt;0,IFERROR(INDEX(Calcs[Counter],MATCH(Items[[#This Row],[Line]],Calcs[Line],0)),""),"")</f>
        <v/>
      </c>
      <c r="AM27" s="156" t="str">
        <f ca="1">IFERROR(Letter&amp;TEXT((Items[[#This Row],[Count]]-1)*Incr+BeginLine,"0000"),"")</f>
        <v/>
      </c>
      <c r="AN27" s="7" t="str">
        <f>IF(ISNA(MATCH(LEFT(Items[[#This Row],[Raw Item]],5)&amp;"-"&amp;RIGHT(Items[[#This Row],[Raw Item]],4),Pay.Item.Listing[Pay Item],0)),"",LEFT(Items[[#This Row],[Raw Item]],5)&amp;"-"&amp;RIGHT(Items[[#This Row],[Raw Item]],4))</f>
        <v/>
      </c>
    </row>
    <row r="28" spans="1:40" x14ac:dyDescent="0.15">
      <c r="A28" s="7" t="str">
        <f ca="1">IFERROR(RANK(Items[[#This Row],[Sort]],OFFSET(Items[Sort],0,0,ROW(Proposed[])-ROW(Items[])+ROWS(Proposed[]),1),1),"")</f>
        <v/>
      </c>
      <c r="B28" s="7" t="str">
        <f>IF(LEN(Items[[#This Row],[Item]])&gt;0,Items[[#This Row],[Raw Item]]+COUNTIF(AN$4:AN28,AN28)/100,"")</f>
        <v/>
      </c>
      <c r="C28" s="7">
        <f>IFERROR(VALUE(LEFT(VALUE(SUBSTITUTE(Items[[#This Row],[Pay Item]],"-",""))*100000000,9)),0)</f>
        <v>0</v>
      </c>
      <c r="D28" s="8"/>
      <c r="E28" s="127"/>
      <c r="F28" s="123" t="str">
        <f>IFERROR(SUBSTITUTE(VLOOKUP(Items[[#This Row],[Item]],Pay.Item.Listing[],2+2*(Units&lt;&gt;"Metric"),0),"{","&lt;"),"&lt;&lt; Pay Item not found &gt;&gt;")</f>
        <v>&lt;&lt; Pay Item not found &gt;&gt;</v>
      </c>
      <c r="G28" s="70" t="str">
        <f>IFERROR(VLOOKUP(Items[[#This Row],[Item]],Pay.Item.Listing[],3+2*(Units&lt;&gt;"Metric"),0),"–")</f>
        <v>–</v>
      </c>
      <c r="H28" s="70" t="str">
        <f>IFERROR(VLOOKUP(Items[[#This Row],[Item]],Pay.Item.Listing[],6,0),"–")</f>
        <v>–</v>
      </c>
      <c r="I28" s="70" t="str">
        <f>IFERROR(VLOOKUP(Items[[#This Row],[Item]],Pay.Item.Listing[],7,0),"–")</f>
        <v>–</v>
      </c>
      <c r="J28" s="71"/>
      <c r="K28" s="69"/>
      <c r="L28" s="69"/>
      <c r="M28" s="69"/>
      <c r="N28" s="69"/>
      <c r="O28" s="69"/>
      <c r="P28" s="69"/>
      <c r="Q28" s="69"/>
      <c r="R28" s="69"/>
      <c r="S28" s="69"/>
      <c r="T28" s="69"/>
      <c r="U28" s="69"/>
      <c r="V28" s="69"/>
      <c r="W28" s="69"/>
      <c r="X28" s="72">
        <f>IF(LEN(Items[[#This Row],[Item]])&gt;0,IF(Items[[#This Row],[Unit]]="LPSM",1,SUM(Items[[#This Row],[Col_1]:[Col_13]])),0)</f>
        <v>0</v>
      </c>
      <c r="Y28" s="190">
        <f>MAX(Items[[#This Row],[Quantity]]-SUM(Items[[#This Row],[Account2]]:Items[[#This Row],[Account7]]),0)</f>
        <v>0</v>
      </c>
      <c r="Z28" s="61"/>
      <c r="AA28" s="61"/>
      <c r="AB28" s="61"/>
      <c r="AC28" s="61"/>
      <c r="AD28" s="61"/>
      <c r="AE28" s="61"/>
      <c r="AF28" s="73"/>
      <c r="AG28" s="71"/>
      <c r="AH28" s="74"/>
      <c r="AI28" s="59"/>
      <c r="AJ28" s="190" t="str">
        <f ca="1">IFERROR(RANK(Items[[#This Row],[EstSort]],OFFSET(Items[EstSort],0,0,ROW(Proposed[])-ROW(Items[])+ROWS(Proposed[]),1),1),"")</f>
        <v/>
      </c>
      <c r="AK28" s="190" t="str">
        <f ca="1">IF(CHOOSE(MATCH(Account,Accounts,0),Items[[#This Row],[Count]],Items[[#This Row],[Account1]],Items[[#This Row],[Account2]],Items[[#This Row],[Account3]],Items[[#This Row],[Account7]])&gt;0,Items[[#This Row],[Sort]],"")</f>
        <v/>
      </c>
      <c r="AL28" s="70" t="str">
        <f ca="1">IF(LEN(Items[[#This Row],[Count]])&gt;0,IFERROR(INDEX(Calcs[Counter],MATCH(Items[[#This Row],[Line]],Calcs[Line],0)),""),"")</f>
        <v/>
      </c>
      <c r="AM28" s="156" t="str">
        <f ca="1">IFERROR(Letter&amp;TEXT((Items[[#This Row],[Count]]-1)*Incr+BeginLine,"0000"),"")</f>
        <v/>
      </c>
      <c r="AN28" s="7" t="str">
        <f>IF(ISNA(MATCH(LEFT(Items[[#This Row],[Raw Item]],5)&amp;"-"&amp;RIGHT(Items[[#This Row],[Raw Item]],4),Pay.Item.Listing[Pay Item],0)),"",LEFT(Items[[#This Row],[Raw Item]],5)&amp;"-"&amp;RIGHT(Items[[#This Row],[Raw Item]],4))</f>
        <v/>
      </c>
    </row>
    <row r="29" spans="1:40" x14ac:dyDescent="0.15">
      <c r="A29" s="7" t="str">
        <f ca="1">IFERROR(RANK(Items[[#This Row],[Sort]],OFFSET(Items[Sort],0,0,ROW(Proposed[])-ROW(Items[])+ROWS(Proposed[]),1),1),"")</f>
        <v/>
      </c>
      <c r="B29" s="7" t="str">
        <f>IF(LEN(Items[[#This Row],[Item]])&gt;0,Items[[#This Row],[Raw Item]]+COUNTIF(AN$4:AN29,AN29)/100,"")</f>
        <v/>
      </c>
      <c r="C29" s="7">
        <f>IFERROR(VALUE(LEFT(VALUE(SUBSTITUTE(Items[[#This Row],[Pay Item]],"-",""))*100000000,9)),0)</f>
        <v>0</v>
      </c>
      <c r="D29" s="8"/>
      <c r="E29" s="127"/>
      <c r="F29" s="123" t="str">
        <f>IFERROR(SUBSTITUTE(VLOOKUP(Items[[#This Row],[Item]],Pay.Item.Listing[],2+2*(Units&lt;&gt;"Metric"),0),"{","&lt;"),"&lt;&lt; Pay Item not found &gt;&gt;")</f>
        <v>&lt;&lt; Pay Item not found &gt;&gt;</v>
      </c>
      <c r="G29" s="70" t="str">
        <f>IFERROR(VLOOKUP(Items[[#This Row],[Item]],Pay.Item.Listing[],3+2*(Units&lt;&gt;"Metric"),0),"–")</f>
        <v>–</v>
      </c>
      <c r="H29" s="70" t="str">
        <f>IFERROR(VLOOKUP(Items[[#This Row],[Item]],Pay.Item.Listing[],6,0),"–")</f>
        <v>–</v>
      </c>
      <c r="I29" s="70" t="str">
        <f>IFERROR(VLOOKUP(Items[[#This Row],[Item]],Pay.Item.Listing[],7,0),"–")</f>
        <v>–</v>
      </c>
      <c r="J29" s="71"/>
      <c r="K29" s="69"/>
      <c r="L29" s="69"/>
      <c r="M29" s="69"/>
      <c r="N29" s="69"/>
      <c r="O29" s="69"/>
      <c r="P29" s="69"/>
      <c r="Q29" s="69"/>
      <c r="R29" s="69"/>
      <c r="S29" s="69"/>
      <c r="T29" s="69"/>
      <c r="U29" s="69"/>
      <c r="V29" s="69"/>
      <c r="W29" s="69"/>
      <c r="X29" s="72">
        <f>IF(LEN(Items[[#This Row],[Item]])&gt;0,IF(Items[[#This Row],[Unit]]="LPSM",1,SUM(Items[[#This Row],[Col_1]:[Col_13]])),0)</f>
        <v>0</v>
      </c>
      <c r="Y29" s="190">
        <f>MAX(Items[[#This Row],[Quantity]]-SUM(Items[[#This Row],[Account2]]:Items[[#This Row],[Account7]]),0)</f>
        <v>0</v>
      </c>
      <c r="Z29" s="61"/>
      <c r="AA29" s="61"/>
      <c r="AB29" s="61"/>
      <c r="AC29" s="61"/>
      <c r="AD29" s="61"/>
      <c r="AE29" s="61"/>
      <c r="AF29" s="73"/>
      <c r="AG29" s="71"/>
      <c r="AH29" s="74"/>
      <c r="AI29" s="59"/>
      <c r="AJ29" s="190" t="str">
        <f ca="1">IFERROR(RANK(Items[[#This Row],[EstSort]],OFFSET(Items[EstSort],0,0,ROW(Proposed[])-ROW(Items[])+ROWS(Proposed[]),1),1),"")</f>
        <v/>
      </c>
      <c r="AK29" s="190" t="str">
        <f ca="1">IF(CHOOSE(MATCH(Account,Accounts,0),Items[[#This Row],[Count]],Items[[#This Row],[Account1]],Items[[#This Row],[Account2]],Items[[#This Row],[Account3]],Items[[#This Row],[Account7]])&gt;0,Items[[#This Row],[Sort]],"")</f>
        <v/>
      </c>
      <c r="AL29" s="70" t="str">
        <f ca="1">IF(LEN(Items[[#This Row],[Count]])&gt;0,IFERROR(INDEX(Calcs[Counter],MATCH(Items[[#This Row],[Line]],Calcs[Line],0)),""),"")</f>
        <v/>
      </c>
      <c r="AM29" s="156" t="str">
        <f ca="1">IFERROR(Letter&amp;TEXT((Items[[#This Row],[Count]]-1)*Incr+BeginLine,"0000"),"")</f>
        <v/>
      </c>
      <c r="AN29" s="7" t="str">
        <f>IF(ISNA(MATCH(LEFT(Items[[#This Row],[Raw Item]],5)&amp;"-"&amp;RIGHT(Items[[#This Row],[Raw Item]],4),Pay.Item.Listing[Pay Item],0)),"",LEFT(Items[[#This Row],[Raw Item]],5)&amp;"-"&amp;RIGHT(Items[[#This Row],[Raw Item]],4))</f>
        <v/>
      </c>
    </row>
    <row r="30" spans="1:40" x14ac:dyDescent="0.15">
      <c r="A30" s="7" t="str">
        <f ca="1">IFERROR(RANK(Items[[#This Row],[Sort]],OFFSET(Items[Sort],0,0,ROW(Proposed[])-ROW(Items[])+ROWS(Proposed[]),1),1),"")</f>
        <v/>
      </c>
      <c r="B30" s="7" t="str">
        <f>IF(LEN(Items[[#This Row],[Item]])&gt;0,Items[[#This Row],[Raw Item]]+COUNTIF(AN$4:AN30,AN30)/100,"")</f>
        <v/>
      </c>
      <c r="C30" s="7">
        <f>IFERROR(VALUE(LEFT(VALUE(SUBSTITUTE(Items[[#This Row],[Pay Item]],"-",""))*100000000,9)),0)</f>
        <v>0</v>
      </c>
      <c r="D30" s="8"/>
      <c r="E30" s="127"/>
      <c r="F30" s="123" t="str">
        <f>IFERROR(SUBSTITUTE(VLOOKUP(Items[[#This Row],[Item]],Pay.Item.Listing[],2+2*(Units&lt;&gt;"Metric"),0),"{","&lt;"),"&lt;&lt; Pay Item not found &gt;&gt;")</f>
        <v>&lt;&lt; Pay Item not found &gt;&gt;</v>
      </c>
      <c r="G30" s="70" t="str">
        <f>IFERROR(VLOOKUP(Items[[#This Row],[Item]],Pay.Item.Listing[],3+2*(Units&lt;&gt;"Metric"),0),"–")</f>
        <v>–</v>
      </c>
      <c r="H30" s="70" t="str">
        <f>IFERROR(VLOOKUP(Items[[#This Row],[Item]],Pay.Item.Listing[],6,0),"–")</f>
        <v>–</v>
      </c>
      <c r="I30" s="70" t="str">
        <f>IFERROR(VLOOKUP(Items[[#This Row],[Item]],Pay.Item.Listing[],7,0),"–")</f>
        <v>–</v>
      </c>
      <c r="J30" s="71"/>
      <c r="K30" s="69"/>
      <c r="L30" s="69"/>
      <c r="M30" s="69"/>
      <c r="N30" s="69"/>
      <c r="O30" s="69"/>
      <c r="P30" s="69"/>
      <c r="Q30" s="69"/>
      <c r="R30" s="69"/>
      <c r="S30" s="69"/>
      <c r="T30" s="69"/>
      <c r="U30" s="69"/>
      <c r="V30" s="69"/>
      <c r="W30" s="69"/>
      <c r="X30" s="72">
        <f>IF(LEN(Items[[#This Row],[Item]])&gt;0,IF(Items[[#This Row],[Unit]]="LPSM",1,SUM(Items[[#This Row],[Col_1]:[Col_13]])),0)</f>
        <v>0</v>
      </c>
      <c r="Y30" s="190">
        <f>MAX(Items[[#This Row],[Quantity]]-SUM(Items[[#This Row],[Account2]]:Items[[#This Row],[Account7]]),0)</f>
        <v>0</v>
      </c>
      <c r="Z30" s="61"/>
      <c r="AA30" s="61"/>
      <c r="AB30" s="61"/>
      <c r="AC30" s="61"/>
      <c r="AD30" s="61"/>
      <c r="AE30" s="61"/>
      <c r="AF30" s="73"/>
      <c r="AG30" s="71"/>
      <c r="AH30" s="74"/>
      <c r="AI30" s="59"/>
      <c r="AJ30" s="190" t="str">
        <f ca="1">IFERROR(RANK(Items[[#This Row],[EstSort]],OFFSET(Items[EstSort],0,0,ROW(Proposed[])-ROW(Items[])+ROWS(Proposed[]),1),1),"")</f>
        <v/>
      </c>
      <c r="AK30" s="190" t="str">
        <f ca="1">IF(CHOOSE(MATCH(Account,Accounts,0),Items[[#This Row],[Count]],Items[[#This Row],[Account1]],Items[[#This Row],[Account2]],Items[[#This Row],[Account3]],Items[[#This Row],[Account7]])&gt;0,Items[[#This Row],[Sort]],"")</f>
        <v/>
      </c>
      <c r="AL30" s="70" t="str">
        <f ca="1">IF(LEN(Items[[#This Row],[Count]])&gt;0,IFERROR(INDEX(Calcs[Counter],MATCH(Items[[#This Row],[Line]],Calcs[Line],0)),""),"")</f>
        <v/>
      </c>
      <c r="AM30" s="156" t="str">
        <f ca="1">IFERROR(Letter&amp;TEXT((Items[[#This Row],[Count]]-1)*Incr+BeginLine,"0000"),"")</f>
        <v/>
      </c>
      <c r="AN30" s="7" t="str">
        <f>IF(ISNA(MATCH(LEFT(Items[[#This Row],[Raw Item]],5)&amp;"-"&amp;RIGHT(Items[[#This Row],[Raw Item]],4),Pay.Item.Listing[Pay Item],0)),"",LEFT(Items[[#This Row],[Raw Item]],5)&amp;"-"&amp;RIGHT(Items[[#This Row],[Raw Item]],4))</f>
        <v/>
      </c>
    </row>
    <row r="31" spans="1:40" x14ac:dyDescent="0.15">
      <c r="A31" s="7" t="str">
        <f ca="1">IFERROR(RANK(Items[[#This Row],[Sort]],OFFSET(Items[Sort],0,0,ROW(Proposed[])-ROW(Items[])+ROWS(Proposed[]),1),1),"")</f>
        <v/>
      </c>
      <c r="B31" s="7" t="str">
        <f>IF(LEN(Items[[#This Row],[Item]])&gt;0,Items[[#This Row],[Raw Item]]+COUNTIF(AN$4:AN31,AN31)/100,"")</f>
        <v/>
      </c>
      <c r="C31" s="7">
        <f>IFERROR(VALUE(LEFT(VALUE(SUBSTITUTE(Items[[#This Row],[Pay Item]],"-",""))*100000000,9)),0)</f>
        <v>0</v>
      </c>
      <c r="D31" s="8"/>
      <c r="E31" s="127"/>
      <c r="F31" s="123" t="str">
        <f>IFERROR(SUBSTITUTE(VLOOKUP(Items[[#This Row],[Item]],Pay.Item.Listing[],2+2*(Units&lt;&gt;"Metric"),0),"{","&lt;"),"&lt;&lt; Pay Item not found &gt;&gt;")</f>
        <v>&lt;&lt; Pay Item not found &gt;&gt;</v>
      </c>
      <c r="G31" s="70" t="str">
        <f>IFERROR(VLOOKUP(Items[[#This Row],[Item]],Pay.Item.Listing[],3+2*(Units&lt;&gt;"Metric"),0),"–")</f>
        <v>–</v>
      </c>
      <c r="H31" s="70" t="str">
        <f>IFERROR(VLOOKUP(Items[[#This Row],[Item]],Pay.Item.Listing[],6,0),"–")</f>
        <v>–</v>
      </c>
      <c r="I31" s="70" t="str">
        <f>IFERROR(VLOOKUP(Items[[#This Row],[Item]],Pay.Item.Listing[],7,0),"–")</f>
        <v>–</v>
      </c>
      <c r="J31" s="71"/>
      <c r="K31" s="69"/>
      <c r="L31" s="69"/>
      <c r="M31" s="69"/>
      <c r="N31" s="69"/>
      <c r="O31" s="69"/>
      <c r="P31" s="69"/>
      <c r="Q31" s="69"/>
      <c r="R31" s="69"/>
      <c r="S31" s="69"/>
      <c r="T31" s="69"/>
      <c r="U31" s="69"/>
      <c r="V31" s="69"/>
      <c r="W31" s="69"/>
      <c r="X31" s="72">
        <f>IF(LEN(Items[[#This Row],[Item]])&gt;0,IF(Items[[#This Row],[Unit]]="LPSM",1,SUM(Items[[#This Row],[Col_1]:[Col_13]])),0)</f>
        <v>0</v>
      </c>
      <c r="Y31" s="190">
        <f>MAX(Items[[#This Row],[Quantity]]-SUM(Items[[#This Row],[Account2]]:Items[[#This Row],[Account7]]),0)</f>
        <v>0</v>
      </c>
      <c r="Z31" s="61"/>
      <c r="AA31" s="61"/>
      <c r="AB31" s="61"/>
      <c r="AC31" s="61"/>
      <c r="AD31" s="61"/>
      <c r="AE31" s="61"/>
      <c r="AF31" s="73"/>
      <c r="AG31" s="71"/>
      <c r="AH31" s="74"/>
      <c r="AI31" s="59"/>
      <c r="AJ31" s="190" t="str">
        <f ca="1">IFERROR(RANK(Items[[#This Row],[EstSort]],OFFSET(Items[EstSort],0,0,ROW(Proposed[])-ROW(Items[])+ROWS(Proposed[]),1),1),"")</f>
        <v/>
      </c>
      <c r="AK31" s="190" t="str">
        <f ca="1">IF(CHOOSE(MATCH(Account,Accounts,0),Items[[#This Row],[Count]],Items[[#This Row],[Account1]],Items[[#This Row],[Account2]],Items[[#This Row],[Account3]],Items[[#This Row],[Account7]])&gt;0,Items[[#This Row],[Sort]],"")</f>
        <v/>
      </c>
      <c r="AL31" s="70" t="str">
        <f ca="1">IF(LEN(Items[[#This Row],[Count]])&gt;0,IFERROR(INDEX(Calcs[Counter],MATCH(Items[[#This Row],[Line]],Calcs[Line],0)),""),"")</f>
        <v/>
      </c>
      <c r="AM31" s="156" t="str">
        <f ca="1">IFERROR(Letter&amp;TEXT((Items[[#This Row],[Count]]-1)*Incr+BeginLine,"0000"),"")</f>
        <v/>
      </c>
      <c r="AN31" s="7" t="str">
        <f>IF(ISNA(MATCH(LEFT(Items[[#This Row],[Raw Item]],5)&amp;"-"&amp;RIGHT(Items[[#This Row],[Raw Item]],4),Pay.Item.Listing[Pay Item],0)),"",LEFT(Items[[#This Row],[Raw Item]],5)&amp;"-"&amp;RIGHT(Items[[#This Row],[Raw Item]],4))</f>
        <v/>
      </c>
    </row>
    <row r="32" spans="1:40" x14ac:dyDescent="0.15">
      <c r="A32" s="7" t="str">
        <f ca="1">IFERROR(RANK(Items[[#This Row],[Sort]],OFFSET(Items[Sort],0,0,ROW(Proposed[])-ROW(Items[])+ROWS(Proposed[]),1),1),"")</f>
        <v/>
      </c>
      <c r="B32" s="7" t="str">
        <f>IF(LEN(Items[[#This Row],[Item]])&gt;0,Items[[#This Row],[Raw Item]]+COUNTIF(AN$4:AN32,AN32)/100,"")</f>
        <v/>
      </c>
      <c r="C32" s="7">
        <f>IFERROR(VALUE(LEFT(VALUE(SUBSTITUTE(Items[[#This Row],[Pay Item]],"-",""))*100000000,9)),0)</f>
        <v>0</v>
      </c>
      <c r="D32" s="8"/>
      <c r="E32" s="127"/>
      <c r="F32" s="123" t="str">
        <f>IFERROR(SUBSTITUTE(VLOOKUP(Items[[#This Row],[Item]],Pay.Item.Listing[],2+2*(Units&lt;&gt;"Metric"),0),"{","&lt;"),"&lt;&lt; Pay Item not found &gt;&gt;")</f>
        <v>&lt;&lt; Pay Item not found &gt;&gt;</v>
      </c>
      <c r="G32" s="70" t="str">
        <f>IFERROR(VLOOKUP(Items[[#This Row],[Item]],Pay.Item.Listing[],3+2*(Units&lt;&gt;"Metric"),0),"–")</f>
        <v>–</v>
      </c>
      <c r="H32" s="70" t="str">
        <f>IFERROR(VLOOKUP(Items[[#This Row],[Item]],Pay.Item.Listing[],6,0),"–")</f>
        <v>–</v>
      </c>
      <c r="I32" s="70" t="str">
        <f>IFERROR(VLOOKUP(Items[[#This Row],[Item]],Pay.Item.Listing[],7,0),"–")</f>
        <v>–</v>
      </c>
      <c r="J32" s="71"/>
      <c r="K32" s="69"/>
      <c r="L32" s="69"/>
      <c r="M32" s="69"/>
      <c r="N32" s="69"/>
      <c r="O32" s="69"/>
      <c r="P32" s="69"/>
      <c r="Q32" s="69"/>
      <c r="R32" s="69"/>
      <c r="S32" s="69"/>
      <c r="T32" s="69"/>
      <c r="U32" s="69"/>
      <c r="V32" s="69"/>
      <c r="W32" s="69"/>
      <c r="X32" s="72">
        <f>IF(LEN(Items[[#This Row],[Item]])&gt;0,IF(Items[[#This Row],[Unit]]="LPSM",1,SUM(Items[[#This Row],[Col_1]:[Col_13]])),0)</f>
        <v>0</v>
      </c>
      <c r="Y32" s="190">
        <f>MAX(Items[[#This Row],[Quantity]]-SUM(Items[[#This Row],[Account2]]:Items[[#This Row],[Account7]]),0)</f>
        <v>0</v>
      </c>
      <c r="Z32" s="61"/>
      <c r="AA32" s="61"/>
      <c r="AB32" s="61"/>
      <c r="AC32" s="61"/>
      <c r="AD32" s="61"/>
      <c r="AE32" s="61"/>
      <c r="AF32" s="73"/>
      <c r="AG32" s="71"/>
      <c r="AH32" s="74"/>
      <c r="AI32" s="59"/>
      <c r="AJ32" s="190" t="str">
        <f ca="1">IFERROR(RANK(Items[[#This Row],[EstSort]],OFFSET(Items[EstSort],0,0,ROW(Proposed[])-ROW(Items[])+ROWS(Proposed[]),1),1),"")</f>
        <v/>
      </c>
      <c r="AK32" s="190" t="str">
        <f ca="1">IF(CHOOSE(MATCH(Account,Accounts,0),Items[[#This Row],[Count]],Items[[#This Row],[Account1]],Items[[#This Row],[Account2]],Items[[#This Row],[Account3]],Items[[#This Row],[Account7]])&gt;0,Items[[#This Row],[Sort]],"")</f>
        <v/>
      </c>
      <c r="AL32" s="70" t="str">
        <f ca="1">IF(LEN(Items[[#This Row],[Count]])&gt;0,IFERROR(INDEX(Calcs[Counter],MATCH(Items[[#This Row],[Line]],Calcs[Line],0)),""),"")</f>
        <v/>
      </c>
      <c r="AM32" s="156" t="str">
        <f ca="1">IFERROR(Letter&amp;TEXT((Items[[#This Row],[Count]]-1)*Incr+BeginLine,"0000"),"")</f>
        <v/>
      </c>
      <c r="AN32" s="7" t="str">
        <f>IF(ISNA(MATCH(LEFT(Items[[#This Row],[Raw Item]],5)&amp;"-"&amp;RIGHT(Items[[#This Row],[Raw Item]],4),Pay.Item.Listing[Pay Item],0)),"",LEFT(Items[[#This Row],[Raw Item]],5)&amp;"-"&amp;RIGHT(Items[[#This Row],[Raw Item]],4))</f>
        <v/>
      </c>
    </row>
    <row r="33" spans="1:40" x14ac:dyDescent="0.15">
      <c r="A33" s="7" t="str">
        <f ca="1">IFERROR(RANK(Items[[#This Row],[Sort]],OFFSET(Items[Sort],0,0,ROW(Proposed[])-ROW(Items[])+ROWS(Proposed[]),1),1),"")</f>
        <v/>
      </c>
      <c r="B33" s="7" t="str">
        <f>IF(LEN(Items[[#This Row],[Item]])&gt;0,Items[[#This Row],[Raw Item]]+COUNTIF(AN$4:AN33,AN33)/100,"")</f>
        <v/>
      </c>
      <c r="C33" s="7">
        <f>IFERROR(VALUE(LEFT(VALUE(SUBSTITUTE(Items[[#This Row],[Pay Item]],"-",""))*100000000,9)),0)</f>
        <v>0</v>
      </c>
      <c r="D33" s="8"/>
      <c r="E33" s="127"/>
      <c r="F33" s="123" t="str">
        <f>IFERROR(SUBSTITUTE(VLOOKUP(Items[[#This Row],[Item]],Pay.Item.Listing[],2+2*(Units&lt;&gt;"Metric"),0),"{","&lt;"),"&lt;&lt; Pay Item not found &gt;&gt;")</f>
        <v>&lt;&lt; Pay Item not found &gt;&gt;</v>
      </c>
      <c r="G33" s="70" t="str">
        <f>IFERROR(VLOOKUP(Items[[#This Row],[Item]],Pay.Item.Listing[],3+2*(Units&lt;&gt;"Metric"),0),"–")</f>
        <v>–</v>
      </c>
      <c r="H33" s="70" t="str">
        <f>IFERROR(VLOOKUP(Items[[#This Row],[Item]],Pay.Item.Listing[],6,0),"–")</f>
        <v>–</v>
      </c>
      <c r="I33" s="70" t="str">
        <f>IFERROR(VLOOKUP(Items[[#This Row],[Item]],Pay.Item.Listing[],7,0),"–")</f>
        <v>–</v>
      </c>
      <c r="J33" s="71"/>
      <c r="K33" s="69"/>
      <c r="L33" s="69"/>
      <c r="M33" s="69"/>
      <c r="N33" s="69"/>
      <c r="O33" s="69"/>
      <c r="P33" s="69"/>
      <c r="Q33" s="69"/>
      <c r="R33" s="69"/>
      <c r="S33" s="69"/>
      <c r="T33" s="69"/>
      <c r="U33" s="69"/>
      <c r="V33" s="69"/>
      <c r="W33" s="69"/>
      <c r="X33" s="72">
        <f>IF(LEN(Items[[#This Row],[Item]])&gt;0,IF(Items[[#This Row],[Unit]]="LPSM",1,SUM(Items[[#This Row],[Col_1]:[Col_13]])),0)</f>
        <v>0</v>
      </c>
      <c r="Y33" s="190">
        <f>MAX(Items[[#This Row],[Quantity]]-SUM(Items[[#This Row],[Account2]]:Items[[#This Row],[Account7]]),0)</f>
        <v>0</v>
      </c>
      <c r="Z33" s="61"/>
      <c r="AA33" s="61"/>
      <c r="AB33" s="61"/>
      <c r="AC33" s="61"/>
      <c r="AD33" s="61"/>
      <c r="AE33" s="61"/>
      <c r="AF33" s="73"/>
      <c r="AG33" s="71"/>
      <c r="AH33" s="74"/>
      <c r="AI33" s="59"/>
      <c r="AJ33" s="190" t="str">
        <f ca="1">IFERROR(RANK(Items[[#This Row],[EstSort]],OFFSET(Items[EstSort],0,0,ROW(Proposed[])-ROW(Items[])+ROWS(Proposed[]),1),1),"")</f>
        <v/>
      </c>
      <c r="AK33" s="190" t="str">
        <f ca="1">IF(CHOOSE(MATCH(Account,Accounts,0),Items[[#This Row],[Count]],Items[[#This Row],[Account1]],Items[[#This Row],[Account2]],Items[[#This Row],[Account3]],Items[[#This Row],[Account7]])&gt;0,Items[[#This Row],[Sort]],"")</f>
        <v/>
      </c>
      <c r="AL33" s="70" t="str">
        <f ca="1">IF(LEN(Items[[#This Row],[Count]])&gt;0,IFERROR(INDEX(Calcs[Counter],MATCH(Items[[#This Row],[Line]],Calcs[Line],0)),""),"")</f>
        <v/>
      </c>
      <c r="AM33" s="156" t="str">
        <f ca="1">IFERROR(Letter&amp;TEXT((Items[[#This Row],[Count]]-1)*Incr+BeginLine,"0000"),"")</f>
        <v/>
      </c>
      <c r="AN33" s="7" t="str">
        <f>IF(ISNA(MATCH(LEFT(Items[[#This Row],[Raw Item]],5)&amp;"-"&amp;RIGHT(Items[[#This Row],[Raw Item]],4),Pay.Item.Listing[Pay Item],0)),"",LEFT(Items[[#This Row],[Raw Item]],5)&amp;"-"&amp;RIGHT(Items[[#This Row],[Raw Item]],4))</f>
        <v/>
      </c>
    </row>
    <row r="34" spans="1:40" x14ac:dyDescent="0.15">
      <c r="A34" s="7" t="str">
        <f ca="1">IFERROR(RANK(Items[[#This Row],[Sort]],OFFSET(Items[Sort],0,0,ROW(Proposed[])-ROW(Items[])+ROWS(Proposed[]),1),1),"")</f>
        <v/>
      </c>
      <c r="B34" s="7" t="str">
        <f>IF(LEN(Items[[#This Row],[Item]])&gt;0,Items[[#This Row],[Raw Item]]+COUNTIF(AN$4:AN34,AN34)/100,"")</f>
        <v/>
      </c>
      <c r="C34" s="7">
        <f>IFERROR(VALUE(LEFT(VALUE(SUBSTITUTE(Items[[#This Row],[Pay Item]],"-",""))*100000000,9)),0)</f>
        <v>0</v>
      </c>
      <c r="D34" s="8"/>
      <c r="E34" s="127"/>
      <c r="F34" s="123" t="str">
        <f>IFERROR(SUBSTITUTE(VLOOKUP(Items[[#This Row],[Item]],Pay.Item.Listing[],2+2*(Units&lt;&gt;"Metric"),0),"{","&lt;"),"&lt;&lt; Pay Item not found &gt;&gt;")</f>
        <v>&lt;&lt; Pay Item not found &gt;&gt;</v>
      </c>
      <c r="G34" s="70" t="str">
        <f>IFERROR(VLOOKUP(Items[[#This Row],[Item]],Pay.Item.Listing[],3+2*(Units&lt;&gt;"Metric"),0),"–")</f>
        <v>–</v>
      </c>
      <c r="H34" s="70" t="str">
        <f>IFERROR(VLOOKUP(Items[[#This Row],[Item]],Pay.Item.Listing[],6,0),"–")</f>
        <v>–</v>
      </c>
      <c r="I34" s="70" t="str">
        <f>IFERROR(VLOOKUP(Items[[#This Row],[Item]],Pay.Item.Listing[],7,0),"–")</f>
        <v>–</v>
      </c>
      <c r="J34" s="71"/>
      <c r="K34" s="69"/>
      <c r="L34" s="69"/>
      <c r="M34" s="69"/>
      <c r="N34" s="69"/>
      <c r="O34" s="69"/>
      <c r="P34" s="69"/>
      <c r="Q34" s="69"/>
      <c r="R34" s="69"/>
      <c r="S34" s="69"/>
      <c r="T34" s="69"/>
      <c r="U34" s="69"/>
      <c r="V34" s="69"/>
      <c r="W34" s="69"/>
      <c r="X34" s="72">
        <f>IF(LEN(Items[[#This Row],[Item]])&gt;0,IF(Items[[#This Row],[Unit]]="LPSM",1,SUM(Items[[#This Row],[Col_1]:[Col_13]])),0)</f>
        <v>0</v>
      </c>
      <c r="Y34" s="190">
        <f>MAX(Items[[#This Row],[Quantity]]-SUM(Items[[#This Row],[Account2]]:Items[[#This Row],[Account7]]),0)</f>
        <v>0</v>
      </c>
      <c r="Z34" s="61"/>
      <c r="AA34" s="61"/>
      <c r="AB34" s="61"/>
      <c r="AC34" s="61"/>
      <c r="AD34" s="61"/>
      <c r="AE34" s="61"/>
      <c r="AF34" s="73"/>
      <c r="AG34" s="71"/>
      <c r="AH34" s="74"/>
      <c r="AI34" s="59"/>
      <c r="AJ34" s="190" t="str">
        <f ca="1">IFERROR(RANK(Items[[#This Row],[EstSort]],OFFSET(Items[EstSort],0,0,ROW(Proposed[])-ROW(Items[])+ROWS(Proposed[]),1),1),"")</f>
        <v/>
      </c>
      <c r="AK34" s="190" t="str">
        <f ca="1">IF(CHOOSE(MATCH(Account,Accounts,0),Items[[#This Row],[Count]],Items[[#This Row],[Account1]],Items[[#This Row],[Account2]],Items[[#This Row],[Account3]],Items[[#This Row],[Account7]])&gt;0,Items[[#This Row],[Sort]],"")</f>
        <v/>
      </c>
      <c r="AL34" s="70" t="str">
        <f ca="1">IF(LEN(Items[[#This Row],[Count]])&gt;0,IFERROR(INDEX(Calcs[Counter],MATCH(Items[[#This Row],[Line]],Calcs[Line],0)),""),"")</f>
        <v/>
      </c>
      <c r="AM34" s="156" t="str">
        <f ca="1">IFERROR(Letter&amp;TEXT((Items[[#This Row],[Count]]-1)*Incr+BeginLine,"0000"),"")</f>
        <v/>
      </c>
      <c r="AN34" s="7" t="str">
        <f>IF(ISNA(MATCH(LEFT(Items[[#This Row],[Raw Item]],5)&amp;"-"&amp;RIGHT(Items[[#This Row],[Raw Item]],4),Pay.Item.Listing[Pay Item],0)),"",LEFT(Items[[#This Row],[Raw Item]],5)&amp;"-"&amp;RIGHT(Items[[#This Row],[Raw Item]],4))</f>
        <v/>
      </c>
    </row>
    <row r="35" spans="1:40" x14ac:dyDescent="0.15">
      <c r="A35" s="7" t="str">
        <f ca="1">IFERROR(RANK(Items[[#This Row],[Sort]],OFFSET(Items[Sort],0,0,ROW(Proposed[])-ROW(Items[])+ROWS(Proposed[]),1),1),"")</f>
        <v/>
      </c>
      <c r="B35" s="7" t="str">
        <f>IF(LEN(Items[[#This Row],[Item]])&gt;0,Items[[#This Row],[Raw Item]]+COUNTIF(AN$4:AN35,AN35)/100,"")</f>
        <v/>
      </c>
      <c r="C35" s="7">
        <f>IFERROR(VALUE(LEFT(VALUE(SUBSTITUTE(Items[[#This Row],[Pay Item]],"-",""))*100000000,9)),0)</f>
        <v>0</v>
      </c>
      <c r="D35" s="8"/>
      <c r="E35" s="127"/>
      <c r="F35" s="123" t="str">
        <f>IFERROR(SUBSTITUTE(VLOOKUP(Items[[#This Row],[Item]],Pay.Item.Listing[],2+2*(Units&lt;&gt;"Metric"),0),"{","&lt;"),"&lt;&lt; Pay Item not found &gt;&gt;")</f>
        <v>&lt;&lt; Pay Item not found &gt;&gt;</v>
      </c>
      <c r="G35" s="70" t="str">
        <f>IFERROR(VLOOKUP(Items[[#This Row],[Item]],Pay.Item.Listing[],3+2*(Units&lt;&gt;"Metric"),0),"–")</f>
        <v>–</v>
      </c>
      <c r="H35" s="70" t="str">
        <f>IFERROR(VLOOKUP(Items[[#This Row],[Item]],Pay.Item.Listing[],6,0),"–")</f>
        <v>–</v>
      </c>
      <c r="I35" s="70" t="str">
        <f>IFERROR(VLOOKUP(Items[[#This Row],[Item]],Pay.Item.Listing[],7,0),"–")</f>
        <v>–</v>
      </c>
      <c r="J35" s="71"/>
      <c r="K35" s="69"/>
      <c r="L35" s="69"/>
      <c r="M35" s="69"/>
      <c r="N35" s="69"/>
      <c r="O35" s="69"/>
      <c r="P35" s="69"/>
      <c r="Q35" s="69"/>
      <c r="R35" s="69"/>
      <c r="S35" s="69"/>
      <c r="T35" s="69"/>
      <c r="U35" s="69"/>
      <c r="V35" s="69"/>
      <c r="W35" s="69"/>
      <c r="X35" s="72">
        <f>IF(LEN(Items[[#This Row],[Item]])&gt;0,IF(Items[[#This Row],[Unit]]="LPSM",1,SUM(Items[[#This Row],[Col_1]:[Col_13]])),0)</f>
        <v>0</v>
      </c>
      <c r="Y35" s="190">
        <f>MAX(Items[[#This Row],[Quantity]]-SUM(Items[[#This Row],[Account2]]:Items[[#This Row],[Account7]]),0)</f>
        <v>0</v>
      </c>
      <c r="Z35" s="61"/>
      <c r="AA35" s="61"/>
      <c r="AB35" s="61"/>
      <c r="AC35" s="61"/>
      <c r="AD35" s="61"/>
      <c r="AE35" s="61"/>
      <c r="AF35" s="73"/>
      <c r="AG35" s="71"/>
      <c r="AH35" s="74"/>
      <c r="AI35" s="59"/>
      <c r="AJ35" s="190" t="str">
        <f ca="1">IFERROR(RANK(Items[[#This Row],[EstSort]],OFFSET(Items[EstSort],0,0,ROW(Proposed[])-ROW(Items[])+ROWS(Proposed[]),1),1),"")</f>
        <v/>
      </c>
      <c r="AK35" s="190" t="str">
        <f ca="1">IF(CHOOSE(MATCH(Account,Accounts,0),Items[[#This Row],[Count]],Items[[#This Row],[Account1]],Items[[#This Row],[Account2]],Items[[#This Row],[Account3]],Items[[#This Row],[Account7]])&gt;0,Items[[#This Row],[Sort]],"")</f>
        <v/>
      </c>
      <c r="AL35" s="70" t="str">
        <f ca="1">IF(LEN(Items[[#This Row],[Count]])&gt;0,IFERROR(INDEX(Calcs[Counter],MATCH(Items[[#This Row],[Line]],Calcs[Line],0)),""),"")</f>
        <v/>
      </c>
      <c r="AM35" s="156" t="str">
        <f ca="1">IFERROR(Letter&amp;TEXT((Items[[#This Row],[Count]]-1)*Incr+BeginLine,"0000"),"")</f>
        <v/>
      </c>
      <c r="AN35" s="7" t="str">
        <f>IF(ISNA(MATCH(LEFT(Items[[#This Row],[Raw Item]],5)&amp;"-"&amp;RIGHT(Items[[#This Row],[Raw Item]],4),Pay.Item.Listing[Pay Item],0)),"",LEFT(Items[[#This Row],[Raw Item]],5)&amp;"-"&amp;RIGHT(Items[[#This Row],[Raw Item]],4))</f>
        <v/>
      </c>
    </row>
    <row r="36" spans="1:40" x14ac:dyDescent="0.15">
      <c r="A36" s="7" t="str">
        <f ca="1">IFERROR(RANK(Items[[#This Row],[Sort]],OFFSET(Items[Sort],0,0,ROW(Proposed[])-ROW(Items[])+ROWS(Proposed[]),1),1),"")</f>
        <v/>
      </c>
      <c r="B36" s="7" t="str">
        <f>IF(LEN(Items[[#This Row],[Item]])&gt;0,Items[[#This Row],[Raw Item]]+COUNTIF(AN$4:AN36,AN36)/100,"")</f>
        <v/>
      </c>
      <c r="C36" s="7">
        <f>IFERROR(VALUE(LEFT(VALUE(SUBSTITUTE(Items[[#This Row],[Pay Item]],"-",""))*100000000,9)),0)</f>
        <v>0</v>
      </c>
      <c r="D36" s="8"/>
      <c r="E36" s="127"/>
      <c r="F36" s="123" t="str">
        <f>IFERROR(SUBSTITUTE(VLOOKUP(Items[[#This Row],[Item]],Pay.Item.Listing[],2+2*(Units&lt;&gt;"Metric"),0),"{","&lt;"),"&lt;&lt; Pay Item not found &gt;&gt;")</f>
        <v>&lt;&lt; Pay Item not found &gt;&gt;</v>
      </c>
      <c r="G36" s="70" t="str">
        <f>IFERROR(VLOOKUP(Items[[#This Row],[Item]],Pay.Item.Listing[],3+2*(Units&lt;&gt;"Metric"),0),"–")</f>
        <v>–</v>
      </c>
      <c r="H36" s="70" t="str">
        <f>IFERROR(VLOOKUP(Items[[#This Row],[Item]],Pay.Item.Listing[],6,0),"–")</f>
        <v>–</v>
      </c>
      <c r="I36" s="70" t="str">
        <f>IFERROR(VLOOKUP(Items[[#This Row],[Item]],Pay.Item.Listing[],7,0),"–")</f>
        <v>–</v>
      </c>
      <c r="J36" s="71"/>
      <c r="K36" s="69"/>
      <c r="L36" s="69"/>
      <c r="M36" s="69"/>
      <c r="N36" s="69"/>
      <c r="O36" s="69"/>
      <c r="P36" s="69"/>
      <c r="Q36" s="69"/>
      <c r="R36" s="69"/>
      <c r="S36" s="69"/>
      <c r="T36" s="69"/>
      <c r="U36" s="69"/>
      <c r="V36" s="69"/>
      <c r="W36" s="69"/>
      <c r="X36" s="72">
        <f>IF(LEN(Items[[#This Row],[Item]])&gt;0,IF(Items[[#This Row],[Unit]]="LPSM",1,SUM(Items[[#This Row],[Col_1]:[Col_13]])),0)</f>
        <v>0</v>
      </c>
      <c r="Y36" s="190">
        <f>MAX(Items[[#This Row],[Quantity]]-SUM(Items[[#This Row],[Account2]]:Items[[#This Row],[Account7]]),0)</f>
        <v>0</v>
      </c>
      <c r="Z36" s="61"/>
      <c r="AA36" s="61"/>
      <c r="AB36" s="61"/>
      <c r="AC36" s="61"/>
      <c r="AD36" s="61"/>
      <c r="AE36" s="61"/>
      <c r="AF36" s="73"/>
      <c r="AG36" s="71"/>
      <c r="AH36" s="74"/>
      <c r="AI36" s="59"/>
      <c r="AJ36" s="190" t="str">
        <f ca="1">IFERROR(RANK(Items[[#This Row],[EstSort]],OFFSET(Items[EstSort],0,0,ROW(Proposed[])-ROW(Items[])+ROWS(Proposed[]),1),1),"")</f>
        <v/>
      </c>
      <c r="AK36" s="190" t="str">
        <f ca="1">IF(CHOOSE(MATCH(Account,Accounts,0),Items[[#This Row],[Count]],Items[[#This Row],[Account1]],Items[[#This Row],[Account2]],Items[[#This Row],[Account3]],Items[[#This Row],[Account7]])&gt;0,Items[[#This Row],[Sort]],"")</f>
        <v/>
      </c>
      <c r="AL36" s="70" t="str">
        <f ca="1">IF(LEN(Items[[#This Row],[Count]])&gt;0,IFERROR(INDEX(Calcs[Counter],MATCH(Items[[#This Row],[Line]],Calcs[Line],0)),""),"")</f>
        <v/>
      </c>
      <c r="AM36" s="156" t="str">
        <f ca="1">IFERROR(Letter&amp;TEXT((Items[[#This Row],[Count]]-1)*Incr+BeginLine,"0000"),"")</f>
        <v/>
      </c>
      <c r="AN36" s="7" t="str">
        <f>IF(ISNA(MATCH(LEFT(Items[[#This Row],[Raw Item]],5)&amp;"-"&amp;RIGHT(Items[[#This Row],[Raw Item]],4),Pay.Item.Listing[Pay Item],0)),"",LEFT(Items[[#This Row],[Raw Item]],5)&amp;"-"&amp;RIGHT(Items[[#This Row],[Raw Item]],4))</f>
        <v/>
      </c>
    </row>
    <row r="37" spans="1:40" x14ac:dyDescent="0.15">
      <c r="A37" s="7" t="str">
        <f ca="1">IFERROR(RANK(Items[[#This Row],[Sort]],OFFSET(Items[Sort],0,0,ROW(Proposed[])-ROW(Items[])+ROWS(Proposed[]),1),1),"")</f>
        <v/>
      </c>
      <c r="B37" s="7" t="str">
        <f>IF(LEN(Items[[#This Row],[Item]])&gt;0,Items[[#This Row],[Raw Item]]+COUNTIF(AN$4:AN37,AN37)/100,"")</f>
        <v/>
      </c>
      <c r="C37" s="7">
        <f>IFERROR(VALUE(LEFT(VALUE(SUBSTITUTE(Items[[#This Row],[Pay Item]],"-",""))*100000000,9)),0)</f>
        <v>0</v>
      </c>
      <c r="D37" s="8"/>
      <c r="E37" s="127"/>
      <c r="F37" s="123" t="str">
        <f>IFERROR(SUBSTITUTE(VLOOKUP(Items[[#This Row],[Item]],Pay.Item.Listing[],2+2*(Units&lt;&gt;"Metric"),0),"{","&lt;"),"&lt;&lt; Pay Item not found &gt;&gt;")</f>
        <v>&lt;&lt; Pay Item not found &gt;&gt;</v>
      </c>
      <c r="G37" s="70" t="str">
        <f>IFERROR(VLOOKUP(Items[[#This Row],[Item]],Pay.Item.Listing[],3+2*(Units&lt;&gt;"Metric"),0),"–")</f>
        <v>–</v>
      </c>
      <c r="H37" s="70" t="str">
        <f>IFERROR(VLOOKUP(Items[[#This Row],[Item]],Pay.Item.Listing[],6,0),"–")</f>
        <v>–</v>
      </c>
      <c r="I37" s="70" t="str">
        <f>IFERROR(VLOOKUP(Items[[#This Row],[Item]],Pay.Item.Listing[],7,0),"–")</f>
        <v>–</v>
      </c>
      <c r="J37" s="71"/>
      <c r="K37" s="69"/>
      <c r="L37" s="69"/>
      <c r="M37" s="69"/>
      <c r="N37" s="69"/>
      <c r="O37" s="69"/>
      <c r="P37" s="69"/>
      <c r="Q37" s="69"/>
      <c r="R37" s="69"/>
      <c r="S37" s="69"/>
      <c r="T37" s="69"/>
      <c r="U37" s="69"/>
      <c r="V37" s="69"/>
      <c r="W37" s="69"/>
      <c r="X37" s="72">
        <f>IF(LEN(Items[[#This Row],[Item]])&gt;0,IF(Items[[#This Row],[Unit]]="LPSM",1,SUM(Items[[#This Row],[Col_1]:[Col_13]])),0)</f>
        <v>0</v>
      </c>
      <c r="Y37" s="190">
        <f>MAX(Items[[#This Row],[Quantity]]-SUM(Items[[#This Row],[Account2]]:Items[[#This Row],[Account7]]),0)</f>
        <v>0</v>
      </c>
      <c r="Z37" s="61"/>
      <c r="AA37" s="61"/>
      <c r="AB37" s="61"/>
      <c r="AC37" s="61"/>
      <c r="AD37" s="61"/>
      <c r="AE37" s="61"/>
      <c r="AF37" s="73"/>
      <c r="AG37" s="71"/>
      <c r="AH37" s="74"/>
      <c r="AI37" s="59"/>
      <c r="AJ37" s="190" t="str">
        <f ca="1">IFERROR(RANK(Items[[#This Row],[EstSort]],OFFSET(Items[EstSort],0,0,ROW(Proposed[])-ROW(Items[])+ROWS(Proposed[]),1),1),"")</f>
        <v/>
      </c>
      <c r="AK37" s="190" t="str">
        <f ca="1">IF(CHOOSE(MATCH(Account,Accounts,0),Items[[#This Row],[Count]],Items[[#This Row],[Account1]],Items[[#This Row],[Account2]],Items[[#This Row],[Account3]],Items[[#This Row],[Account7]])&gt;0,Items[[#This Row],[Sort]],"")</f>
        <v/>
      </c>
      <c r="AL37" s="70" t="str">
        <f ca="1">IF(LEN(Items[[#This Row],[Count]])&gt;0,IFERROR(INDEX(Calcs[Counter],MATCH(Items[[#This Row],[Line]],Calcs[Line],0)),""),"")</f>
        <v/>
      </c>
      <c r="AM37" s="156" t="str">
        <f ca="1">IFERROR(Letter&amp;TEXT((Items[[#This Row],[Count]]-1)*Incr+BeginLine,"0000"),"")</f>
        <v/>
      </c>
      <c r="AN37" s="7" t="str">
        <f>IF(ISNA(MATCH(LEFT(Items[[#This Row],[Raw Item]],5)&amp;"-"&amp;RIGHT(Items[[#This Row],[Raw Item]],4),Pay.Item.Listing[Pay Item],0)),"",LEFT(Items[[#This Row],[Raw Item]],5)&amp;"-"&amp;RIGHT(Items[[#This Row],[Raw Item]],4))</f>
        <v/>
      </c>
    </row>
    <row r="38" spans="1:40" x14ac:dyDescent="0.15">
      <c r="A38" s="7" t="str">
        <f ca="1">IFERROR(RANK(Items[[#This Row],[Sort]],OFFSET(Items[Sort],0,0,ROW(Proposed[])-ROW(Items[])+ROWS(Proposed[]),1),1),"")</f>
        <v/>
      </c>
      <c r="B38" s="7" t="str">
        <f>IF(LEN(Items[[#This Row],[Item]])&gt;0,Items[[#This Row],[Raw Item]]+COUNTIF(AN$4:AN38,AN38)/100,"")</f>
        <v/>
      </c>
      <c r="C38" s="7">
        <f>IFERROR(VALUE(LEFT(VALUE(SUBSTITUTE(Items[[#This Row],[Pay Item]],"-",""))*100000000,9)),0)</f>
        <v>0</v>
      </c>
      <c r="D38" s="8"/>
      <c r="E38" s="127"/>
      <c r="F38" s="123" t="str">
        <f>IFERROR(SUBSTITUTE(VLOOKUP(Items[[#This Row],[Item]],Pay.Item.Listing[],2+2*(Units&lt;&gt;"Metric"),0),"{","&lt;"),"&lt;&lt; Pay Item not found &gt;&gt;")</f>
        <v>&lt;&lt; Pay Item not found &gt;&gt;</v>
      </c>
      <c r="G38" s="70" t="str">
        <f>IFERROR(VLOOKUP(Items[[#This Row],[Item]],Pay.Item.Listing[],3+2*(Units&lt;&gt;"Metric"),0),"–")</f>
        <v>–</v>
      </c>
      <c r="H38" s="70" t="str">
        <f>IFERROR(VLOOKUP(Items[[#This Row],[Item]],Pay.Item.Listing[],6,0),"–")</f>
        <v>–</v>
      </c>
      <c r="I38" s="70" t="str">
        <f>IFERROR(VLOOKUP(Items[[#This Row],[Item]],Pay.Item.Listing[],7,0),"–")</f>
        <v>–</v>
      </c>
      <c r="J38" s="71"/>
      <c r="K38" s="69"/>
      <c r="L38" s="69"/>
      <c r="M38" s="69"/>
      <c r="N38" s="69"/>
      <c r="O38" s="69"/>
      <c r="P38" s="69"/>
      <c r="Q38" s="69"/>
      <c r="R38" s="69"/>
      <c r="S38" s="69"/>
      <c r="T38" s="69"/>
      <c r="U38" s="69"/>
      <c r="V38" s="69"/>
      <c r="W38" s="69"/>
      <c r="X38" s="72">
        <f>IF(LEN(Items[[#This Row],[Item]])&gt;0,IF(Items[[#This Row],[Unit]]="LPSM",1,SUM(Items[[#This Row],[Col_1]:[Col_13]])),0)</f>
        <v>0</v>
      </c>
      <c r="Y38" s="190">
        <f>MAX(Items[[#This Row],[Quantity]]-SUM(Items[[#This Row],[Account2]]:Items[[#This Row],[Account7]]),0)</f>
        <v>0</v>
      </c>
      <c r="Z38" s="61"/>
      <c r="AA38" s="61"/>
      <c r="AB38" s="61"/>
      <c r="AC38" s="61"/>
      <c r="AD38" s="61"/>
      <c r="AE38" s="61"/>
      <c r="AF38" s="73"/>
      <c r="AG38" s="71"/>
      <c r="AH38" s="74"/>
      <c r="AI38" s="59"/>
      <c r="AJ38" s="190" t="str">
        <f ca="1">IFERROR(RANK(Items[[#This Row],[EstSort]],OFFSET(Items[EstSort],0,0,ROW(Proposed[])-ROW(Items[])+ROWS(Proposed[]),1),1),"")</f>
        <v/>
      </c>
      <c r="AK38" s="190" t="str">
        <f ca="1">IF(CHOOSE(MATCH(Account,Accounts,0),Items[[#This Row],[Count]],Items[[#This Row],[Account1]],Items[[#This Row],[Account2]],Items[[#This Row],[Account3]],Items[[#This Row],[Account7]])&gt;0,Items[[#This Row],[Sort]],"")</f>
        <v/>
      </c>
      <c r="AL38" s="70" t="str">
        <f ca="1">IF(LEN(Items[[#This Row],[Count]])&gt;0,IFERROR(INDEX(Calcs[Counter],MATCH(Items[[#This Row],[Line]],Calcs[Line],0)),""),"")</f>
        <v/>
      </c>
      <c r="AM38" s="156" t="str">
        <f ca="1">IFERROR(Letter&amp;TEXT((Items[[#This Row],[Count]]-1)*Incr+BeginLine,"0000"),"")</f>
        <v/>
      </c>
      <c r="AN38" s="7" t="str">
        <f>IF(ISNA(MATCH(LEFT(Items[[#This Row],[Raw Item]],5)&amp;"-"&amp;RIGHT(Items[[#This Row],[Raw Item]],4),Pay.Item.Listing[Pay Item],0)),"",LEFT(Items[[#This Row],[Raw Item]],5)&amp;"-"&amp;RIGHT(Items[[#This Row],[Raw Item]],4))</f>
        <v/>
      </c>
    </row>
    <row r="39" spans="1:40" x14ac:dyDescent="0.15">
      <c r="A39" s="7" t="str">
        <f ca="1">IFERROR(RANK(Items[[#This Row],[Sort]],OFFSET(Items[Sort],0,0,ROW(Proposed[])-ROW(Items[])+ROWS(Proposed[]),1),1),"")</f>
        <v/>
      </c>
      <c r="B39" s="7" t="str">
        <f>IF(LEN(Items[[#This Row],[Item]])&gt;0,Items[[#This Row],[Raw Item]]+COUNTIF(AN$4:AN39,AN39)/100,"")</f>
        <v/>
      </c>
      <c r="C39" s="7">
        <f>IFERROR(VALUE(LEFT(VALUE(SUBSTITUTE(Items[[#This Row],[Pay Item]],"-",""))*100000000,9)),0)</f>
        <v>0</v>
      </c>
      <c r="D39" s="8"/>
      <c r="E39" s="127"/>
      <c r="F39" s="123" t="str">
        <f>IFERROR(SUBSTITUTE(VLOOKUP(Items[[#This Row],[Item]],Pay.Item.Listing[],2+2*(Units&lt;&gt;"Metric"),0),"{","&lt;"),"&lt;&lt; Pay Item not found &gt;&gt;")</f>
        <v>&lt;&lt; Pay Item not found &gt;&gt;</v>
      </c>
      <c r="G39" s="70" t="str">
        <f>IFERROR(VLOOKUP(Items[[#This Row],[Item]],Pay.Item.Listing[],3+2*(Units&lt;&gt;"Metric"),0),"–")</f>
        <v>–</v>
      </c>
      <c r="H39" s="70" t="str">
        <f>IFERROR(VLOOKUP(Items[[#This Row],[Item]],Pay.Item.Listing[],6,0),"–")</f>
        <v>–</v>
      </c>
      <c r="I39" s="70" t="str">
        <f>IFERROR(VLOOKUP(Items[[#This Row],[Item]],Pay.Item.Listing[],7,0),"–")</f>
        <v>–</v>
      </c>
      <c r="J39" s="71"/>
      <c r="K39" s="69"/>
      <c r="L39" s="69"/>
      <c r="M39" s="69"/>
      <c r="N39" s="69"/>
      <c r="O39" s="69"/>
      <c r="P39" s="69"/>
      <c r="Q39" s="69"/>
      <c r="R39" s="69"/>
      <c r="S39" s="69"/>
      <c r="T39" s="69"/>
      <c r="U39" s="69"/>
      <c r="V39" s="69"/>
      <c r="W39" s="69"/>
      <c r="X39" s="72">
        <f>IF(LEN(Items[[#This Row],[Item]])&gt;0,IF(Items[[#This Row],[Unit]]="LPSM",1,SUM(Items[[#This Row],[Col_1]:[Col_13]])),0)</f>
        <v>0</v>
      </c>
      <c r="Y39" s="190">
        <f>MAX(Items[[#This Row],[Quantity]]-SUM(Items[[#This Row],[Account2]]:Items[[#This Row],[Account7]]),0)</f>
        <v>0</v>
      </c>
      <c r="Z39" s="61"/>
      <c r="AA39" s="61"/>
      <c r="AB39" s="61"/>
      <c r="AC39" s="61"/>
      <c r="AD39" s="61"/>
      <c r="AE39" s="61"/>
      <c r="AF39" s="73"/>
      <c r="AG39" s="71"/>
      <c r="AH39" s="74"/>
      <c r="AI39" s="59"/>
      <c r="AJ39" s="190" t="str">
        <f ca="1">IFERROR(RANK(Items[[#This Row],[EstSort]],OFFSET(Items[EstSort],0,0,ROW(Proposed[])-ROW(Items[])+ROWS(Proposed[]),1),1),"")</f>
        <v/>
      </c>
      <c r="AK39" s="190" t="str">
        <f ca="1">IF(CHOOSE(MATCH(Account,Accounts,0),Items[[#This Row],[Count]],Items[[#This Row],[Account1]],Items[[#This Row],[Account2]],Items[[#This Row],[Account3]],Items[[#This Row],[Account7]])&gt;0,Items[[#This Row],[Sort]],"")</f>
        <v/>
      </c>
      <c r="AL39" s="70" t="str">
        <f ca="1">IF(LEN(Items[[#This Row],[Count]])&gt;0,IFERROR(INDEX(Calcs[Counter],MATCH(Items[[#This Row],[Line]],Calcs[Line],0)),""),"")</f>
        <v/>
      </c>
      <c r="AM39" s="156" t="str">
        <f ca="1">IFERROR(Letter&amp;TEXT((Items[[#This Row],[Count]]-1)*Incr+BeginLine,"0000"),"")</f>
        <v/>
      </c>
      <c r="AN39" s="7" t="str">
        <f>IF(ISNA(MATCH(LEFT(Items[[#This Row],[Raw Item]],5)&amp;"-"&amp;RIGHT(Items[[#This Row],[Raw Item]],4),Pay.Item.Listing[Pay Item],0)),"",LEFT(Items[[#This Row],[Raw Item]],5)&amp;"-"&amp;RIGHT(Items[[#This Row],[Raw Item]],4))</f>
        <v/>
      </c>
    </row>
    <row r="40" spans="1:40" x14ac:dyDescent="0.15">
      <c r="A40" s="7" t="str">
        <f ca="1">IFERROR(RANK(Items[[#This Row],[Sort]],OFFSET(Items[Sort],0,0,ROW(Proposed[])-ROW(Items[])+ROWS(Proposed[]),1),1),"")</f>
        <v/>
      </c>
      <c r="B40" s="7" t="str">
        <f>IF(LEN(Items[[#This Row],[Item]])&gt;0,Items[[#This Row],[Raw Item]]+COUNTIF(AN$4:AN40,AN40)/100,"")</f>
        <v/>
      </c>
      <c r="C40" s="7">
        <f>IFERROR(VALUE(LEFT(VALUE(SUBSTITUTE(Items[[#This Row],[Pay Item]],"-",""))*100000000,9)),0)</f>
        <v>0</v>
      </c>
      <c r="D40" s="8"/>
      <c r="E40" s="127"/>
      <c r="F40" s="123" t="str">
        <f>IFERROR(SUBSTITUTE(VLOOKUP(Items[[#This Row],[Item]],Pay.Item.Listing[],2+2*(Units&lt;&gt;"Metric"),0),"{","&lt;"),"&lt;&lt; Pay Item not found &gt;&gt;")</f>
        <v>&lt;&lt; Pay Item not found &gt;&gt;</v>
      </c>
      <c r="G40" s="70" t="str">
        <f>IFERROR(VLOOKUP(Items[[#This Row],[Item]],Pay.Item.Listing[],3+2*(Units&lt;&gt;"Metric"),0),"–")</f>
        <v>–</v>
      </c>
      <c r="H40" s="70" t="str">
        <f>IFERROR(VLOOKUP(Items[[#This Row],[Item]],Pay.Item.Listing[],6,0),"–")</f>
        <v>–</v>
      </c>
      <c r="I40" s="70" t="str">
        <f>IFERROR(VLOOKUP(Items[[#This Row],[Item]],Pay.Item.Listing[],7,0),"–")</f>
        <v>–</v>
      </c>
      <c r="J40" s="71"/>
      <c r="K40" s="69"/>
      <c r="L40" s="69"/>
      <c r="M40" s="69"/>
      <c r="N40" s="69"/>
      <c r="O40" s="69"/>
      <c r="P40" s="69"/>
      <c r="Q40" s="69"/>
      <c r="R40" s="69"/>
      <c r="S40" s="69"/>
      <c r="T40" s="69"/>
      <c r="U40" s="69"/>
      <c r="V40" s="69"/>
      <c r="W40" s="69"/>
      <c r="X40" s="72">
        <f>IF(LEN(Items[[#This Row],[Item]])&gt;0,IF(Items[[#This Row],[Unit]]="LPSM",1,SUM(Items[[#This Row],[Col_1]:[Col_13]])),0)</f>
        <v>0</v>
      </c>
      <c r="Y40" s="190">
        <f>MAX(Items[[#This Row],[Quantity]]-SUM(Items[[#This Row],[Account2]]:Items[[#This Row],[Account7]]),0)</f>
        <v>0</v>
      </c>
      <c r="Z40" s="61"/>
      <c r="AA40" s="61"/>
      <c r="AB40" s="61"/>
      <c r="AC40" s="61"/>
      <c r="AD40" s="61"/>
      <c r="AE40" s="61"/>
      <c r="AF40" s="73"/>
      <c r="AG40" s="71"/>
      <c r="AH40" s="74"/>
      <c r="AI40" s="59"/>
      <c r="AJ40" s="190" t="str">
        <f ca="1">IFERROR(RANK(Items[[#This Row],[EstSort]],OFFSET(Items[EstSort],0,0,ROW(Proposed[])-ROW(Items[])+ROWS(Proposed[]),1),1),"")</f>
        <v/>
      </c>
      <c r="AK40" s="190" t="str">
        <f ca="1">IF(CHOOSE(MATCH(Account,Accounts,0),Items[[#This Row],[Count]],Items[[#This Row],[Account1]],Items[[#This Row],[Account2]],Items[[#This Row],[Account3]],Items[[#This Row],[Account7]])&gt;0,Items[[#This Row],[Sort]],"")</f>
        <v/>
      </c>
      <c r="AL40" s="70" t="str">
        <f ca="1">IF(LEN(Items[[#This Row],[Count]])&gt;0,IFERROR(INDEX(Calcs[Counter],MATCH(Items[[#This Row],[Line]],Calcs[Line],0)),""),"")</f>
        <v/>
      </c>
      <c r="AM40" s="156" t="str">
        <f ca="1">IFERROR(Letter&amp;TEXT((Items[[#This Row],[Count]]-1)*Incr+BeginLine,"0000"),"")</f>
        <v/>
      </c>
      <c r="AN40" s="7" t="str">
        <f>IF(ISNA(MATCH(LEFT(Items[[#This Row],[Raw Item]],5)&amp;"-"&amp;RIGHT(Items[[#This Row],[Raw Item]],4),Pay.Item.Listing[Pay Item],0)),"",LEFT(Items[[#This Row],[Raw Item]],5)&amp;"-"&amp;RIGHT(Items[[#This Row],[Raw Item]],4))</f>
        <v/>
      </c>
    </row>
    <row r="41" spans="1:40" x14ac:dyDescent="0.15">
      <c r="A41" s="7" t="str">
        <f ca="1">IFERROR(RANK(Items[[#This Row],[Sort]],OFFSET(Items[Sort],0,0,ROW(Proposed[])-ROW(Items[])+ROWS(Proposed[]),1),1),"")</f>
        <v/>
      </c>
      <c r="B41" s="7" t="str">
        <f>IF(LEN(Items[[#This Row],[Item]])&gt;0,Items[[#This Row],[Raw Item]]+COUNTIF(AN$4:AN41,AN41)/100,"")</f>
        <v/>
      </c>
      <c r="C41" s="7">
        <f>IFERROR(VALUE(LEFT(VALUE(SUBSTITUTE(Items[[#This Row],[Pay Item]],"-",""))*100000000,9)),0)</f>
        <v>0</v>
      </c>
      <c r="D41" s="8"/>
      <c r="E41" s="127"/>
      <c r="F41" s="123" t="str">
        <f>IFERROR(SUBSTITUTE(VLOOKUP(Items[[#This Row],[Item]],Pay.Item.Listing[],2+2*(Units&lt;&gt;"Metric"),0),"{","&lt;"),"&lt;&lt; Pay Item not found &gt;&gt;")</f>
        <v>&lt;&lt; Pay Item not found &gt;&gt;</v>
      </c>
      <c r="G41" s="70" t="str">
        <f>IFERROR(VLOOKUP(Items[[#This Row],[Item]],Pay.Item.Listing[],3+2*(Units&lt;&gt;"Metric"),0),"–")</f>
        <v>–</v>
      </c>
      <c r="H41" s="70" t="str">
        <f>IFERROR(VLOOKUP(Items[[#This Row],[Item]],Pay.Item.Listing[],6,0),"–")</f>
        <v>–</v>
      </c>
      <c r="I41" s="70" t="str">
        <f>IFERROR(VLOOKUP(Items[[#This Row],[Item]],Pay.Item.Listing[],7,0),"–")</f>
        <v>–</v>
      </c>
      <c r="J41" s="71"/>
      <c r="K41" s="69"/>
      <c r="L41" s="69"/>
      <c r="M41" s="69"/>
      <c r="N41" s="69"/>
      <c r="O41" s="69"/>
      <c r="P41" s="69"/>
      <c r="Q41" s="69"/>
      <c r="R41" s="69"/>
      <c r="S41" s="69"/>
      <c r="T41" s="69"/>
      <c r="U41" s="69"/>
      <c r="V41" s="69"/>
      <c r="W41" s="69"/>
      <c r="X41" s="72">
        <f>IF(LEN(Items[[#This Row],[Item]])&gt;0,IF(Items[[#This Row],[Unit]]="LPSM",1,SUM(Items[[#This Row],[Col_1]:[Col_13]])),0)</f>
        <v>0</v>
      </c>
      <c r="Y41" s="190">
        <f>MAX(Items[[#This Row],[Quantity]]-SUM(Items[[#This Row],[Account2]]:Items[[#This Row],[Account7]]),0)</f>
        <v>0</v>
      </c>
      <c r="Z41" s="61"/>
      <c r="AA41" s="61"/>
      <c r="AB41" s="61"/>
      <c r="AC41" s="61"/>
      <c r="AD41" s="61"/>
      <c r="AE41" s="61"/>
      <c r="AF41" s="73"/>
      <c r="AG41" s="71"/>
      <c r="AH41" s="74"/>
      <c r="AI41" s="59"/>
      <c r="AJ41" s="190" t="str">
        <f ca="1">IFERROR(RANK(Items[[#This Row],[EstSort]],OFFSET(Items[EstSort],0,0,ROW(Proposed[])-ROW(Items[])+ROWS(Proposed[]),1),1),"")</f>
        <v/>
      </c>
      <c r="AK41" s="190" t="str">
        <f ca="1">IF(CHOOSE(MATCH(Account,Accounts,0),Items[[#This Row],[Count]],Items[[#This Row],[Account1]],Items[[#This Row],[Account2]],Items[[#This Row],[Account3]],Items[[#This Row],[Account7]])&gt;0,Items[[#This Row],[Sort]],"")</f>
        <v/>
      </c>
      <c r="AL41" s="70" t="str">
        <f ca="1">IF(LEN(Items[[#This Row],[Count]])&gt;0,IFERROR(INDEX(Calcs[Counter],MATCH(Items[[#This Row],[Line]],Calcs[Line],0)),""),"")</f>
        <v/>
      </c>
      <c r="AM41" s="156" t="str">
        <f ca="1">IFERROR(Letter&amp;TEXT((Items[[#This Row],[Count]]-1)*Incr+BeginLine,"0000"),"")</f>
        <v/>
      </c>
      <c r="AN41" s="7" t="str">
        <f>IF(ISNA(MATCH(LEFT(Items[[#This Row],[Raw Item]],5)&amp;"-"&amp;RIGHT(Items[[#This Row],[Raw Item]],4),Pay.Item.Listing[Pay Item],0)),"",LEFT(Items[[#This Row],[Raw Item]],5)&amp;"-"&amp;RIGHT(Items[[#This Row],[Raw Item]],4))</f>
        <v/>
      </c>
    </row>
    <row r="42" spans="1:40" x14ac:dyDescent="0.15">
      <c r="A42" s="7" t="str">
        <f ca="1">IFERROR(RANK(Items[[#This Row],[Sort]],OFFSET(Items[Sort],0,0,ROW(Proposed[])-ROW(Items[])+ROWS(Proposed[]),1),1),"")</f>
        <v/>
      </c>
      <c r="B42" s="7" t="str">
        <f>IF(LEN(Items[[#This Row],[Item]])&gt;0,Items[[#This Row],[Raw Item]]+COUNTIF(AN$4:AN42,AN42)/100,"")</f>
        <v/>
      </c>
      <c r="C42" s="7">
        <f>IFERROR(VALUE(LEFT(VALUE(SUBSTITUTE(Items[[#This Row],[Pay Item]],"-",""))*100000000,9)),0)</f>
        <v>0</v>
      </c>
      <c r="D42" s="8"/>
      <c r="E42" s="127"/>
      <c r="F42" s="123" t="str">
        <f>IFERROR(SUBSTITUTE(VLOOKUP(Items[[#This Row],[Item]],Pay.Item.Listing[],2+2*(Units&lt;&gt;"Metric"),0),"{","&lt;"),"&lt;&lt; Pay Item not found &gt;&gt;")</f>
        <v>&lt;&lt; Pay Item not found &gt;&gt;</v>
      </c>
      <c r="G42" s="70" t="str">
        <f>IFERROR(VLOOKUP(Items[[#This Row],[Item]],Pay.Item.Listing[],3+2*(Units&lt;&gt;"Metric"),0),"–")</f>
        <v>–</v>
      </c>
      <c r="H42" s="70" t="str">
        <f>IFERROR(VLOOKUP(Items[[#This Row],[Item]],Pay.Item.Listing[],6,0),"–")</f>
        <v>–</v>
      </c>
      <c r="I42" s="70" t="str">
        <f>IFERROR(VLOOKUP(Items[[#This Row],[Item]],Pay.Item.Listing[],7,0),"–")</f>
        <v>–</v>
      </c>
      <c r="J42" s="71"/>
      <c r="K42" s="69"/>
      <c r="L42" s="69"/>
      <c r="M42" s="69"/>
      <c r="N42" s="69"/>
      <c r="O42" s="69"/>
      <c r="P42" s="69"/>
      <c r="Q42" s="69"/>
      <c r="R42" s="69"/>
      <c r="S42" s="69"/>
      <c r="T42" s="69"/>
      <c r="U42" s="69"/>
      <c r="V42" s="69"/>
      <c r="W42" s="69"/>
      <c r="X42" s="72">
        <f>IF(LEN(Items[[#This Row],[Item]])&gt;0,IF(Items[[#This Row],[Unit]]="LPSM",1,SUM(Items[[#This Row],[Col_1]:[Col_13]])),0)</f>
        <v>0</v>
      </c>
      <c r="Y42" s="190">
        <f>MAX(Items[[#This Row],[Quantity]]-SUM(Items[[#This Row],[Account2]]:Items[[#This Row],[Account7]]),0)</f>
        <v>0</v>
      </c>
      <c r="Z42" s="61"/>
      <c r="AA42" s="61"/>
      <c r="AB42" s="61"/>
      <c r="AC42" s="61"/>
      <c r="AD42" s="61"/>
      <c r="AE42" s="61"/>
      <c r="AF42" s="73"/>
      <c r="AG42" s="71"/>
      <c r="AH42" s="74"/>
      <c r="AI42" s="59"/>
      <c r="AJ42" s="190" t="str">
        <f ca="1">IFERROR(RANK(Items[[#This Row],[EstSort]],OFFSET(Items[EstSort],0,0,ROW(Proposed[])-ROW(Items[])+ROWS(Proposed[]),1),1),"")</f>
        <v/>
      </c>
      <c r="AK42" s="190" t="str">
        <f ca="1">IF(CHOOSE(MATCH(Account,Accounts,0),Items[[#This Row],[Count]],Items[[#This Row],[Account1]],Items[[#This Row],[Account2]],Items[[#This Row],[Account3]],Items[[#This Row],[Account7]])&gt;0,Items[[#This Row],[Sort]],"")</f>
        <v/>
      </c>
      <c r="AL42" s="70" t="str">
        <f ca="1">IF(LEN(Items[[#This Row],[Count]])&gt;0,IFERROR(INDEX(Calcs[Counter],MATCH(Items[[#This Row],[Line]],Calcs[Line],0)),""),"")</f>
        <v/>
      </c>
      <c r="AM42" s="156" t="str">
        <f ca="1">IFERROR(Letter&amp;TEXT((Items[[#This Row],[Count]]-1)*Incr+BeginLine,"0000"),"")</f>
        <v/>
      </c>
      <c r="AN42" s="7" t="str">
        <f>IF(ISNA(MATCH(LEFT(Items[[#This Row],[Raw Item]],5)&amp;"-"&amp;RIGHT(Items[[#This Row],[Raw Item]],4),Pay.Item.Listing[Pay Item],0)),"",LEFT(Items[[#This Row],[Raw Item]],5)&amp;"-"&amp;RIGHT(Items[[#This Row],[Raw Item]],4))</f>
        <v/>
      </c>
    </row>
    <row r="43" spans="1:40" x14ac:dyDescent="0.15">
      <c r="A43" s="7" t="str">
        <f ca="1">IFERROR(RANK(Items[[#This Row],[Sort]],OFFSET(Items[Sort],0,0,ROW(Proposed[])-ROW(Items[])+ROWS(Proposed[]),1),1),"")</f>
        <v/>
      </c>
      <c r="B43" s="7" t="str">
        <f>IF(LEN(Items[[#This Row],[Item]])&gt;0,Items[[#This Row],[Raw Item]]+COUNTIF(AN$4:AN43,AN43)/100,"")</f>
        <v/>
      </c>
      <c r="C43" s="7">
        <f>IFERROR(VALUE(LEFT(VALUE(SUBSTITUTE(Items[[#This Row],[Pay Item]],"-",""))*100000000,9)),0)</f>
        <v>0</v>
      </c>
      <c r="D43" s="8"/>
      <c r="E43" s="127"/>
      <c r="F43" s="123" t="str">
        <f>IFERROR(SUBSTITUTE(VLOOKUP(Items[[#This Row],[Item]],Pay.Item.Listing[],2+2*(Units&lt;&gt;"Metric"),0),"{","&lt;"),"&lt;&lt; Pay Item not found &gt;&gt;")</f>
        <v>&lt;&lt; Pay Item not found &gt;&gt;</v>
      </c>
      <c r="G43" s="70" t="str">
        <f>IFERROR(VLOOKUP(Items[[#This Row],[Item]],Pay.Item.Listing[],3+2*(Units&lt;&gt;"Metric"),0),"–")</f>
        <v>–</v>
      </c>
      <c r="H43" s="70" t="str">
        <f>IFERROR(VLOOKUP(Items[[#This Row],[Item]],Pay.Item.Listing[],6,0),"–")</f>
        <v>–</v>
      </c>
      <c r="I43" s="70" t="str">
        <f>IFERROR(VLOOKUP(Items[[#This Row],[Item]],Pay.Item.Listing[],7,0),"–")</f>
        <v>–</v>
      </c>
      <c r="J43" s="71"/>
      <c r="K43" s="69"/>
      <c r="L43" s="69"/>
      <c r="M43" s="69"/>
      <c r="N43" s="69"/>
      <c r="O43" s="69"/>
      <c r="P43" s="69"/>
      <c r="Q43" s="69"/>
      <c r="R43" s="69"/>
      <c r="S43" s="69"/>
      <c r="T43" s="69"/>
      <c r="U43" s="69"/>
      <c r="V43" s="69"/>
      <c r="W43" s="69"/>
      <c r="X43" s="72">
        <f>IF(LEN(Items[[#This Row],[Item]])&gt;0,IF(Items[[#This Row],[Unit]]="LPSM",1,SUM(Items[[#This Row],[Col_1]:[Col_13]])),0)</f>
        <v>0</v>
      </c>
      <c r="Y43" s="190">
        <f>MAX(Items[[#This Row],[Quantity]]-SUM(Items[[#This Row],[Account2]]:Items[[#This Row],[Account7]]),0)</f>
        <v>0</v>
      </c>
      <c r="Z43" s="61"/>
      <c r="AA43" s="61"/>
      <c r="AB43" s="61"/>
      <c r="AC43" s="61"/>
      <c r="AD43" s="61"/>
      <c r="AE43" s="61"/>
      <c r="AF43" s="73"/>
      <c r="AG43" s="71"/>
      <c r="AH43" s="74"/>
      <c r="AI43" s="59"/>
      <c r="AJ43" s="190" t="str">
        <f ca="1">IFERROR(RANK(Items[[#This Row],[EstSort]],OFFSET(Items[EstSort],0,0,ROW(Proposed[])-ROW(Items[])+ROWS(Proposed[]),1),1),"")</f>
        <v/>
      </c>
      <c r="AK43" s="190" t="str">
        <f ca="1">IF(CHOOSE(MATCH(Account,Accounts,0),Items[[#This Row],[Count]],Items[[#This Row],[Account1]],Items[[#This Row],[Account2]],Items[[#This Row],[Account3]],Items[[#This Row],[Account7]])&gt;0,Items[[#This Row],[Sort]],"")</f>
        <v/>
      </c>
      <c r="AL43" s="70" t="str">
        <f ca="1">IF(LEN(Items[[#This Row],[Count]])&gt;0,IFERROR(INDEX(Calcs[Counter],MATCH(Items[[#This Row],[Line]],Calcs[Line],0)),""),"")</f>
        <v/>
      </c>
      <c r="AM43" s="156" t="str">
        <f ca="1">IFERROR(Letter&amp;TEXT((Items[[#This Row],[Count]]-1)*Incr+BeginLine,"0000"),"")</f>
        <v/>
      </c>
      <c r="AN43" s="7" t="str">
        <f>IF(ISNA(MATCH(LEFT(Items[[#This Row],[Raw Item]],5)&amp;"-"&amp;RIGHT(Items[[#This Row],[Raw Item]],4),Pay.Item.Listing[Pay Item],0)),"",LEFT(Items[[#This Row],[Raw Item]],5)&amp;"-"&amp;RIGHT(Items[[#This Row],[Raw Item]],4))</f>
        <v/>
      </c>
    </row>
    <row r="44" spans="1:40" x14ac:dyDescent="0.15">
      <c r="A44" s="7" t="str">
        <f ca="1">IFERROR(RANK(Items[[#This Row],[Sort]],OFFSET(Items[Sort],0,0,ROW(Proposed[])-ROW(Items[])+ROWS(Proposed[]),1),1),"")</f>
        <v/>
      </c>
      <c r="B44" s="7" t="str">
        <f>IF(LEN(Items[[#This Row],[Item]])&gt;0,Items[[#This Row],[Raw Item]]+COUNTIF(AN$4:AN44,AN44)/100,"")</f>
        <v/>
      </c>
      <c r="C44" s="7">
        <f>IFERROR(VALUE(LEFT(VALUE(SUBSTITUTE(Items[[#This Row],[Pay Item]],"-",""))*100000000,9)),0)</f>
        <v>0</v>
      </c>
      <c r="D44" s="8"/>
      <c r="E44" s="127"/>
      <c r="F44" s="123" t="str">
        <f>IFERROR(SUBSTITUTE(VLOOKUP(Items[[#This Row],[Item]],Pay.Item.Listing[],2+2*(Units&lt;&gt;"Metric"),0),"{","&lt;"),"&lt;&lt; Pay Item not found &gt;&gt;")</f>
        <v>&lt;&lt; Pay Item not found &gt;&gt;</v>
      </c>
      <c r="G44" s="70" t="str">
        <f>IFERROR(VLOOKUP(Items[[#This Row],[Item]],Pay.Item.Listing[],3+2*(Units&lt;&gt;"Metric"),0),"–")</f>
        <v>–</v>
      </c>
      <c r="H44" s="70" t="str">
        <f>IFERROR(VLOOKUP(Items[[#This Row],[Item]],Pay.Item.Listing[],6,0),"–")</f>
        <v>–</v>
      </c>
      <c r="I44" s="70" t="str">
        <f>IFERROR(VLOOKUP(Items[[#This Row],[Item]],Pay.Item.Listing[],7,0),"–")</f>
        <v>–</v>
      </c>
      <c r="J44" s="71"/>
      <c r="K44" s="69"/>
      <c r="L44" s="69"/>
      <c r="M44" s="69"/>
      <c r="N44" s="69"/>
      <c r="O44" s="69"/>
      <c r="P44" s="69"/>
      <c r="Q44" s="69"/>
      <c r="R44" s="69"/>
      <c r="S44" s="69"/>
      <c r="T44" s="69"/>
      <c r="U44" s="69"/>
      <c r="V44" s="69"/>
      <c r="W44" s="69"/>
      <c r="X44" s="72">
        <f>IF(LEN(Items[[#This Row],[Item]])&gt;0,IF(Items[[#This Row],[Unit]]="LPSM",1,SUM(Items[[#This Row],[Col_1]:[Col_13]])),0)</f>
        <v>0</v>
      </c>
      <c r="Y44" s="190">
        <f>MAX(Items[[#This Row],[Quantity]]-SUM(Items[[#This Row],[Account2]]:Items[[#This Row],[Account7]]),0)</f>
        <v>0</v>
      </c>
      <c r="Z44" s="61"/>
      <c r="AA44" s="61"/>
      <c r="AB44" s="61"/>
      <c r="AC44" s="61"/>
      <c r="AD44" s="61"/>
      <c r="AE44" s="61"/>
      <c r="AF44" s="73"/>
      <c r="AG44" s="71"/>
      <c r="AH44" s="74"/>
      <c r="AI44" s="59"/>
      <c r="AJ44" s="190" t="str">
        <f ca="1">IFERROR(RANK(Items[[#This Row],[EstSort]],OFFSET(Items[EstSort],0,0,ROW(Proposed[])-ROW(Items[])+ROWS(Proposed[]),1),1),"")</f>
        <v/>
      </c>
      <c r="AK44" s="190" t="str">
        <f ca="1">IF(CHOOSE(MATCH(Account,Accounts,0),Items[[#This Row],[Count]],Items[[#This Row],[Account1]],Items[[#This Row],[Account2]],Items[[#This Row],[Account3]],Items[[#This Row],[Account7]])&gt;0,Items[[#This Row],[Sort]],"")</f>
        <v/>
      </c>
      <c r="AL44" s="70" t="str">
        <f ca="1">IF(LEN(Items[[#This Row],[Count]])&gt;0,IFERROR(INDEX(Calcs[Counter],MATCH(Items[[#This Row],[Line]],Calcs[Line],0)),""),"")</f>
        <v/>
      </c>
      <c r="AM44" s="156" t="str">
        <f ca="1">IFERROR(Letter&amp;TEXT((Items[[#This Row],[Count]]-1)*Incr+BeginLine,"0000"),"")</f>
        <v/>
      </c>
      <c r="AN44" s="7" t="str">
        <f>IF(ISNA(MATCH(LEFT(Items[[#This Row],[Raw Item]],5)&amp;"-"&amp;RIGHT(Items[[#This Row],[Raw Item]],4),Pay.Item.Listing[Pay Item],0)),"",LEFT(Items[[#This Row],[Raw Item]],5)&amp;"-"&amp;RIGHT(Items[[#This Row],[Raw Item]],4))</f>
        <v/>
      </c>
    </row>
    <row r="45" spans="1:40" x14ac:dyDescent="0.15">
      <c r="A45" s="7" t="str">
        <f ca="1">IFERROR(RANK(Items[[#This Row],[Sort]],OFFSET(Items[Sort],0,0,ROW(Proposed[])-ROW(Items[])+ROWS(Proposed[]),1),1),"")</f>
        <v/>
      </c>
      <c r="B45" s="7" t="str">
        <f>IF(LEN(Items[[#This Row],[Item]])&gt;0,Items[[#This Row],[Raw Item]]+COUNTIF(AN$4:AN45,AN45)/100,"")</f>
        <v/>
      </c>
      <c r="C45" s="7">
        <f>IFERROR(VALUE(LEFT(VALUE(SUBSTITUTE(Items[[#This Row],[Pay Item]],"-",""))*100000000,9)),0)</f>
        <v>0</v>
      </c>
      <c r="D45" s="8"/>
      <c r="E45" s="127"/>
      <c r="F45" s="123" t="str">
        <f>IFERROR(SUBSTITUTE(VLOOKUP(Items[[#This Row],[Item]],Pay.Item.Listing[],2+2*(Units&lt;&gt;"Metric"),0),"{","&lt;"),"&lt;&lt; Pay Item not found &gt;&gt;")</f>
        <v>&lt;&lt; Pay Item not found &gt;&gt;</v>
      </c>
      <c r="G45" s="70" t="str">
        <f>IFERROR(VLOOKUP(Items[[#This Row],[Item]],Pay.Item.Listing[],3+2*(Units&lt;&gt;"Metric"),0),"–")</f>
        <v>–</v>
      </c>
      <c r="H45" s="70" t="str">
        <f>IFERROR(VLOOKUP(Items[[#This Row],[Item]],Pay.Item.Listing[],6,0),"–")</f>
        <v>–</v>
      </c>
      <c r="I45" s="70" t="str">
        <f>IFERROR(VLOOKUP(Items[[#This Row],[Item]],Pay.Item.Listing[],7,0),"–")</f>
        <v>–</v>
      </c>
      <c r="J45" s="71"/>
      <c r="K45" s="69"/>
      <c r="L45" s="69"/>
      <c r="M45" s="69"/>
      <c r="N45" s="69"/>
      <c r="O45" s="69"/>
      <c r="P45" s="69"/>
      <c r="Q45" s="69"/>
      <c r="R45" s="69"/>
      <c r="S45" s="69"/>
      <c r="T45" s="69"/>
      <c r="U45" s="69"/>
      <c r="V45" s="69"/>
      <c r="W45" s="69"/>
      <c r="X45" s="72">
        <f>IF(LEN(Items[[#This Row],[Item]])&gt;0,IF(Items[[#This Row],[Unit]]="LPSM",1,SUM(Items[[#This Row],[Col_1]:[Col_13]])),0)</f>
        <v>0</v>
      </c>
      <c r="Y45" s="190">
        <f>MAX(Items[[#This Row],[Quantity]]-SUM(Items[[#This Row],[Account2]]:Items[[#This Row],[Account7]]),0)</f>
        <v>0</v>
      </c>
      <c r="Z45" s="61"/>
      <c r="AA45" s="61"/>
      <c r="AB45" s="61"/>
      <c r="AC45" s="61"/>
      <c r="AD45" s="61"/>
      <c r="AE45" s="61"/>
      <c r="AF45" s="73"/>
      <c r="AG45" s="71"/>
      <c r="AH45" s="74"/>
      <c r="AI45" s="59"/>
      <c r="AJ45" s="190" t="str">
        <f ca="1">IFERROR(RANK(Items[[#This Row],[EstSort]],OFFSET(Items[EstSort],0,0,ROW(Proposed[])-ROW(Items[])+ROWS(Proposed[]),1),1),"")</f>
        <v/>
      </c>
      <c r="AK45" s="190" t="str">
        <f ca="1">IF(CHOOSE(MATCH(Account,Accounts,0),Items[[#This Row],[Count]],Items[[#This Row],[Account1]],Items[[#This Row],[Account2]],Items[[#This Row],[Account3]],Items[[#This Row],[Account7]])&gt;0,Items[[#This Row],[Sort]],"")</f>
        <v/>
      </c>
      <c r="AL45" s="70" t="str">
        <f ca="1">IF(LEN(Items[[#This Row],[Count]])&gt;0,IFERROR(INDEX(Calcs[Counter],MATCH(Items[[#This Row],[Line]],Calcs[Line],0)),""),"")</f>
        <v/>
      </c>
      <c r="AM45" s="156" t="str">
        <f ca="1">IFERROR(Letter&amp;TEXT((Items[[#This Row],[Count]]-1)*Incr+BeginLine,"0000"),"")</f>
        <v/>
      </c>
      <c r="AN45" s="7" t="str">
        <f>IF(ISNA(MATCH(LEFT(Items[[#This Row],[Raw Item]],5)&amp;"-"&amp;RIGHT(Items[[#This Row],[Raw Item]],4),Pay.Item.Listing[Pay Item],0)),"",LEFT(Items[[#This Row],[Raw Item]],5)&amp;"-"&amp;RIGHT(Items[[#This Row],[Raw Item]],4))</f>
        <v/>
      </c>
    </row>
    <row r="46" spans="1:40" x14ac:dyDescent="0.15">
      <c r="A46" s="7" t="str">
        <f ca="1">IFERROR(RANK(Items[[#This Row],[Sort]],OFFSET(Items[Sort],0,0,ROW(Proposed[])-ROW(Items[])+ROWS(Proposed[]),1),1),"")</f>
        <v/>
      </c>
      <c r="B46" s="7" t="str">
        <f>IF(LEN(Items[[#This Row],[Item]])&gt;0,Items[[#This Row],[Raw Item]]+COUNTIF(AN$4:AN46,AN46)/100,"")</f>
        <v/>
      </c>
      <c r="C46" s="7">
        <f>IFERROR(VALUE(LEFT(VALUE(SUBSTITUTE(Items[[#This Row],[Pay Item]],"-",""))*100000000,9)),0)</f>
        <v>0</v>
      </c>
      <c r="D46" s="8"/>
      <c r="E46" s="127"/>
      <c r="F46" s="123" t="str">
        <f>IFERROR(SUBSTITUTE(VLOOKUP(Items[[#This Row],[Item]],Pay.Item.Listing[],2+2*(Units&lt;&gt;"Metric"),0),"{","&lt;"),"&lt;&lt; Pay Item not found &gt;&gt;")</f>
        <v>&lt;&lt; Pay Item not found &gt;&gt;</v>
      </c>
      <c r="G46" s="70" t="str">
        <f>IFERROR(VLOOKUP(Items[[#This Row],[Item]],Pay.Item.Listing[],3+2*(Units&lt;&gt;"Metric"),0),"–")</f>
        <v>–</v>
      </c>
      <c r="H46" s="70" t="str">
        <f>IFERROR(VLOOKUP(Items[[#This Row],[Item]],Pay.Item.Listing[],6,0),"–")</f>
        <v>–</v>
      </c>
      <c r="I46" s="70" t="str">
        <f>IFERROR(VLOOKUP(Items[[#This Row],[Item]],Pay.Item.Listing[],7,0),"–")</f>
        <v>–</v>
      </c>
      <c r="J46" s="71"/>
      <c r="K46" s="69"/>
      <c r="L46" s="69"/>
      <c r="M46" s="69"/>
      <c r="N46" s="69"/>
      <c r="O46" s="69"/>
      <c r="P46" s="69"/>
      <c r="Q46" s="69"/>
      <c r="R46" s="69"/>
      <c r="S46" s="69"/>
      <c r="T46" s="69"/>
      <c r="U46" s="69"/>
      <c r="V46" s="69"/>
      <c r="W46" s="69"/>
      <c r="X46" s="72">
        <f>IF(LEN(Items[[#This Row],[Item]])&gt;0,IF(Items[[#This Row],[Unit]]="LPSM",1,SUM(Items[[#This Row],[Col_1]:[Col_13]])),0)</f>
        <v>0</v>
      </c>
      <c r="Y46" s="190">
        <f>MAX(Items[[#This Row],[Quantity]]-SUM(Items[[#This Row],[Account2]]:Items[[#This Row],[Account7]]),0)</f>
        <v>0</v>
      </c>
      <c r="Z46" s="61"/>
      <c r="AA46" s="61"/>
      <c r="AB46" s="61"/>
      <c r="AC46" s="61"/>
      <c r="AD46" s="61"/>
      <c r="AE46" s="61"/>
      <c r="AF46" s="73"/>
      <c r="AG46" s="71"/>
      <c r="AH46" s="74"/>
      <c r="AI46" s="59"/>
      <c r="AJ46" s="190" t="str">
        <f ca="1">IFERROR(RANK(Items[[#This Row],[EstSort]],OFFSET(Items[EstSort],0,0,ROW(Proposed[])-ROW(Items[])+ROWS(Proposed[]),1),1),"")</f>
        <v/>
      </c>
      <c r="AK46" s="190" t="str">
        <f ca="1">IF(CHOOSE(MATCH(Account,Accounts,0),Items[[#This Row],[Count]],Items[[#This Row],[Account1]],Items[[#This Row],[Account2]],Items[[#This Row],[Account3]],Items[[#This Row],[Account7]])&gt;0,Items[[#This Row],[Sort]],"")</f>
        <v/>
      </c>
      <c r="AL46" s="70" t="str">
        <f ca="1">IF(LEN(Items[[#This Row],[Count]])&gt;0,IFERROR(INDEX(Calcs[Counter],MATCH(Items[[#This Row],[Line]],Calcs[Line],0)),""),"")</f>
        <v/>
      </c>
      <c r="AM46" s="156" t="str">
        <f ca="1">IFERROR(Letter&amp;TEXT((Items[[#This Row],[Count]]-1)*Incr+BeginLine,"0000"),"")</f>
        <v/>
      </c>
      <c r="AN46" s="7" t="str">
        <f>IF(ISNA(MATCH(LEFT(Items[[#This Row],[Raw Item]],5)&amp;"-"&amp;RIGHT(Items[[#This Row],[Raw Item]],4),Pay.Item.Listing[Pay Item],0)),"",LEFT(Items[[#This Row],[Raw Item]],5)&amp;"-"&amp;RIGHT(Items[[#This Row],[Raw Item]],4))</f>
        <v/>
      </c>
    </row>
    <row r="47" spans="1:40" x14ac:dyDescent="0.15">
      <c r="A47" s="7" t="str">
        <f ca="1">IFERROR(RANK(Items[[#This Row],[Sort]],OFFSET(Items[Sort],0,0,ROW(Proposed[])-ROW(Items[])+ROWS(Proposed[]),1),1),"")</f>
        <v/>
      </c>
      <c r="B47" s="7" t="str">
        <f>IF(LEN(Items[[#This Row],[Item]])&gt;0,Items[[#This Row],[Raw Item]]+COUNTIF(AN$4:AN47,AN47)/100,"")</f>
        <v/>
      </c>
      <c r="C47" s="7">
        <f>IFERROR(VALUE(LEFT(VALUE(SUBSTITUTE(Items[[#This Row],[Pay Item]],"-",""))*100000000,9)),0)</f>
        <v>0</v>
      </c>
      <c r="D47" s="8"/>
      <c r="E47" s="127"/>
      <c r="F47" s="123" t="str">
        <f>IFERROR(SUBSTITUTE(VLOOKUP(Items[[#This Row],[Item]],Pay.Item.Listing[],2+2*(Units&lt;&gt;"Metric"),0),"{","&lt;"),"&lt;&lt; Pay Item not found &gt;&gt;")</f>
        <v>&lt;&lt; Pay Item not found &gt;&gt;</v>
      </c>
      <c r="G47" s="70" t="str">
        <f>IFERROR(VLOOKUP(Items[[#This Row],[Item]],Pay.Item.Listing[],3+2*(Units&lt;&gt;"Metric"),0),"–")</f>
        <v>–</v>
      </c>
      <c r="H47" s="70" t="str">
        <f>IFERROR(VLOOKUP(Items[[#This Row],[Item]],Pay.Item.Listing[],6,0),"–")</f>
        <v>–</v>
      </c>
      <c r="I47" s="70" t="str">
        <f>IFERROR(VLOOKUP(Items[[#This Row],[Item]],Pay.Item.Listing[],7,0),"–")</f>
        <v>–</v>
      </c>
      <c r="J47" s="71"/>
      <c r="K47" s="69"/>
      <c r="L47" s="69"/>
      <c r="M47" s="69"/>
      <c r="N47" s="69"/>
      <c r="O47" s="69"/>
      <c r="P47" s="69"/>
      <c r="Q47" s="69"/>
      <c r="R47" s="69"/>
      <c r="S47" s="69"/>
      <c r="T47" s="69"/>
      <c r="U47" s="69"/>
      <c r="V47" s="69"/>
      <c r="W47" s="69"/>
      <c r="X47" s="72">
        <f>IF(LEN(Items[[#This Row],[Item]])&gt;0,IF(Items[[#This Row],[Unit]]="LPSM",1,SUM(Items[[#This Row],[Col_1]:[Col_13]])),0)</f>
        <v>0</v>
      </c>
      <c r="Y47" s="190">
        <f>MAX(Items[[#This Row],[Quantity]]-SUM(Items[[#This Row],[Account2]]:Items[[#This Row],[Account7]]),0)</f>
        <v>0</v>
      </c>
      <c r="Z47" s="61"/>
      <c r="AA47" s="61"/>
      <c r="AB47" s="61"/>
      <c r="AC47" s="61"/>
      <c r="AD47" s="61"/>
      <c r="AE47" s="61"/>
      <c r="AF47" s="73"/>
      <c r="AG47" s="71"/>
      <c r="AH47" s="74"/>
      <c r="AI47" s="59"/>
      <c r="AJ47" s="190" t="str">
        <f ca="1">IFERROR(RANK(Items[[#This Row],[EstSort]],OFFSET(Items[EstSort],0,0,ROW(Proposed[])-ROW(Items[])+ROWS(Proposed[]),1),1),"")</f>
        <v/>
      </c>
      <c r="AK47" s="190" t="str">
        <f ca="1">IF(CHOOSE(MATCH(Account,Accounts,0),Items[[#This Row],[Count]],Items[[#This Row],[Account1]],Items[[#This Row],[Account2]],Items[[#This Row],[Account3]],Items[[#This Row],[Account7]])&gt;0,Items[[#This Row],[Sort]],"")</f>
        <v/>
      </c>
      <c r="AL47" s="70" t="str">
        <f ca="1">IF(LEN(Items[[#This Row],[Count]])&gt;0,IFERROR(INDEX(Calcs[Counter],MATCH(Items[[#This Row],[Line]],Calcs[Line],0)),""),"")</f>
        <v/>
      </c>
      <c r="AM47" s="156" t="str">
        <f ca="1">IFERROR(Letter&amp;TEXT((Items[[#This Row],[Count]]-1)*Incr+BeginLine,"0000"),"")</f>
        <v/>
      </c>
      <c r="AN47" s="7" t="str">
        <f>IF(ISNA(MATCH(LEFT(Items[[#This Row],[Raw Item]],5)&amp;"-"&amp;RIGHT(Items[[#This Row],[Raw Item]],4),Pay.Item.Listing[Pay Item],0)),"",LEFT(Items[[#This Row],[Raw Item]],5)&amp;"-"&amp;RIGHT(Items[[#This Row],[Raw Item]],4))</f>
        <v/>
      </c>
    </row>
    <row r="48" spans="1:40" x14ac:dyDescent="0.15">
      <c r="A48" s="7" t="str">
        <f ca="1">IFERROR(RANK(Items[[#This Row],[Sort]],OFFSET(Items[Sort],0,0,ROW(Proposed[])-ROW(Items[])+ROWS(Proposed[]),1),1),"")</f>
        <v/>
      </c>
      <c r="B48" s="7" t="str">
        <f>IF(LEN(Items[[#This Row],[Item]])&gt;0,Items[[#This Row],[Raw Item]]+COUNTIF(AN$4:AN48,AN48)/100,"")</f>
        <v/>
      </c>
      <c r="C48" s="7">
        <f>IFERROR(VALUE(LEFT(VALUE(SUBSTITUTE(Items[[#This Row],[Pay Item]],"-",""))*100000000,9)),0)</f>
        <v>0</v>
      </c>
      <c r="D48" s="8"/>
      <c r="E48" s="127"/>
      <c r="F48" s="123" t="str">
        <f>IFERROR(SUBSTITUTE(VLOOKUP(Items[[#This Row],[Item]],Pay.Item.Listing[],2+2*(Units&lt;&gt;"Metric"),0),"{","&lt;"),"&lt;&lt; Pay Item not found &gt;&gt;")</f>
        <v>&lt;&lt; Pay Item not found &gt;&gt;</v>
      </c>
      <c r="G48" s="70" t="str">
        <f>IFERROR(VLOOKUP(Items[[#This Row],[Item]],Pay.Item.Listing[],3+2*(Units&lt;&gt;"Metric"),0),"–")</f>
        <v>–</v>
      </c>
      <c r="H48" s="70" t="str">
        <f>IFERROR(VLOOKUP(Items[[#This Row],[Item]],Pay.Item.Listing[],6,0),"–")</f>
        <v>–</v>
      </c>
      <c r="I48" s="70" t="str">
        <f>IFERROR(VLOOKUP(Items[[#This Row],[Item]],Pay.Item.Listing[],7,0),"–")</f>
        <v>–</v>
      </c>
      <c r="J48" s="71"/>
      <c r="K48" s="69"/>
      <c r="L48" s="69"/>
      <c r="M48" s="69"/>
      <c r="N48" s="69"/>
      <c r="O48" s="69"/>
      <c r="P48" s="69"/>
      <c r="Q48" s="69"/>
      <c r="R48" s="69"/>
      <c r="S48" s="69"/>
      <c r="T48" s="69"/>
      <c r="U48" s="69"/>
      <c r="V48" s="69"/>
      <c r="W48" s="69"/>
      <c r="X48" s="72">
        <f>IF(LEN(Items[[#This Row],[Item]])&gt;0,IF(Items[[#This Row],[Unit]]="LPSM",1,SUM(Items[[#This Row],[Col_1]:[Col_13]])),0)</f>
        <v>0</v>
      </c>
      <c r="Y48" s="190">
        <f>MAX(Items[[#This Row],[Quantity]]-SUM(Items[[#This Row],[Account2]]:Items[[#This Row],[Account7]]),0)</f>
        <v>0</v>
      </c>
      <c r="Z48" s="61"/>
      <c r="AA48" s="61"/>
      <c r="AB48" s="61"/>
      <c r="AC48" s="61"/>
      <c r="AD48" s="61"/>
      <c r="AE48" s="61"/>
      <c r="AF48" s="73"/>
      <c r="AG48" s="71"/>
      <c r="AH48" s="74"/>
      <c r="AI48" s="59"/>
      <c r="AJ48" s="190" t="str">
        <f ca="1">IFERROR(RANK(Items[[#This Row],[EstSort]],OFFSET(Items[EstSort],0,0,ROW(Proposed[])-ROW(Items[])+ROWS(Proposed[]),1),1),"")</f>
        <v/>
      </c>
      <c r="AK48" s="190" t="str">
        <f ca="1">IF(CHOOSE(MATCH(Account,Accounts,0),Items[[#This Row],[Count]],Items[[#This Row],[Account1]],Items[[#This Row],[Account2]],Items[[#This Row],[Account3]],Items[[#This Row],[Account7]])&gt;0,Items[[#This Row],[Sort]],"")</f>
        <v/>
      </c>
      <c r="AL48" s="70" t="str">
        <f ca="1">IF(LEN(Items[[#This Row],[Count]])&gt;0,IFERROR(INDEX(Calcs[Counter],MATCH(Items[[#This Row],[Line]],Calcs[Line],0)),""),"")</f>
        <v/>
      </c>
      <c r="AM48" s="156" t="str">
        <f ca="1">IFERROR(Letter&amp;TEXT((Items[[#This Row],[Count]]-1)*Incr+BeginLine,"0000"),"")</f>
        <v/>
      </c>
      <c r="AN48" s="7" t="str">
        <f>IF(ISNA(MATCH(LEFT(Items[[#This Row],[Raw Item]],5)&amp;"-"&amp;RIGHT(Items[[#This Row],[Raw Item]],4),Pay.Item.Listing[Pay Item],0)),"",LEFT(Items[[#This Row],[Raw Item]],5)&amp;"-"&amp;RIGHT(Items[[#This Row],[Raw Item]],4))</f>
        <v/>
      </c>
    </row>
    <row r="49" spans="1:40" x14ac:dyDescent="0.15">
      <c r="A49" s="7" t="str">
        <f ca="1">IFERROR(RANK(Items[[#This Row],[Sort]],OFFSET(Items[Sort],0,0,ROW(Proposed[])-ROW(Items[])+ROWS(Proposed[]),1),1),"")</f>
        <v/>
      </c>
      <c r="B49" s="7" t="str">
        <f>IF(LEN(Items[[#This Row],[Item]])&gt;0,Items[[#This Row],[Raw Item]]+COUNTIF(AN$4:AN49,AN49)/100,"")</f>
        <v/>
      </c>
      <c r="C49" s="7">
        <f>IFERROR(VALUE(LEFT(VALUE(SUBSTITUTE(Items[[#This Row],[Pay Item]],"-",""))*100000000,9)),0)</f>
        <v>0</v>
      </c>
      <c r="D49" s="8"/>
      <c r="E49" s="127"/>
      <c r="F49" s="123" t="str">
        <f>IFERROR(SUBSTITUTE(VLOOKUP(Items[[#This Row],[Item]],Pay.Item.Listing[],2+2*(Units&lt;&gt;"Metric"),0),"{","&lt;"),"&lt;&lt; Pay Item not found &gt;&gt;")</f>
        <v>&lt;&lt; Pay Item not found &gt;&gt;</v>
      </c>
      <c r="G49" s="70" t="str">
        <f>IFERROR(VLOOKUP(Items[[#This Row],[Item]],Pay.Item.Listing[],3+2*(Units&lt;&gt;"Metric"),0),"–")</f>
        <v>–</v>
      </c>
      <c r="H49" s="70" t="str">
        <f>IFERROR(VLOOKUP(Items[[#This Row],[Item]],Pay.Item.Listing[],6,0),"–")</f>
        <v>–</v>
      </c>
      <c r="I49" s="70" t="str">
        <f>IFERROR(VLOOKUP(Items[[#This Row],[Item]],Pay.Item.Listing[],7,0),"–")</f>
        <v>–</v>
      </c>
      <c r="J49" s="71"/>
      <c r="K49" s="69"/>
      <c r="L49" s="69"/>
      <c r="M49" s="69"/>
      <c r="N49" s="69"/>
      <c r="O49" s="69"/>
      <c r="P49" s="69"/>
      <c r="Q49" s="69"/>
      <c r="R49" s="69"/>
      <c r="S49" s="69"/>
      <c r="T49" s="69"/>
      <c r="U49" s="69"/>
      <c r="V49" s="69"/>
      <c r="W49" s="69"/>
      <c r="X49" s="72">
        <f>IF(LEN(Items[[#This Row],[Item]])&gt;0,IF(Items[[#This Row],[Unit]]="LPSM",1,SUM(Items[[#This Row],[Col_1]:[Col_13]])),0)</f>
        <v>0</v>
      </c>
      <c r="Y49" s="190">
        <f>MAX(Items[[#This Row],[Quantity]]-SUM(Items[[#This Row],[Account2]]:Items[[#This Row],[Account7]]),0)</f>
        <v>0</v>
      </c>
      <c r="Z49" s="61"/>
      <c r="AA49" s="61"/>
      <c r="AB49" s="61"/>
      <c r="AC49" s="61"/>
      <c r="AD49" s="61"/>
      <c r="AE49" s="61"/>
      <c r="AF49" s="73"/>
      <c r="AG49" s="71"/>
      <c r="AH49" s="74"/>
      <c r="AI49" s="59"/>
      <c r="AJ49" s="190" t="str">
        <f ca="1">IFERROR(RANK(Items[[#This Row],[EstSort]],OFFSET(Items[EstSort],0,0,ROW(Proposed[])-ROW(Items[])+ROWS(Proposed[]),1),1),"")</f>
        <v/>
      </c>
      <c r="AK49" s="190" t="str">
        <f ca="1">IF(CHOOSE(MATCH(Account,Accounts,0),Items[[#This Row],[Count]],Items[[#This Row],[Account1]],Items[[#This Row],[Account2]],Items[[#This Row],[Account3]],Items[[#This Row],[Account7]])&gt;0,Items[[#This Row],[Sort]],"")</f>
        <v/>
      </c>
      <c r="AL49" s="70" t="str">
        <f ca="1">IF(LEN(Items[[#This Row],[Count]])&gt;0,IFERROR(INDEX(Calcs[Counter],MATCH(Items[[#This Row],[Line]],Calcs[Line],0)),""),"")</f>
        <v/>
      </c>
      <c r="AM49" s="156" t="str">
        <f ca="1">IFERROR(Letter&amp;TEXT((Items[[#This Row],[Count]]-1)*Incr+BeginLine,"0000"),"")</f>
        <v/>
      </c>
      <c r="AN49" s="7" t="str">
        <f>IF(ISNA(MATCH(LEFT(Items[[#This Row],[Raw Item]],5)&amp;"-"&amp;RIGHT(Items[[#This Row],[Raw Item]],4),Pay.Item.Listing[Pay Item],0)),"",LEFT(Items[[#This Row],[Raw Item]],5)&amp;"-"&amp;RIGHT(Items[[#This Row],[Raw Item]],4))</f>
        <v/>
      </c>
    </row>
    <row r="50" spans="1:40" x14ac:dyDescent="0.15">
      <c r="A50" s="7" t="str">
        <f ca="1">IFERROR(RANK(Items[[#This Row],[Sort]],OFFSET(Items[Sort],0,0,ROW(Proposed[])-ROW(Items[])+ROWS(Proposed[]),1),1),"")</f>
        <v/>
      </c>
      <c r="B50" s="7" t="str">
        <f>IF(LEN(Items[[#This Row],[Item]])&gt;0,Items[[#This Row],[Raw Item]]+COUNTIF(AN$4:AN50,AN50)/100,"")</f>
        <v/>
      </c>
      <c r="C50" s="7">
        <f>IFERROR(VALUE(LEFT(VALUE(SUBSTITUTE(Items[[#This Row],[Pay Item]],"-",""))*100000000,9)),0)</f>
        <v>0</v>
      </c>
      <c r="D50" s="8"/>
      <c r="E50" s="127"/>
      <c r="F50" s="123" t="str">
        <f>IFERROR(SUBSTITUTE(VLOOKUP(Items[[#This Row],[Item]],Pay.Item.Listing[],2+2*(Units&lt;&gt;"Metric"),0),"{","&lt;"),"&lt;&lt; Pay Item not found &gt;&gt;")</f>
        <v>&lt;&lt; Pay Item not found &gt;&gt;</v>
      </c>
      <c r="G50" s="70" t="str">
        <f>IFERROR(VLOOKUP(Items[[#This Row],[Item]],Pay.Item.Listing[],3+2*(Units&lt;&gt;"Metric"),0),"–")</f>
        <v>–</v>
      </c>
      <c r="H50" s="70" t="str">
        <f>IFERROR(VLOOKUP(Items[[#This Row],[Item]],Pay.Item.Listing[],6,0),"–")</f>
        <v>–</v>
      </c>
      <c r="I50" s="70" t="str">
        <f>IFERROR(VLOOKUP(Items[[#This Row],[Item]],Pay.Item.Listing[],7,0),"–")</f>
        <v>–</v>
      </c>
      <c r="J50" s="71"/>
      <c r="K50" s="69"/>
      <c r="L50" s="69"/>
      <c r="M50" s="69"/>
      <c r="N50" s="69"/>
      <c r="O50" s="69"/>
      <c r="P50" s="69"/>
      <c r="Q50" s="69"/>
      <c r="R50" s="69"/>
      <c r="S50" s="69"/>
      <c r="T50" s="69"/>
      <c r="U50" s="69"/>
      <c r="V50" s="69"/>
      <c r="W50" s="69"/>
      <c r="X50" s="72">
        <f>IF(LEN(Items[[#This Row],[Item]])&gt;0,IF(Items[[#This Row],[Unit]]="LPSM",1,SUM(Items[[#This Row],[Col_1]:[Col_13]])),0)</f>
        <v>0</v>
      </c>
      <c r="Y50" s="190">
        <f>MAX(Items[[#This Row],[Quantity]]-SUM(Items[[#This Row],[Account2]]:Items[[#This Row],[Account7]]),0)</f>
        <v>0</v>
      </c>
      <c r="Z50" s="61"/>
      <c r="AA50" s="61"/>
      <c r="AB50" s="61"/>
      <c r="AC50" s="61"/>
      <c r="AD50" s="61"/>
      <c r="AE50" s="61"/>
      <c r="AF50" s="73"/>
      <c r="AG50" s="71"/>
      <c r="AH50" s="74"/>
      <c r="AI50" s="59"/>
      <c r="AJ50" s="190" t="str">
        <f ca="1">IFERROR(RANK(Items[[#This Row],[EstSort]],OFFSET(Items[EstSort],0,0,ROW(Proposed[])-ROW(Items[])+ROWS(Proposed[]),1),1),"")</f>
        <v/>
      </c>
      <c r="AK50" s="190" t="str">
        <f ca="1">IF(CHOOSE(MATCH(Account,Accounts,0),Items[[#This Row],[Count]],Items[[#This Row],[Account1]],Items[[#This Row],[Account2]],Items[[#This Row],[Account3]],Items[[#This Row],[Account7]])&gt;0,Items[[#This Row],[Sort]],"")</f>
        <v/>
      </c>
      <c r="AL50" s="70" t="str">
        <f ca="1">IF(LEN(Items[[#This Row],[Count]])&gt;0,IFERROR(INDEX(Calcs[Counter],MATCH(Items[[#This Row],[Line]],Calcs[Line],0)),""),"")</f>
        <v/>
      </c>
      <c r="AM50" s="156" t="str">
        <f ca="1">IFERROR(Letter&amp;TEXT((Items[[#This Row],[Count]]-1)*Incr+BeginLine,"0000"),"")</f>
        <v/>
      </c>
      <c r="AN50" s="7" t="str">
        <f>IF(ISNA(MATCH(LEFT(Items[[#This Row],[Raw Item]],5)&amp;"-"&amp;RIGHT(Items[[#This Row],[Raw Item]],4),Pay.Item.Listing[Pay Item],0)),"",LEFT(Items[[#This Row],[Raw Item]],5)&amp;"-"&amp;RIGHT(Items[[#This Row],[Raw Item]],4))</f>
        <v/>
      </c>
    </row>
    <row r="51" spans="1:40" x14ac:dyDescent="0.15">
      <c r="A51" s="7" t="str">
        <f ca="1">IFERROR(RANK(Items[[#This Row],[Sort]],OFFSET(Items[Sort],0,0,ROW(Proposed[])-ROW(Items[])+ROWS(Proposed[]),1),1),"")</f>
        <v/>
      </c>
      <c r="B51" s="7" t="str">
        <f>IF(LEN(Items[[#This Row],[Item]])&gt;0,Items[[#This Row],[Raw Item]]+COUNTIF(AN$4:AN51,AN51)/100,"")</f>
        <v/>
      </c>
      <c r="C51" s="7">
        <f>IFERROR(VALUE(LEFT(VALUE(SUBSTITUTE(Items[[#This Row],[Pay Item]],"-",""))*100000000,9)),0)</f>
        <v>0</v>
      </c>
      <c r="D51" s="8"/>
      <c r="E51" s="127"/>
      <c r="F51" s="123" t="str">
        <f>IFERROR(SUBSTITUTE(VLOOKUP(Items[[#This Row],[Item]],Pay.Item.Listing[],2+2*(Units&lt;&gt;"Metric"),0),"{","&lt;"),"&lt;&lt; Pay Item not found &gt;&gt;")</f>
        <v>&lt;&lt; Pay Item not found &gt;&gt;</v>
      </c>
      <c r="G51" s="70" t="str">
        <f>IFERROR(VLOOKUP(Items[[#This Row],[Item]],Pay.Item.Listing[],3+2*(Units&lt;&gt;"Metric"),0),"–")</f>
        <v>–</v>
      </c>
      <c r="H51" s="70" t="str">
        <f>IFERROR(VLOOKUP(Items[[#This Row],[Item]],Pay.Item.Listing[],6,0),"–")</f>
        <v>–</v>
      </c>
      <c r="I51" s="70" t="str">
        <f>IFERROR(VLOOKUP(Items[[#This Row],[Item]],Pay.Item.Listing[],7,0),"–")</f>
        <v>–</v>
      </c>
      <c r="J51" s="71"/>
      <c r="K51" s="69"/>
      <c r="L51" s="69"/>
      <c r="M51" s="69"/>
      <c r="N51" s="69"/>
      <c r="O51" s="69"/>
      <c r="P51" s="69"/>
      <c r="Q51" s="69"/>
      <c r="R51" s="69"/>
      <c r="S51" s="69"/>
      <c r="T51" s="69"/>
      <c r="U51" s="69"/>
      <c r="V51" s="69"/>
      <c r="W51" s="69"/>
      <c r="X51" s="72">
        <f>IF(LEN(Items[[#This Row],[Item]])&gt;0,IF(Items[[#This Row],[Unit]]="LPSM",1,SUM(Items[[#This Row],[Col_1]:[Col_13]])),0)</f>
        <v>0</v>
      </c>
      <c r="Y51" s="190">
        <f>MAX(Items[[#This Row],[Quantity]]-SUM(Items[[#This Row],[Account2]]:Items[[#This Row],[Account7]]),0)</f>
        <v>0</v>
      </c>
      <c r="Z51" s="61"/>
      <c r="AA51" s="61"/>
      <c r="AB51" s="61"/>
      <c r="AC51" s="61"/>
      <c r="AD51" s="61"/>
      <c r="AE51" s="61"/>
      <c r="AF51" s="73"/>
      <c r="AG51" s="71"/>
      <c r="AH51" s="74"/>
      <c r="AI51" s="59"/>
      <c r="AJ51" s="190" t="str">
        <f ca="1">IFERROR(RANK(Items[[#This Row],[EstSort]],OFFSET(Items[EstSort],0,0,ROW(Proposed[])-ROW(Items[])+ROWS(Proposed[]),1),1),"")</f>
        <v/>
      </c>
      <c r="AK51" s="190" t="str">
        <f ca="1">IF(CHOOSE(MATCH(Account,Accounts,0),Items[[#This Row],[Count]],Items[[#This Row],[Account1]],Items[[#This Row],[Account2]],Items[[#This Row],[Account3]],Items[[#This Row],[Account7]])&gt;0,Items[[#This Row],[Sort]],"")</f>
        <v/>
      </c>
      <c r="AL51" s="70" t="str">
        <f ca="1">IF(LEN(Items[[#This Row],[Count]])&gt;0,IFERROR(INDEX(Calcs[Counter],MATCH(Items[[#This Row],[Line]],Calcs[Line],0)),""),"")</f>
        <v/>
      </c>
      <c r="AM51" s="156" t="str">
        <f ca="1">IFERROR(Letter&amp;TEXT((Items[[#This Row],[Count]]-1)*Incr+BeginLine,"0000"),"")</f>
        <v/>
      </c>
      <c r="AN51" s="7" t="str">
        <f>IF(ISNA(MATCH(LEFT(Items[[#This Row],[Raw Item]],5)&amp;"-"&amp;RIGHT(Items[[#This Row],[Raw Item]],4),Pay.Item.Listing[Pay Item],0)),"",LEFT(Items[[#This Row],[Raw Item]],5)&amp;"-"&amp;RIGHT(Items[[#This Row],[Raw Item]],4))</f>
        <v/>
      </c>
    </row>
    <row r="52" spans="1:40" x14ac:dyDescent="0.15">
      <c r="A52" s="7" t="str">
        <f ca="1">IFERROR(RANK(Items[[#This Row],[Sort]],OFFSET(Items[Sort],0,0,ROW(Proposed[])-ROW(Items[])+ROWS(Proposed[]),1),1),"")</f>
        <v/>
      </c>
      <c r="B52" s="7" t="str">
        <f>IF(LEN(Items[[#This Row],[Item]])&gt;0,Items[[#This Row],[Raw Item]]+COUNTIF(AN$4:AN52,AN52)/100,"")</f>
        <v/>
      </c>
      <c r="C52" s="7">
        <f>IFERROR(VALUE(LEFT(VALUE(SUBSTITUTE(Items[[#This Row],[Pay Item]],"-",""))*100000000,9)),0)</f>
        <v>0</v>
      </c>
      <c r="D52" s="8"/>
      <c r="E52" s="127"/>
      <c r="F52" s="123" t="str">
        <f>IFERROR(SUBSTITUTE(VLOOKUP(Items[[#This Row],[Item]],Pay.Item.Listing[],2+2*(Units&lt;&gt;"Metric"),0),"{","&lt;"),"&lt;&lt; Pay Item not found &gt;&gt;")</f>
        <v>&lt;&lt; Pay Item not found &gt;&gt;</v>
      </c>
      <c r="G52" s="70" t="str">
        <f>IFERROR(VLOOKUP(Items[[#This Row],[Item]],Pay.Item.Listing[],3+2*(Units&lt;&gt;"Metric"),0),"–")</f>
        <v>–</v>
      </c>
      <c r="H52" s="70" t="str">
        <f>IFERROR(VLOOKUP(Items[[#This Row],[Item]],Pay.Item.Listing[],6,0),"–")</f>
        <v>–</v>
      </c>
      <c r="I52" s="70" t="str">
        <f>IFERROR(VLOOKUP(Items[[#This Row],[Item]],Pay.Item.Listing[],7,0),"–")</f>
        <v>–</v>
      </c>
      <c r="J52" s="71"/>
      <c r="K52" s="69"/>
      <c r="L52" s="69"/>
      <c r="M52" s="69"/>
      <c r="N52" s="69"/>
      <c r="O52" s="69"/>
      <c r="P52" s="69"/>
      <c r="Q52" s="69"/>
      <c r="R52" s="69"/>
      <c r="S52" s="69"/>
      <c r="T52" s="69"/>
      <c r="U52" s="69"/>
      <c r="V52" s="69"/>
      <c r="W52" s="69"/>
      <c r="X52" s="72">
        <f>IF(LEN(Items[[#This Row],[Item]])&gt;0,IF(Items[[#This Row],[Unit]]="LPSM",1,SUM(Items[[#This Row],[Col_1]:[Col_13]])),0)</f>
        <v>0</v>
      </c>
      <c r="Y52" s="190">
        <f>MAX(Items[[#This Row],[Quantity]]-SUM(Items[[#This Row],[Account2]]:Items[[#This Row],[Account7]]),0)</f>
        <v>0</v>
      </c>
      <c r="Z52" s="61"/>
      <c r="AA52" s="61"/>
      <c r="AB52" s="61"/>
      <c r="AC52" s="61"/>
      <c r="AD52" s="61"/>
      <c r="AE52" s="61"/>
      <c r="AF52" s="73"/>
      <c r="AG52" s="71"/>
      <c r="AH52" s="74"/>
      <c r="AI52" s="59"/>
      <c r="AJ52" s="190" t="str">
        <f ca="1">IFERROR(RANK(Items[[#This Row],[EstSort]],OFFSET(Items[EstSort],0,0,ROW(Proposed[])-ROW(Items[])+ROWS(Proposed[]),1),1),"")</f>
        <v/>
      </c>
      <c r="AK52" s="190" t="str">
        <f ca="1">IF(CHOOSE(MATCH(Account,Accounts,0),Items[[#This Row],[Count]],Items[[#This Row],[Account1]],Items[[#This Row],[Account2]],Items[[#This Row],[Account3]],Items[[#This Row],[Account7]])&gt;0,Items[[#This Row],[Sort]],"")</f>
        <v/>
      </c>
      <c r="AL52" s="70" t="str">
        <f ca="1">IF(LEN(Items[[#This Row],[Count]])&gt;0,IFERROR(INDEX(Calcs[Counter],MATCH(Items[[#This Row],[Line]],Calcs[Line],0)),""),"")</f>
        <v/>
      </c>
      <c r="AM52" s="156" t="str">
        <f ca="1">IFERROR(Letter&amp;TEXT((Items[[#This Row],[Count]]-1)*Incr+BeginLine,"0000"),"")</f>
        <v/>
      </c>
      <c r="AN52" s="7" t="str">
        <f>IF(ISNA(MATCH(LEFT(Items[[#This Row],[Raw Item]],5)&amp;"-"&amp;RIGHT(Items[[#This Row],[Raw Item]],4),Pay.Item.Listing[Pay Item],0)),"",LEFT(Items[[#This Row],[Raw Item]],5)&amp;"-"&amp;RIGHT(Items[[#This Row],[Raw Item]],4))</f>
        <v/>
      </c>
    </row>
    <row r="53" spans="1:40" x14ac:dyDescent="0.15">
      <c r="A53" s="7" t="str">
        <f ca="1">IFERROR(RANK(Items[[#This Row],[Sort]],OFFSET(Items[Sort],0,0,ROW(Proposed[])-ROW(Items[])+ROWS(Proposed[]),1),1),"")</f>
        <v/>
      </c>
      <c r="B53" s="7" t="str">
        <f>IF(LEN(Items[[#This Row],[Item]])&gt;0,Items[[#This Row],[Raw Item]]+COUNTIF(AN$4:AN53,AN53)/100,"")</f>
        <v/>
      </c>
      <c r="C53" s="7">
        <f>IFERROR(VALUE(LEFT(VALUE(SUBSTITUTE(Items[[#This Row],[Pay Item]],"-",""))*100000000,9)),0)</f>
        <v>0</v>
      </c>
      <c r="D53" s="8"/>
      <c r="E53" s="127"/>
      <c r="F53" s="123" t="str">
        <f>IFERROR(SUBSTITUTE(VLOOKUP(Items[[#This Row],[Item]],Pay.Item.Listing[],2+2*(Units&lt;&gt;"Metric"),0),"{","&lt;"),"&lt;&lt; Pay Item not found &gt;&gt;")</f>
        <v>&lt;&lt; Pay Item not found &gt;&gt;</v>
      </c>
      <c r="G53" s="70" t="str">
        <f>IFERROR(VLOOKUP(Items[[#This Row],[Item]],Pay.Item.Listing[],3+2*(Units&lt;&gt;"Metric"),0),"–")</f>
        <v>–</v>
      </c>
      <c r="H53" s="70" t="str">
        <f>IFERROR(VLOOKUP(Items[[#This Row],[Item]],Pay.Item.Listing[],6,0),"–")</f>
        <v>–</v>
      </c>
      <c r="I53" s="70" t="str">
        <f>IFERROR(VLOOKUP(Items[[#This Row],[Item]],Pay.Item.Listing[],7,0),"–")</f>
        <v>–</v>
      </c>
      <c r="J53" s="71"/>
      <c r="K53" s="69"/>
      <c r="L53" s="69"/>
      <c r="M53" s="69"/>
      <c r="N53" s="69"/>
      <c r="O53" s="69"/>
      <c r="P53" s="69"/>
      <c r="Q53" s="69"/>
      <c r="R53" s="69"/>
      <c r="S53" s="69"/>
      <c r="T53" s="69"/>
      <c r="U53" s="69"/>
      <c r="V53" s="69"/>
      <c r="W53" s="69"/>
      <c r="X53" s="72">
        <f>IF(LEN(Items[[#This Row],[Item]])&gt;0,IF(Items[[#This Row],[Unit]]="LPSM",1,SUM(Items[[#This Row],[Col_1]:[Col_13]])),0)</f>
        <v>0</v>
      </c>
      <c r="Y53" s="190">
        <f>MAX(Items[[#This Row],[Quantity]]-SUM(Items[[#This Row],[Account2]]:Items[[#This Row],[Account7]]),0)</f>
        <v>0</v>
      </c>
      <c r="Z53" s="61"/>
      <c r="AA53" s="61"/>
      <c r="AB53" s="61"/>
      <c r="AC53" s="61"/>
      <c r="AD53" s="61"/>
      <c r="AE53" s="61"/>
      <c r="AF53" s="73"/>
      <c r="AG53" s="71"/>
      <c r="AH53" s="74"/>
      <c r="AI53" s="59"/>
      <c r="AJ53" s="190" t="str">
        <f ca="1">IFERROR(RANK(Items[[#This Row],[EstSort]],OFFSET(Items[EstSort],0,0,ROW(Proposed[])-ROW(Items[])+ROWS(Proposed[]),1),1),"")</f>
        <v/>
      </c>
      <c r="AK53" s="190" t="str">
        <f ca="1">IF(CHOOSE(MATCH(Account,Accounts,0),Items[[#This Row],[Count]],Items[[#This Row],[Account1]],Items[[#This Row],[Account2]],Items[[#This Row],[Account3]],Items[[#This Row],[Account7]])&gt;0,Items[[#This Row],[Sort]],"")</f>
        <v/>
      </c>
      <c r="AL53" s="70" t="str">
        <f ca="1">IF(LEN(Items[[#This Row],[Count]])&gt;0,IFERROR(INDEX(Calcs[Counter],MATCH(Items[[#This Row],[Line]],Calcs[Line],0)),""),"")</f>
        <v/>
      </c>
      <c r="AM53" s="156" t="str">
        <f ca="1">IFERROR(Letter&amp;TEXT((Items[[#This Row],[Count]]-1)*Incr+BeginLine,"0000"),"")</f>
        <v/>
      </c>
      <c r="AN53" s="7" t="str">
        <f>IF(ISNA(MATCH(LEFT(Items[[#This Row],[Raw Item]],5)&amp;"-"&amp;RIGHT(Items[[#This Row],[Raw Item]],4),Pay.Item.Listing[Pay Item],0)),"",LEFT(Items[[#This Row],[Raw Item]],5)&amp;"-"&amp;RIGHT(Items[[#This Row],[Raw Item]],4))</f>
        <v/>
      </c>
    </row>
    <row r="54" spans="1:40" x14ac:dyDescent="0.15">
      <c r="A54" s="7" t="str">
        <f ca="1">IFERROR(RANK(Items[[#This Row],[Sort]],OFFSET(Items[Sort],0,0,ROW(Proposed[])-ROW(Items[])+ROWS(Proposed[]),1),1),"")</f>
        <v/>
      </c>
      <c r="B54" s="7" t="str">
        <f>IF(LEN(Items[[#This Row],[Item]])&gt;0,Items[[#This Row],[Raw Item]]+COUNTIF(AN$4:AN54,AN54)/100,"")</f>
        <v/>
      </c>
      <c r="C54" s="7">
        <f>IFERROR(VALUE(LEFT(VALUE(SUBSTITUTE(Items[[#This Row],[Pay Item]],"-",""))*100000000,9)),0)</f>
        <v>0</v>
      </c>
      <c r="D54" s="8"/>
      <c r="E54" s="127"/>
      <c r="F54" s="123" t="str">
        <f>IFERROR(SUBSTITUTE(VLOOKUP(Items[[#This Row],[Item]],Pay.Item.Listing[],2+2*(Units&lt;&gt;"Metric"),0),"{","&lt;"),"&lt;&lt; Pay Item not found &gt;&gt;")</f>
        <v>&lt;&lt; Pay Item not found &gt;&gt;</v>
      </c>
      <c r="G54" s="70" t="str">
        <f>IFERROR(VLOOKUP(Items[[#This Row],[Item]],Pay.Item.Listing[],3+2*(Units&lt;&gt;"Metric"),0),"–")</f>
        <v>–</v>
      </c>
      <c r="H54" s="70" t="str">
        <f>IFERROR(VLOOKUP(Items[[#This Row],[Item]],Pay.Item.Listing[],6,0),"–")</f>
        <v>–</v>
      </c>
      <c r="I54" s="70" t="str">
        <f>IFERROR(VLOOKUP(Items[[#This Row],[Item]],Pay.Item.Listing[],7,0),"–")</f>
        <v>–</v>
      </c>
      <c r="J54" s="71"/>
      <c r="K54" s="69"/>
      <c r="L54" s="69"/>
      <c r="M54" s="69"/>
      <c r="N54" s="69"/>
      <c r="O54" s="69"/>
      <c r="P54" s="69"/>
      <c r="Q54" s="69"/>
      <c r="R54" s="69"/>
      <c r="S54" s="69"/>
      <c r="T54" s="69"/>
      <c r="U54" s="69"/>
      <c r="V54" s="69"/>
      <c r="W54" s="69"/>
      <c r="X54" s="72">
        <f>IF(LEN(Items[[#This Row],[Item]])&gt;0,IF(Items[[#This Row],[Unit]]="LPSM",1,SUM(Items[[#This Row],[Col_1]:[Col_13]])),0)</f>
        <v>0</v>
      </c>
      <c r="Y54" s="190">
        <f>MAX(Items[[#This Row],[Quantity]]-SUM(Items[[#This Row],[Account2]]:Items[[#This Row],[Account7]]),0)</f>
        <v>0</v>
      </c>
      <c r="Z54" s="61"/>
      <c r="AA54" s="61"/>
      <c r="AB54" s="61"/>
      <c r="AC54" s="61"/>
      <c r="AD54" s="61"/>
      <c r="AE54" s="61"/>
      <c r="AF54" s="73"/>
      <c r="AG54" s="71"/>
      <c r="AH54" s="74"/>
      <c r="AI54" s="59"/>
      <c r="AJ54" s="190" t="str">
        <f ca="1">IFERROR(RANK(Items[[#This Row],[EstSort]],OFFSET(Items[EstSort],0,0,ROW(Proposed[])-ROW(Items[])+ROWS(Proposed[]),1),1),"")</f>
        <v/>
      </c>
      <c r="AK54" s="190" t="str">
        <f ca="1">IF(CHOOSE(MATCH(Account,Accounts,0),Items[[#This Row],[Count]],Items[[#This Row],[Account1]],Items[[#This Row],[Account2]],Items[[#This Row],[Account3]],Items[[#This Row],[Account7]])&gt;0,Items[[#This Row],[Sort]],"")</f>
        <v/>
      </c>
      <c r="AL54" s="70" t="str">
        <f ca="1">IF(LEN(Items[[#This Row],[Count]])&gt;0,IFERROR(INDEX(Calcs[Counter],MATCH(Items[[#This Row],[Line]],Calcs[Line],0)),""),"")</f>
        <v/>
      </c>
      <c r="AM54" s="156" t="str">
        <f ca="1">IFERROR(Letter&amp;TEXT((Items[[#This Row],[Count]]-1)*Incr+BeginLine,"0000"),"")</f>
        <v/>
      </c>
      <c r="AN54" s="7" t="str">
        <f>IF(ISNA(MATCH(LEFT(Items[[#This Row],[Raw Item]],5)&amp;"-"&amp;RIGHT(Items[[#This Row],[Raw Item]],4),Pay.Item.Listing[Pay Item],0)),"",LEFT(Items[[#This Row],[Raw Item]],5)&amp;"-"&amp;RIGHT(Items[[#This Row],[Raw Item]],4))</f>
        <v/>
      </c>
    </row>
    <row r="55" spans="1:40" x14ac:dyDescent="0.15">
      <c r="A55" s="7" t="str">
        <f ca="1">IFERROR(RANK(Items[[#This Row],[Sort]],OFFSET(Items[Sort],0,0,ROW(Proposed[])-ROW(Items[])+ROWS(Proposed[]),1),1),"")</f>
        <v/>
      </c>
      <c r="B55" s="7" t="str">
        <f>IF(LEN(Items[[#This Row],[Item]])&gt;0,Items[[#This Row],[Raw Item]]+COUNTIF(AN$4:AN55,AN55)/100,"")</f>
        <v/>
      </c>
      <c r="C55" s="7">
        <f>IFERROR(VALUE(LEFT(VALUE(SUBSTITUTE(Items[[#This Row],[Pay Item]],"-",""))*100000000,9)),0)</f>
        <v>0</v>
      </c>
      <c r="D55" s="8"/>
      <c r="E55" s="127"/>
      <c r="F55" s="123" t="str">
        <f>IFERROR(SUBSTITUTE(VLOOKUP(Items[[#This Row],[Item]],Pay.Item.Listing[],2+2*(Units&lt;&gt;"Metric"),0),"{","&lt;"),"&lt;&lt; Pay Item not found &gt;&gt;")</f>
        <v>&lt;&lt; Pay Item not found &gt;&gt;</v>
      </c>
      <c r="G55" s="70" t="str">
        <f>IFERROR(VLOOKUP(Items[[#This Row],[Item]],Pay.Item.Listing[],3+2*(Units&lt;&gt;"Metric"),0),"–")</f>
        <v>–</v>
      </c>
      <c r="H55" s="70" t="str">
        <f>IFERROR(VLOOKUP(Items[[#This Row],[Item]],Pay.Item.Listing[],6,0),"–")</f>
        <v>–</v>
      </c>
      <c r="I55" s="70" t="str">
        <f>IFERROR(VLOOKUP(Items[[#This Row],[Item]],Pay.Item.Listing[],7,0),"–")</f>
        <v>–</v>
      </c>
      <c r="J55" s="71"/>
      <c r="K55" s="69"/>
      <c r="L55" s="69"/>
      <c r="M55" s="69"/>
      <c r="N55" s="69"/>
      <c r="O55" s="69"/>
      <c r="P55" s="69"/>
      <c r="Q55" s="69"/>
      <c r="R55" s="69"/>
      <c r="S55" s="69"/>
      <c r="T55" s="69"/>
      <c r="U55" s="69"/>
      <c r="V55" s="69"/>
      <c r="W55" s="69"/>
      <c r="X55" s="72">
        <f>IF(LEN(Items[[#This Row],[Item]])&gt;0,IF(Items[[#This Row],[Unit]]="LPSM",1,SUM(Items[[#This Row],[Col_1]:[Col_13]])),0)</f>
        <v>0</v>
      </c>
      <c r="Y55" s="190">
        <f>MAX(Items[[#This Row],[Quantity]]-SUM(Items[[#This Row],[Account2]]:Items[[#This Row],[Account7]]),0)</f>
        <v>0</v>
      </c>
      <c r="Z55" s="61"/>
      <c r="AA55" s="61"/>
      <c r="AB55" s="61"/>
      <c r="AC55" s="61"/>
      <c r="AD55" s="61"/>
      <c r="AE55" s="61"/>
      <c r="AF55" s="73"/>
      <c r="AG55" s="71"/>
      <c r="AH55" s="74"/>
      <c r="AI55" s="59"/>
      <c r="AJ55" s="190" t="str">
        <f ca="1">IFERROR(RANK(Items[[#This Row],[EstSort]],OFFSET(Items[EstSort],0,0,ROW(Proposed[])-ROW(Items[])+ROWS(Proposed[]),1),1),"")</f>
        <v/>
      </c>
      <c r="AK55" s="190" t="str">
        <f ca="1">IF(CHOOSE(MATCH(Account,Accounts,0),Items[[#This Row],[Count]],Items[[#This Row],[Account1]],Items[[#This Row],[Account2]],Items[[#This Row],[Account3]],Items[[#This Row],[Account7]])&gt;0,Items[[#This Row],[Sort]],"")</f>
        <v/>
      </c>
      <c r="AL55" s="70" t="str">
        <f ca="1">IF(LEN(Items[[#This Row],[Count]])&gt;0,IFERROR(INDEX(Calcs[Counter],MATCH(Items[[#This Row],[Line]],Calcs[Line],0)),""),"")</f>
        <v/>
      </c>
      <c r="AM55" s="156" t="str">
        <f ca="1">IFERROR(Letter&amp;TEXT((Items[[#This Row],[Count]]-1)*Incr+BeginLine,"0000"),"")</f>
        <v/>
      </c>
      <c r="AN55" s="7" t="str">
        <f>IF(ISNA(MATCH(LEFT(Items[[#This Row],[Raw Item]],5)&amp;"-"&amp;RIGHT(Items[[#This Row],[Raw Item]],4),Pay.Item.Listing[Pay Item],0)),"",LEFT(Items[[#This Row],[Raw Item]],5)&amp;"-"&amp;RIGHT(Items[[#This Row],[Raw Item]],4))</f>
        <v/>
      </c>
    </row>
    <row r="56" spans="1:40" x14ac:dyDescent="0.15">
      <c r="A56" s="7" t="str">
        <f ca="1">IFERROR(RANK(Items[[#This Row],[Sort]],OFFSET(Items[Sort],0,0,ROW(Proposed[])-ROW(Items[])+ROWS(Proposed[]),1),1),"")</f>
        <v/>
      </c>
      <c r="B56" s="7" t="str">
        <f>IF(LEN(Items[[#This Row],[Item]])&gt;0,Items[[#This Row],[Raw Item]]+COUNTIF(AN$4:AN56,AN56)/100,"")</f>
        <v/>
      </c>
      <c r="C56" s="7">
        <f>IFERROR(VALUE(LEFT(VALUE(SUBSTITUTE(Items[[#This Row],[Pay Item]],"-",""))*100000000,9)),0)</f>
        <v>0</v>
      </c>
      <c r="D56" s="8"/>
      <c r="E56" s="127"/>
      <c r="F56" s="123" t="str">
        <f>IFERROR(SUBSTITUTE(VLOOKUP(Items[[#This Row],[Item]],Pay.Item.Listing[],2+2*(Units&lt;&gt;"Metric"),0),"{","&lt;"),"&lt;&lt; Pay Item not found &gt;&gt;")</f>
        <v>&lt;&lt; Pay Item not found &gt;&gt;</v>
      </c>
      <c r="G56" s="70" t="str">
        <f>IFERROR(VLOOKUP(Items[[#This Row],[Item]],Pay.Item.Listing[],3+2*(Units&lt;&gt;"Metric"),0),"–")</f>
        <v>–</v>
      </c>
      <c r="H56" s="70" t="str">
        <f>IFERROR(VLOOKUP(Items[[#This Row],[Item]],Pay.Item.Listing[],6,0),"–")</f>
        <v>–</v>
      </c>
      <c r="I56" s="70" t="str">
        <f>IFERROR(VLOOKUP(Items[[#This Row],[Item]],Pay.Item.Listing[],7,0),"–")</f>
        <v>–</v>
      </c>
      <c r="J56" s="71"/>
      <c r="K56" s="69"/>
      <c r="L56" s="69"/>
      <c r="M56" s="69"/>
      <c r="N56" s="69"/>
      <c r="O56" s="69"/>
      <c r="P56" s="69"/>
      <c r="Q56" s="69"/>
      <c r="R56" s="69"/>
      <c r="S56" s="69"/>
      <c r="T56" s="69"/>
      <c r="U56" s="69"/>
      <c r="V56" s="69"/>
      <c r="W56" s="69"/>
      <c r="X56" s="72">
        <f>IF(LEN(Items[[#This Row],[Item]])&gt;0,IF(Items[[#This Row],[Unit]]="LPSM",1,SUM(Items[[#This Row],[Col_1]:[Col_13]])),0)</f>
        <v>0</v>
      </c>
      <c r="Y56" s="190">
        <f>MAX(Items[[#This Row],[Quantity]]-SUM(Items[[#This Row],[Account2]]:Items[[#This Row],[Account7]]),0)</f>
        <v>0</v>
      </c>
      <c r="Z56" s="61"/>
      <c r="AA56" s="61"/>
      <c r="AB56" s="61"/>
      <c r="AC56" s="61"/>
      <c r="AD56" s="61"/>
      <c r="AE56" s="61"/>
      <c r="AF56" s="73"/>
      <c r="AG56" s="71"/>
      <c r="AH56" s="74"/>
      <c r="AI56" s="59"/>
      <c r="AJ56" s="190" t="str">
        <f ca="1">IFERROR(RANK(Items[[#This Row],[EstSort]],OFFSET(Items[EstSort],0,0,ROW(Proposed[])-ROW(Items[])+ROWS(Proposed[]),1),1),"")</f>
        <v/>
      </c>
      <c r="AK56" s="190" t="str">
        <f ca="1">IF(CHOOSE(MATCH(Account,Accounts,0),Items[[#This Row],[Count]],Items[[#This Row],[Account1]],Items[[#This Row],[Account2]],Items[[#This Row],[Account3]],Items[[#This Row],[Account7]])&gt;0,Items[[#This Row],[Sort]],"")</f>
        <v/>
      </c>
      <c r="AL56" s="70" t="str">
        <f ca="1">IF(LEN(Items[[#This Row],[Count]])&gt;0,IFERROR(INDEX(Calcs[Counter],MATCH(Items[[#This Row],[Line]],Calcs[Line],0)),""),"")</f>
        <v/>
      </c>
      <c r="AM56" s="156" t="str">
        <f ca="1">IFERROR(Letter&amp;TEXT((Items[[#This Row],[Count]]-1)*Incr+BeginLine,"0000"),"")</f>
        <v/>
      </c>
      <c r="AN56" s="7" t="str">
        <f>IF(ISNA(MATCH(LEFT(Items[[#This Row],[Raw Item]],5)&amp;"-"&amp;RIGHT(Items[[#This Row],[Raw Item]],4),Pay.Item.Listing[Pay Item],0)),"",LEFT(Items[[#This Row],[Raw Item]],5)&amp;"-"&amp;RIGHT(Items[[#This Row],[Raw Item]],4))</f>
        <v/>
      </c>
    </row>
    <row r="57" spans="1:40" x14ac:dyDescent="0.15">
      <c r="A57" s="7" t="str">
        <f ca="1">IFERROR(RANK(Items[[#This Row],[Sort]],OFFSET(Items[Sort],0,0,ROW(Proposed[])-ROW(Items[])+ROWS(Proposed[]),1),1),"")</f>
        <v/>
      </c>
      <c r="B57" s="7" t="str">
        <f>IF(LEN(Items[[#This Row],[Item]])&gt;0,Items[[#This Row],[Raw Item]]+COUNTIF(AN$4:AN57,AN57)/100,"")</f>
        <v/>
      </c>
      <c r="C57" s="7">
        <f>IFERROR(VALUE(LEFT(VALUE(SUBSTITUTE(Items[[#This Row],[Pay Item]],"-",""))*100000000,9)),0)</f>
        <v>0</v>
      </c>
      <c r="D57" s="8"/>
      <c r="E57" s="127"/>
      <c r="F57" s="123" t="str">
        <f>IFERROR(SUBSTITUTE(VLOOKUP(Items[[#This Row],[Item]],Pay.Item.Listing[],2+2*(Units&lt;&gt;"Metric"),0),"{","&lt;"),"&lt;&lt; Pay Item not found &gt;&gt;")</f>
        <v>&lt;&lt; Pay Item not found &gt;&gt;</v>
      </c>
      <c r="G57" s="70" t="str">
        <f>IFERROR(VLOOKUP(Items[[#This Row],[Item]],Pay.Item.Listing[],3+2*(Units&lt;&gt;"Metric"),0),"–")</f>
        <v>–</v>
      </c>
      <c r="H57" s="70" t="str">
        <f>IFERROR(VLOOKUP(Items[[#This Row],[Item]],Pay.Item.Listing[],6,0),"–")</f>
        <v>–</v>
      </c>
      <c r="I57" s="70" t="str">
        <f>IFERROR(VLOOKUP(Items[[#This Row],[Item]],Pay.Item.Listing[],7,0),"–")</f>
        <v>–</v>
      </c>
      <c r="J57" s="71"/>
      <c r="K57" s="69"/>
      <c r="L57" s="69"/>
      <c r="M57" s="69"/>
      <c r="N57" s="69"/>
      <c r="O57" s="69"/>
      <c r="P57" s="69"/>
      <c r="Q57" s="69"/>
      <c r="R57" s="69"/>
      <c r="S57" s="69"/>
      <c r="T57" s="69"/>
      <c r="U57" s="69"/>
      <c r="V57" s="69"/>
      <c r="W57" s="69"/>
      <c r="X57" s="72">
        <f>IF(LEN(Items[[#This Row],[Item]])&gt;0,IF(Items[[#This Row],[Unit]]="LPSM",1,SUM(Items[[#This Row],[Col_1]:[Col_13]])),0)</f>
        <v>0</v>
      </c>
      <c r="Y57" s="190">
        <f>MAX(Items[[#This Row],[Quantity]]-SUM(Items[[#This Row],[Account2]]:Items[[#This Row],[Account7]]),0)</f>
        <v>0</v>
      </c>
      <c r="Z57" s="61"/>
      <c r="AA57" s="61"/>
      <c r="AB57" s="61"/>
      <c r="AC57" s="61"/>
      <c r="AD57" s="61"/>
      <c r="AE57" s="61"/>
      <c r="AF57" s="73"/>
      <c r="AG57" s="71"/>
      <c r="AH57" s="74"/>
      <c r="AI57" s="59"/>
      <c r="AJ57" s="190" t="str">
        <f ca="1">IFERROR(RANK(Items[[#This Row],[EstSort]],OFFSET(Items[EstSort],0,0,ROW(Proposed[])-ROW(Items[])+ROWS(Proposed[]),1),1),"")</f>
        <v/>
      </c>
      <c r="AK57" s="190" t="str">
        <f ca="1">IF(CHOOSE(MATCH(Account,Accounts,0),Items[[#This Row],[Count]],Items[[#This Row],[Account1]],Items[[#This Row],[Account2]],Items[[#This Row],[Account3]],Items[[#This Row],[Account7]])&gt;0,Items[[#This Row],[Sort]],"")</f>
        <v/>
      </c>
      <c r="AL57" s="70" t="str">
        <f ca="1">IF(LEN(Items[[#This Row],[Count]])&gt;0,IFERROR(INDEX(Calcs[Counter],MATCH(Items[[#This Row],[Line]],Calcs[Line],0)),""),"")</f>
        <v/>
      </c>
      <c r="AM57" s="156" t="str">
        <f ca="1">IFERROR(Letter&amp;TEXT((Items[[#This Row],[Count]]-1)*Incr+BeginLine,"0000"),"")</f>
        <v/>
      </c>
      <c r="AN57" s="7" t="str">
        <f>IF(ISNA(MATCH(LEFT(Items[[#This Row],[Raw Item]],5)&amp;"-"&amp;RIGHT(Items[[#This Row],[Raw Item]],4),Pay.Item.Listing[Pay Item],0)),"",LEFT(Items[[#This Row],[Raw Item]],5)&amp;"-"&amp;RIGHT(Items[[#This Row],[Raw Item]],4))</f>
        <v/>
      </c>
    </row>
    <row r="58" spans="1:40" x14ac:dyDescent="0.15">
      <c r="A58" s="7" t="str">
        <f ca="1">IFERROR(RANK(Items[[#This Row],[Sort]],OFFSET(Items[Sort],0,0,ROW(Proposed[])-ROW(Items[])+ROWS(Proposed[]),1),1),"")</f>
        <v/>
      </c>
      <c r="B58" s="7" t="str">
        <f>IF(LEN(Items[[#This Row],[Item]])&gt;0,Items[[#This Row],[Raw Item]]+COUNTIF(AN$4:AN58,AN58)/100,"")</f>
        <v/>
      </c>
      <c r="C58" s="7">
        <f>IFERROR(VALUE(LEFT(VALUE(SUBSTITUTE(Items[[#This Row],[Pay Item]],"-",""))*100000000,9)),0)</f>
        <v>0</v>
      </c>
      <c r="D58" s="8"/>
      <c r="E58" s="127"/>
      <c r="F58" s="123" t="str">
        <f>IFERROR(SUBSTITUTE(VLOOKUP(Items[[#This Row],[Item]],Pay.Item.Listing[],2+2*(Units&lt;&gt;"Metric"),0),"{","&lt;"),"&lt;&lt; Pay Item not found &gt;&gt;")</f>
        <v>&lt;&lt; Pay Item not found &gt;&gt;</v>
      </c>
      <c r="G58" s="70" t="str">
        <f>IFERROR(VLOOKUP(Items[[#This Row],[Item]],Pay.Item.Listing[],3+2*(Units&lt;&gt;"Metric"),0),"–")</f>
        <v>–</v>
      </c>
      <c r="H58" s="70" t="str">
        <f>IFERROR(VLOOKUP(Items[[#This Row],[Item]],Pay.Item.Listing[],6,0),"–")</f>
        <v>–</v>
      </c>
      <c r="I58" s="70" t="str">
        <f>IFERROR(VLOOKUP(Items[[#This Row],[Item]],Pay.Item.Listing[],7,0),"–")</f>
        <v>–</v>
      </c>
      <c r="J58" s="71"/>
      <c r="K58" s="69"/>
      <c r="L58" s="69"/>
      <c r="M58" s="69"/>
      <c r="N58" s="69"/>
      <c r="O58" s="69"/>
      <c r="P58" s="69"/>
      <c r="Q58" s="69"/>
      <c r="R58" s="69"/>
      <c r="S58" s="69"/>
      <c r="T58" s="69"/>
      <c r="U58" s="69"/>
      <c r="V58" s="69"/>
      <c r="W58" s="69"/>
      <c r="X58" s="72">
        <f>IF(LEN(Items[[#This Row],[Item]])&gt;0,IF(Items[[#This Row],[Unit]]="LPSM",1,SUM(Items[[#This Row],[Col_1]:[Col_13]])),0)</f>
        <v>0</v>
      </c>
      <c r="Y58" s="190">
        <f>MAX(Items[[#This Row],[Quantity]]-SUM(Items[[#This Row],[Account2]]:Items[[#This Row],[Account7]]),0)</f>
        <v>0</v>
      </c>
      <c r="Z58" s="61"/>
      <c r="AA58" s="61"/>
      <c r="AB58" s="61"/>
      <c r="AC58" s="61"/>
      <c r="AD58" s="61"/>
      <c r="AE58" s="61"/>
      <c r="AF58" s="73"/>
      <c r="AG58" s="71"/>
      <c r="AH58" s="74"/>
      <c r="AI58" s="59"/>
      <c r="AJ58" s="190" t="str">
        <f ca="1">IFERROR(RANK(Items[[#This Row],[EstSort]],OFFSET(Items[EstSort],0,0,ROW(Proposed[])-ROW(Items[])+ROWS(Proposed[]),1),1),"")</f>
        <v/>
      </c>
      <c r="AK58" s="190" t="str">
        <f ca="1">IF(CHOOSE(MATCH(Account,Accounts,0),Items[[#This Row],[Count]],Items[[#This Row],[Account1]],Items[[#This Row],[Account2]],Items[[#This Row],[Account3]],Items[[#This Row],[Account7]])&gt;0,Items[[#This Row],[Sort]],"")</f>
        <v/>
      </c>
      <c r="AL58" s="70" t="str">
        <f ca="1">IF(LEN(Items[[#This Row],[Count]])&gt;0,IFERROR(INDEX(Calcs[Counter],MATCH(Items[[#This Row],[Line]],Calcs[Line],0)),""),"")</f>
        <v/>
      </c>
      <c r="AM58" s="156" t="str">
        <f ca="1">IFERROR(Letter&amp;TEXT((Items[[#This Row],[Count]]-1)*Incr+BeginLine,"0000"),"")</f>
        <v/>
      </c>
      <c r="AN58" s="7" t="str">
        <f>IF(ISNA(MATCH(LEFT(Items[[#This Row],[Raw Item]],5)&amp;"-"&amp;RIGHT(Items[[#This Row],[Raw Item]],4),Pay.Item.Listing[Pay Item],0)),"",LEFT(Items[[#This Row],[Raw Item]],5)&amp;"-"&amp;RIGHT(Items[[#This Row],[Raw Item]],4))</f>
        <v/>
      </c>
    </row>
    <row r="59" spans="1:40" x14ac:dyDescent="0.15">
      <c r="A59" s="7" t="str">
        <f ca="1">IFERROR(RANK(Items[[#This Row],[Sort]],OFFSET(Items[Sort],0,0,ROW(Proposed[])-ROW(Items[])+ROWS(Proposed[]),1),1),"")</f>
        <v/>
      </c>
      <c r="B59" s="7" t="str">
        <f>IF(LEN(Items[[#This Row],[Item]])&gt;0,Items[[#This Row],[Raw Item]]+COUNTIF(AN$4:AN59,AN59)/100,"")</f>
        <v/>
      </c>
      <c r="C59" s="7">
        <f>IFERROR(VALUE(LEFT(VALUE(SUBSTITUTE(Items[[#This Row],[Pay Item]],"-",""))*100000000,9)),0)</f>
        <v>0</v>
      </c>
      <c r="D59" s="8"/>
      <c r="E59" s="127"/>
      <c r="F59" s="123" t="str">
        <f>IFERROR(SUBSTITUTE(VLOOKUP(Items[[#This Row],[Item]],Pay.Item.Listing[],2+2*(Units&lt;&gt;"Metric"),0),"{","&lt;"),"&lt;&lt; Pay Item not found &gt;&gt;")</f>
        <v>&lt;&lt; Pay Item not found &gt;&gt;</v>
      </c>
      <c r="G59" s="70" t="str">
        <f>IFERROR(VLOOKUP(Items[[#This Row],[Item]],Pay.Item.Listing[],3+2*(Units&lt;&gt;"Metric"),0),"–")</f>
        <v>–</v>
      </c>
      <c r="H59" s="70" t="str">
        <f>IFERROR(VLOOKUP(Items[[#This Row],[Item]],Pay.Item.Listing[],6,0),"–")</f>
        <v>–</v>
      </c>
      <c r="I59" s="70" t="str">
        <f>IFERROR(VLOOKUP(Items[[#This Row],[Item]],Pay.Item.Listing[],7,0),"–")</f>
        <v>–</v>
      </c>
      <c r="J59" s="71"/>
      <c r="K59" s="69"/>
      <c r="L59" s="69"/>
      <c r="M59" s="69"/>
      <c r="N59" s="69"/>
      <c r="O59" s="69"/>
      <c r="P59" s="69"/>
      <c r="Q59" s="69"/>
      <c r="R59" s="69"/>
      <c r="S59" s="69"/>
      <c r="T59" s="69"/>
      <c r="U59" s="69"/>
      <c r="V59" s="69"/>
      <c r="W59" s="69"/>
      <c r="X59" s="72">
        <f>IF(LEN(Items[[#This Row],[Item]])&gt;0,IF(Items[[#This Row],[Unit]]="LPSM",1,SUM(Items[[#This Row],[Col_1]:[Col_13]])),0)</f>
        <v>0</v>
      </c>
      <c r="Y59" s="190">
        <f>MAX(Items[[#This Row],[Quantity]]-SUM(Items[[#This Row],[Account2]]:Items[[#This Row],[Account7]]),0)</f>
        <v>0</v>
      </c>
      <c r="Z59" s="61"/>
      <c r="AA59" s="61"/>
      <c r="AB59" s="61"/>
      <c r="AC59" s="61"/>
      <c r="AD59" s="61"/>
      <c r="AE59" s="61"/>
      <c r="AF59" s="73"/>
      <c r="AG59" s="71"/>
      <c r="AH59" s="74"/>
      <c r="AI59" s="59"/>
      <c r="AJ59" s="190" t="str">
        <f ca="1">IFERROR(RANK(Items[[#This Row],[EstSort]],OFFSET(Items[EstSort],0,0,ROW(Proposed[])-ROW(Items[])+ROWS(Proposed[]),1),1),"")</f>
        <v/>
      </c>
      <c r="AK59" s="190" t="str">
        <f ca="1">IF(CHOOSE(MATCH(Account,Accounts,0),Items[[#This Row],[Count]],Items[[#This Row],[Account1]],Items[[#This Row],[Account2]],Items[[#This Row],[Account3]],Items[[#This Row],[Account7]])&gt;0,Items[[#This Row],[Sort]],"")</f>
        <v/>
      </c>
      <c r="AL59" s="70" t="str">
        <f ca="1">IF(LEN(Items[[#This Row],[Count]])&gt;0,IFERROR(INDEX(Calcs[Counter],MATCH(Items[[#This Row],[Line]],Calcs[Line],0)),""),"")</f>
        <v/>
      </c>
      <c r="AM59" s="156" t="str">
        <f ca="1">IFERROR(Letter&amp;TEXT((Items[[#This Row],[Count]]-1)*Incr+BeginLine,"0000"),"")</f>
        <v/>
      </c>
      <c r="AN59" s="7" t="str">
        <f>IF(ISNA(MATCH(LEFT(Items[[#This Row],[Raw Item]],5)&amp;"-"&amp;RIGHT(Items[[#This Row],[Raw Item]],4),Pay.Item.Listing[Pay Item],0)),"",LEFT(Items[[#This Row],[Raw Item]],5)&amp;"-"&amp;RIGHT(Items[[#This Row],[Raw Item]],4))</f>
        <v/>
      </c>
    </row>
    <row r="60" spans="1:40" x14ac:dyDescent="0.15">
      <c r="A60" s="7" t="str">
        <f ca="1">IFERROR(RANK(Items[[#This Row],[Sort]],OFFSET(Items[Sort],0,0,ROW(Proposed[])-ROW(Items[])+ROWS(Proposed[]),1),1),"")</f>
        <v/>
      </c>
      <c r="B60" s="7" t="str">
        <f>IF(LEN(Items[[#This Row],[Item]])&gt;0,Items[[#This Row],[Raw Item]]+COUNTIF(AN$4:AN60,AN60)/100,"")</f>
        <v/>
      </c>
      <c r="C60" s="7">
        <f>IFERROR(VALUE(LEFT(VALUE(SUBSTITUTE(Items[[#This Row],[Pay Item]],"-",""))*100000000,9)),0)</f>
        <v>0</v>
      </c>
      <c r="D60" s="8"/>
      <c r="E60" s="127"/>
      <c r="F60" s="123" t="str">
        <f>IFERROR(SUBSTITUTE(VLOOKUP(Items[[#This Row],[Item]],Pay.Item.Listing[],2+2*(Units&lt;&gt;"Metric"),0),"{","&lt;"),"&lt;&lt; Pay Item not found &gt;&gt;")</f>
        <v>&lt;&lt; Pay Item not found &gt;&gt;</v>
      </c>
      <c r="G60" s="70" t="str">
        <f>IFERROR(VLOOKUP(Items[[#This Row],[Item]],Pay.Item.Listing[],3+2*(Units&lt;&gt;"Metric"),0),"–")</f>
        <v>–</v>
      </c>
      <c r="H60" s="70" t="str">
        <f>IFERROR(VLOOKUP(Items[[#This Row],[Item]],Pay.Item.Listing[],6,0),"–")</f>
        <v>–</v>
      </c>
      <c r="I60" s="70" t="str">
        <f>IFERROR(VLOOKUP(Items[[#This Row],[Item]],Pay.Item.Listing[],7,0),"–")</f>
        <v>–</v>
      </c>
      <c r="J60" s="71"/>
      <c r="K60" s="69"/>
      <c r="L60" s="69"/>
      <c r="M60" s="69"/>
      <c r="N60" s="69"/>
      <c r="O60" s="69"/>
      <c r="P60" s="69"/>
      <c r="Q60" s="69"/>
      <c r="R60" s="69"/>
      <c r="S60" s="69"/>
      <c r="T60" s="69"/>
      <c r="U60" s="69"/>
      <c r="V60" s="69"/>
      <c r="W60" s="69"/>
      <c r="X60" s="72">
        <f>IF(LEN(Items[[#This Row],[Item]])&gt;0,IF(Items[[#This Row],[Unit]]="LPSM",1,SUM(Items[[#This Row],[Col_1]:[Col_13]])),0)</f>
        <v>0</v>
      </c>
      <c r="Y60" s="190">
        <f>MAX(Items[[#This Row],[Quantity]]-SUM(Items[[#This Row],[Account2]]:Items[[#This Row],[Account7]]),0)</f>
        <v>0</v>
      </c>
      <c r="Z60" s="61"/>
      <c r="AA60" s="61"/>
      <c r="AB60" s="61"/>
      <c r="AC60" s="61"/>
      <c r="AD60" s="61"/>
      <c r="AE60" s="61"/>
      <c r="AF60" s="73"/>
      <c r="AG60" s="71"/>
      <c r="AH60" s="74"/>
      <c r="AI60" s="59"/>
      <c r="AJ60" s="190" t="str">
        <f ca="1">IFERROR(RANK(Items[[#This Row],[EstSort]],OFFSET(Items[EstSort],0,0,ROW(Proposed[])-ROW(Items[])+ROWS(Proposed[]),1),1),"")</f>
        <v/>
      </c>
      <c r="AK60" s="190" t="str">
        <f ca="1">IF(CHOOSE(MATCH(Account,Accounts,0),Items[[#This Row],[Count]],Items[[#This Row],[Account1]],Items[[#This Row],[Account2]],Items[[#This Row],[Account3]],Items[[#This Row],[Account7]])&gt;0,Items[[#This Row],[Sort]],"")</f>
        <v/>
      </c>
      <c r="AL60" s="70" t="str">
        <f ca="1">IF(LEN(Items[[#This Row],[Count]])&gt;0,IFERROR(INDEX(Calcs[Counter],MATCH(Items[[#This Row],[Line]],Calcs[Line],0)),""),"")</f>
        <v/>
      </c>
      <c r="AM60" s="156" t="str">
        <f ca="1">IFERROR(Letter&amp;TEXT((Items[[#This Row],[Count]]-1)*Incr+BeginLine,"0000"),"")</f>
        <v/>
      </c>
      <c r="AN60" s="7" t="str">
        <f>IF(ISNA(MATCH(LEFT(Items[[#This Row],[Raw Item]],5)&amp;"-"&amp;RIGHT(Items[[#This Row],[Raw Item]],4),Pay.Item.Listing[Pay Item],0)),"",LEFT(Items[[#This Row],[Raw Item]],5)&amp;"-"&amp;RIGHT(Items[[#This Row],[Raw Item]],4))</f>
        <v/>
      </c>
    </row>
    <row r="61" spans="1:40" x14ac:dyDescent="0.15">
      <c r="A61" s="7" t="str">
        <f ca="1">IFERROR(RANK(Items[[#This Row],[Sort]],OFFSET(Items[Sort],0,0,ROW(Proposed[])-ROW(Items[])+ROWS(Proposed[]),1),1),"")</f>
        <v/>
      </c>
      <c r="B61" s="7" t="str">
        <f>IF(LEN(Items[[#This Row],[Item]])&gt;0,Items[[#This Row],[Raw Item]]+COUNTIF(AN$4:AN61,AN61)/100,"")</f>
        <v/>
      </c>
      <c r="C61" s="7">
        <f>IFERROR(VALUE(LEFT(VALUE(SUBSTITUTE(Items[[#This Row],[Pay Item]],"-",""))*100000000,9)),0)</f>
        <v>0</v>
      </c>
      <c r="D61" s="8"/>
      <c r="E61" s="127"/>
      <c r="F61" s="123" t="str">
        <f>IFERROR(SUBSTITUTE(VLOOKUP(Items[[#This Row],[Item]],Pay.Item.Listing[],2+2*(Units&lt;&gt;"Metric"),0),"{","&lt;"),"&lt;&lt; Pay Item not found &gt;&gt;")</f>
        <v>&lt;&lt; Pay Item not found &gt;&gt;</v>
      </c>
      <c r="G61" s="70" t="str">
        <f>IFERROR(VLOOKUP(Items[[#This Row],[Item]],Pay.Item.Listing[],3+2*(Units&lt;&gt;"Metric"),0),"–")</f>
        <v>–</v>
      </c>
      <c r="H61" s="70" t="str">
        <f>IFERROR(VLOOKUP(Items[[#This Row],[Item]],Pay.Item.Listing[],6,0),"–")</f>
        <v>–</v>
      </c>
      <c r="I61" s="70" t="str">
        <f>IFERROR(VLOOKUP(Items[[#This Row],[Item]],Pay.Item.Listing[],7,0),"–")</f>
        <v>–</v>
      </c>
      <c r="J61" s="71"/>
      <c r="K61" s="69"/>
      <c r="L61" s="69"/>
      <c r="M61" s="69"/>
      <c r="N61" s="69"/>
      <c r="O61" s="69"/>
      <c r="P61" s="69"/>
      <c r="Q61" s="69"/>
      <c r="R61" s="69"/>
      <c r="S61" s="69"/>
      <c r="T61" s="69"/>
      <c r="U61" s="69"/>
      <c r="V61" s="69"/>
      <c r="W61" s="69"/>
      <c r="X61" s="72">
        <f>IF(LEN(Items[[#This Row],[Item]])&gt;0,IF(Items[[#This Row],[Unit]]="LPSM",1,SUM(Items[[#This Row],[Col_1]:[Col_13]])),0)</f>
        <v>0</v>
      </c>
      <c r="Y61" s="190">
        <f>MAX(Items[[#This Row],[Quantity]]-SUM(Items[[#This Row],[Account2]]:Items[[#This Row],[Account7]]),0)</f>
        <v>0</v>
      </c>
      <c r="Z61" s="61"/>
      <c r="AA61" s="61"/>
      <c r="AB61" s="61"/>
      <c r="AC61" s="61"/>
      <c r="AD61" s="61"/>
      <c r="AE61" s="61"/>
      <c r="AF61" s="73"/>
      <c r="AG61" s="71"/>
      <c r="AH61" s="74"/>
      <c r="AI61" s="59"/>
      <c r="AJ61" s="190" t="str">
        <f ca="1">IFERROR(RANK(Items[[#This Row],[EstSort]],OFFSET(Items[EstSort],0,0,ROW(Proposed[])-ROW(Items[])+ROWS(Proposed[]),1),1),"")</f>
        <v/>
      </c>
      <c r="AK61" s="190" t="str">
        <f ca="1">IF(CHOOSE(MATCH(Account,Accounts,0),Items[[#This Row],[Count]],Items[[#This Row],[Account1]],Items[[#This Row],[Account2]],Items[[#This Row],[Account3]],Items[[#This Row],[Account7]])&gt;0,Items[[#This Row],[Sort]],"")</f>
        <v/>
      </c>
      <c r="AL61" s="70" t="str">
        <f ca="1">IF(LEN(Items[[#This Row],[Count]])&gt;0,IFERROR(INDEX(Calcs[Counter],MATCH(Items[[#This Row],[Line]],Calcs[Line],0)),""),"")</f>
        <v/>
      </c>
      <c r="AM61" s="156" t="str">
        <f ca="1">IFERROR(Letter&amp;TEXT((Items[[#This Row],[Count]]-1)*Incr+BeginLine,"0000"),"")</f>
        <v/>
      </c>
      <c r="AN61" s="7" t="str">
        <f>IF(ISNA(MATCH(LEFT(Items[[#This Row],[Raw Item]],5)&amp;"-"&amp;RIGHT(Items[[#This Row],[Raw Item]],4),Pay.Item.Listing[Pay Item],0)),"",LEFT(Items[[#This Row],[Raw Item]],5)&amp;"-"&amp;RIGHT(Items[[#This Row],[Raw Item]],4))</f>
        <v/>
      </c>
    </row>
    <row r="62" spans="1:40" x14ac:dyDescent="0.15">
      <c r="A62" s="7" t="str">
        <f ca="1">IFERROR(RANK(Items[[#This Row],[Sort]],OFFSET(Items[Sort],0,0,ROW(Proposed[])-ROW(Items[])+ROWS(Proposed[]),1),1),"")</f>
        <v/>
      </c>
      <c r="B62" s="7" t="str">
        <f>IF(LEN(Items[[#This Row],[Item]])&gt;0,Items[[#This Row],[Raw Item]]+COUNTIF(AN$4:AN62,AN62)/100,"")</f>
        <v/>
      </c>
      <c r="C62" s="7">
        <f>IFERROR(VALUE(LEFT(VALUE(SUBSTITUTE(Items[[#This Row],[Pay Item]],"-",""))*100000000,9)),0)</f>
        <v>0</v>
      </c>
      <c r="D62" s="8"/>
      <c r="E62" s="127"/>
      <c r="F62" s="123" t="str">
        <f>IFERROR(SUBSTITUTE(VLOOKUP(Items[[#This Row],[Item]],Pay.Item.Listing[],2+2*(Units&lt;&gt;"Metric"),0),"{","&lt;"),"&lt;&lt; Pay Item not found &gt;&gt;")</f>
        <v>&lt;&lt; Pay Item not found &gt;&gt;</v>
      </c>
      <c r="G62" s="70" t="str">
        <f>IFERROR(VLOOKUP(Items[[#This Row],[Item]],Pay.Item.Listing[],3+2*(Units&lt;&gt;"Metric"),0),"–")</f>
        <v>–</v>
      </c>
      <c r="H62" s="70" t="str">
        <f>IFERROR(VLOOKUP(Items[[#This Row],[Item]],Pay.Item.Listing[],6,0),"–")</f>
        <v>–</v>
      </c>
      <c r="I62" s="70" t="str">
        <f>IFERROR(VLOOKUP(Items[[#This Row],[Item]],Pay.Item.Listing[],7,0),"–")</f>
        <v>–</v>
      </c>
      <c r="J62" s="71"/>
      <c r="K62" s="69"/>
      <c r="L62" s="69"/>
      <c r="M62" s="69"/>
      <c r="N62" s="69"/>
      <c r="O62" s="69"/>
      <c r="P62" s="69"/>
      <c r="Q62" s="69"/>
      <c r="R62" s="69"/>
      <c r="S62" s="69"/>
      <c r="T62" s="69"/>
      <c r="U62" s="69"/>
      <c r="V62" s="69"/>
      <c r="W62" s="69"/>
      <c r="X62" s="72">
        <f>IF(LEN(Items[[#This Row],[Item]])&gt;0,IF(Items[[#This Row],[Unit]]="LPSM",1,SUM(Items[[#This Row],[Col_1]:[Col_13]])),0)</f>
        <v>0</v>
      </c>
      <c r="Y62" s="190">
        <f>MAX(Items[[#This Row],[Quantity]]-SUM(Items[[#This Row],[Account2]]:Items[[#This Row],[Account7]]),0)</f>
        <v>0</v>
      </c>
      <c r="Z62" s="61"/>
      <c r="AA62" s="61"/>
      <c r="AB62" s="61"/>
      <c r="AC62" s="61"/>
      <c r="AD62" s="61"/>
      <c r="AE62" s="61"/>
      <c r="AF62" s="73"/>
      <c r="AG62" s="71"/>
      <c r="AH62" s="74"/>
      <c r="AI62" s="59"/>
      <c r="AJ62" s="190" t="str">
        <f ca="1">IFERROR(RANK(Items[[#This Row],[EstSort]],OFFSET(Items[EstSort],0,0,ROW(Proposed[])-ROW(Items[])+ROWS(Proposed[]),1),1),"")</f>
        <v/>
      </c>
      <c r="AK62" s="190" t="str">
        <f ca="1">IF(CHOOSE(MATCH(Account,Accounts,0),Items[[#This Row],[Count]],Items[[#This Row],[Account1]],Items[[#This Row],[Account2]],Items[[#This Row],[Account3]],Items[[#This Row],[Account7]])&gt;0,Items[[#This Row],[Sort]],"")</f>
        <v/>
      </c>
      <c r="AL62" s="70" t="str">
        <f ca="1">IF(LEN(Items[[#This Row],[Count]])&gt;0,IFERROR(INDEX(Calcs[Counter],MATCH(Items[[#This Row],[Line]],Calcs[Line],0)),""),"")</f>
        <v/>
      </c>
      <c r="AM62" s="156" t="str">
        <f ca="1">IFERROR(Letter&amp;TEXT((Items[[#This Row],[Count]]-1)*Incr+BeginLine,"0000"),"")</f>
        <v/>
      </c>
      <c r="AN62" s="7" t="str">
        <f>IF(ISNA(MATCH(LEFT(Items[[#This Row],[Raw Item]],5)&amp;"-"&amp;RIGHT(Items[[#This Row],[Raw Item]],4),Pay.Item.Listing[Pay Item],0)),"",LEFT(Items[[#This Row],[Raw Item]],5)&amp;"-"&amp;RIGHT(Items[[#This Row],[Raw Item]],4))</f>
        <v/>
      </c>
    </row>
    <row r="63" spans="1:40" x14ac:dyDescent="0.15">
      <c r="A63" s="7" t="str">
        <f ca="1">IFERROR(RANK(Items[[#This Row],[Sort]],OFFSET(Items[Sort],0,0,ROW(Proposed[])-ROW(Items[])+ROWS(Proposed[]),1),1),"")</f>
        <v/>
      </c>
      <c r="B63" s="7" t="str">
        <f>IF(LEN(Items[[#This Row],[Item]])&gt;0,Items[[#This Row],[Raw Item]]+COUNTIF(AN$4:AN63,AN63)/100,"")</f>
        <v/>
      </c>
      <c r="C63" s="7">
        <f>IFERROR(VALUE(LEFT(VALUE(SUBSTITUTE(Items[[#This Row],[Pay Item]],"-",""))*100000000,9)),0)</f>
        <v>0</v>
      </c>
      <c r="D63" s="8"/>
      <c r="E63" s="127"/>
      <c r="F63" s="123" t="str">
        <f>IFERROR(SUBSTITUTE(VLOOKUP(Items[[#This Row],[Item]],Pay.Item.Listing[],2+2*(Units&lt;&gt;"Metric"),0),"{","&lt;"),"&lt;&lt; Pay Item not found &gt;&gt;")</f>
        <v>&lt;&lt; Pay Item not found &gt;&gt;</v>
      </c>
      <c r="G63" s="70" t="str">
        <f>IFERROR(VLOOKUP(Items[[#This Row],[Item]],Pay.Item.Listing[],3+2*(Units&lt;&gt;"Metric"),0),"–")</f>
        <v>–</v>
      </c>
      <c r="H63" s="70" t="str">
        <f>IFERROR(VLOOKUP(Items[[#This Row],[Item]],Pay.Item.Listing[],6,0),"–")</f>
        <v>–</v>
      </c>
      <c r="I63" s="70" t="str">
        <f>IFERROR(VLOOKUP(Items[[#This Row],[Item]],Pay.Item.Listing[],7,0),"–")</f>
        <v>–</v>
      </c>
      <c r="J63" s="71"/>
      <c r="K63" s="69"/>
      <c r="L63" s="69"/>
      <c r="M63" s="69"/>
      <c r="N63" s="69"/>
      <c r="O63" s="69"/>
      <c r="P63" s="69"/>
      <c r="Q63" s="69"/>
      <c r="R63" s="69"/>
      <c r="S63" s="69"/>
      <c r="T63" s="69"/>
      <c r="U63" s="69"/>
      <c r="V63" s="69"/>
      <c r="W63" s="69"/>
      <c r="X63" s="72">
        <f>IF(LEN(Items[[#This Row],[Item]])&gt;0,IF(Items[[#This Row],[Unit]]="LPSM",1,SUM(Items[[#This Row],[Col_1]:[Col_13]])),0)</f>
        <v>0</v>
      </c>
      <c r="Y63" s="190">
        <f>MAX(Items[[#This Row],[Quantity]]-SUM(Items[[#This Row],[Account2]]:Items[[#This Row],[Account7]]),0)</f>
        <v>0</v>
      </c>
      <c r="Z63" s="61"/>
      <c r="AA63" s="61"/>
      <c r="AB63" s="61"/>
      <c r="AC63" s="61"/>
      <c r="AD63" s="61"/>
      <c r="AE63" s="61"/>
      <c r="AF63" s="73"/>
      <c r="AG63" s="71"/>
      <c r="AH63" s="74"/>
      <c r="AI63" s="59"/>
      <c r="AJ63" s="190" t="str">
        <f ca="1">IFERROR(RANK(Items[[#This Row],[EstSort]],OFFSET(Items[EstSort],0,0,ROW(Proposed[])-ROW(Items[])+ROWS(Proposed[]),1),1),"")</f>
        <v/>
      </c>
      <c r="AK63" s="190" t="str">
        <f ca="1">IF(CHOOSE(MATCH(Account,Accounts,0),Items[[#This Row],[Count]],Items[[#This Row],[Account1]],Items[[#This Row],[Account2]],Items[[#This Row],[Account3]],Items[[#This Row],[Account7]])&gt;0,Items[[#This Row],[Sort]],"")</f>
        <v/>
      </c>
      <c r="AL63" s="70" t="str">
        <f ca="1">IF(LEN(Items[[#This Row],[Count]])&gt;0,IFERROR(INDEX(Calcs[Counter],MATCH(Items[[#This Row],[Line]],Calcs[Line],0)),""),"")</f>
        <v/>
      </c>
      <c r="AM63" s="156" t="str">
        <f ca="1">IFERROR(Letter&amp;TEXT((Items[[#This Row],[Count]]-1)*Incr+BeginLine,"0000"),"")</f>
        <v/>
      </c>
      <c r="AN63" s="7" t="str">
        <f>IF(ISNA(MATCH(LEFT(Items[[#This Row],[Raw Item]],5)&amp;"-"&amp;RIGHT(Items[[#This Row],[Raw Item]],4),Pay.Item.Listing[Pay Item],0)),"",LEFT(Items[[#This Row],[Raw Item]],5)&amp;"-"&amp;RIGHT(Items[[#This Row],[Raw Item]],4))</f>
        <v/>
      </c>
    </row>
    <row r="64" spans="1:40" x14ac:dyDescent="0.15">
      <c r="A64" s="7" t="str">
        <f ca="1">IFERROR(RANK(Items[[#This Row],[Sort]],OFFSET(Items[Sort],0,0,ROW(Proposed[])-ROW(Items[])+ROWS(Proposed[]),1),1),"")</f>
        <v/>
      </c>
      <c r="B64" s="7" t="str">
        <f>IF(LEN(Items[[#This Row],[Item]])&gt;0,Items[[#This Row],[Raw Item]]+COUNTIF(AN$4:AN64,AN64)/100,"")</f>
        <v/>
      </c>
      <c r="C64" s="7">
        <f>IFERROR(VALUE(LEFT(VALUE(SUBSTITUTE(Items[[#This Row],[Pay Item]],"-",""))*100000000,9)),0)</f>
        <v>0</v>
      </c>
      <c r="D64" s="8"/>
      <c r="E64" s="127"/>
      <c r="F64" s="123" t="str">
        <f>IFERROR(SUBSTITUTE(VLOOKUP(Items[[#This Row],[Item]],Pay.Item.Listing[],2+2*(Units&lt;&gt;"Metric"),0),"{","&lt;"),"&lt;&lt; Pay Item not found &gt;&gt;")</f>
        <v>&lt;&lt; Pay Item not found &gt;&gt;</v>
      </c>
      <c r="G64" s="70" t="str">
        <f>IFERROR(VLOOKUP(Items[[#This Row],[Item]],Pay.Item.Listing[],3+2*(Units&lt;&gt;"Metric"),0),"–")</f>
        <v>–</v>
      </c>
      <c r="H64" s="70" t="str">
        <f>IFERROR(VLOOKUP(Items[[#This Row],[Item]],Pay.Item.Listing[],6,0),"–")</f>
        <v>–</v>
      </c>
      <c r="I64" s="70" t="str">
        <f>IFERROR(VLOOKUP(Items[[#This Row],[Item]],Pay.Item.Listing[],7,0),"–")</f>
        <v>–</v>
      </c>
      <c r="J64" s="71"/>
      <c r="K64" s="69"/>
      <c r="L64" s="69"/>
      <c r="M64" s="69"/>
      <c r="N64" s="69"/>
      <c r="O64" s="69"/>
      <c r="P64" s="69"/>
      <c r="Q64" s="69"/>
      <c r="R64" s="69"/>
      <c r="S64" s="69"/>
      <c r="T64" s="69"/>
      <c r="U64" s="69"/>
      <c r="V64" s="69"/>
      <c r="W64" s="69"/>
      <c r="X64" s="72">
        <f>IF(LEN(Items[[#This Row],[Item]])&gt;0,IF(Items[[#This Row],[Unit]]="LPSM",1,SUM(Items[[#This Row],[Col_1]:[Col_13]])),0)</f>
        <v>0</v>
      </c>
      <c r="Y64" s="190">
        <f>MAX(Items[[#This Row],[Quantity]]-SUM(Items[[#This Row],[Account2]]:Items[[#This Row],[Account7]]),0)</f>
        <v>0</v>
      </c>
      <c r="Z64" s="61"/>
      <c r="AA64" s="61"/>
      <c r="AB64" s="61"/>
      <c r="AC64" s="61"/>
      <c r="AD64" s="61"/>
      <c r="AE64" s="61"/>
      <c r="AF64" s="73"/>
      <c r="AG64" s="71"/>
      <c r="AH64" s="74"/>
      <c r="AI64" s="59"/>
      <c r="AJ64" s="190" t="str">
        <f ca="1">IFERROR(RANK(Items[[#This Row],[EstSort]],OFFSET(Items[EstSort],0,0,ROW(Proposed[])-ROW(Items[])+ROWS(Proposed[]),1),1),"")</f>
        <v/>
      </c>
      <c r="AK64" s="190" t="str">
        <f ca="1">IF(CHOOSE(MATCH(Account,Accounts,0),Items[[#This Row],[Count]],Items[[#This Row],[Account1]],Items[[#This Row],[Account2]],Items[[#This Row],[Account3]],Items[[#This Row],[Account7]])&gt;0,Items[[#This Row],[Sort]],"")</f>
        <v/>
      </c>
      <c r="AL64" s="70" t="str">
        <f ca="1">IF(LEN(Items[[#This Row],[Count]])&gt;0,IFERROR(INDEX(Calcs[Counter],MATCH(Items[[#This Row],[Line]],Calcs[Line],0)),""),"")</f>
        <v/>
      </c>
      <c r="AM64" s="156" t="str">
        <f ca="1">IFERROR(Letter&amp;TEXT((Items[[#This Row],[Count]]-1)*Incr+BeginLine,"0000"),"")</f>
        <v/>
      </c>
      <c r="AN64" s="7" t="str">
        <f>IF(ISNA(MATCH(LEFT(Items[[#This Row],[Raw Item]],5)&amp;"-"&amp;RIGHT(Items[[#This Row],[Raw Item]],4),Pay.Item.Listing[Pay Item],0)),"",LEFT(Items[[#This Row],[Raw Item]],5)&amp;"-"&amp;RIGHT(Items[[#This Row],[Raw Item]],4))</f>
        <v/>
      </c>
    </row>
    <row r="65" spans="1:40" x14ac:dyDescent="0.15">
      <c r="A65" s="7" t="str">
        <f ca="1">IFERROR(RANK(Items[[#This Row],[Sort]],OFFSET(Items[Sort],0,0,ROW(Proposed[])-ROW(Items[])+ROWS(Proposed[]),1),1),"")</f>
        <v/>
      </c>
      <c r="B65" s="7" t="str">
        <f>IF(LEN(Items[[#This Row],[Item]])&gt;0,Items[[#This Row],[Raw Item]]+COUNTIF(AN$4:AN65,AN65)/100,"")</f>
        <v/>
      </c>
      <c r="C65" s="7">
        <f>IFERROR(VALUE(LEFT(VALUE(SUBSTITUTE(Items[[#This Row],[Pay Item]],"-",""))*100000000,9)),0)</f>
        <v>0</v>
      </c>
      <c r="D65" s="8"/>
      <c r="E65" s="127"/>
      <c r="F65" s="123" t="str">
        <f>IFERROR(SUBSTITUTE(VLOOKUP(Items[[#This Row],[Item]],Pay.Item.Listing[],2+2*(Units&lt;&gt;"Metric"),0),"{","&lt;"),"&lt;&lt; Pay Item not found &gt;&gt;")</f>
        <v>&lt;&lt; Pay Item not found &gt;&gt;</v>
      </c>
      <c r="G65" s="70" t="str">
        <f>IFERROR(VLOOKUP(Items[[#This Row],[Item]],Pay.Item.Listing[],3+2*(Units&lt;&gt;"Metric"),0),"–")</f>
        <v>–</v>
      </c>
      <c r="H65" s="70" t="str">
        <f>IFERROR(VLOOKUP(Items[[#This Row],[Item]],Pay.Item.Listing[],6,0),"–")</f>
        <v>–</v>
      </c>
      <c r="I65" s="70" t="str">
        <f>IFERROR(VLOOKUP(Items[[#This Row],[Item]],Pay.Item.Listing[],7,0),"–")</f>
        <v>–</v>
      </c>
      <c r="J65" s="71"/>
      <c r="K65" s="69"/>
      <c r="L65" s="69"/>
      <c r="M65" s="69"/>
      <c r="N65" s="69"/>
      <c r="O65" s="69"/>
      <c r="P65" s="69"/>
      <c r="Q65" s="69"/>
      <c r="R65" s="69"/>
      <c r="S65" s="69"/>
      <c r="T65" s="69"/>
      <c r="U65" s="69"/>
      <c r="V65" s="69"/>
      <c r="W65" s="69"/>
      <c r="X65" s="72">
        <f>IF(LEN(Items[[#This Row],[Item]])&gt;0,IF(Items[[#This Row],[Unit]]="LPSM",1,SUM(Items[[#This Row],[Col_1]:[Col_13]])),0)</f>
        <v>0</v>
      </c>
      <c r="Y65" s="190">
        <f>MAX(Items[[#This Row],[Quantity]]-SUM(Items[[#This Row],[Account2]]:Items[[#This Row],[Account7]]),0)</f>
        <v>0</v>
      </c>
      <c r="Z65" s="61"/>
      <c r="AA65" s="61"/>
      <c r="AB65" s="61"/>
      <c r="AC65" s="61"/>
      <c r="AD65" s="61"/>
      <c r="AE65" s="61"/>
      <c r="AF65" s="73"/>
      <c r="AG65" s="71"/>
      <c r="AH65" s="74"/>
      <c r="AI65" s="59"/>
      <c r="AJ65" s="190" t="str">
        <f ca="1">IFERROR(RANK(Items[[#This Row],[EstSort]],OFFSET(Items[EstSort],0,0,ROW(Proposed[])-ROW(Items[])+ROWS(Proposed[]),1),1),"")</f>
        <v/>
      </c>
      <c r="AK65" s="190" t="str">
        <f ca="1">IF(CHOOSE(MATCH(Account,Accounts,0),Items[[#This Row],[Count]],Items[[#This Row],[Account1]],Items[[#This Row],[Account2]],Items[[#This Row],[Account3]],Items[[#This Row],[Account7]])&gt;0,Items[[#This Row],[Sort]],"")</f>
        <v/>
      </c>
      <c r="AL65" s="70" t="str">
        <f ca="1">IF(LEN(Items[[#This Row],[Count]])&gt;0,IFERROR(INDEX(Calcs[Counter],MATCH(Items[[#This Row],[Line]],Calcs[Line],0)),""),"")</f>
        <v/>
      </c>
      <c r="AM65" s="156" t="str">
        <f ca="1">IFERROR(Letter&amp;TEXT((Items[[#This Row],[Count]]-1)*Incr+BeginLine,"0000"),"")</f>
        <v/>
      </c>
      <c r="AN65" s="7" t="str">
        <f>IF(ISNA(MATCH(LEFT(Items[[#This Row],[Raw Item]],5)&amp;"-"&amp;RIGHT(Items[[#This Row],[Raw Item]],4),Pay.Item.Listing[Pay Item],0)),"",LEFT(Items[[#This Row],[Raw Item]],5)&amp;"-"&amp;RIGHT(Items[[#This Row],[Raw Item]],4))</f>
        <v/>
      </c>
    </row>
    <row r="66" spans="1:40" x14ac:dyDescent="0.15">
      <c r="A66" s="7" t="str">
        <f ca="1">IFERROR(RANK(Items[[#This Row],[Sort]],OFFSET(Items[Sort],0,0,ROW(Proposed[])-ROW(Items[])+ROWS(Proposed[]),1),1),"")</f>
        <v/>
      </c>
      <c r="B66" s="7" t="str">
        <f>IF(LEN(Items[[#This Row],[Item]])&gt;0,Items[[#This Row],[Raw Item]]+COUNTIF(AN$4:AN66,AN66)/100,"")</f>
        <v/>
      </c>
      <c r="C66" s="7">
        <f>IFERROR(VALUE(LEFT(VALUE(SUBSTITUTE(Items[[#This Row],[Pay Item]],"-",""))*100000000,9)),0)</f>
        <v>0</v>
      </c>
      <c r="D66" s="8"/>
      <c r="E66" s="127"/>
      <c r="F66" s="123" t="str">
        <f>IFERROR(SUBSTITUTE(VLOOKUP(Items[[#This Row],[Item]],Pay.Item.Listing[],2+2*(Units&lt;&gt;"Metric"),0),"{","&lt;"),"&lt;&lt; Pay Item not found &gt;&gt;")</f>
        <v>&lt;&lt; Pay Item not found &gt;&gt;</v>
      </c>
      <c r="G66" s="70" t="str">
        <f>IFERROR(VLOOKUP(Items[[#This Row],[Item]],Pay.Item.Listing[],3+2*(Units&lt;&gt;"Metric"),0),"–")</f>
        <v>–</v>
      </c>
      <c r="H66" s="70" t="str">
        <f>IFERROR(VLOOKUP(Items[[#This Row],[Item]],Pay.Item.Listing[],6,0),"–")</f>
        <v>–</v>
      </c>
      <c r="I66" s="70" t="str">
        <f>IFERROR(VLOOKUP(Items[[#This Row],[Item]],Pay.Item.Listing[],7,0),"–")</f>
        <v>–</v>
      </c>
      <c r="J66" s="71"/>
      <c r="K66" s="69"/>
      <c r="L66" s="69"/>
      <c r="M66" s="69"/>
      <c r="N66" s="69"/>
      <c r="O66" s="69"/>
      <c r="P66" s="69"/>
      <c r="Q66" s="69"/>
      <c r="R66" s="69"/>
      <c r="S66" s="69"/>
      <c r="T66" s="69"/>
      <c r="U66" s="69"/>
      <c r="V66" s="69"/>
      <c r="W66" s="69"/>
      <c r="X66" s="72">
        <f>IF(LEN(Items[[#This Row],[Item]])&gt;0,IF(Items[[#This Row],[Unit]]="LPSM",1,SUM(Items[[#This Row],[Col_1]:[Col_13]])),0)</f>
        <v>0</v>
      </c>
      <c r="Y66" s="190">
        <f>MAX(Items[[#This Row],[Quantity]]-SUM(Items[[#This Row],[Account2]]:Items[[#This Row],[Account7]]),0)</f>
        <v>0</v>
      </c>
      <c r="Z66" s="61"/>
      <c r="AA66" s="61"/>
      <c r="AB66" s="61"/>
      <c r="AC66" s="61"/>
      <c r="AD66" s="61"/>
      <c r="AE66" s="61"/>
      <c r="AF66" s="73"/>
      <c r="AG66" s="71"/>
      <c r="AH66" s="74"/>
      <c r="AI66" s="59"/>
      <c r="AJ66" s="190" t="str">
        <f ca="1">IFERROR(RANK(Items[[#This Row],[EstSort]],OFFSET(Items[EstSort],0,0,ROW(Proposed[])-ROW(Items[])+ROWS(Proposed[]),1),1),"")</f>
        <v/>
      </c>
      <c r="AK66" s="190" t="str">
        <f ca="1">IF(CHOOSE(MATCH(Account,Accounts,0),Items[[#This Row],[Count]],Items[[#This Row],[Account1]],Items[[#This Row],[Account2]],Items[[#This Row],[Account3]],Items[[#This Row],[Account7]])&gt;0,Items[[#This Row],[Sort]],"")</f>
        <v/>
      </c>
      <c r="AL66" s="70" t="str">
        <f ca="1">IF(LEN(Items[[#This Row],[Count]])&gt;0,IFERROR(INDEX(Calcs[Counter],MATCH(Items[[#This Row],[Line]],Calcs[Line],0)),""),"")</f>
        <v/>
      </c>
      <c r="AM66" s="156" t="str">
        <f ca="1">IFERROR(Letter&amp;TEXT((Items[[#This Row],[Count]]-1)*Incr+BeginLine,"0000"),"")</f>
        <v/>
      </c>
      <c r="AN66" s="7" t="str">
        <f>IF(ISNA(MATCH(LEFT(Items[[#This Row],[Raw Item]],5)&amp;"-"&amp;RIGHT(Items[[#This Row],[Raw Item]],4),Pay.Item.Listing[Pay Item],0)),"",LEFT(Items[[#This Row],[Raw Item]],5)&amp;"-"&amp;RIGHT(Items[[#This Row],[Raw Item]],4))</f>
        <v/>
      </c>
    </row>
    <row r="67" spans="1:40" x14ac:dyDescent="0.15">
      <c r="A67" s="7" t="str">
        <f ca="1">IFERROR(RANK(Items[[#This Row],[Sort]],OFFSET(Items[Sort],0,0,ROW(Proposed[])-ROW(Items[])+ROWS(Proposed[]),1),1),"")</f>
        <v/>
      </c>
      <c r="B67" s="7" t="str">
        <f>IF(LEN(Items[[#This Row],[Item]])&gt;0,Items[[#This Row],[Raw Item]]+COUNTIF(AN$4:AN67,AN67)/100,"")</f>
        <v/>
      </c>
      <c r="C67" s="7">
        <f>IFERROR(VALUE(LEFT(VALUE(SUBSTITUTE(Items[[#This Row],[Pay Item]],"-",""))*100000000,9)),0)</f>
        <v>0</v>
      </c>
      <c r="D67" s="8"/>
      <c r="E67" s="127"/>
      <c r="F67" s="123" t="str">
        <f>IFERROR(SUBSTITUTE(VLOOKUP(Items[[#This Row],[Item]],Pay.Item.Listing[],2+2*(Units&lt;&gt;"Metric"),0),"{","&lt;"),"&lt;&lt; Pay Item not found &gt;&gt;")</f>
        <v>&lt;&lt; Pay Item not found &gt;&gt;</v>
      </c>
      <c r="G67" s="70" t="str">
        <f>IFERROR(VLOOKUP(Items[[#This Row],[Item]],Pay.Item.Listing[],3+2*(Units&lt;&gt;"Metric"),0),"–")</f>
        <v>–</v>
      </c>
      <c r="H67" s="70" t="str">
        <f>IFERROR(VLOOKUP(Items[[#This Row],[Item]],Pay.Item.Listing[],6,0),"–")</f>
        <v>–</v>
      </c>
      <c r="I67" s="70" t="str">
        <f>IFERROR(VLOOKUP(Items[[#This Row],[Item]],Pay.Item.Listing[],7,0),"–")</f>
        <v>–</v>
      </c>
      <c r="J67" s="71"/>
      <c r="K67" s="69"/>
      <c r="L67" s="69"/>
      <c r="M67" s="69"/>
      <c r="N67" s="69"/>
      <c r="O67" s="69"/>
      <c r="P67" s="69"/>
      <c r="Q67" s="69"/>
      <c r="R67" s="69"/>
      <c r="S67" s="69"/>
      <c r="T67" s="69"/>
      <c r="U67" s="69"/>
      <c r="V67" s="69"/>
      <c r="W67" s="69"/>
      <c r="X67" s="72">
        <f>IF(LEN(Items[[#This Row],[Item]])&gt;0,IF(Items[[#This Row],[Unit]]="LPSM",1,SUM(Items[[#This Row],[Col_1]:[Col_13]])),0)</f>
        <v>0</v>
      </c>
      <c r="Y67" s="190">
        <f>MAX(Items[[#This Row],[Quantity]]-SUM(Items[[#This Row],[Account2]]:Items[[#This Row],[Account7]]),0)</f>
        <v>0</v>
      </c>
      <c r="Z67" s="61"/>
      <c r="AA67" s="61"/>
      <c r="AB67" s="61"/>
      <c r="AC67" s="61"/>
      <c r="AD67" s="61"/>
      <c r="AE67" s="61"/>
      <c r="AF67" s="73"/>
      <c r="AG67" s="71"/>
      <c r="AH67" s="74"/>
      <c r="AI67" s="59"/>
      <c r="AJ67" s="190" t="str">
        <f ca="1">IFERROR(RANK(Items[[#This Row],[EstSort]],OFFSET(Items[EstSort],0,0,ROW(Proposed[])-ROW(Items[])+ROWS(Proposed[]),1),1),"")</f>
        <v/>
      </c>
      <c r="AK67" s="190" t="str">
        <f ca="1">IF(CHOOSE(MATCH(Account,Accounts,0),Items[[#This Row],[Count]],Items[[#This Row],[Account1]],Items[[#This Row],[Account2]],Items[[#This Row],[Account3]],Items[[#This Row],[Account7]])&gt;0,Items[[#This Row],[Sort]],"")</f>
        <v/>
      </c>
      <c r="AL67" s="70" t="str">
        <f ca="1">IF(LEN(Items[[#This Row],[Count]])&gt;0,IFERROR(INDEX(Calcs[Counter],MATCH(Items[[#This Row],[Line]],Calcs[Line],0)),""),"")</f>
        <v/>
      </c>
      <c r="AM67" s="156" t="str">
        <f ca="1">IFERROR(Letter&amp;TEXT((Items[[#This Row],[Count]]-1)*Incr+BeginLine,"0000"),"")</f>
        <v/>
      </c>
      <c r="AN67" s="7" t="str">
        <f>IF(ISNA(MATCH(LEFT(Items[[#This Row],[Raw Item]],5)&amp;"-"&amp;RIGHT(Items[[#This Row],[Raw Item]],4),Pay.Item.Listing[Pay Item],0)),"",LEFT(Items[[#This Row],[Raw Item]],5)&amp;"-"&amp;RIGHT(Items[[#This Row],[Raw Item]],4))</f>
        <v/>
      </c>
    </row>
    <row r="68" spans="1:40" x14ac:dyDescent="0.15">
      <c r="A68" s="7" t="str">
        <f ca="1">IFERROR(RANK(Items[[#This Row],[Sort]],OFFSET(Items[Sort],0,0,ROW(Proposed[])-ROW(Items[])+ROWS(Proposed[]),1),1),"")</f>
        <v/>
      </c>
      <c r="B68" s="7" t="str">
        <f>IF(LEN(Items[[#This Row],[Item]])&gt;0,Items[[#This Row],[Raw Item]]+COUNTIF(AN$4:AN68,AN68)/100,"")</f>
        <v/>
      </c>
      <c r="C68" s="7">
        <f>IFERROR(VALUE(LEFT(VALUE(SUBSTITUTE(Items[[#This Row],[Pay Item]],"-",""))*100000000,9)),0)</f>
        <v>0</v>
      </c>
      <c r="D68" s="8"/>
      <c r="E68" s="127"/>
      <c r="F68" s="123" t="str">
        <f>IFERROR(SUBSTITUTE(VLOOKUP(Items[[#This Row],[Item]],Pay.Item.Listing[],2+2*(Units&lt;&gt;"Metric"),0),"{","&lt;"),"&lt;&lt; Pay Item not found &gt;&gt;")</f>
        <v>&lt;&lt; Pay Item not found &gt;&gt;</v>
      </c>
      <c r="G68" s="70" t="str">
        <f>IFERROR(VLOOKUP(Items[[#This Row],[Item]],Pay.Item.Listing[],3+2*(Units&lt;&gt;"Metric"),0),"–")</f>
        <v>–</v>
      </c>
      <c r="H68" s="70" t="str">
        <f>IFERROR(VLOOKUP(Items[[#This Row],[Item]],Pay.Item.Listing[],6,0),"–")</f>
        <v>–</v>
      </c>
      <c r="I68" s="70" t="str">
        <f>IFERROR(VLOOKUP(Items[[#This Row],[Item]],Pay.Item.Listing[],7,0),"–")</f>
        <v>–</v>
      </c>
      <c r="J68" s="71"/>
      <c r="K68" s="69"/>
      <c r="L68" s="69"/>
      <c r="M68" s="69"/>
      <c r="N68" s="69"/>
      <c r="O68" s="69"/>
      <c r="P68" s="69"/>
      <c r="Q68" s="69"/>
      <c r="R68" s="69"/>
      <c r="S68" s="69"/>
      <c r="T68" s="69"/>
      <c r="U68" s="69"/>
      <c r="V68" s="69"/>
      <c r="W68" s="69"/>
      <c r="X68" s="72">
        <f>IF(LEN(Items[[#This Row],[Item]])&gt;0,IF(Items[[#This Row],[Unit]]="LPSM",1,SUM(Items[[#This Row],[Col_1]:[Col_13]])),0)</f>
        <v>0</v>
      </c>
      <c r="Y68" s="190">
        <f>MAX(Items[[#This Row],[Quantity]]-SUM(Items[[#This Row],[Account2]]:Items[[#This Row],[Account7]]),0)</f>
        <v>0</v>
      </c>
      <c r="Z68" s="61"/>
      <c r="AA68" s="61"/>
      <c r="AB68" s="61"/>
      <c r="AC68" s="61"/>
      <c r="AD68" s="61"/>
      <c r="AE68" s="61"/>
      <c r="AF68" s="73"/>
      <c r="AG68" s="71"/>
      <c r="AH68" s="74"/>
      <c r="AI68" s="59"/>
      <c r="AJ68" s="190" t="str">
        <f ca="1">IFERROR(RANK(Items[[#This Row],[EstSort]],OFFSET(Items[EstSort],0,0,ROW(Proposed[])-ROW(Items[])+ROWS(Proposed[]),1),1),"")</f>
        <v/>
      </c>
      <c r="AK68" s="190" t="str">
        <f ca="1">IF(CHOOSE(MATCH(Account,Accounts,0),Items[[#This Row],[Count]],Items[[#This Row],[Account1]],Items[[#This Row],[Account2]],Items[[#This Row],[Account3]],Items[[#This Row],[Account7]])&gt;0,Items[[#This Row],[Sort]],"")</f>
        <v/>
      </c>
      <c r="AL68" s="70" t="str">
        <f ca="1">IF(LEN(Items[[#This Row],[Count]])&gt;0,IFERROR(INDEX(Calcs[Counter],MATCH(Items[[#This Row],[Line]],Calcs[Line],0)),""),"")</f>
        <v/>
      </c>
      <c r="AM68" s="156" t="str">
        <f ca="1">IFERROR(Letter&amp;TEXT((Items[[#This Row],[Count]]-1)*Incr+BeginLine,"0000"),"")</f>
        <v/>
      </c>
      <c r="AN68" s="7" t="str">
        <f>IF(ISNA(MATCH(LEFT(Items[[#This Row],[Raw Item]],5)&amp;"-"&amp;RIGHT(Items[[#This Row],[Raw Item]],4),Pay.Item.Listing[Pay Item],0)),"",LEFT(Items[[#This Row],[Raw Item]],5)&amp;"-"&amp;RIGHT(Items[[#This Row],[Raw Item]],4))</f>
        <v/>
      </c>
    </row>
    <row r="69" spans="1:40" x14ac:dyDescent="0.15">
      <c r="A69" s="7" t="str">
        <f ca="1">IFERROR(RANK(Items[[#This Row],[Sort]],OFFSET(Items[Sort],0,0,ROW(Proposed[])-ROW(Items[])+ROWS(Proposed[]),1),1),"")</f>
        <v/>
      </c>
      <c r="B69" s="7" t="str">
        <f>IF(LEN(Items[[#This Row],[Item]])&gt;0,Items[[#This Row],[Raw Item]]+COUNTIF(AN$4:AN69,AN69)/100,"")</f>
        <v/>
      </c>
      <c r="C69" s="7">
        <f>IFERROR(VALUE(LEFT(VALUE(SUBSTITUTE(Items[[#This Row],[Pay Item]],"-",""))*100000000,9)),0)</f>
        <v>0</v>
      </c>
      <c r="D69" s="8"/>
      <c r="E69" s="127"/>
      <c r="F69" s="123" t="str">
        <f>IFERROR(SUBSTITUTE(VLOOKUP(Items[[#This Row],[Item]],Pay.Item.Listing[],2+2*(Units&lt;&gt;"Metric"),0),"{","&lt;"),"&lt;&lt; Pay Item not found &gt;&gt;")</f>
        <v>&lt;&lt; Pay Item not found &gt;&gt;</v>
      </c>
      <c r="G69" s="70" t="str">
        <f>IFERROR(VLOOKUP(Items[[#This Row],[Item]],Pay.Item.Listing[],3+2*(Units&lt;&gt;"Metric"),0),"–")</f>
        <v>–</v>
      </c>
      <c r="H69" s="70" t="str">
        <f>IFERROR(VLOOKUP(Items[[#This Row],[Item]],Pay.Item.Listing[],6,0),"–")</f>
        <v>–</v>
      </c>
      <c r="I69" s="70" t="str">
        <f>IFERROR(VLOOKUP(Items[[#This Row],[Item]],Pay.Item.Listing[],7,0),"–")</f>
        <v>–</v>
      </c>
      <c r="J69" s="71"/>
      <c r="K69" s="69"/>
      <c r="L69" s="69"/>
      <c r="M69" s="69"/>
      <c r="N69" s="69"/>
      <c r="O69" s="69"/>
      <c r="P69" s="69"/>
      <c r="Q69" s="69"/>
      <c r="R69" s="69"/>
      <c r="S69" s="69"/>
      <c r="T69" s="69"/>
      <c r="U69" s="69"/>
      <c r="V69" s="69"/>
      <c r="W69" s="69"/>
      <c r="X69" s="72">
        <f>IF(LEN(Items[[#This Row],[Item]])&gt;0,IF(Items[[#This Row],[Unit]]="LPSM",1,SUM(Items[[#This Row],[Col_1]:[Col_13]])),0)</f>
        <v>0</v>
      </c>
      <c r="Y69" s="190">
        <f>MAX(Items[[#This Row],[Quantity]]-SUM(Items[[#This Row],[Account2]]:Items[[#This Row],[Account7]]),0)</f>
        <v>0</v>
      </c>
      <c r="Z69" s="61"/>
      <c r="AA69" s="61"/>
      <c r="AB69" s="61"/>
      <c r="AC69" s="61"/>
      <c r="AD69" s="61"/>
      <c r="AE69" s="61"/>
      <c r="AF69" s="73"/>
      <c r="AG69" s="71"/>
      <c r="AH69" s="74"/>
      <c r="AI69" s="59"/>
      <c r="AJ69" s="190" t="str">
        <f ca="1">IFERROR(RANK(Items[[#This Row],[EstSort]],OFFSET(Items[EstSort],0,0,ROW(Proposed[])-ROW(Items[])+ROWS(Proposed[]),1),1),"")</f>
        <v/>
      </c>
      <c r="AK69" s="190" t="str">
        <f ca="1">IF(CHOOSE(MATCH(Account,Accounts,0),Items[[#This Row],[Count]],Items[[#This Row],[Account1]],Items[[#This Row],[Account2]],Items[[#This Row],[Account3]],Items[[#This Row],[Account7]])&gt;0,Items[[#This Row],[Sort]],"")</f>
        <v/>
      </c>
      <c r="AL69" s="70" t="str">
        <f ca="1">IF(LEN(Items[[#This Row],[Count]])&gt;0,IFERROR(INDEX(Calcs[Counter],MATCH(Items[[#This Row],[Line]],Calcs[Line],0)),""),"")</f>
        <v/>
      </c>
      <c r="AM69" s="156" t="str">
        <f ca="1">IFERROR(Letter&amp;TEXT((Items[[#This Row],[Count]]-1)*Incr+BeginLine,"0000"),"")</f>
        <v/>
      </c>
      <c r="AN69" s="7" t="str">
        <f>IF(ISNA(MATCH(LEFT(Items[[#This Row],[Raw Item]],5)&amp;"-"&amp;RIGHT(Items[[#This Row],[Raw Item]],4),Pay.Item.Listing[Pay Item],0)),"",LEFT(Items[[#This Row],[Raw Item]],5)&amp;"-"&amp;RIGHT(Items[[#This Row],[Raw Item]],4))</f>
        <v/>
      </c>
    </row>
    <row r="70" spans="1:40" x14ac:dyDescent="0.15">
      <c r="A70" s="7" t="str">
        <f ca="1">IFERROR(RANK(Items[[#This Row],[Sort]],OFFSET(Items[Sort],0,0,ROW(Proposed[])-ROW(Items[])+ROWS(Proposed[]),1),1),"")</f>
        <v/>
      </c>
      <c r="B70" s="7" t="str">
        <f>IF(LEN(Items[[#This Row],[Item]])&gt;0,Items[[#This Row],[Raw Item]]+COUNTIF(AN$4:AN70,AN70)/100,"")</f>
        <v/>
      </c>
      <c r="C70" s="7">
        <f>IFERROR(VALUE(LEFT(VALUE(SUBSTITUTE(Items[[#This Row],[Pay Item]],"-",""))*100000000,9)),0)</f>
        <v>0</v>
      </c>
      <c r="D70" s="8"/>
      <c r="E70" s="127"/>
      <c r="F70" s="123" t="str">
        <f>IFERROR(SUBSTITUTE(VLOOKUP(Items[[#This Row],[Item]],Pay.Item.Listing[],2+2*(Units&lt;&gt;"Metric"),0),"{","&lt;"),"&lt;&lt; Pay Item not found &gt;&gt;")</f>
        <v>&lt;&lt; Pay Item not found &gt;&gt;</v>
      </c>
      <c r="G70" s="70" t="str">
        <f>IFERROR(VLOOKUP(Items[[#This Row],[Item]],Pay.Item.Listing[],3+2*(Units&lt;&gt;"Metric"),0),"–")</f>
        <v>–</v>
      </c>
      <c r="H70" s="70" t="str">
        <f>IFERROR(VLOOKUP(Items[[#This Row],[Item]],Pay.Item.Listing[],6,0),"–")</f>
        <v>–</v>
      </c>
      <c r="I70" s="70" t="str">
        <f>IFERROR(VLOOKUP(Items[[#This Row],[Item]],Pay.Item.Listing[],7,0),"–")</f>
        <v>–</v>
      </c>
      <c r="J70" s="71"/>
      <c r="K70" s="69"/>
      <c r="L70" s="69"/>
      <c r="M70" s="69"/>
      <c r="N70" s="69"/>
      <c r="O70" s="69"/>
      <c r="P70" s="69"/>
      <c r="Q70" s="69"/>
      <c r="R70" s="69"/>
      <c r="S70" s="69"/>
      <c r="T70" s="69"/>
      <c r="U70" s="69"/>
      <c r="V70" s="69"/>
      <c r="W70" s="69"/>
      <c r="X70" s="72">
        <f>IF(LEN(Items[[#This Row],[Item]])&gt;0,IF(Items[[#This Row],[Unit]]="LPSM",1,SUM(Items[[#This Row],[Col_1]:[Col_13]])),0)</f>
        <v>0</v>
      </c>
      <c r="Y70" s="190">
        <f>MAX(Items[[#This Row],[Quantity]]-SUM(Items[[#This Row],[Account2]]:Items[[#This Row],[Account7]]),0)</f>
        <v>0</v>
      </c>
      <c r="Z70" s="61"/>
      <c r="AA70" s="61"/>
      <c r="AB70" s="61"/>
      <c r="AC70" s="61"/>
      <c r="AD70" s="61"/>
      <c r="AE70" s="61"/>
      <c r="AF70" s="73"/>
      <c r="AG70" s="71"/>
      <c r="AH70" s="74"/>
      <c r="AI70" s="59"/>
      <c r="AJ70" s="190" t="str">
        <f ca="1">IFERROR(RANK(Items[[#This Row],[EstSort]],OFFSET(Items[EstSort],0,0,ROW(Proposed[])-ROW(Items[])+ROWS(Proposed[]),1),1),"")</f>
        <v/>
      </c>
      <c r="AK70" s="190" t="str">
        <f ca="1">IF(CHOOSE(MATCH(Account,Accounts,0),Items[[#This Row],[Count]],Items[[#This Row],[Account1]],Items[[#This Row],[Account2]],Items[[#This Row],[Account3]],Items[[#This Row],[Account7]])&gt;0,Items[[#This Row],[Sort]],"")</f>
        <v/>
      </c>
      <c r="AL70" s="70" t="str">
        <f ca="1">IF(LEN(Items[[#This Row],[Count]])&gt;0,IFERROR(INDEX(Calcs[Counter],MATCH(Items[[#This Row],[Line]],Calcs[Line],0)),""),"")</f>
        <v/>
      </c>
      <c r="AM70" s="156" t="str">
        <f ca="1">IFERROR(Letter&amp;TEXT((Items[[#This Row],[Count]]-1)*Incr+BeginLine,"0000"),"")</f>
        <v/>
      </c>
      <c r="AN70" s="7" t="str">
        <f>IF(ISNA(MATCH(LEFT(Items[[#This Row],[Raw Item]],5)&amp;"-"&amp;RIGHT(Items[[#This Row],[Raw Item]],4),Pay.Item.Listing[Pay Item],0)),"",LEFT(Items[[#This Row],[Raw Item]],5)&amp;"-"&amp;RIGHT(Items[[#This Row],[Raw Item]],4))</f>
        <v/>
      </c>
    </row>
    <row r="71" spans="1:40" x14ac:dyDescent="0.15">
      <c r="A71" s="7" t="str">
        <f ca="1">IFERROR(RANK(Items[[#This Row],[Sort]],OFFSET(Items[Sort],0,0,ROW(Proposed[])-ROW(Items[])+ROWS(Proposed[]),1),1),"")</f>
        <v/>
      </c>
      <c r="B71" s="7" t="str">
        <f>IF(LEN(Items[[#This Row],[Item]])&gt;0,Items[[#This Row],[Raw Item]]+COUNTIF(AN$4:AN71,AN71)/100,"")</f>
        <v/>
      </c>
      <c r="C71" s="7">
        <f>IFERROR(VALUE(LEFT(VALUE(SUBSTITUTE(Items[[#This Row],[Pay Item]],"-",""))*100000000,9)),0)</f>
        <v>0</v>
      </c>
      <c r="D71" s="8"/>
      <c r="E71" s="127"/>
      <c r="F71" s="123" t="str">
        <f>IFERROR(SUBSTITUTE(VLOOKUP(Items[[#This Row],[Item]],Pay.Item.Listing[],2+2*(Units&lt;&gt;"Metric"),0),"{","&lt;"),"&lt;&lt; Pay Item not found &gt;&gt;")</f>
        <v>&lt;&lt; Pay Item not found &gt;&gt;</v>
      </c>
      <c r="G71" s="70" t="str">
        <f>IFERROR(VLOOKUP(Items[[#This Row],[Item]],Pay.Item.Listing[],3+2*(Units&lt;&gt;"Metric"),0),"–")</f>
        <v>–</v>
      </c>
      <c r="H71" s="70" t="str">
        <f>IFERROR(VLOOKUP(Items[[#This Row],[Item]],Pay.Item.Listing[],6,0),"–")</f>
        <v>–</v>
      </c>
      <c r="I71" s="70" t="str">
        <f>IFERROR(VLOOKUP(Items[[#This Row],[Item]],Pay.Item.Listing[],7,0),"–")</f>
        <v>–</v>
      </c>
      <c r="J71" s="71"/>
      <c r="K71" s="69"/>
      <c r="L71" s="69"/>
      <c r="M71" s="69"/>
      <c r="N71" s="69"/>
      <c r="O71" s="69"/>
      <c r="P71" s="69"/>
      <c r="Q71" s="69"/>
      <c r="R71" s="69"/>
      <c r="S71" s="69"/>
      <c r="T71" s="69"/>
      <c r="U71" s="69"/>
      <c r="V71" s="69"/>
      <c r="W71" s="69"/>
      <c r="X71" s="72">
        <f>IF(LEN(Items[[#This Row],[Item]])&gt;0,IF(Items[[#This Row],[Unit]]="LPSM",1,SUM(Items[[#This Row],[Col_1]:[Col_13]])),0)</f>
        <v>0</v>
      </c>
      <c r="Y71" s="190">
        <f>MAX(Items[[#This Row],[Quantity]]-SUM(Items[[#This Row],[Account2]]:Items[[#This Row],[Account7]]),0)</f>
        <v>0</v>
      </c>
      <c r="Z71" s="61"/>
      <c r="AA71" s="61"/>
      <c r="AB71" s="61"/>
      <c r="AC71" s="61"/>
      <c r="AD71" s="61"/>
      <c r="AE71" s="61"/>
      <c r="AF71" s="73"/>
      <c r="AG71" s="71"/>
      <c r="AH71" s="74"/>
      <c r="AI71" s="59"/>
      <c r="AJ71" s="190" t="str">
        <f ca="1">IFERROR(RANK(Items[[#This Row],[EstSort]],OFFSET(Items[EstSort],0,0,ROW(Proposed[])-ROW(Items[])+ROWS(Proposed[]),1),1),"")</f>
        <v/>
      </c>
      <c r="AK71" s="190" t="str">
        <f ca="1">IF(CHOOSE(MATCH(Account,Accounts,0),Items[[#This Row],[Count]],Items[[#This Row],[Account1]],Items[[#This Row],[Account2]],Items[[#This Row],[Account3]],Items[[#This Row],[Account7]])&gt;0,Items[[#This Row],[Sort]],"")</f>
        <v/>
      </c>
      <c r="AL71" s="70" t="str">
        <f ca="1">IF(LEN(Items[[#This Row],[Count]])&gt;0,IFERROR(INDEX(Calcs[Counter],MATCH(Items[[#This Row],[Line]],Calcs[Line],0)),""),"")</f>
        <v/>
      </c>
      <c r="AM71" s="156" t="str">
        <f ca="1">IFERROR(Letter&amp;TEXT((Items[[#This Row],[Count]]-1)*Incr+BeginLine,"0000"),"")</f>
        <v/>
      </c>
      <c r="AN71" s="7" t="str">
        <f>IF(ISNA(MATCH(LEFT(Items[[#This Row],[Raw Item]],5)&amp;"-"&amp;RIGHT(Items[[#This Row],[Raw Item]],4),Pay.Item.Listing[Pay Item],0)),"",LEFT(Items[[#This Row],[Raw Item]],5)&amp;"-"&amp;RIGHT(Items[[#This Row],[Raw Item]],4))</f>
        <v/>
      </c>
    </row>
    <row r="72" spans="1:40" x14ac:dyDescent="0.15">
      <c r="A72" s="7" t="str">
        <f ca="1">IFERROR(RANK(Items[[#This Row],[Sort]],OFFSET(Items[Sort],0,0,ROW(Proposed[])-ROW(Items[])+ROWS(Proposed[]),1),1),"")</f>
        <v/>
      </c>
      <c r="B72" s="7" t="str">
        <f>IF(LEN(Items[[#This Row],[Item]])&gt;0,Items[[#This Row],[Raw Item]]+COUNTIF(AN$4:AN72,AN72)/100,"")</f>
        <v/>
      </c>
      <c r="C72" s="7">
        <f>IFERROR(VALUE(LEFT(VALUE(SUBSTITUTE(Items[[#This Row],[Pay Item]],"-",""))*100000000,9)),0)</f>
        <v>0</v>
      </c>
      <c r="D72" s="8"/>
      <c r="E72" s="127"/>
      <c r="F72" s="123" t="str">
        <f>IFERROR(SUBSTITUTE(VLOOKUP(Items[[#This Row],[Item]],Pay.Item.Listing[],2+2*(Units&lt;&gt;"Metric"),0),"{","&lt;"),"&lt;&lt; Pay Item not found &gt;&gt;")</f>
        <v>&lt;&lt; Pay Item not found &gt;&gt;</v>
      </c>
      <c r="G72" s="70" t="str">
        <f>IFERROR(VLOOKUP(Items[[#This Row],[Item]],Pay.Item.Listing[],3+2*(Units&lt;&gt;"Metric"),0),"–")</f>
        <v>–</v>
      </c>
      <c r="H72" s="70" t="str">
        <f>IFERROR(VLOOKUP(Items[[#This Row],[Item]],Pay.Item.Listing[],6,0),"–")</f>
        <v>–</v>
      </c>
      <c r="I72" s="70" t="str">
        <f>IFERROR(VLOOKUP(Items[[#This Row],[Item]],Pay.Item.Listing[],7,0),"–")</f>
        <v>–</v>
      </c>
      <c r="J72" s="71"/>
      <c r="K72" s="69"/>
      <c r="L72" s="69"/>
      <c r="M72" s="69"/>
      <c r="N72" s="69"/>
      <c r="O72" s="69"/>
      <c r="P72" s="69"/>
      <c r="Q72" s="69"/>
      <c r="R72" s="69"/>
      <c r="S72" s="69"/>
      <c r="T72" s="69"/>
      <c r="U72" s="69"/>
      <c r="V72" s="69"/>
      <c r="W72" s="69"/>
      <c r="X72" s="72">
        <f>IF(LEN(Items[[#This Row],[Item]])&gt;0,IF(Items[[#This Row],[Unit]]="LPSM",1,SUM(Items[[#This Row],[Col_1]:[Col_13]])),0)</f>
        <v>0</v>
      </c>
      <c r="Y72" s="190">
        <f>MAX(Items[[#This Row],[Quantity]]-SUM(Items[[#This Row],[Account2]]:Items[[#This Row],[Account7]]),0)</f>
        <v>0</v>
      </c>
      <c r="Z72" s="61"/>
      <c r="AA72" s="61"/>
      <c r="AB72" s="61"/>
      <c r="AC72" s="61"/>
      <c r="AD72" s="61"/>
      <c r="AE72" s="61"/>
      <c r="AF72" s="73"/>
      <c r="AG72" s="71"/>
      <c r="AH72" s="74"/>
      <c r="AI72" s="59"/>
      <c r="AJ72" s="190" t="str">
        <f ca="1">IFERROR(RANK(Items[[#This Row],[EstSort]],OFFSET(Items[EstSort],0,0,ROW(Proposed[])-ROW(Items[])+ROWS(Proposed[]),1),1),"")</f>
        <v/>
      </c>
      <c r="AK72" s="190" t="str">
        <f ca="1">IF(CHOOSE(MATCH(Account,Accounts,0),Items[[#This Row],[Count]],Items[[#This Row],[Account1]],Items[[#This Row],[Account2]],Items[[#This Row],[Account3]],Items[[#This Row],[Account7]])&gt;0,Items[[#This Row],[Sort]],"")</f>
        <v/>
      </c>
      <c r="AL72" s="70" t="str">
        <f ca="1">IF(LEN(Items[[#This Row],[Count]])&gt;0,IFERROR(INDEX(Calcs[Counter],MATCH(Items[[#This Row],[Line]],Calcs[Line],0)),""),"")</f>
        <v/>
      </c>
      <c r="AM72" s="156" t="str">
        <f ca="1">IFERROR(Letter&amp;TEXT((Items[[#This Row],[Count]]-1)*Incr+BeginLine,"0000"),"")</f>
        <v/>
      </c>
      <c r="AN72" s="7" t="str">
        <f>IF(ISNA(MATCH(LEFT(Items[[#This Row],[Raw Item]],5)&amp;"-"&amp;RIGHT(Items[[#This Row],[Raw Item]],4),Pay.Item.Listing[Pay Item],0)),"",LEFT(Items[[#This Row],[Raw Item]],5)&amp;"-"&amp;RIGHT(Items[[#This Row],[Raw Item]],4))</f>
        <v/>
      </c>
    </row>
    <row r="73" spans="1:40" x14ac:dyDescent="0.15">
      <c r="A73" s="7" t="str">
        <f ca="1">IFERROR(RANK(Items[[#This Row],[Sort]],OFFSET(Items[Sort],0,0,ROW(Proposed[])-ROW(Items[])+ROWS(Proposed[]),1),1),"")</f>
        <v/>
      </c>
      <c r="B73" s="7" t="str">
        <f>IF(LEN(Items[[#This Row],[Item]])&gt;0,Items[[#This Row],[Raw Item]]+COUNTIF(AN$4:AN73,AN73)/100,"")</f>
        <v/>
      </c>
      <c r="C73" s="7">
        <f>IFERROR(VALUE(LEFT(VALUE(SUBSTITUTE(Items[[#This Row],[Pay Item]],"-",""))*100000000,9)),0)</f>
        <v>0</v>
      </c>
      <c r="D73" s="8"/>
      <c r="E73" s="127"/>
      <c r="F73" s="123" t="str">
        <f>IFERROR(SUBSTITUTE(VLOOKUP(Items[[#This Row],[Item]],Pay.Item.Listing[],2+2*(Units&lt;&gt;"Metric"),0),"{","&lt;"),"&lt;&lt; Pay Item not found &gt;&gt;")</f>
        <v>&lt;&lt; Pay Item not found &gt;&gt;</v>
      </c>
      <c r="G73" s="70" t="str">
        <f>IFERROR(VLOOKUP(Items[[#This Row],[Item]],Pay.Item.Listing[],3+2*(Units&lt;&gt;"Metric"),0),"–")</f>
        <v>–</v>
      </c>
      <c r="H73" s="70" t="str">
        <f>IFERROR(VLOOKUP(Items[[#This Row],[Item]],Pay.Item.Listing[],6,0),"–")</f>
        <v>–</v>
      </c>
      <c r="I73" s="70" t="str">
        <f>IFERROR(VLOOKUP(Items[[#This Row],[Item]],Pay.Item.Listing[],7,0),"–")</f>
        <v>–</v>
      </c>
      <c r="J73" s="71"/>
      <c r="K73" s="69"/>
      <c r="L73" s="69"/>
      <c r="M73" s="69"/>
      <c r="N73" s="69"/>
      <c r="O73" s="69"/>
      <c r="P73" s="69"/>
      <c r="Q73" s="69"/>
      <c r="R73" s="69"/>
      <c r="S73" s="69"/>
      <c r="T73" s="69"/>
      <c r="U73" s="69"/>
      <c r="V73" s="69"/>
      <c r="W73" s="69"/>
      <c r="X73" s="72">
        <f>IF(LEN(Items[[#This Row],[Item]])&gt;0,IF(Items[[#This Row],[Unit]]="LPSM",1,SUM(Items[[#This Row],[Col_1]:[Col_13]])),0)</f>
        <v>0</v>
      </c>
      <c r="Y73" s="190">
        <f>MAX(Items[[#This Row],[Quantity]]-SUM(Items[[#This Row],[Account2]]:Items[[#This Row],[Account7]]),0)</f>
        <v>0</v>
      </c>
      <c r="Z73" s="61"/>
      <c r="AA73" s="61"/>
      <c r="AB73" s="61"/>
      <c r="AC73" s="61"/>
      <c r="AD73" s="61"/>
      <c r="AE73" s="61"/>
      <c r="AF73" s="73"/>
      <c r="AG73" s="71"/>
      <c r="AH73" s="74"/>
      <c r="AI73" s="59"/>
      <c r="AJ73" s="190" t="str">
        <f ca="1">IFERROR(RANK(Items[[#This Row],[EstSort]],OFFSET(Items[EstSort],0,0,ROW(Proposed[])-ROW(Items[])+ROWS(Proposed[]),1),1),"")</f>
        <v/>
      </c>
      <c r="AK73" s="190" t="str">
        <f ca="1">IF(CHOOSE(MATCH(Account,Accounts,0),Items[[#This Row],[Count]],Items[[#This Row],[Account1]],Items[[#This Row],[Account2]],Items[[#This Row],[Account3]],Items[[#This Row],[Account7]])&gt;0,Items[[#This Row],[Sort]],"")</f>
        <v/>
      </c>
      <c r="AL73" s="70" t="str">
        <f ca="1">IF(LEN(Items[[#This Row],[Count]])&gt;0,IFERROR(INDEX(Calcs[Counter],MATCH(Items[[#This Row],[Line]],Calcs[Line],0)),""),"")</f>
        <v/>
      </c>
      <c r="AM73" s="156" t="str">
        <f ca="1">IFERROR(Letter&amp;TEXT((Items[[#This Row],[Count]]-1)*Incr+BeginLine,"0000"),"")</f>
        <v/>
      </c>
      <c r="AN73" s="7" t="str">
        <f>IF(ISNA(MATCH(LEFT(Items[[#This Row],[Raw Item]],5)&amp;"-"&amp;RIGHT(Items[[#This Row],[Raw Item]],4),Pay.Item.Listing[Pay Item],0)),"",LEFT(Items[[#This Row],[Raw Item]],5)&amp;"-"&amp;RIGHT(Items[[#This Row],[Raw Item]],4))</f>
        <v/>
      </c>
    </row>
    <row r="74" spans="1:40" x14ac:dyDescent="0.15">
      <c r="A74" s="7" t="str">
        <f ca="1">IFERROR(RANK(Items[[#This Row],[Sort]],OFFSET(Items[Sort],0,0,ROW(Proposed[])-ROW(Items[])+ROWS(Proposed[]),1),1),"")</f>
        <v/>
      </c>
      <c r="B74" s="7" t="str">
        <f>IF(LEN(Items[[#This Row],[Item]])&gt;0,Items[[#This Row],[Raw Item]]+COUNTIF(AN$4:AN74,AN74)/100,"")</f>
        <v/>
      </c>
      <c r="C74" s="7">
        <f>IFERROR(VALUE(LEFT(VALUE(SUBSTITUTE(Items[[#This Row],[Pay Item]],"-",""))*100000000,9)),0)</f>
        <v>0</v>
      </c>
      <c r="D74" s="8"/>
      <c r="E74" s="127"/>
      <c r="F74" s="123" t="str">
        <f>IFERROR(SUBSTITUTE(VLOOKUP(Items[[#This Row],[Item]],Pay.Item.Listing[],2+2*(Units&lt;&gt;"Metric"),0),"{","&lt;"),"&lt;&lt; Pay Item not found &gt;&gt;")</f>
        <v>&lt;&lt; Pay Item not found &gt;&gt;</v>
      </c>
      <c r="G74" s="70" t="str">
        <f>IFERROR(VLOOKUP(Items[[#This Row],[Item]],Pay.Item.Listing[],3+2*(Units&lt;&gt;"Metric"),0),"–")</f>
        <v>–</v>
      </c>
      <c r="H74" s="70" t="str">
        <f>IFERROR(VLOOKUP(Items[[#This Row],[Item]],Pay.Item.Listing[],6,0),"–")</f>
        <v>–</v>
      </c>
      <c r="I74" s="70" t="str">
        <f>IFERROR(VLOOKUP(Items[[#This Row],[Item]],Pay.Item.Listing[],7,0),"–")</f>
        <v>–</v>
      </c>
      <c r="J74" s="71"/>
      <c r="K74" s="69"/>
      <c r="L74" s="69"/>
      <c r="M74" s="69"/>
      <c r="N74" s="69"/>
      <c r="O74" s="69"/>
      <c r="P74" s="69"/>
      <c r="Q74" s="69"/>
      <c r="R74" s="69"/>
      <c r="S74" s="69"/>
      <c r="T74" s="69"/>
      <c r="U74" s="69"/>
      <c r="V74" s="69"/>
      <c r="W74" s="69"/>
      <c r="X74" s="72">
        <f>IF(LEN(Items[[#This Row],[Item]])&gt;0,IF(Items[[#This Row],[Unit]]="LPSM",1,SUM(Items[[#This Row],[Col_1]:[Col_13]])),0)</f>
        <v>0</v>
      </c>
      <c r="Y74" s="190">
        <f>MAX(Items[[#This Row],[Quantity]]-SUM(Items[[#This Row],[Account2]]:Items[[#This Row],[Account7]]),0)</f>
        <v>0</v>
      </c>
      <c r="Z74" s="61"/>
      <c r="AA74" s="61"/>
      <c r="AB74" s="61"/>
      <c r="AC74" s="61"/>
      <c r="AD74" s="61"/>
      <c r="AE74" s="61"/>
      <c r="AF74" s="73"/>
      <c r="AG74" s="71"/>
      <c r="AH74" s="74"/>
      <c r="AI74" s="59"/>
      <c r="AJ74" s="190" t="str">
        <f ca="1">IFERROR(RANK(Items[[#This Row],[EstSort]],OFFSET(Items[EstSort],0,0,ROW(Proposed[])-ROW(Items[])+ROWS(Proposed[]),1),1),"")</f>
        <v/>
      </c>
      <c r="AK74" s="190" t="str">
        <f ca="1">IF(CHOOSE(MATCH(Account,Accounts,0),Items[[#This Row],[Count]],Items[[#This Row],[Account1]],Items[[#This Row],[Account2]],Items[[#This Row],[Account3]],Items[[#This Row],[Account7]])&gt;0,Items[[#This Row],[Sort]],"")</f>
        <v/>
      </c>
      <c r="AL74" s="70" t="str">
        <f ca="1">IF(LEN(Items[[#This Row],[Count]])&gt;0,IFERROR(INDEX(Calcs[Counter],MATCH(Items[[#This Row],[Line]],Calcs[Line],0)),""),"")</f>
        <v/>
      </c>
      <c r="AM74" s="156" t="str">
        <f ca="1">IFERROR(Letter&amp;TEXT((Items[[#This Row],[Count]]-1)*Incr+BeginLine,"0000"),"")</f>
        <v/>
      </c>
      <c r="AN74" s="7" t="str">
        <f>IF(ISNA(MATCH(LEFT(Items[[#This Row],[Raw Item]],5)&amp;"-"&amp;RIGHT(Items[[#This Row],[Raw Item]],4),Pay.Item.Listing[Pay Item],0)),"",LEFT(Items[[#This Row],[Raw Item]],5)&amp;"-"&amp;RIGHT(Items[[#This Row],[Raw Item]],4))</f>
        <v/>
      </c>
    </row>
    <row r="75" spans="1:40" x14ac:dyDescent="0.15">
      <c r="A75" s="7" t="str">
        <f ca="1">IFERROR(RANK(Items[[#This Row],[Sort]],OFFSET(Items[Sort],0,0,ROW(Proposed[])-ROW(Items[])+ROWS(Proposed[]),1),1),"")</f>
        <v/>
      </c>
      <c r="B75" s="7" t="str">
        <f>IF(LEN(Items[[#This Row],[Item]])&gt;0,Items[[#This Row],[Raw Item]]+COUNTIF(AN$4:AN75,AN75)/100,"")</f>
        <v/>
      </c>
      <c r="C75" s="7">
        <f>IFERROR(VALUE(LEFT(VALUE(SUBSTITUTE(Items[[#This Row],[Pay Item]],"-",""))*100000000,9)),0)</f>
        <v>0</v>
      </c>
      <c r="D75" s="8"/>
      <c r="E75" s="127"/>
      <c r="F75" s="123" t="str">
        <f>IFERROR(SUBSTITUTE(VLOOKUP(Items[[#This Row],[Item]],Pay.Item.Listing[],2+2*(Units&lt;&gt;"Metric"),0),"{","&lt;"),"&lt;&lt; Pay Item not found &gt;&gt;")</f>
        <v>&lt;&lt; Pay Item not found &gt;&gt;</v>
      </c>
      <c r="G75" s="70" t="str">
        <f>IFERROR(VLOOKUP(Items[[#This Row],[Item]],Pay.Item.Listing[],3+2*(Units&lt;&gt;"Metric"),0),"–")</f>
        <v>–</v>
      </c>
      <c r="H75" s="70" t="str">
        <f>IFERROR(VLOOKUP(Items[[#This Row],[Item]],Pay.Item.Listing[],6,0),"–")</f>
        <v>–</v>
      </c>
      <c r="I75" s="70" t="str">
        <f>IFERROR(VLOOKUP(Items[[#This Row],[Item]],Pay.Item.Listing[],7,0),"–")</f>
        <v>–</v>
      </c>
      <c r="J75" s="71"/>
      <c r="K75" s="69"/>
      <c r="L75" s="69"/>
      <c r="M75" s="69"/>
      <c r="N75" s="69"/>
      <c r="O75" s="69"/>
      <c r="P75" s="69"/>
      <c r="Q75" s="69"/>
      <c r="R75" s="69"/>
      <c r="S75" s="69"/>
      <c r="T75" s="69"/>
      <c r="U75" s="69"/>
      <c r="V75" s="69"/>
      <c r="W75" s="69"/>
      <c r="X75" s="72">
        <f>IF(LEN(Items[[#This Row],[Item]])&gt;0,IF(Items[[#This Row],[Unit]]="LPSM",1,SUM(Items[[#This Row],[Col_1]:[Col_13]])),0)</f>
        <v>0</v>
      </c>
      <c r="Y75" s="190">
        <f>MAX(Items[[#This Row],[Quantity]]-SUM(Items[[#This Row],[Account2]]:Items[[#This Row],[Account7]]),0)</f>
        <v>0</v>
      </c>
      <c r="Z75" s="61"/>
      <c r="AA75" s="61"/>
      <c r="AB75" s="61"/>
      <c r="AC75" s="61"/>
      <c r="AD75" s="61"/>
      <c r="AE75" s="61"/>
      <c r="AF75" s="73"/>
      <c r="AG75" s="71"/>
      <c r="AH75" s="74"/>
      <c r="AI75" s="59"/>
      <c r="AJ75" s="190" t="str">
        <f ca="1">IFERROR(RANK(Items[[#This Row],[EstSort]],OFFSET(Items[EstSort],0,0,ROW(Proposed[])-ROW(Items[])+ROWS(Proposed[]),1),1),"")</f>
        <v/>
      </c>
      <c r="AK75" s="190" t="str">
        <f ca="1">IF(CHOOSE(MATCH(Account,Accounts,0),Items[[#This Row],[Count]],Items[[#This Row],[Account1]],Items[[#This Row],[Account2]],Items[[#This Row],[Account3]],Items[[#This Row],[Account7]])&gt;0,Items[[#This Row],[Sort]],"")</f>
        <v/>
      </c>
      <c r="AL75" s="70" t="str">
        <f ca="1">IF(LEN(Items[[#This Row],[Count]])&gt;0,IFERROR(INDEX(Calcs[Counter],MATCH(Items[[#This Row],[Line]],Calcs[Line],0)),""),"")</f>
        <v/>
      </c>
      <c r="AM75" s="156" t="str">
        <f ca="1">IFERROR(Letter&amp;TEXT((Items[[#This Row],[Count]]-1)*Incr+BeginLine,"0000"),"")</f>
        <v/>
      </c>
      <c r="AN75" s="7" t="str">
        <f>IF(ISNA(MATCH(LEFT(Items[[#This Row],[Raw Item]],5)&amp;"-"&amp;RIGHT(Items[[#This Row],[Raw Item]],4),Pay.Item.Listing[Pay Item],0)),"",LEFT(Items[[#This Row],[Raw Item]],5)&amp;"-"&amp;RIGHT(Items[[#This Row],[Raw Item]],4))</f>
        <v/>
      </c>
    </row>
    <row r="76" spans="1:40" x14ac:dyDescent="0.15">
      <c r="A76" s="7" t="str">
        <f ca="1">IFERROR(RANK(Items[[#This Row],[Sort]],OFFSET(Items[Sort],0,0,ROW(Proposed[])-ROW(Items[])+ROWS(Proposed[]),1),1),"")</f>
        <v/>
      </c>
      <c r="B76" s="7" t="str">
        <f>IF(LEN(Items[[#This Row],[Item]])&gt;0,Items[[#This Row],[Raw Item]]+COUNTIF(AN$4:AN76,AN76)/100,"")</f>
        <v/>
      </c>
      <c r="C76" s="7">
        <f>IFERROR(VALUE(LEFT(VALUE(SUBSTITUTE(Items[[#This Row],[Pay Item]],"-",""))*100000000,9)),0)</f>
        <v>0</v>
      </c>
      <c r="D76" s="8"/>
      <c r="E76" s="127"/>
      <c r="F76" s="123" t="str">
        <f>IFERROR(SUBSTITUTE(VLOOKUP(Items[[#This Row],[Item]],Pay.Item.Listing[],2+2*(Units&lt;&gt;"Metric"),0),"{","&lt;"),"&lt;&lt; Pay Item not found &gt;&gt;")</f>
        <v>&lt;&lt; Pay Item not found &gt;&gt;</v>
      </c>
      <c r="G76" s="70" t="str">
        <f>IFERROR(VLOOKUP(Items[[#This Row],[Item]],Pay.Item.Listing[],3+2*(Units&lt;&gt;"Metric"),0),"–")</f>
        <v>–</v>
      </c>
      <c r="H76" s="70" t="str">
        <f>IFERROR(VLOOKUP(Items[[#This Row],[Item]],Pay.Item.Listing[],6,0),"–")</f>
        <v>–</v>
      </c>
      <c r="I76" s="70" t="str">
        <f>IFERROR(VLOOKUP(Items[[#This Row],[Item]],Pay.Item.Listing[],7,0),"–")</f>
        <v>–</v>
      </c>
      <c r="J76" s="71"/>
      <c r="K76" s="69"/>
      <c r="L76" s="69"/>
      <c r="M76" s="69"/>
      <c r="N76" s="69"/>
      <c r="O76" s="69"/>
      <c r="P76" s="69"/>
      <c r="Q76" s="69"/>
      <c r="R76" s="69"/>
      <c r="S76" s="69"/>
      <c r="T76" s="69"/>
      <c r="U76" s="69"/>
      <c r="V76" s="69"/>
      <c r="W76" s="69"/>
      <c r="X76" s="72">
        <f>IF(LEN(Items[[#This Row],[Item]])&gt;0,IF(Items[[#This Row],[Unit]]="LPSM",1,SUM(Items[[#This Row],[Col_1]:[Col_13]])),0)</f>
        <v>0</v>
      </c>
      <c r="Y76" s="190">
        <f>MAX(Items[[#This Row],[Quantity]]-SUM(Items[[#This Row],[Account2]]:Items[[#This Row],[Account7]]),0)</f>
        <v>0</v>
      </c>
      <c r="Z76" s="61"/>
      <c r="AA76" s="61"/>
      <c r="AB76" s="61"/>
      <c r="AC76" s="61"/>
      <c r="AD76" s="61"/>
      <c r="AE76" s="61"/>
      <c r="AF76" s="73"/>
      <c r="AG76" s="71"/>
      <c r="AH76" s="74"/>
      <c r="AI76" s="59"/>
      <c r="AJ76" s="190" t="str">
        <f ca="1">IFERROR(RANK(Items[[#This Row],[EstSort]],OFFSET(Items[EstSort],0,0,ROW(Proposed[])-ROW(Items[])+ROWS(Proposed[]),1),1),"")</f>
        <v/>
      </c>
      <c r="AK76" s="190" t="str">
        <f ca="1">IF(CHOOSE(MATCH(Account,Accounts,0),Items[[#This Row],[Count]],Items[[#This Row],[Account1]],Items[[#This Row],[Account2]],Items[[#This Row],[Account3]],Items[[#This Row],[Account7]])&gt;0,Items[[#This Row],[Sort]],"")</f>
        <v/>
      </c>
      <c r="AL76" s="70" t="str">
        <f ca="1">IF(LEN(Items[[#This Row],[Count]])&gt;0,IFERROR(INDEX(Calcs[Counter],MATCH(Items[[#This Row],[Line]],Calcs[Line],0)),""),"")</f>
        <v/>
      </c>
      <c r="AM76" s="156" t="str">
        <f ca="1">IFERROR(Letter&amp;TEXT((Items[[#This Row],[Count]]-1)*Incr+BeginLine,"0000"),"")</f>
        <v/>
      </c>
      <c r="AN76" s="7" t="str">
        <f>IF(ISNA(MATCH(LEFT(Items[[#This Row],[Raw Item]],5)&amp;"-"&amp;RIGHT(Items[[#This Row],[Raw Item]],4),Pay.Item.Listing[Pay Item],0)),"",LEFT(Items[[#This Row],[Raw Item]],5)&amp;"-"&amp;RIGHT(Items[[#This Row],[Raw Item]],4))</f>
        <v/>
      </c>
    </row>
    <row r="77" spans="1:40" x14ac:dyDescent="0.15">
      <c r="A77" s="7" t="str">
        <f ca="1">IFERROR(RANK(Items[[#This Row],[Sort]],OFFSET(Items[Sort],0,0,ROW(Proposed[])-ROW(Items[])+ROWS(Proposed[]),1),1),"")</f>
        <v/>
      </c>
      <c r="B77" s="7" t="str">
        <f>IF(LEN(Items[[#This Row],[Item]])&gt;0,Items[[#This Row],[Raw Item]]+COUNTIF(AN$4:AN77,AN77)/100,"")</f>
        <v/>
      </c>
      <c r="C77" s="7">
        <f>IFERROR(VALUE(LEFT(VALUE(SUBSTITUTE(Items[[#This Row],[Pay Item]],"-",""))*100000000,9)),0)</f>
        <v>0</v>
      </c>
      <c r="D77" s="8"/>
      <c r="E77" s="127"/>
      <c r="F77" s="123" t="str">
        <f>IFERROR(SUBSTITUTE(VLOOKUP(Items[[#This Row],[Item]],Pay.Item.Listing[],2+2*(Units&lt;&gt;"Metric"),0),"{","&lt;"),"&lt;&lt; Pay Item not found &gt;&gt;")</f>
        <v>&lt;&lt; Pay Item not found &gt;&gt;</v>
      </c>
      <c r="G77" s="70" t="str">
        <f>IFERROR(VLOOKUP(Items[[#This Row],[Item]],Pay.Item.Listing[],3+2*(Units&lt;&gt;"Metric"),0),"–")</f>
        <v>–</v>
      </c>
      <c r="H77" s="70" t="str">
        <f>IFERROR(VLOOKUP(Items[[#This Row],[Item]],Pay.Item.Listing[],6,0),"–")</f>
        <v>–</v>
      </c>
      <c r="I77" s="70" t="str">
        <f>IFERROR(VLOOKUP(Items[[#This Row],[Item]],Pay.Item.Listing[],7,0),"–")</f>
        <v>–</v>
      </c>
      <c r="J77" s="71"/>
      <c r="K77" s="69"/>
      <c r="L77" s="69"/>
      <c r="M77" s="69"/>
      <c r="N77" s="69"/>
      <c r="O77" s="69"/>
      <c r="P77" s="69"/>
      <c r="Q77" s="69"/>
      <c r="R77" s="69"/>
      <c r="S77" s="69"/>
      <c r="T77" s="69"/>
      <c r="U77" s="69"/>
      <c r="V77" s="69"/>
      <c r="W77" s="69"/>
      <c r="X77" s="72">
        <f>IF(LEN(Items[[#This Row],[Item]])&gt;0,IF(Items[[#This Row],[Unit]]="LPSM",1,SUM(Items[[#This Row],[Col_1]:[Col_13]])),0)</f>
        <v>0</v>
      </c>
      <c r="Y77" s="190">
        <f>MAX(Items[[#This Row],[Quantity]]-SUM(Items[[#This Row],[Account2]]:Items[[#This Row],[Account7]]),0)</f>
        <v>0</v>
      </c>
      <c r="Z77" s="61"/>
      <c r="AA77" s="61"/>
      <c r="AB77" s="61"/>
      <c r="AC77" s="61"/>
      <c r="AD77" s="61"/>
      <c r="AE77" s="61"/>
      <c r="AF77" s="73"/>
      <c r="AG77" s="71"/>
      <c r="AH77" s="74"/>
      <c r="AI77" s="59"/>
      <c r="AJ77" s="190" t="str">
        <f ca="1">IFERROR(RANK(Items[[#This Row],[EstSort]],OFFSET(Items[EstSort],0,0,ROW(Proposed[])-ROW(Items[])+ROWS(Proposed[]),1),1),"")</f>
        <v/>
      </c>
      <c r="AK77" s="190" t="str">
        <f ca="1">IF(CHOOSE(MATCH(Account,Accounts,0),Items[[#This Row],[Count]],Items[[#This Row],[Account1]],Items[[#This Row],[Account2]],Items[[#This Row],[Account3]],Items[[#This Row],[Account7]])&gt;0,Items[[#This Row],[Sort]],"")</f>
        <v/>
      </c>
      <c r="AL77" s="70" t="str">
        <f ca="1">IF(LEN(Items[[#This Row],[Count]])&gt;0,IFERROR(INDEX(Calcs[Counter],MATCH(Items[[#This Row],[Line]],Calcs[Line],0)),""),"")</f>
        <v/>
      </c>
      <c r="AM77" s="156" t="str">
        <f ca="1">IFERROR(Letter&amp;TEXT((Items[[#This Row],[Count]]-1)*Incr+BeginLine,"0000"),"")</f>
        <v/>
      </c>
      <c r="AN77" s="7" t="str">
        <f>IF(ISNA(MATCH(LEFT(Items[[#This Row],[Raw Item]],5)&amp;"-"&amp;RIGHT(Items[[#This Row],[Raw Item]],4),Pay.Item.Listing[Pay Item],0)),"",LEFT(Items[[#This Row],[Raw Item]],5)&amp;"-"&amp;RIGHT(Items[[#This Row],[Raw Item]],4))</f>
        <v/>
      </c>
    </row>
    <row r="78" spans="1:40" x14ac:dyDescent="0.15">
      <c r="A78" s="7" t="str">
        <f ca="1">IFERROR(RANK(Items[[#This Row],[Sort]],OFFSET(Items[Sort],0,0,ROW(Proposed[])-ROW(Items[])+ROWS(Proposed[]),1),1),"")</f>
        <v/>
      </c>
      <c r="B78" s="7" t="str">
        <f>IF(LEN(Items[[#This Row],[Item]])&gt;0,Items[[#This Row],[Raw Item]]+COUNTIF(AN$4:AN78,AN78)/100,"")</f>
        <v/>
      </c>
      <c r="C78" s="7">
        <f>IFERROR(VALUE(LEFT(VALUE(SUBSTITUTE(Items[[#This Row],[Pay Item]],"-",""))*100000000,9)),0)</f>
        <v>0</v>
      </c>
      <c r="D78" s="8"/>
      <c r="E78" s="127"/>
      <c r="F78" s="123" t="str">
        <f>IFERROR(SUBSTITUTE(VLOOKUP(Items[[#This Row],[Item]],Pay.Item.Listing[],2+2*(Units&lt;&gt;"Metric"),0),"{","&lt;"),"&lt;&lt; Pay Item not found &gt;&gt;")</f>
        <v>&lt;&lt; Pay Item not found &gt;&gt;</v>
      </c>
      <c r="G78" s="70" t="str">
        <f>IFERROR(VLOOKUP(Items[[#This Row],[Item]],Pay.Item.Listing[],3+2*(Units&lt;&gt;"Metric"),0),"–")</f>
        <v>–</v>
      </c>
      <c r="H78" s="70" t="str">
        <f>IFERROR(VLOOKUP(Items[[#This Row],[Item]],Pay.Item.Listing[],6,0),"–")</f>
        <v>–</v>
      </c>
      <c r="I78" s="70" t="str">
        <f>IFERROR(VLOOKUP(Items[[#This Row],[Item]],Pay.Item.Listing[],7,0),"–")</f>
        <v>–</v>
      </c>
      <c r="J78" s="71"/>
      <c r="K78" s="69"/>
      <c r="L78" s="69"/>
      <c r="M78" s="69"/>
      <c r="N78" s="69"/>
      <c r="O78" s="69"/>
      <c r="P78" s="69"/>
      <c r="Q78" s="69"/>
      <c r="R78" s="69"/>
      <c r="S78" s="69"/>
      <c r="T78" s="69"/>
      <c r="U78" s="69"/>
      <c r="V78" s="69"/>
      <c r="W78" s="69"/>
      <c r="X78" s="72">
        <f>IF(LEN(Items[[#This Row],[Item]])&gt;0,IF(Items[[#This Row],[Unit]]="LPSM",1,SUM(Items[[#This Row],[Col_1]:[Col_13]])),0)</f>
        <v>0</v>
      </c>
      <c r="Y78" s="190">
        <f>MAX(Items[[#This Row],[Quantity]]-SUM(Items[[#This Row],[Account2]]:Items[[#This Row],[Account7]]),0)</f>
        <v>0</v>
      </c>
      <c r="Z78" s="61"/>
      <c r="AA78" s="61"/>
      <c r="AB78" s="61"/>
      <c r="AC78" s="61"/>
      <c r="AD78" s="61"/>
      <c r="AE78" s="61"/>
      <c r="AF78" s="73"/>
      <c r="AG78" s="71"/>
      <c r="AH78" s="74"/>
      <c r="AI78" s="59"/>
      <c r="AJ78" s="190" t="str">
        <f ca="1">IFERROR(RANK(Items[[#This Row],[EstSort]],OFFSET(Items[EstSort],0,0,ROW(Proposed[])-ROW(Items[])+ROWS(Proposed[]),1),1),"")</f>
        <v/>
      </c>
      <c r="AK78" s="190" t="str">
        <f ca="1">IF(CHOOSE(MATCH(Account,Accounts,0),Items[[#This Row],[Count]],Items[[#This Row],[Account1]],Items[[#This Row],[Account2]],Items[[#This Row],[Account3]],Items[[#This Row],[Account7]])&gt;0,Items[[#This Row],[Sort]],"")</f>
        <v/>
      </c>
      <c r="AL78" s="70" t="str">
        <f ca="1">IF(LEN(Items[[#This Row],[Count]])&gt;0,IFERROR(INDEX(Calcs[Counter],MATCH(Items[[#This Row],[Line]],Calcs[Line],0)),""),"")</f>
        <v/>
      </c>
      <c r="AM78" s="156" t="str">
        <f ca="1">IFERROR(Letter&amp;TEXT((Items[[#This Row],[Count]]-1)*Incr+BeginLine,"0000"),"")</f>
        <v/>
      </c>
      <c r="AN78" s="7" t="str">
        <f>IF(ISNA(MATCH(LEFT(Items[[#This Row],[Raw Item]],5)&amp;"-"&amp;RIGHT(Items[[#This Row],[Raw Item]],4),Pay.Item.Listing[Pay Item],0)),"",LEFT(Items[[#This Row],[Raw Item]],5)&amp;"-"&amp;RIGHT(Items[[#This Row],[Raw Item]],4))</f>
        <v/>
      </c>
    </row>
    <row r="79" spans="1:40" x14ac:dyDescent="0.15">
      <c r="A79" s="7" t="str">
        <f ca="1">IFERROR(RANK(Items[[#This Row],[Sort]],OFFSET(Items[Sort],0,0,ROW(Proposed[])-ROW(Items[])+ROWS(Proposed[]),1),1),"")</f>
        <v/>
      </c>
      <c r="B79" s="7" t="str">
        <f>IF(LEN(Items[[#This Row],[Item]])&gt;0,Items[[#This Row],[Raw Item]]+COUNTIF(AN$4:AN79,AN79)/100,"")</f>
        <v/>
      </c>
      <c r="C79" s="7">
        <f>IFERROR(VALUE(LEFT(VALUE(SUBSTITUTE(Items[[#This Row],[Pay Item]],"-",""))*100000000,9)),0)</f>
        <v>0</v>
      </c>
      <c r="D79" s="8"/>
      <c r="E79" s="127"/>
      <c r="F79" s="123" t="str">
        <f>IFERROR(SUBSTITUTE(VLOOKUP(Items[[#This Row],[Item]],Pay.Item.Listing[],2+2*(Units&lt;&gt;"Metric"),0),"{","&lt;"),"&lt;&lt; Pay Item not found &gt;&gt;")</f>
        <v>&lt;&lt; Pay Item not found &gt;&gt;</v>
      </c>
      <c r="G79" s="70" t="str">
        <f>IFERROR(VLOOKUP(Items[[#This Row],[Item]],Pay.Item.Listing[],3+2*(Units&lt;&gt;"Metric"),0),"–")</f>
        <v>–</v>
      </c>
      <c r="H79" s="70" t="str">
        <f>IFERROR(VLOOKUP(Items[[#This Row],[Item]],Pay.Item.Listing[],6,0),"–")</f>
        <v>–</v>
      </c>
      <c r="I79" s="70" t="str">
        <f>IFERROR(VLOOKUP(Items[[#This Row],[Item]],Pay.Item.Listing[],7,0),"–")</f>
        <v>–</v>
      </c>
      <c r="J79" s="71"/>
      <c r="K79" s="69"/>
      <c r="L79" s="69"/>
      <c r="M79" s="69"/>
      <c r="N79" s="69"/>
      <c r="O79" s="69"/>
      <c r="P79" s="69"/>
      <c r="Q79" s="69"/>
      <c r="R79" s="69"/>
      <c r="S79" s="69"/>
      <c r="T79" s="69"/>
      <c r="U79" s="69"/>
      <c r="V79" s="69"/>
      <c r="W79" s="69"/>
      <c r="X79" s="72">
        <f>IF(LEN(Items[[#This Row],[Item]])&gt;0,IF(Items[[#This Row],[Unit]]="LPSM",1,SUM(Items[[#This Row],[Col_1]:[Col_13]])),0)</f>
        <v>0</v>
      </c>
      <c r="Y79" s="190">
        <f>MAX(Items[[#This Row],[Quantity]]-SUM(Items[[#This Row],[Account2]]:Items[[#This Row],[Account7]]),0)</f>
        <v>0</v>
      </c>
      <c r="Z79" s="61"/>
      <c r="AA79" s="61"/>
      <c r="AB79" s="61"/>
      <c r="AC79" s="61"/>
      <c r="AD79" s="61"/>
      <c r="AE79" s="61"/>
      <c r="AF79" s="73"/>
      <c r="AG79" s="71"/>
      <c r="AH79" s="74"/>
      <c r="AI79" s="59"/>
      <c r="AJ79" s="190" t="str">
        <f ca="1">IFERROR(RANK(Items[[#This Row],[EstSort]],OFFSET(Items[EstSort],0,0,ROW(Proposed[])-ROW(Items[])+ROWS(Proposed[]),1),1),"")</f>
        <v/>
      </c>
      <c r="AK79" s="190" t="str">
        <f ca="1">IF(CHOOSE(MATCH(Account,Accounts,0),Items[[#This Row],[Count]],Items[[#This Row],[Account1]],Items[[#This Row],[Account2]],Items[[#This Row],[Account3]],Items[[#This Row],[Account7]])&gt;0,Items[[#This Row],[Sort]],"")</f>
        <v/>
      </c>
      <c r="AL79" s="70" t="str">
        <f ca="1">IF(LEN(Items[[#This Row],[Count]])&gt;0,IFERROR(INDEX(Calcs[Counter],MATCH(Items[[#This Row],[Line]],Calcs[Line],0)),""),"")</f>
        <v/>
      </c>
      <c r="AM79" s="156" t="str">
        <f ca="1">IFERROR(Letter&amp;TEXT((Items[[#This Row],[Count]]-1)*Incr+BeginLine,"0000"),"")</f>
        <v/>
      </c>
      <c r="AN79" s="7" t="str">
        <f>IF(ISNA(MATCH(LEFT(Items[[#This Row],[Raw Item]],5)&amp;"-"&amp;RIGHT(Items[[#This Row],[Raw Item]],4),Pay.Item.Listing[Pay Item],0)),"",LEFT(Items[[#This Row],[Raw Item]],5)&amp;"-"&amp;RIGHT(Items[[#This Row],[Raw Item]],4))</f>
        <v/>
      </c>
    </row>
    <row r="80" spans="1:40" x14ac:dyDescent="0.15">
      <c r="A80" s="7" t="str">
        <f ca="1">IFERROR(RANK(Items[[#This Row],[Sort]],OFFSET(Items[Sort],0,0,ROW(Proposed[])-ROW(Items[])+ROWS(Proposed[]),1),1),"")</f>
        <v/>
      </c>
      <c r="B80" s="7" t="str">
        <f>IF(LEN(Items[[#This Row],[Item]])&gt;0,Items[[#This Row],[Raw Item]]+COUNTIF(AN$4:AN80,AN80)/100,"")</f>
        <v/>
      </c>
      <c r="C80" s="7">
        <f>IFERROR(VALUE(LEFT(VALUE(SUBSTITUTE(Items[[#This Row],[Pay Item]],"-",""))*100000000,9)),0)</f>
        <v>0</v>
      </c>
      <c r="D80" s="8"/>
      <c r="E80" s="127"/>
      <c r="F80" s="123" t="str">
        <f>IFERROR(SUBSTITUTE(VLOOKUP(Items[[#This Row],[Item]],Pay.Item.Listing[],2+2*(Units&lt;&gt;"Metric"),0),"{","&lt;"),"&lt;&lt; Pay Item not found &gt;&gt;")</f>
        <v>&lt;&lt; Pay Item not found &gt;&gt;</v>
      </c>
      <c r="G80" s="70" t="str">
        <f>IFERROR(VLOOKUP(Items[[#This Row],[Item]],Pay.Item.Listing[],3+2*(Units&lt;&gt;"Metric"),0),"–")</f>
        <v>–</v>
      </c>
      <c r="H80" s="70" t="str">
        <f>IFERROR(VLOOKUP(Items[[#This Row],[Item]],Pay.Item.Listing[],6,0),"–")</f>
        <v>–</v>
      </c>
      <c r="I80" s="70" t="str">
        <f>IFERROR(VLOOKUP(Items[[#This Row],[Item]],Pay.Item.Listing[],7,0),"–")</f>
        <v>–</v>
      </c>
      <c r="J80" s="71"/>
      <c r="K80" s="69"/>
      <c r="L80" s="69"/>
      <c r="M80" s="69"/>
      <c r="N80" s="69"/>
      <c r="O80" s="69"/>
      <c r="P80" s="69"/>
      <c r="Q80" s="69"/>
      <c r="R80" s="69"/>
      <c r="S80" s="69"/>
      <c r="T80" s="69"/>
      <c r="U80" s="69"/>
      <c r="V80" s="69"/>
      <c r="W80" s="69"/>
      <c r="X80" s="72">
        <f>IF(LEN(Items[[#This Row],[Item]])&gt;0,IF(Items[[#This Row],[Unit]]="LPSM",1,SUM(Items[[#This Row],[Col_1]:[Col_13]])),0)</f>
        <v>0</v>
      </c>
      <c r="Y80" s="190">
        <f>MAX(Items[[#This Row],[Quantity]]-SUM(Items[[#This Row],[Account2]]:Items[[#This Row],[Account7]]),0)</f>
        <v>0</v>
      </c>
      <c r="Z80" s="61"/>
      <c r="AA80" s="61"/>
      <c r="AB80" s="61"/>
      <c r="AC80" s="61"/>
      <c r="AD80" s="61"/>
      <c r="AE80" s="61"/>
      <c r="AF80" s="73"/>
      <c r="AG80" s="71"/>
      <c r="AH80" s="74"/>
      <c r="AI80" s="59"/>
      <c r="AJ80" s="190" t="str">
        <f ca="1">IFERROR(RANK(Items[[#This Row],[EstSort]],OFFSET(Items[EstSort],0,0,ROW(Proposed[])-ROW(Items[])+ROWS(Proposed[]),1),1),"")</f>
        <v/>
      </c>
      <c r="AK80" s="190" t="str">
        <f ca="1">IF(CHOOSE(MATCH(Account,Accounts,0),Items[[#This Row],[Count]],Items[[#This Row],[Account1]],Items[[#This Row],[Account2]],Items[[#This Row],[Account3]],Items[[#This Row],[Account7]])&gt;0,Items[[#This Row],[Sort]],"")</f>
        <v/>
      </c>
      <c r="AL80" s="70" t="str">
        <f ca="1">IF(LEN(Items[[#This Row],[Count]])&gt;0,IFERROR(INDEX(Calcs[Counter],MATCH(Items[[#This Row],[Line]],Calcs[Line],0)),""),"")</f>
        <v/>
      </c>
      <c r="AM80" s="156" t="str">
        <f ca="1">IFERROR(Letter&amp;TEXT((Items[[#This Row],[Count]]-1)*Incr+BeginLine,"0000"),"")</f>
        <v/>
      </c>
      <c r="AN80" s="7" t="str">
        <f>IF(ISNA(MATCH(LEFT(Items[[#This Row],[Raw Item]],5)&amp;"-"&amp;RIGHT(Items[[#This Row],[Raw Item]],4),Pay.Item.Listing[Pay Item],0)),"",LEFT(Items[[#This Row],[Raw Item]],5)&amp;"-"&amp;RIGHT(Items[[#This Row],[Raw Item]],4))</f>
        <v/>
      </c>
    </row>
    <row r="81" spans="1:40" x14ac:dyDescent="0.15">
      <c r="A81" s="7" t="str">
        <f ca="1">IFERROR(RANK(Items[[#This Row],[Sort]],OFFSET(Items[Sort],0,0,ROW(Proposed[])-ROW(Items[])+ROWS(Proposed[]),1),1),"")</f>
        <v/>
      </c>
      <c r="B81" s="7" t="str">
        <f>IF(LEN(Items[[#This Row],[Item]])&gt;0,Items[[#This Row],[Raw Item]]+COUNTIF(AN$4:AN81,AN81)/100,"")</f>
        <v/>
      </c>
      <c r="C81" s="7">
        <f>IFERROR(VALUE(LEFT(VALUE(SUBSTITUTE(Items[[#This Row],[Pay Item]],"-",""))*100000000,9)),0)</f>
        <v>0</v>
      </c>
      <c r="D81" s="8"/>
      <c r="E81" s="127"/>
      <c r="F81" s="123" t="str">
        <f>IFERROR(SUBSTITUTE(VLOOKUP(Items[[#This Row],[Item]],Pay.Item.Listing[],2+2*(Units&lt;&gt;"Metric"),0),"{","&lt;"),"&lt;&lt; Pay Item not found &gt;&gt;")</f>
        <v>&lt;&lt; Pay Item not found &gt;&gt;</v>
      </c>
      <c r="G81" s="70" t="str">
        <f>IFERROR(VLOOKUP(Items[[#This Row],[Item]],Pay.Item.Listing[],3+2*(Units&lt;&gt;"Metric"),0),"–")</f>
        <v>–</v>
      </c>
      <c r="H81" s="70" t="str">
        <f>IFERROR(VLOOKUP(Items[[#This Row],[Item]],Pay.Item.Listing[],6,0),"–")</f>
        <v>–</v>
      </c>
      <c r="I81" s="70" t="str">
        <f>IFERROR(VLOOKUP(Items[[#This Row],[Item]],Pay.Item.Listing[],7,0),"–")</f>
        <v>–</v>
      </c>
      <c r="J81" s="71"/>
      <c r="K81" s="69"/>
      <c r="L81" s="69"/>
      <c r="M81" s="69"/>
      <c r="N81" s="69"/>
      <c r="O81" s="69"/>
      <c r="P81" s="69"/>
      <c r="Q81" s="69"/>
      <c r="R81" s="69"/>
      <c r="S81" s="69"/>
      <c r="T81" s="69"/>
      <c r="U81" s="69"/>
      <c r="V81" s="69"/>
      <c r="W81" s="69"/>
      <c r="X81" s="72">
        <f>IF(LEN(Items[[#This Row],[Item]])&gt;0,IF(Items[[#This Row],[Unit]]="LPSM",1,SUM(Items[[#This Row],[Col_1]:[Col_13]])),0)</f>
        <v>0</v>
      </c>
      <c r="Y81" s="190">
        <f>MAX(Items[[#This Row],[Quantity]]-SUM(Items[[#This Row],[Account2]]:Items[[#This Row],[Account7]]),0)</f>
        <v>0</v>
      </c>
      <c r="Z81" s="61"/>
      <c r="AA81" s="61"/>
      <c r="AB81" s="61"/>
      <c r="AC81" s="61"/>
      <c r="AD81" s="61"/>
      <c r="AE81" s="61"/>
      <c r="AF81" s="73"/>
      <c r="AG81" s="71"/>
      <c r="AH81" s="74"/>
      <c r="AI81" s="59"/>
      <c r="AJ81" s="190" t="str">
        <f ca="1">IFERROR(RANK(Items[[#This Row],[EstSort]],OFFSET(Items[EstSort],0,0,ROW(Proposed[])-ROW(Items[])+ROWS(Proposed[]),1),1),"")</f>
        <v/>
      </c>
      <c r="AK81" s="190" t="str">
        <f ca="1">IF(CHOOSE(MATCH(Account,Accounts,0),Items[[#This Row],[Count]],Items[[#This Row],[Account1]],Items[[#This Row],[Account2]],Items[[#This Row],[Account3]],Items[[#This Row],[Account7]])&gt;0,Items[[#This Row],[Sort]],"")</f>
        <v/>
      </c>
      <c r="AL81" s="70" t="str">
        <f ca="1">IF(LEN(Items[[#This Row],[Count]])&gt;0,IFERROR(INDEX(Calcs[Counter],MATCH(Items[[#This Row],[Line]],Calcs[Line],0)),""),"")</f>
        <v/>
      </c>
      <c r="AM81" s="156" t="str">
        <f ca="1">IFERROR(Letter&amp;TEXT((Items[[#This Row],[Count]]-1)*Incr+BeginLine,"0000"),"")</f>
        <v/>
      </c>
      <c r="AN81" s="7" t="str">
        <f>IF(ISNA(MATCH(LEFT(Items[[#This Row],[Raw Item]],5)&amp;"-"&amp;RIGHT(Items[[#This Row],[Raw Item]],4),Pay.Item.Listing[Pay Item],0)),"",LEFT(Items[[#This Row],[Raw Item]],5)&amp;"-"&amp;RIGHT(Items[[#This Row],[Raw Item]],4))</f>
        <v/>
      </c>
    </row>
    <row r="82" spans="1:40" x14ac:dyDescent="0.15">
      <c r="A82" s="7" t="str">
        <f ca="1">IFERROR(RANK(Items[[#This Row],[Sort]],OFFSET(Items[Sort],0,0,ROW(Proposed[])-ROW(Items[])+ROWS(Proposed[]),1),1),"")</f>
        <v/>
      </c>
      <c r="B82" s="7" t="str">
        <f>IF(LEN(Items[[#This Row],[Item]])&gt;0,Items[[#This Row],[Raw Item]]+COUNTIF(AN$4:AN82,AN82)/100,"")</f>
        <v/>
      </c>
      <c r="C82" s="7">
        <f>IFERROR(VALUE(LEFT(VALUE(SUBSTITUTE(Items[[#This Row],[Pay Item]],"-",""))*100000000,9)),0)</f>
        <v>0</v>
      </c>
      <c r="D82" s="8"/>
      <c r="E82" s="127"/>
      <c r="F82" s="123" t="str">
        <f>IFERROR(SUBSTITUTE(VLOOKUP(Items[[#This Row],[Item]],Pay.Item.Listing[],2+2*(Units&lt;&gt;"Metric"),0),"{","&lt;"),"&lt;&lt; Pay Item not found &gt;&gt;")</f>
        <v>&lt;&lt; Pay Item not found &gt;&gt;</v>
      </c>
      <c r="G82" s="70" t="str">
        <f>IFERROR(VLOOKUP(Items[[#This Row],[Item]],Pay.Item.Listing[],3+2*(Units&lt;&gt;"Metric"),0),"–")</f>
        <v>–</v>
      </c>
      <c r="H82" s="70" t="str">
        <f>IFERROR(VLOOKUP(Items[[#This Row],[Item]],Pay.Item.Listing[],6,0),"–")</f>
        <v>–</v>
      </c>
      <c r="I82" s="70" t="str">
        <f>IFERROR(VLOOKUP(Items[[#This Row],[Item]],Pay.Item.Listing[],7,0),"–")</f>
        <v>–</v>
      </c>
      <c r="J82" s="71"/>
      <c r="K82" s="69"/>
      <c r="L82" s="69"/>
      <c r="M82" s="69"/>
      <c r="N82" s="69"/>
      <c r="O82" s="69"/>
      <c r="P82" s="69"/>
      <c r="Q82" s="69"/>
      <c r="R82" s="69"/>
      <c r="S82" s="69"/>
      <c r="T82" s="69"/>
      <c r="U82" s="69"/>
      <c r="V82" s="69"/>
      <c r="W82" s="69"/>
      <c r="X82" s="72">
        <f>IF(LEN(Items[[#This Row],[Item]])&gt;0,IF(Items[[#This Row],[Unit]]="LPSM",1,SUM(Items[[#This Row],[Col_1]:[Col_13]])),0)</f>
        <v>0</v>
      </c>
      <c r="Y82" s="190">
        <f>MAX(Items[[#This Row],[Quantity]]-SUM(Items[[#This Row],[Account2]]:Items[[#This Row],[Account7]]),0)</f>
        <v>0</v>
      </c>
      <c r="Z82" s="61"/>
      <c r="AA82" s="61"/>
      <c r="AB82" s="61"/>
      <c r="AC82" s="61"/>
      <c r="AD82" s="61"/>
      <c r="AE82" s="61"/>
      <c r="AF82" s="73"/>
      <c r="AG82" s="71"/>
      <c r="AH82" s="74"/>
      <c r="AI82" s="59"/>
      <c r="AJ82" s="190" t="str">
        <f ca="1">IFERROR(RANK(Items[[#This Row],[EstSort]],OFFSET(Items[EstSort],0,0,ROW(Proposed[])-ROW(Items[])+ROWS(Proposed[]),1),1),"")</f>
        <v/>
      </c>
      <c r="AK82" s="190" t="str">
        <f ca="1">IF(CHOOSE(MATCH(Account,Accounts,0),Items[[#This Row],[Count]],Items[[#This Row],[Account1]],Items[[#This Row],[Account2]],Items[[#This Row],[Account3]],Items[[#This Row],[Account7]])&gt;0,Items[[#This Row],[Sort]],"")</f>
        <v/>
      </c>
      <c r="AL82" s="70" t="str">
        <f ca="1">IF(LEN(Items[[#This Row],[Count]])&gt;0,IFERROR(INDEX(Calcs[Counter],MATCH(Items[[#This Row],[Line]],Calcs[Line],0)),""),"")</f>
        <v/>
      </c>
      <c r="AM82" s="156" t="str">
        <f ca="1">IFERROR(Letter&amp;TEXT((Items[[#This Row],[Count]]-1)*Incr+BeginLine,"0000"),"")</f>
        <v/>
      </c>
      <c r="AN82" s="7" t="str">
        <f>IF(ISNA(MATCH(LEFT(Items[[#This Row],[Raw Item]],5)&amp;"-"&amp;RIGHT(Items[[#This Row],[Raw Item]],4),Pay.Item.Listing[Pay Item],0)),"",LEFT(Items[[#This Row],[Raw Item]],5)&amp;"-"&amp;RIGHT(Items[[#This Row],[Raw Item]],4))</f>
        <v/>
      </c>
    </row>
    <row r="83" spans="1:40" x14ac:dyDescent="0.15">
      <c r="A83" s="7" t="str">
        <f ca="1">IFERROR(RANK(Items[[#This Row],[Sort]],OFFSET(Items[Sort],0,0,ROW(Proposed[])-ROW(Items[])+ROWS(Proposed[]),1),1),"")</f>
        <v/>
      </c>
      <c r="B83" s="7" t="str">
        <f>IF(LEN(Items[[#This Row],[Item]])&gt;0,Items[[#This Row],[Raw Item]]+COUNTIF(AN$4:AN83,AN83)/100,"")</f>
        <v/>
      </c>
      <c r="C83" s="7">
        <f>IFERROR(VALUE(LEFT(VALUE(SUBSTITUTE(Items[[#This Row],[Pay Item]],"-",""))*100000000,9)),0)</f>
        <v>0</v>
      </c>
      <c r="D83" s="8"/>
      <c r="E83" s="127"/>
      <c r="F83" s="123" t="str">
        <f>IFERROR(SUBSTITUTE(VLOOKUP(Items[[#This Row],[Item]],Pay.Item.Listing[],2+2*(Units&lt;&gt;"Metric"),0),"{","&lt;"),"&lt;&lt; Pay Item not found &gt;&gt;")</f>
        <v>&lt;&lt; Pay Item not found &gt;&gt;</v>
      </c>
      <c r="G83" s="70" t="str">
        <f>IFERROR(VLOOKUP(Items[[#This Row],[Item]],Pay.Item.Listing[],3+2*(Units&lt;&gt;"Metric"),0),"–")</f>
        <v>–</v>
      </c>
      <c r="H83" s="70" t="str">
        <f>IFERROR(VLOOKUP(Items[[#This Row],[Item]],Pay.Item.Listing[],6,0),"–")</f>
        <v>–</v>
      </c>
      <c r="I83" s="70" t="str">
        <f>IFERROR(VLOOKUP(Items[[#This Row],[Item]],Pay.Item.Listing[],7,0),"–")</f>
        <v>–</v>
      </c>
      <c r="J83" s="71"/>
      <c r="K83" s="69"/>
      <c r="L83" s="69"/>
      <c r="M83" s="69"/>
      <c r="N83" s="69"/>
      <c r="O83" s="69"/>
      <c r="P83" s="69"/>
      <c r="Q83" s="69"/>
      <c r="R83" s="69"/>
      <c r="S83" s="69"/>
      <c r="T83" s="69"/>
      <c r="U83" s="69"/>
      <c r="V83" s="69"/>
      <c r="W83" s="69"/>
      <c r="X83" s="72">
        <f>IF(LEN(Items[[#This Row],[Item]])&gt;0,IF(Items[[#This Row],[Unit]]="LPSM",1,SUM(Items[[#This Row],[Col_1]:[Col_13]])),0)</f>
        <v>0</v>
      </c>
      <c r="Y83" s="190">
        <f>MAX(Items[[#This Row],[Quantity]]-SUM(Items[[#This Row],[Account2]]:Items[[#This Row],[Account7]]),0)</f>
        <v>0</v>
      </c>
      <c r="Z83" s="61"/>
      <c r="AA83" s="61"/>
      <c r="AB83" s="61"/>
      <c r="AC83" s="61"/>
      <c r="AD83" s="61"/>
      <c r="AE83" s="61"/>
      <c r="AF83" s="73"/>
      <c r="AG83" s="71"/>
      <c r="AH83" s="74"/>
      <c r="AI83" s="59"/>
      <c r="AJ83" s="190" t="str">
        <f ca="1">IFERROR(RANK(Items[[#This Row],[EstSort]],OFFSET(Items[EstSort],0,0,ROW(Proposed[])-ROW(Items[])+ROWS(Proposed[]),1),1),"")</f>
        <v/>
      </c>
      <c r="AK83" s="190" t="str">
        <f ca="1">IF(CHOOSE(MATCH(Account,Accounts,0),Items[[#This Row],[Count]],Items[[#This Row],[Account1]],Items[[#This Row],[Account2]],Items[[#This Row],[Account3]],Items[[#This Row],[Account7]])&gt;0,Items[[#This Row],[Sort]],"")</f>
        <v/>
      </c>
      <c r="AL83" s="70" t="str">
        <f ca="1">IF(LEN(Items[[#This Row],[Count]])&gt;0,IFERROR(INDEX(Calcs[Counter],MATCH(Items[[#This Row],[Line]],Calcs[Line],0)),""),"")</f>
        <v/>
      </c>
      <c r="AM83" s="156" t="str">
        <f ca="1">IFERROR(Letter&amp;TEXT((Items[[#This Row],[Count]]-1)*Incr+BeginLine,"0000"),"")</f>
        <v/>
      </c>
      <c r="AN83" s="7" t="str">
        <f>IF(ISNA(MATCH(LEFT(Items[[#This Row],[Raw Item]],5)&amp;"-"&amp;RIGHT(Items[[#This Row],[Raw Item]],4),Pay.Item.Listing[Pay Item],0)),"",LEFT(Items[[#This Row],[Raw Item]],5)&amp;"-"&amp;RIGHT(Items[[#This Row],[Raw Item]],4))</f>
        <v/>
      </c>
    </row>
    <row r="84" spans="1:40" x14ac:dyDescent="0.15">
      <c r="A84" s="7" t="str">
        <f ca="1">IFERROR(RANK(Items[[#This Row],[Sort]],OFFSET(Items[Sort],0,0,ROW(Proposed[])-ROW(Items[])+ROWS(Proposed[]),1),1),"")</f>
        <v/>
      </c>
      <c r="B84" s="7" t="str">
        <f>IF(LEN(Items[[#This Row],[Item]])&gt;0,Items[[#This Row],[Raw Item]]+COUNTIF(AN$4:AN84,AN84)/100,"")</f>
        <v/>
      </c>
      <c r="C84" s="7">
        <f>IFERROR(VALUE(LEFT(VALUE(SUBSTITUTE(Items[[#This Row],[Pay Item]],"-",""))*100000000,9)),0)</f>
        <v>0</v>
      </c>
      <c r="D84" s="8"/>
      <c r="E84" s="127"/>
      <c r="F84" s="123" t="str">
        <f>IFERROR(SUBSTITUTE(VLOOKUP(Items[[#This Row],[Item]],Pay.Item.Listing[],2+2*(Units&lt;&gt;"Metric"),0),"{","&lt;"),"&lt;&lt; Pay Item not found &gt;&gt;")</f>
        <v>&lt;&lt; Pay Item not found &gt;&gt;</v>
      </c>
      <c r="G84" s="70" t="str">
        <f>IFERROR(VLOOKUP(Items[[#This Row],[Item]],Pay.Item.Listing[],3+2*(Units&lt;&gt;"Metric"),0),"–")</f>
        <v>–</v>
      </c>
      <c r="H84" s="70" t="str">
        <f>IFERROR(VLOOKUP(Items[[#This Row],[Item]],Pay.Item.Listing[],6,0),"–")</f>
        <v>–</v>
      </c>
      <c r="I84" s="70" t="str">
        <f>IFERROR(VLOOKUP(Items[[#This Row],[Item]],Pay.Item.Listing[],7,0),"–")</f>
        <v>–</v>
      </c>
      <c r="J84" s="71"/>
      <c r="K84" s="69"/>
      <c r="L84" s="69"/>
      <c r="M84" s="69"/>
      <c r="N84" s="69"/>
      <c r="O84" s="69"/>
      <c r="P84" s="69"/>
      <c r="Q84" s="69"/>
      <c r="R84" s="69"/>
      <c r="S84" s="69"/>
      <c r="T84" s="69"/>
      <c r="U84" s="69"/>
      <c r="V84" s="69"/>
      <c r="W84" s="69"/>
      <c r="X84" s="72">
        <f>IF(LEN(Items[[#This Row],[Item]])&gt;0,IF(Items[[#This Row],[Unit]]="LPSM",1,SUM(Items[[#This Row],[Col_1]:[Col_13]])),0)</f>
        <v>0</v>
      </c>
      <c r="Y84" s="190">
        <f>MAX(Items[[#This Row],[Quantity]]-SUM(Items[[#This Row],[Account2]]:Items[[#This Row],[Account7]]),0)</f>
        <v>0</v>
      </c>
      <c r="Z84" s="61"/>
      <c r="AA84" s="61"/>
      <c r="AB84" s="61"/>
      <c r="AC84" s="61"/>
      <c r="AD84" s="61"/>
      <c r="AE84" s="61"/>
      <c r="AF84" s="73"/>
      <c r="AG84" s="71"/>
      <c r="AH84" s="74"/>
      <c r="AI84" s="59"/>
      <c r="AJ84" s="190" t="str">
        <f ca="1">IFERROR(RANK(Items[[#This Row],[EstSort]],OFFSET(Items[EstSort],0,0,ROW(Proposed[])-ROW(Items[])+ROWS(Proposed[]),1),1),"")</f>
        <v/>
      </c>
      <c r="AK84" s="190" t="str">
        <f ca="1">IF(CHOOSE(MATCH(Account,Accounts,0),Items[[#This Row],[Count]],Items[[#This Row],[Account1]],Items[[#This Row],[Account2]],Items[[#This Row],[Account3]],Items[[#This Row],[Account7]])&gt;0,Items[[#This Row],[Sort]],"")</f>
        <v/>
      </c>
      <c r="AL84" s="70" t="str">
        <f ca="1">IF(LEN(Items[[#This Row],[Count]])&gt;0,IFERROR(INDEX(Calcs[Counter],MATCH(Items[[#This Row],[Line]],Calcs[Line],0)),""),"")</f>
        <v/>
      </c>
      <c r="AM84" s="156" t="str">
        <f ca="1">IFERROR(Letter&amp;TEXT((Items[[#This Row],[Count]]-1)*Incr+BeginLine,"0000"),"")</f>
        <v/>
      </c>
      <c r="AN84" s="7" t="str">
        <f>IF(ISNA(MATCH(LEFT(Items[[#This Row],[Raw Item]],5)&amp;"-"&amp;RIGHT(Items[[#This Row],[Raw Item]],4),Pay.Item.Listing[Pay Item],0)),"",LEFT(Items[[#This Row],[Raw Item]],5)&amp;"-"&amp;RIGHT(Items[[#This Row],[Raw Item]],4))</f>
        <v/>
      </c>
    </row>
    <row r="85" spans="1:40" x14ac:dyDescent="0.15">
      <c r="A85" s="7" t="str">
        <f ca="1">IFERROR(RANK(Items[[#This Row],[Sort]],OFFSET(Items[Sort],0,0,ROW(Proposed[])-ROW(Items[])+ROWS(Proposed[]),1),1),"")</f>
        <v/>
      </c>
      <c r="B85" s="7" t="str">
        <f>IF(LEN(Items[[#This Row],[Item]])&gt;0,Items[[#This Row],[Raw Item]]+COUNTIF(AN$4:AN85,AN85)/100,"")</f>
        <v/>
      </c>
      <c r="C85" s="7">
        <f>IFERROR(VALUE(LEFT(VALUE(SUBSTITUTE(Items[[#This Row],[Pay Item]],"-",""))*100000000,9)),0)</f>
        <v>0</v>
      </c>
      <c r="D85" s="8"/>
      <c r="E85" s="127"/>
      <c r="F85" s="123" t="str">
        <f>IFERROR(SUBSTITUTE(VLOOKUP(Items[[#This Row],[Item]],Pay.Item.Listing[],2+2*(Units&lt;&gt;"Metric"),0),"{","&lt;"),"&lt;&lt; Pay Item not found &gt;&gt;")</f>
        <v>&lt;&lt; Pay Item not found &gt;&gt;</v>
      </c>
      <c r="G85" s="70" t="str">
        <f>IFERROR(VLOOKUP(Items[[#This Row],[Item]],Pay.Item.Listing[],3+2*(Units&lt;&gt;"Metric"),0),"–")</f>
        <v>–</v>
      </c>
      <c r="H85" s="70" t="str">
        <f>IFERROR(VLOOKUP(Items[[#This Row],[Item]],Pay.Item.Listing[],6,0),"–")</f>
        <v>–</v>
      </c>
      <c r="I85" s="70" t="str">
        <f>IFERROR(VLOOKUP(Items[[#This Row],[Item]],Pay.Item.Listing[],7,0),"–")</f>
        <v>–</v>
      </c>
      <c r="J85" s="71"/>
      <c r="K85" s="69"/>
      <c r="L85" s="69"/>
      <c r="M85" s="69"/>
      <c r="N85" s="69"/>
      <c r="O85" s="69"/>
      <c r="P85" s="69"/>
      <c r="Q85" s="69"/>
      <c r="R85" s="69"/>
      <c r="S85" s="69"/>
      <c r="T85" s="69"/>
      <c r="U85" s="69"/>
      <c r="V85" s="69"/>
      <c r="W85" s="69"/>
      <c r="X85" s="72">
        <f>IF(LEN(Items[[#This Row],[Item]])&gt;0,IF(Items[[#This Row],[Unit]]="LPSM",1,SUM(Items[[#This Row],[Col_1]:[Col_13]])),0)</f>
        <v>0</v>
      </c>
      <c r="Y85" s="190">
        <f>MAX(Items[[#This Row],[Quantity]]-SUM(Items[[#This Row],[Account2]]:Items[[#This Row],[Account7]]),0)</f>
        <v>0</v>
      </c>
      <c r="Z85" s="61"/>
      <c r="AA85" s="61"/>
      <c r="AB85" s="61"/>
      <c r="AC85" s="61"/>
      <c r="AD85" s="61"/>
      <c r="AE85" s="61"/>
      <c r="AF85" s="73"/>
      <c r="AG85" s="71"/>
      <c r="AH85" s="74"/>
      <c r="AI85" s="59"/>
      <c r="AJ85" s="190" t="str">
        <f ca="1">IFERROR(RANK(Items[[#This Row],[EstSort]],OFFSET(Items[EstSort],0,0,ROW(Proposed[])-ROW(Items[])+ROWS(Proposed[]),1),1),"")</f>
        <v/>
      </c>
      <c r="AK85" s="190" t="str">
        <f ca="1">IF(CHOOSE(MATCH(Account,Accounts,0),Items[[#This Row],[Count]],Items[[#This Row],[Account1]],Items[[#This Row],[Account2]],Items[[#This Row],[Account3]],Items[[#This Row],[Account7]])&gt;0,Items[[#This Row],[Sort]],"")</f>
        <v/>
      </c>
      <c r="AL85" s="70" t="str">
        <f ca="1">IF(LEN(Items[[#This Row],[Count]])&gt;0,IFERROR(INDEX(Calcs[Counter],MATCH(Items[[#This Row],[Line]],Calcs[Line],0)),""),"")</f>
        <v/>
      </c>
      <c r="AM85" s="156" t="str">
        <f ca="1">IFERROR(Letter&amp;TEXT((Items[[#This Row],[Count]]-1)*Incr+BeginLine,"0000"),"")</f>
        <v/>
      </c>
      <c r="AN85" s="7" t="str">
        <f>IF(ISNA(MATCH(LEFT(Items[[#This Row],[Raw Item]],5)&amp;"-"&amp;RIGHT(Items[[#This Row],[Raw Item]],4),Pay.Item.Listing[Pay Item],0)),"",LEFT(Items[[#This Row],[Raw Item]],5)&amp;"-"&amp;RIGHT(Items[[#This Row],[Raw Item]],4))</f>
        <v/>
      </c>
    </row>
    <row r="86" spans="1:40" x14ac:dyDescent="0.15">
      <c r="A86" s="7" t="str">
        <f ca="1">IFERROR(RANK(Items[[#This Row],[Sort]],OFFSET(Items[Sort],0,0,ROW(Proposed[])-ROW(Items[])+ROWS(Proposed[]),1),1),"")</f>
        <v/>
      </c>
      <c r="B86" s="7" t="str">
        <f>IF(LEN(Items[[#This Row],[Item]])&gt;0,Items[[#This Row],[Raw Item]]+COUNTIF(AN$4:AN86,AN86)/100,"")</f>
        <v/>
      </c>
      <c r="C86" s="7">
        <f>IFERROR(VALUE(LEFT(VALUE(SUBSTITUTE(Items[[#This Row],[Pay Item]],"-",""))*100000000,9)),0)</f>
        <v>0</v>
      </c>
      <c r="D86" s="8"/>
      <c r="E86" s="127"/>
      <c r="F86" s="123" t="str">
        <f>IFERROR(SUBSTITUTE(VLOOKUP(Items[[#This Row],[Item]],Pay.Item.Listing[],2+2*(Units&lt;&gt;"Metric"),0),"{","&lt;"),"&lt;&lt; Pay Item not found &gt;&gt;")</f>
        <v>&lt;&lt; Pay Item not found &gt;&gt;</v>
      </c>
      <c r="G86" s="70" t="str">
        <f>IFERROR(VLOOKUP(Items[[#This Row],[Item]],Pay.Item.Listing[],3+2*(Units&lt;&gt;"Metric"),0),"–")</f>
        <v>–</v>
      </c>
      <c r="H86" s="70" t="str">
        <f>IFERROR(VLOOKUP(Items[[#This Row],[Item]],Pay.Item.Listing[],6,0),"–")</f>
        <v>–</v>
      </c>
      <c r="I86" s="70" t="str">
        <f>IFERROR(VLOOKUP(Items[[#This Row],[Item]],Pay.Item.Listing[],7,0),"–")</f>
        <v>–</v>
      </c>
      <c r="J86" s="71"/>
      <c r="K86" s="69"/>
      <c r="L86" s="69"/>
      <c r="M86" s="69"/>
      <c r="N86" s="69"/>
      <c r="O86" s="69"/>
      <c r="P86" s="69"/>
      <c r="Q86" s="69"/>
      <c r="R86" s="69"/>
      <c r="S86" s="69"/>
      <c r="T86" s="69"/>
      <c r="U86" s="69"/>
      <c r="V86" s="69"/>
      <c r="W86" s="69"/>
      <c r="X86" s="72">
        <f>IF(LEN(Items[[#This Row],[Item]])&gt;0,IF(Items[[#This Row],[Unit]]="LPSM",1,SUM(Items[[#This Row],[Col_1]:[Col_13]])),0)</f>
        <v>0</v>
      </c>
      <c r="Y86" s="190">
        <f>MAX(Items[[#This Row],[Quantity]]-SUM(Items[[#This Row],[Account2]]:Items[[#This Row],[Account7]]),0)</f>
        <v>0</v>
      </c>
      <c r="Z86" s="61"/>
      <c r="AA86" s="61"/>
      <c r="AB86" s="61"/>
      <c r="AC86" s="61"/>
      <c r="AD86" s="61"/>
      <c r="AE86" s="61"/>
      <c r="AF86" s="73"/>
      <c r="AG86" s="71"/>
      <c r="AH86" s="74"/>
      <c r="AI86" s="59"/>
      <c r="AJ86" s="190" t="str">
        <f ca="1">IFERROR(RANK(Items[[#This Row],[EstSort]],OFFSET(Items[EstSort],0,0,ROW(Proposed[])-ROW(Items[])+ROWS(Proposed[]),1),1),"")</f>
        <v/>
      </c>
      <c r="AK86" s="190" t="str">
        <f ca="1">IF(CHOOSE(MATCH(Account,Accounts,0),Items[[#This Row],[Count]],Items[[#This Row],[Account1]],Items[[#This Row],[Account2]],Items[[#This Row],[Account3]],Items[[#This Row],[Account7]])&gt;0,Items[[#This Row],[Sort]],"")</f>
        <v/>
      </c>
      <c r="AL86" s="70" t="str">
        <f ca="1">IF(LEN(Items[[#This Row],[Count]])&gt;0,IFERROR(INDEX(Calcs[Counter],MATCH(Items[[#This Row],[Line]],Calcs[Line],0)),""),"")</f>
        <v/>
      </c>
      <c r="AM86" s="156" t="str">
        <f ca="1">IFERROR(Letter&amp;TEXT((Items[[#This Row],[Count]]-1)*Incr+BeginLine,"0000"),"")</f>
        <v/>
      </c>
      <c r="AN86" s="7" t="str">
        <f>IF(ISNA(MATCH(LEFT(Items[[#This Row],[Raw Item]],5)&amp;"-"&amp;RIGHT(Items[[#This Row],[Raw Item]],4),Pay.Item.Listing[Pay Item],0)),"",LEFT(Items[[#This Row],[Raw Item]],5)&amp;"-"&amp;RIGHT(Items[[#This Row],[Raw Item]],4))</f>
        <v/>
      </c>
    </row>
    <row r="87" spans="1:40" x14ac:dyDescent="0.15">
      <c r="A87" s="7" t="str">
        <f ca="1">IFERROR(RANK(Items[[#This Row],[Sort]],OFFSET(Items[Sort],0,0,ROW(Proposed[])-ROW(Items[])+ROWS(Proposed[]),1),1),"")</f>
        <v/>
      </c>
      <c r="B87" s="7" t="str">
        <f>IF(LEN(Items[[#This Row],[Item]])&gt;0,Items[[#This Row],[Raw Item]]+COUNTIF(AN$4:AN87,AN87)/100,"")</f>
        <v/>
      </c>
      <c r="C87" s="7">
        <f>IFERROR(VALUE(LEFT(VALUE(SUBSTITUTE(Items[[#This Row],[Pay Item]],"-",""))*100000000,9)),0)</f>
        <v>0</v>
      </c>
      <c r="D87" s="8"/>
      <c r="E87" s="127"/>
      <c r="F87" s="123" t="str">
        <f>IFERROR(SUBSTITUTE(VLOOKUP(Items[[#This Row],[Item]],Pay.Item.Listing[],2+2*(Units&lt;&gt;"Metric"),0),"{","&lt;"),"&lt;&lt; Pay Item not found &gt;&gt;")</f>
        <v>&lt;&lt; Pay Item not found &gt;&gt;</v>
      </c>
      <c r="G87" s="70" t="str">
        <f>IFERROR(VLOOKUP(Items[[#This Row],[Item]],Pay.Item.Listing[],3+2*(Units&lt;&gt;"Metric"),0),"–")</f>
        <v>–</v>
      </c>
      <c r="H87" s="70" t="str">
        <f>IFERROR(VLOOKUP(Items[[#This Row],[Item]],Pay.Item.Listing[],6,0),"–")</f>
        <v>–</v>
      </c>
      <c r="I87" s="70" t="str">
        <f>IFERROR(VLOOKUP(Items[[#This Row],[Item]],Pay.Item.Listing[],7,0),"–")</f>
        <v>–</v>
      </c>
      <c r="J87" s="71"/>
      <c r="K87" s="69"/>
      <c r="L87" s="69"/>
      <c r="M87" s="69"/>
      <c r="N87" s="69"/>
      <c r="O87" s="69"/>
      <c r="P87" s="69"/>
      <c r="Q87" s="69"/>
      <c r="R87" s="69"/>
      <c r="S87" s="69"/>
      <c r="T87" s="69"/>
      <c r="U87" s="69"/>
      <c r="V87" s="69"/>
      <c r="W87" s="69"/>
      <c r="X87" s="72">
        <f>IF(LEN(Items[[#This Row],[Item]])&gt;0,IF(Items[[#This Row],[Unit]]="LPSM",1,SUM(Items[[#This Row],[Col_1]:[Col_13]])),0)</f>
        <v>0</v>
      </c>
      <c r="Y87" s="190">
        <f>MAX(Items[[#This Row],[Quantity]]-SUM(Items[[#This Row],[Account2]]:Items[[#This Row],[Account7]]),0)</f>
        <v>0</v>
      </c>
      <c r="Z87" s="61"/>
      <c r="AA87" s="61"/>
      <c r="AB87" s="61"/>
      <c r="AC87" s="61"/>
      <c r="AD87" s="61"/>
      <c r="AE87" s="61"/>
      <c r="AF87" s="73"/>
      <c r="AG87" s="71"/>
      <c r="AH87" s="74"/>
      <c r="AI87" s="59"/>
      <c r="AJ87" s="190" t="str">
        <f ca="1">IFERROR(RANK(Items[[#This Row],[EstSort]],OFFSET(Items[EstSort],0,0,ROW(Proposed[])-ROW(Items[])+ROWS(Proposed[]),1),1),"")</f>
        <v/>
      </c>
      <c r="AK87" s="190" t="str">
        <f ca="1">IF(CHOOSE(MATCH(Account,Accounts,0),Items[[#This Row],[Count]],Items[[#This Row],[Account1]],Items[[#This Row],[Account2]],Items[[#This Row],[Account3]],Items[[#This Row],[Account7]])&gt;0,Items[[#This Row],[Sort]],"")</f>
        <v/>
      </c>
      <c r="AL87" s="70" t="str">
        <f ca="1">IF(LEN(Items[[#This Row],[Count]])&gt;0,IFERROR(INDEX(Calcs[Counter],MATCH(Items[[#This Row],[Line]],Calcs[Line],0)),""),"")</f>
        <v/>
      </c>
      <c r="AM87" s="156" t="str">
        <f ca="1">IFERROR(Letter&amp;TEXT((Items[[#This Row],[Count]]-1)*Incr+BeginLine,"0000"),"")</f>
        <v/>
      </c>
      <c r="AN87" s="7" t="str">
        <f>IF(ISNA(MATCH(LEFT(Items[[#This Row],[Raw Item]],5)&amp;"-"&amp;RIGHT(Items[[#This Row],[Raw Item]],4),Pay.Item.Listing[Pay Item],0)),"",LEFT(Items[[#This Row],[Raw Item]],5)&amp;"-"&amp;RIGHT(Items[[#This Row],[Raw Item]],4))</f>
        <v/>
      </c>
    </row>
    <row r="88" spans="1:40" x14ac:dyDescent="0.15">
      <c r="A88" s="7" t="str">
        <f ca="1">IFERROR(RANK(Items[[#This Row],[Sort]],OFFSET(Items[Sort],0,0,ROW(Proposed[])-ROW(Items[])+ROWS(Proposed[]),1),1),"")</f>
        <v/>
      </c>
      <c r="B88" s="7" t="str">
        <f>IF(LEN(Items[[#This Row],[Item]])&gt;0,Items[[#This Row],[Raw Item]]+COUNTIF(AN$4:AN88,AN88)/100,"")</f>
        <v/>
      </c>
      <c r="C88" s="7">
        <f>IFERROR(VALUE(LEFT(VALUE(SUBSTITUTE(Items[[#This Row],[Pay Item]],"-",""))*100000000,9)),0)</f>
        <v>0</v>
      </c>
      <c r="D88" s="8"/>
      <c r="E88" s="127"/>
      <c r="F88" s="123" t="str">
        <f>IFERROR(SUBSTITUTE(VLOOKUP(Items[[#This Row],[Item]],Pay.Item.Listing[],2+2*(Units&lt;&gt;"Metric"),0),"{","&lt;"),"&lt;&lt; Pay Item not found &gt;&gt;")</f>
        <v>&lt;&lt; Pay Item not found &gt;&gt;</v>
      </c>
      <c r="G88" s="70" t="str">
        <f>IFERROR(VLOOKUP(Items[[#This Row],[Item]],Pay.Item.Listing[],3+2*(Units&lt;&gt;"Metric"),0),"–")</f>
        <v>–</v>
      </c>
      <c r="H88" s="70" t="str">
        <f>IFERROR(VLOOKUP(Items[[#This Row],[Item]],Pay.Item.Listing[],6,0),"–")</f>
        <v>–</v>
      </c>
      <c r="I88" s="70" t="str">
        <f>IFERROR(VLOOKUP(Items[[#This Row],[Item]],Pay.Item.Listing[],7,0),"–")</f>
        <v>–</v>
      </c>
      <c r="J88" s="71"/>
      <c r="K88" s="69"/>
      <c r="L88" s="69"/>
      <c r="M88" s="69"/>
      <c r="N88" s="69"/>
      <c r="O88" s="69"/>
      <c r="P88" s="69"/>
      <c r="Q88" s="69"/>
      <c r="R88" s="69"/>
      <c r="S88" s="69"/>
      <c r="T88" s="69"/>
      <c r="U88" s="69"/>
      <c r="V88" s="69"/>
      <c r="W88" s="69"/>
      <c r="X88" s="72">
        <f>IF(LEN(Items[[#This Row],[Item]])&gt;0,IF(Items[[#This Row],[Unit]]="LPSM",1,SUM(Items[[#This Row],[Col_1]:[Col_13]])),0)</f>
        <v>0</v>
      </c>
      <c r="Y88" s="190">
        <f>MAX(Items[[#This Row],[Quantity]]-SUM(Items[[#This Row],[Account2]]:Items[[#This Row],[Account7]]),0)</f>
        <v>0</v>
      </c>
      <c r="Z88" s="61"/>
      <c r="AA88" s="61"/>
      <c r="AB88" s="61"/>
      <c r="AC88" s="61"/>
      <c r="AD88" s="61"/>
      <c r="AE88" s="61"/>
      <c r="AF88" s="73"/>
      <c r="AG88" s="71"/>
      <c r="AH88" s="74"/>
      <c r="AI88" s="59"/>
      <c r="AJ88" s="190" t="str">
        <f ca="1">IFERROR(RANK(Items[[#This Row],[EstSort]],OFFSET(Items[EstSort],0,0,ROW(Proposed[])-ROW(Items[])+ROWS(Proposed[]),1),1),"")</f>
        <v/>
      </c>
      <c r="AK88" s="190" t="str">
        <f ca="1">IF(CHOOSE(MATCH(Account,Accounts,0),Items[[#This Row],[Count]],Items[[#This Row],[Account1]],Items[[#This Row],[Account2]],Items[[#This Row],[Account3]],Items[[#This Row],[Account7]])&gt;0,Items[[#This Row],[Sort]],"")</f>
        <v/>
      </c>
      <c r="AL88" s="70" t="str">
        <f ca="1">IF(LEN(Items[[#This Row],[Count]])&gt;0,IFERROR(INDEX(Calcs[Counter],MATCH(Items[[#This Row],[Line]],Calcs[Line],0)),""),"")</f>
        <v/>
      </c>
      <c r="AM88" s="156" t="str">
        <f ca="1">IFERROR(Letter&amp;TEXT((Items[[#This Row],[Count]]-1)*Incr+BeginLine,"0000"),"")</f>
        <v/>
      </c>
      <c r="AN88" s="7" t="str">
        <f>IF(ISNA(MATCH(LEFT(Items[[#This Row],[Raw Item]],5)&amp;"-"&amp;RIGHT(Items[[#This Row],[Raw Item]],4),Pay.Item.Listing[Pay Item],0)),"",LEFT(Items[[#This Row],[Raw Item]],5)&amp;"-"&amp;RIGHT(Items[[#This Row],[Raw Item]],4))</f>
        <v/>
      </c>
    </row>
    <row r="89" spans="1:40" x14ac:dyDescent="0.15">
      <c r="A89" s="7" t="str">
        <f ca="1">IFERROR(RANK(Items[[#This Row],[Sort]],OFFSET(Items[Sort],0,0,ROW(Proposed[])-ROW(Items[])+ROWS(Proposed[]),1),1),"")</f>
        <v/>
      </c>
      <c r="B89" s="7" t="str">
        <f>IF(LEN(Items[[#This Row],[Item]])&gt;0,Items[[#This Row],[Raw Item]]+COUNTIF(AN$4:AN89,AN89)/100,"")</f>
        <v/>
      </c>
      <c r="C89" s="7">
        <f>IFERROR(VALUE(LEFT(VALUE(SUBSTITUTE(Items[[#This Row],[Pay Item]],"-",""))*100000000,9)),0)</f>
        <v>0</v>
      </c>
      <c r="D89" s="8"/>
      <c r="E89" s="127"/>
      <c r="F89" s="123" t="str">
        <f>IFERROR(SUBSTITUTE(VLOOKUP(Items[[#This Row],[Item]],Pay.Item.Listing[],2+2*(Units&lt;&gt;"Metric"),0),"{","&lt;"),"&lt;&lt; Pay Item not found &gt;&gt;")</f>
        <v>&lt;&lt; Pay Item not found &gt;&gt;</v>
      </c>
      <c r="G89" s="70" t="str">
        <f>IFERROR(VLOOKUP(Items[[#This Row],[Item]],Pay.Item.Listing[],3+2*(Units&lt;&gt;"Metric"),0),"–")</f>
        <v>–</v>
      </c>
      <c r="H89" s="70" t="str">
        <f>IFERROR(VLOOKUP(Items[[#This Row],[Item]],Pay.Item.Listing[],6,0),"–")</f>
        <v>–</v>
      </c>
      <c r="I89" s="70" t="str">
        <f>IFERROR(VLOOKUP(Items[[#This Row],[Item]],Pay.Item.Listing[],7,0),"–")</f>
        <v>–</v>
      </c>
      <c r="J89" s="71"/>
      <c r="K89" s="69"/>
      <c r="L89" s="69"/>
      <c r="M89" s="69"/>
      <c r="N89" s="69"/>
      <c r="O89" s="69"/>
      <c r="P89" s="69"/>
      <c r="Q89" s="69"/>
      <c r="R89" s="69"/>
      <c r="S89" s="69"/>
      <c r="T89" s="69"/>
      <c r="U89" s="69"/>
      <c r="V89" s="69"/>
      <c r="W89" s="69"/>
      <c r="X89" s="72">
        <f>IF(LEN(Items[[#This Row],[Item]])&gt;0,IF(Items[[#This Row],[Unit]]="LPSM",1,SUM(Items[[#This Row],[Col_1]:[Col_13]])),0)</f>
        <v>0</v>
      </c>
      <c r="Y89" s="190">
        <f>MAX(Items[[#This Row],[Quantity]]-SUM(Items[[#This Row],[Account2]]:Items[[#This Row],[Account7]]),0)</f>
        <v>0</v>
      </c>
      <c r="Z89" s="61"/>
      <c r="AA89" s="61"/>
      <c r="AB89" s="61"/>
      <c r="AC89" s="61"/>
      <c r="AD89" s="61"/>
      <c r="AE89" s="61"/>
      <c r="AF89" s="73"/>
      <c r="AG89" s="71"/>
      <c r="AH89" s="74"/>
      <c r="AI89" s="59"/>
      <c r="AJ89" s="190" t="str">
        <f ca="1">IFERROR(RANK(Items[[#This Row],[EstSort]],OFFSET(Items[EstSort],0,0,ROW(Proposed[])-ROW(Items[])+ROWS(Proposed[]),1),1),"")</f>
        <v/>
      </c>
      <c r="AK89" s="190" t="str">
        <f ca="1">IF(CHOOSE(MATCH(Account,Accounts,0),Items[[#This Row],[Count]],Items[[#This Row],[Account1]],Items[[#This Row],[Account2]],Items[[#This Row],[Account3]],Items[[#This Row],[Account7]])&gt;0,Items[[#This Row],[Sort]],"")</f>
        <v/>
      </c>
      <c r="AL89" s="70" t="str">
        <f ca="1">IF(LEN(Items[[#This Row],[Count]])&gt;0,IFERROR(INDEX(Calcs[Counter],MATCH(Items[[#This Row],[Line]],Calcs[Line],0)),""),"")</f>
        <v/>
      </c>
      <c r="AM89" s="156" t="str">
        <f ca="1">IFERROR(Letter&amp;TEXT((Items[[#This Row],[Count]]-1)*Incr+BeginLine,"0000"),"")</f>
        <v/>
      </c>
      <c r="AN89" s="7" t="str">
        <f>IF(ISNA(MATCH(LEFT(Items[[#This Row],[Raw Item]],5)&amp;"-"&amp;RIGHT(Items[[#This Row],[Raw Item]],4),Pay.Item.Listing[Pay Item],0)),"",LEFT(Items[[#This Row],[Raw Item]],5)&amp;"-"&amp;RIGHT(Items[[#This Row],[Raw Item]],4))</f>
        <v/>
      </c>
    </row>
    <row r="90" spans="1:40" x14ac:dyDescent="0.15">
      <c r="A90" s="7" t="str">
        <f ca="1">IFERROR(RANK(Items[[#This Row],[Sort]],OFFSET(Items[Sort],0,0,ROW(Proposed[])-ROW(Items[])+ROWS(Proposed[]),1),1),"")</f>
        <v/>
      </c>
      <c r="B90" s="7" t="str">
        <f>IF(LEN(Items[[#This Row],[Item]])&gt;0,Items[[#This Row],[Raw Item]]+COUNTIF(AN$4:AN90,AN90)/100,"")</f>
        <v/>
      </c>
      <c r="C90" s="7">
        <f>IFERROR(VALUE(LEFT(VALUE(SUBSTITUTE(Items[[#This Row],[Pay Item]],"-",""))*100000000,9)),0)</f>
        <v>0</v>
      </c>
      <c r="D90" s="8"/>
      <c r="E90" s="127"/>
      <c r="F90" s="123" t="str">
        <f>IFERROR(SUBSTITUTE(VLOOKUP(Items[[#This Row],[Item]],Pay.Item.Listing[],2+2*(Units&lt;&gt;"Metric"),0),"{","&lt;"),"&lt;&lt; Pay Item not found &gt;&gt;")</f>
        <v>&lt;&lt; Pay Item not found &gt;&gt;</v>
      </c>
      <c r="G90" s="70" t="str">
        <f>IFERROR(VLOOKUP(Items[[#This Row],[Item]],Pay.Item.Listing[],3+2*(Units&lt;&gt;"Metric"),0),"–")</f>
        <v>–</v>
      </c>
      <c r="H90" s="70" t="str">
        <f>IFERROR(VLOOKUP(Items[[#This Row],[Item]],Pay.Item.Listing[],6,0),"–")</f>
        <v>–</v>
      </c>
      <c r="I90" s="70" t="str">
        <f>IFERROR(VLOOKUP(Items[[#This Row],[Item]],Pay.Item.Listing[],7,0),"–")</f>
        <v>–</v>
      </c>
      <c r="J90" s="71"/>
      <c r="K90" s="69"/>
      <c r="L90" s="69"/>
      <c r="M90" s="69"/>
      <c r="N90" s="69"/>
      <c r="O90" s="69"/>
      <c r="P90" s="69"/>
      <c r="Q90" s="69"/>
      <c r="R90" s="69"/>
      <c r="S90" s="69"/>
      <c r="T90" s="69"/>
      <c r="U90" s="69"/>
      <c r="V90" s="69"/>
      <c r="W90" s="69"/>
      <c r="X90" s="72">
        <f>IF(LEN(Items[[#This Row],[Item]])&gt;0,IF(Items[[#This Row],[Unit]]="LPSM",1,SUM(Items[[#This Row],[Col_1]:[Col_13]])),0)</f>
        <v>0</v>
      </c>
      <c r="Y90" s="190">
        <f>MAX(Items[[#This Row],[Quantity]]-SUM(Items[[#This Row],[Account2]]:Items[[#This Row],[Account7]]),0)</f>
        <v>0</v>
      </c>
      <c r="Z90" s="61"/>
      <c r="AA90" s="61"/>
      <c r="AB90" s="61"/>
      <c r="AC90" s="61"/>
      <c r="AD90" s="61"/>
      <c r="AE90" s="61"/>
      <c r="AF90" s="73"/>
      <c r="AG90" s="71"/>
      <c r="AH90" s="74"/>
      <c r="AI90" s="59"/>
      <c r="AJ90" s="190" t="str">
        <f ca="1">IFERROR(RANK(Items[[#This Row],[EstSort]],OFFSET(Items[EstSort],0,0,ROW(Proposed[])-ROW(Items[])+ROWS(Proposed[]),1),1),"")</f>
        <v/>
      </c>
      <c r="AK90" s="190" t="str">
        <f ca="1">IF(CHOOSE(MATCH(Account,Accounts,0),Items[[#This Row],[Count]],Items[[#This Row],[Account1]],Items[[#This Row],[Account2]],Items[[#This Row],[Account3]],Items[[#This Row],[Account7]])&gt;0,Items[[#This Row],[Sort]],"")</f>
        <v/>
      </c>
      <c r="AL90" s="70" t="str">
        <f ca="1">IF(LEN(Items[[#This Row],[Count]])&gt;0,IFERROR(INDEX(Calcs[Counter],MATCH(Items[[#This Row],[Line]],Calcs[Line],0)),""),"")</f>
        <v/>
      </c>
      <c r="AM90" s="156" t="str">
        <f ca="1">IFERROR(Letter&amp;TEXT((Items[[#This Row],[Count]]-1)*Incr+BeginLine,"0000"),"")</f>
        <v/>
      </c>
      <c r="AN90" s="7" t="str">
        <f>IF(ISNA(MATCH(LEFT(Items[[#This Row],[Raw Item]],5)&amp;"-"&amp;RIGHT(Items[[#This Row],[Raw Item]],4),Pay.Item.Listing[Pay Item],0)),"",LEFT(Items[[#This Row],[Raw Item]],5)&amp;"-"&amp;RIGHT(Items[[#This Row],[Raw Item]],4))</f>
        <v/>
      </c>
    </row>
    <row r="91" spans="1:40" x14ac:dyDescent="0.15">
      <c r="A91" s="7" t="str">
        <f ca="1">IFERROR(RANK(Items[[#This Row],[Sort]],OFFSET(Items[Sort],0,0,ROW(Proposed[])-ROW(Items[])+ROWS(Proposed[]),1),1),"")</f>
        <v/>
      </c>
      <c r="B91" s="7" t="str">
        <f>IF(LEN(Items[[#This Row],[Item]])&gt;0,Items[[#This Row],[Raw Item]]+COUNTIF(AN$4:AN91,AN91)/100,"")</f>
        <v/>
      </c>
      <c r="C91" s="7">
        <f>IFERROR(VALUE(LEFT(VALUE(SUBSTITUTE(Items[[#This Row],[Pay Item]],"-",""))*100000000,9)),0)</f>
        <v>0</v>
      </c>
      <c r="D91" s="8"/>
      <c r="E91" s="127"/>
      <c r="F91" s="123" t="str">
        <f>IFERROR(SUBSTITUTE(VLOOKUP(Items[[#This Row],[Item]],Pay.Item.Listing[],2+2*(Units&lt;&gt;"Metric"),0),"{","&lt;"),"&lt;&lt; Pay Item not found &gt;&gt;")</f>
        <v>&lt;&lt; Pay Item not found &gt;&gt;</v>
      </c>
      <c r="G91" s="70" t="str">
        <f>IFERROR(VLOOKUP(Items[[#This Row],[Item]],Pay.Item.Listing[],3+2*(Units&lt;&gt;"Metric"),0),"–")</f>
        <v>–</v>
      </c>
      <c r="H91" s="70" t="str">
        <f>IFERROR(VLOOKUP(Items[[#This Row],[Item]],Pay.Item.Listing[],6,0),"–")</f>
        <v>–</v>
      </c>
      <c r="I91" s="70" t="str">
        <f>IFERROR(VLOOKUP(Items[[#This Row],[Item]],Pay.Item.Listing[],7,0),"–")</f>
        <v>–</v>
      </c>
      <c r="J91" s="71"/>
      <c r="K91" s="69"/>
      <c r="L91" s="69"/>
      <c r="M91" s="69"/>
      <c r="N91" s="69"/>
      <c r="O91" s="69"/>
      <c r="P91" s="69"/>
      <c r="Q91" s="69"/>
      <c r="R91" s="69"/>
      <c r="S91" s="69"/>
      <c r="T91" s="69"/>
      <c r="U91" s="69"/>
      <c r="V91" s="69"/>
      <c r="W91" s="69"/>
      <c r="X91" s="72">
        <f>IF(LEN(Items[[#This Row],[Item]])&gt;0,IF(Items[[#This Row],[Unit]]="LPSM",1,SUM(Items[[#This Row],[Col_1]:[Col_13]])),0)</f>
        <v>0</v>
      </c>
      <c r="Y91" s="190">
        <f>MAX(Items[[#This Row],[Quantity]]-SUM(Items[[#This Row],[Account2]]:Items[[#This Row],[Account7]]),0)</f>
        <v>0</v>
      </c>
      <c r="Z91" s="61"/>
      <c r="AA91" s="61"/>
      <c r="AB91" s="61"/>
      <c r="AC91" s="61"/>
      <c r="AD91" s="61"/>
      <c r="AE91" s="61"/>
      <c r="AF91" s="73"/>
      <c r="AG91" s="71"/>
      <c r="AH91" s="74"/>
      <c r="AI91" s="59"/>
      <c r="AJ91" s="190" t="str">
        <f ca="1">IFERROR(RANK(Items[[#This Row],[EstSort]],OFFSET(Items[EstSort],0,0,ROW(Proposed[])-ROW(Items[])+ROWS(Proposed[]),1),1),"")</f>
        <v/>
      </c>
      <c r="AK91" s="190" t="str">
        <f ca="1">IF(CHOOSE(MATCH(Account,Accounts,0),Items[[#This Row],[Count]],Items[[#This Row],[Account1]],Items[[#This Row],[Account2]],Items[[#This Row],[Account3]],Items[[#This Row],[Account7]])&gt;0,Items[[#This Row],[Sort]],"")</f>
        <v/>
      </c>
      <c r="AL91" s="70" t="str">
        <f ca="1">IF(LEN(Items[[#This Row],[Count]])&gt;0,IFERROR(INDEX(Calcs[Counter],MATCH(Items[[#This Row],[Line]],Calcs[Line],0)),""),"")</f>
        <v/>
      </c>
      <c r="AM91" s="156" t="str">
        <f ca="1">IFERROR(Letter&amp;TEXT((Items[[#This Row],[Count]]-1)*Incr+BeginLine,"0000"),"")</f>
        <v/>
      </c>
      <c r="AN91" s="7" t="str">
        <f>IF(ISNA(MATCH(LEFT(Items[[#This Row],[Raw Item]],5)&amp;"-"&amp;RIGHT(Items[[#This Row],[Raw Item]],4),Pay.Item.Listing[Pay Item],0)),"",LEFT(Items[[#This Row],[Raw Item]],5)&amp;"-"&amp;RIGHT(Items[[#This Row],[Raw Item]],4))</f>
        <v/>
      </c>
    </row>
    <row r="92" spans="1:40" x14ac:dyDescent="0.15">
      <c r="A92" s="7" t="str">
        <f ca="1">IFERROR(RANK(Items[[#This Row],[Sort]],OFFSET(Items[Sort],0,0,ROW(Proposed[])-ROW(Items[])+ROWS(Proposed[]),1),1),"")</f>
        <v/>
      </c>
      <c r="B92" s="7" t="str">
        <f>IF(LEN(Items[[#This Row],[Item]])&gt;0,Items[[#This Row],[Raw Item]]+COUNTIF(AN$4:AN92,AN92)/100,"")</f>
        <v/>
      </c>
      <c r="C92" s="7">
        <f>IFERROR(VALUE(LEFT(VALUE(SUBSTITUTE(Items[[#This Row],[Pay Item]],"-",""))*100000000,9)),0)</f>
        <v>0</v>
      </c>
      <c r="D92" s="8"/>
      <c r="E92" s="127"/>
      <c r="F92" s="123" t="str">
        <f>IFERROR(SUBSTITUTE(VLOOKUP(Items[[#This Row],[Item]],Pay.Item.Listing[],2+2*(Units&lt;&gt;"Metric"),0),"{","&lt;"),"&lt;&lt; Pay Item not found &gt;&gt;")</f>
        <v>&lt;&lt; Pay Item not found &gt;&gt;</v>
      </c>
      <c r="G92" s="70" t="str">
        <f>IFERROR(VLOOKUP(Items[[#This Row],[Item]],Pay.Item.Listing[],3+2*(Units&lt;&gt;"Metric"),0),"–")</f>
        <v>–</v>
      </c>
      <c r="H92" s="70" t="str">
        <f>IFERROR(VLOOKUP(Items[[#This Row],[Item]],Pay.Item.Listing[],6,0),"–")</f>
        <v>–</v>
      </c>
      <c r="I92" s="70" t="str">
        <f>IFERROR(VLOOKUP(Items[[#This Row],[Item]],Pay.Item.Listing[],7,0),"–")</f>
        <v>–</v>
      </c>
      <c r="J92" s="71"/>
      <c r="K92" s="69"/>
      <c r="L92" s="69"/>
      <c r="M92" s="69"/>
      <c r="N92" s="69"/>
      <c r="O92" s="69"/>
      <c r="P92" s="69"/>
      <c r="Q92" s="69"/>
      <c r="R92" s="69"/>
      <c r="S92" s="69"/>
      <c r="T92" s="69"/>
      <c r="U92" s="69"/>
      <c r="V92" s="69"/>
      <c r="W92" s="69"/>
      <c r="X92" s="72">
        <f>IF(LEN(Items[[#This Row],[Item]])&gt;0,IF(Items[[#This Row],[Unit]]="LPSM",1,SUM(Items[[#This Row],[Col_1]:[Col_13]])),0)</f>
        <v>0</v>
      </c>
      <c r="Y92" s="190">
        <f>MAX(Items[[#This Row],[Quantity]]-SUM(Items[[#This Row],[Account2]]:Items[[#This Row],[Account7]]),0)</f>
        <v>0</v>
      </c>
      <c r="Z92" s="61"/>
      <c r="AA92" s="61"/>
      <c r="AB92" s="61"/>
      <c r="AC92" s="61"/>
      <c r="AD92" s="61"/>
      <c r="AE92" s="61"/>
      <c r="AF92" s="73"/>
      <c r="AG92" s="71"/>
      <c r="AH92" s="74"/>
      <c r="AI92" s="59"/>
      <c r="AJ92" s="190" t="str">
        <f ca="1">IFERROR(RANK(Items[[#This Row],[EstSort]],OFFSET(Items[EstSort],0,0,ROW(Proposed[])-ROW(Items[])+ROWS(Proposed[]),1),1),"")</f>
        <v/>
      </c>
      <c r="AK92" s="190" t="str">
        <f ca="1">IF(CHOOSE(MATCH(Account,Accounts,0),Items[[#This Row],[Count]],Items[[#This Row],[Account1]],Items[[#This Row],[Account2]],Items[[#This Row],[Account3]],Items[[#This Row],[Account7]])&gt;0,Items[[#This Row],[Sort]],"")</f>
        <v/>
      </c>
      <c r="AL92" s="70" t="str">
        <f ca="1">IF(LEN(Items[[#This Row],[Count]])&gt;0,IFERROR(INDEX(Calcs[Counter],MATCH(Items[[#This Row],[Line]],Calcs[Line],0)),""),"")</f>
        <v/>
      </c>
      <c r="AM92" s="156" t="str">
        <f ca="1">IFERROR(Letter&amp;TEXT((Items[[#This Row],[Count]]-1)*Incr+BeginLine,"0000"),"")</f>
        <v/>
      </c>
      <c r="AN92" s="7" t="str">
        <f>IF(ISNA(MATCH(LEFT(Items[[#This Row],[Raw Item]],5)&amp;"-"&amp;RIGHT(Items[[#This Row],[Raw Item]],4),Pay.Item.Listing[Pay Item],0)),"",LEFT(Items[[#This Row],[Raw Item]],5)&amp;"-"&amp;RIGHT(Items[[#This Row],[Raw Item]],4))</f>
        <v/>
      </c>
    </row>
    <row r="93" spans="1:40" x14ac:dyDescent="0.15">
      <c r="A93" s="7" t="str">
        <f ca="1">IFERROR(RANK(Items[[#This Row],[Sort]],OFFSET(Items[Sort],0,0,ROW(Proposed[])-ROW(Items[])+ROWS(Proposed[]),1),1),"")</f>
        <v/>
      </c>
      <c r="B93" s="7" t="str">
        <f>IF(LEN(Items[[#This Row],[Item]])&gt;0,Items[[#This Row],[Raw Item]]+COUNTIF(AN$4:AN93,AN93)/100,"")</f>
        <v/>
      </c>
      <c r="C93" s="7">
        <f>IFERROR(VALUE(LEFT(VALUE(SUBSTITUTE(Items[[#This Row],[Pay Item]],"-",""))*100000000,9)),0)</f>
        <v>0</v>
      </c>
      <c r="D93" s="8"/>
      <c r="E93" s="127"/>
      <c r="F93" s="123" t="str">
        <f>IFERROR(SUBSTITUTE(VLOOKUP(Items[[#This Row],[Item]],Pay.Item.Listing[],2+2*(Units&lt;&gt;"Metric"),0),"{","&lt;"),"&lt;&lt; Pay Item not found &gt;&gt;")</f>
        <v>&lt;&lt; Pay Item not found &gt;&gt;</v>
      </c>
      <c r="G93" s="70" t="str">
        <f>IFERROR(VLOOKUP(Items[[#This Row],[Item]],Pay.Item.Listing[],3+2*(Units&lt;&gt;"Metric"),0),"–")</f>
        <v>–</v>
      </c>
      <c r="H93" s="70" t="str">
        <f>IFERROR(VLOOKUP(Items[[#This Row],[Item]],Pay.Item.Listing[],6,0),"–")</f>
        <v>–</v>
      </c>
      <c r="I93" s="70" t="str">
        <f>IFERROR(VLOOKUP(Items[[#This Row],[Item]],Pay.Item.Listing[],7,0),"–")</f>
        <v>–</v>
      </c>
      <c r="J93" s="71"/>
      <c r="K93" s="69"/>
      <c r="L93" s="69"/>
      <c r="M93" s="69"/>
      <c r="N93" s="69"/>
      <c r="O93" s="69"/>
      <c r="P93" s="69"/>
      <c r="Q93" s="69"/>
      <c r="R93" s="69"/>
      <c r="S93" s="69"/>
      <c r="T93" s="69"/>
      <c r="U93" s="69"/>
      <c r="V93" s="69"/>
      <c r="W93" s="69"/>
      <c r="X93" s="72">
        <f>IF(LEN(Items[[#This Row],[Item]])&gt;0,IF(Items[[#This Row],[Unit]]="LPSM",1,SUM(Items[[#This Row],[Col_1]:[Col_13]])),0)</f>
        <v>0</v>
      </c>
      <c r="Y93" s="190">
        <f>MAX(Items[[#This Row],[Quantity]]-SUM(Items[[#This Row],[Account2]]:Items[[#This Row],[Account7]]),0)</f>
        <v>0</v>
      </c>
      <c r="Z93" s="61"/>
      <c r="AA93" s="61"/>
      <c r="AB93" s="61"/>
      <c r="AC93" s="61"/>
      <c r="AD93" s="61"/>
      <c r="AE93" s="61"/>
      <c r="AF93" s="73"/>
      <c r="AG93" s="71"/>
      <c r="AH93" s="74"/>
      <c r="AI93" s="59"/>
      <c r="AJ93" s="190" t="str">
        <f ca="1">IFERROR(RANK(Items[[#This Row],[EstSort]],OFFSET(Items[EstSort],0,0,ROW(Proposed[])-ROW(Items[])+ROWS(Proposed[]),1),1),"")</f>
        <v/>
      </c>
      <c r="AK93" s="190" t="str">
        <f ca="1">IF(CHOOSE(MATCH(Account,Accounts,0),Items[[#This Row],[Count]],Items[[#This Row],[Account1]],Items[[#This Row],[Account2]],Items[[#This Row],[Account3]],Items[[#This Row],[Account7]])&gt;0,Items[[#This Row],[Sort]],"")</f>
        <v/>
      </c>
      <c r="AL93" s="70" t="str">
        <f ca="1">IF(LEN(Items[[#This Row],[Count]])&gt;0,IFERROR(INDEX(Calcs[Counter],MATCH(Items[[#This Row],[Line]],Calcs[Line],0)),""),"")</f>
        <v/>
      </c>
      <c r="AM93" s="156" t="str">
        <f ca="1">IFERROR(Letter&amp;TEXT((Items[[#This Row],[Count]]-1)*Incr+BeginLine,"0000"),"")</f>
        <v/>
      </c>
      <c r="AN93" s="7" t="str">
        <f>IF(ISNA(MATCH(LEFT(Items[[#This Row],[Raw Item]],5)&amp;"-"&amp;RIGHT(Items[[#This Row],[Raw Item]],4),Pay.Item.Listing[Pay Item],0)),"",LEFT(Items[[#This Row],[Raw Item]],5)&amp;"-"&amp;RIGHT(Items[[#This Row],[Raw Item]],4))</f>
        <v/>
      </c>
    </row>
    <row r="94" spans="1:40" x14ac:dyDescent="0.15">
      <c r="A94" s="7" t="str">
        <f ca="1">IFERROR(RANK(Items[[#This Row],[Sort]],OFFSET(Items[Sort],0,0,ROW(Proposed[])-ROW(Items[])+ROWS(Proposed[]),1),1),"")</f>
        <v/>
      </c>
      <c r="B94" s="7" t="str">
        <f>IF(LEN(Items[[#This Row],[Item]])&gt;0,Items[[#This Row],[Raw Item]]+COUNTIF(AN$4:AN94,AN94)/100,"")</f>
        <v/>
      </c>
      <c r="C94" s="7">
        <f>IFERROR(VALUE(LEFT(VALUE(SUBSTITUTE(Items[[#This Row],[Pay Item]],"-",""))*100000000,9)),0)</f>
        <v>0</v>
      </c>
      <c r="D94" s="8"/>
      <c r="E94" s="127"/>
      <c r="F94" s="123" t="str">
        <f>IFERROR(SUBSTITUTE(VLOOKUP(Items[[#This Row],[Item]],Pay.Item.Listing[],2+2*(Units&lt;&gt;"Metric"),0),"{","&lt;"),"&lt;&lt; Pay Item not found &gt;&gt;")</f>
        <v>&lt;&lt; Pay Item not found &gt;&gt;</v>
      </c>
      <c r="G94" s="70" t="str">
        <f>IFERROR(VLOOKUP(Items[[#This Row],[Item]],Pay.Item.Listing[],3+2*(Units&lt;&gt;"Metric"),0),"–")</f>
        <v>–</v>
      </c>
      <c r="H94" s="70" t="str">
        <f>IFERROR(VLOOKUP(Items[[#This Row],[Item]],Pay.Item.Listing[],6,0),"–")</f>
        <v>–</v>
      </c>
      <c r="I94" s="70" t="str">
        <f>IFERROR(VLOOKUP(Items[[#This Row],[Item]],Pay.Item.Listing[],7,0),"–")</f>
        <v>–</v>
      </c>
      <c r="J94" s="71"/>
      <c r="K94" s="69"/>
      <c r="L94" s="69"/>
      <c r="M94" s="69"/>
      <c r="N94" s="69"/>
      <c r="O94" s="69"/>
      <c r="P94" s="69"/>
      <c r="Q94" s="69"/>
      <c r="R94" s="69"/>
      <c r="S94" s="69"/>
      <c r="T94" s="69"/>
      <c r="U94" s="69"/>
      <c r="V94" s="69"/>
      <c r="W94" s="69"/>
      <c r="X94" s="72">
        <f>IF(LEN(Items[[#This Row],[Item]])&gt;0,IF(Items[[#This Row],[Unit]]="LPSM",1,SUM(Items[[#This Row],[Col_1]:[Col_13]])),0)</f>
        <v>0</v>
      </c>
      <c r="Y94" s="190">
        <f>MAX(Items[[#This Row],[Quantity]]-SUM(Items[[#This Row],[Account2]]:Items[[#This Row],[Account7]]),0)</f>
        <v>0</v>
      </c>
      <c r="Z94" s="61"/>
      <c r="AA94" s="61"/>
      <c r="AB94" s="61"/>
      <c r="AC94" s="61"/>
      <c r="AD94" s="61"/>
      <c r="AE94" s="61"/>
      <c r="AF94" s="73"/>
      <c r="AG94" s="71"/>
      <c r="AH94" s="74"/>
      <c r="AI94" s="59"/>
      <c r="AJ94" s="190" t="str">
        <f ca="1">IFERROR(RANK(Items[[#This Row],[EstSort]],OFFSET(Items[EstSort],0,0,ROW(Proposed[])-ROW(Items[])+ROWS(Proposed[]),1),1),"")</f>
        <v/>
      </c>
      <c r="AK94" s="190" t="str">
        <f ca="1">IF(CHOOSE(MATCH(Account,Accounts,0),Items[[#This Row],[Count]],Items[[#This Row],[Account1]],Items[[#This Row],[Account2]],Items[[#This Row],[Account3]],Items[[#This Row],[Account7]])&gt;0,Items[[#This Row],[Sort]],"")</f>
        <v/>
      </c>
      <c r="AL94" s="70" t="str">
        <f ca="1">IF(LEN(Items[[#This Row],[Count]])&gt;0,IFERROR(INDEX(Calcs[Counter],MATCH(Items[[#This Row],[Line]],Calcs[Line],0)),""),"")</f>
        <v/>
      </c>
      <c r="AM94" s="156" t="str">
        <f ca="1">IFERROR(Letter&amp;TEXT((Items[[#This Row],[Count]]-1)*Incr+BeginLine,"0000"),"")</f>
        <v/>
      </c>
      <c r="AN94" s="7" t="str">
        <f>IF(ISNA(MATCH(LEFT(Items[[#This Row],[Raw Item]],5)&amp;"-"&amp;RIGHT(Items[[#This Row],[Raw Item]],4),Pay.Item.Listing[Pay Item],0)),"",LEFT(Items[[#This Row],[Raw Item]],5)&amp;"-"&amp;RIGHT(Items[[#This Row],[Raw Item]],4))</f>
        <v/>
      </c>
    </row>
    <row r="95" spans="1:40" x14ac:dyDescent="0.15">
      <c r="A95" s="7" t="str">
        <f ca="1">IFERROR(RANK(Items[[#This Row],[Sort]],OFFSET(Items[Sort],0,0,ROW(Proposed[])-ROW(Items[])+ROWS(Proposed[]),1),1),"")</f>
        <v/>
      </c>
      <c r="B95" s="7" t="str">
        <f>IF(LEN(Items[[#This Row],[Item]])&gt;0,Items[[#This Row],[Raw Item]]+COUNTIF(AN$4:AN95,AN95)/100,"")</f>
        <v/>
      </c>
      <c r="C95" s="7">
        <f>IFERROR(VALUE(LEFT(VALUE(SUBSTITUTE(Items[[#This Row],[Pay Item]],"-",""))*100000000,9)),0)</f>
        <v>0</v>
      </c>
      <c r="D95" s="8"/>
      <c r="E95" s="127"/>
      <c r="F95" s="123" t="str">
        <f>IFERROR(SUBSTITUTE(VLOOKUP(Items[[#This Row],[Item]],Pay.Item.Listing[],2+2*(Units&lt;&gt;"Metric"),0),"{","&lt;"),"&lt;&lt; Pay Item not found &gt;&gt;")</f>
        <v>&lt;&lt; Pay Item not found &gt;&gt;</v>
      </c>
      <c r="G95" s="70" t="str">
        <f>IFERROR(VLOOKUP(Items[[#This Row],[Item]],Pay.Item.Listing[],3+2*(Units&lt;&gt;"Metric"),0),"–")</f>
        <v>–</v>
      </c>
      <c r="H95" s="70" t="str">
        <f>IFERROR(VLOOKUP(Items[[#This Row],[Item]],Pay.Item.Listing[],6,0),"–")</f>
        <v>–</v>
      </c>
      <c r="I95" s="70" t="str">
        <f>IFERROR(VLOOKUP(Items[[#This Row],[Item]],Pay.Item.Listing[],7,0),"–")</f>
        <v>–</v>
      </c>
      <c r="J95" s="71"/>
      <c r="K95" s="69"/>
      <c r="L95" s="69"/>
      <c r="M95" s="69"/>
      <c r="N95" s="69"/>
      <c r="O95" s="69"/>
      <c r="P95" s="69"/>
      <c r="Q95" s="69"/>
      <c r="R95" s="69"/>
      <c r="S95" s="69"/>
      <c r="T95" s="69"/>
      <c r="U95" s="69"/>
      <c r="V95" s="69"/>
      <c r="W95" s="69"/>
      <c r="X95" s="72">
        <f>IF(LEN(Items[[#This Row],[Item]])&gt;0,IF(Items[[#This Row],[Unit]]="LPSM",1,SUM(Items[[#This Row],[Col_1]:[Col_13]])),0)</f>
        <v>0</v>
      </c>
      <c r="Y95" s="190">
        <f>MAX(Items[[#This Row],[Quantity]]-SUM(Items[[#This Row],[Account2]]:Items[[#This Row],[Account7]]),0)</f>
        <v>0</v>
      </c>
      <c r="Z95" s="61"/>
      <c r="AA95" s="61"/>
      <c r="AB95" s="61"/>
      <c r="AC95" s="61"/>
      <c r="AD95" s="61"/>
      <c r="AE95" s="61"/>
      <c r="AF95" s="73"/>
      <c r="AG95" s="71"/>
      <c r="AH95" s="74"/>
      <c r="AI95" s="59"/>
      <c r="AJ95" s="190" t="str">
        <f ca="1">IFERROR(RANK(Items[[#This Row],[EstSort]],OFFSET(Items[EstSort],0,0,ROW(Proposed[])-ROW(Items[])+ROWS(Proposed[]),1),1),"")</f>
        <v/>
      </c>
      <c r="AK95" s="190" t="str">
        <f ca="1">IF(CHOOSE(MATCH(Account,Accounts,0),Items[[#This Row],[Count]],Items[[#This Row],[Account1]],Items[[#This Row],[Account2]],Items[[#This Row],[Account3]],Items[[#This Row],[Account7]])&gt;0,Items[[#This Row],[Sort]],"")</f>
        <v/>
      </c>
      <c r="AL95" s="70" t="str">
        <f ca="1">IF(LEN(Items[[#This Row],[Count]])&gt;0,IFERROR(INDEX(Calcs[Counter],MATCH(Items[[#This Row],[Line]],Calcs[Line],0)),""),"")</f>
        <v/>
      </c>
      <c r="AM95" s="156" t="str">
        <f ca="1">IFERROR(Letter&amp;TEXT((Items[[#This Row],[Count]]-1)*Incr+BeginLine,"0000"),"")</f>
        <v/>
      </c>
      <c r="AN95" s="7" t="str">
        <f>IF(ISNA(MATCH(LEFT(Items[[#This Row],[Raw Item]],5)&amp;"-"&amp;RIGHT(Items[[#This Row],[Raw Item]],4),Pay.Item.Listing[Pay Item],0)),"",LEFT(Items[[#This Row],[Raw Item]],5)&amp;"-"&amp;RIGHT(Items[[#This Row],[Raw Item]],4))</f>
        <v/>
      </c>
    </row>
    <row r="96" spans="1:40" x14ac:dyDescent="0.15">
      <c r="A96" s="7" t="str">
        <f ca="1">IFERROR(RANK(Items[[#This Row],[Sort]],OFFSET(Items[Sort],0,0,ROW(Proposed[])-ROW(Items[])+ROWS(Proposed[]),1),1),"")</f>
        <v/>
      </c>
      <c r="B96" s="7" t="str">
        <f>IF(LEN(Items[[#This Row],[Item]])&gt;0,Items[[#This Row],[Raw Item]]+COUNTIF(AN$4:AN96,AN96)/100,"")</f>
        <v/>
      </c>
      <c r="C96" s="7">
        <f>IFERROR(VALUE(LEFT(VALUE(SUBSTITUTE(Items[[#This Row],[Pay Item]],"-",""))*100000000,9)),0)</f>
        <v>0</v>
      </c>
      <c r="D96" s="8"/>
      <c r="E96" s="127"/>
      <c r="F96" s="123" t="str">
        <f>IFERROR(SUBSTITUTE(VLOOKUP(Items[[#This Row],[Item]],Pay.Item.Listing[],2+2*(Units&lt;&gt;"Metric"),0),"{","&lt;"),"&lt;&lt; Pay Item not found &gt;&gt;")</f>
        <v>&lt;&lt; Pay Item not found &gt;&gt;</v>
      </c>
      <c r="G96" s="70" t="str">
        <f>IFERROR(VLOOKUP(Items[[#This Row],[Item]],Pay.Item.Listing[],3+2*(Units&lt;&gt;"Metric"),0),"–")</f>
        <v>–</v>
      </c>
      <c r="H96" s="70" t="str">
        <f>IFERROR(VLOOKUP(Items[[#This Row],[Item]],Pay.Item.Listing[],6,0),"–")</f>
        <v>–</v>
      </c>
      <c r="I96" s="70" t="str">
        <f>IFERROR(VLOOKUP(Items[[#This Row],[Item]],Pay.Item.Listing[],7,0),"–")</f>
        <v>–</v>
      </c>
      <c r="J96" s="71"/>
      <c r="K96" s="69"/>
      <c r="L96" s="69"/>
      <c r="M96" s="69"/>
      <c r="N96" s="69"/>
      <c r="O96" s="69"/>
      <c r="P96" s="69"/>
      <c r="Q96" s="69"/>
      <c r="R96" s="69"/>
      <c r="S96" s="69"/>
      <c r="T96" s="69"/>
      <c r="U96" s="69"/>
      <c r="V96" s="69"/>
      <c r="W96" s="69"/>
      <c r="X96" s="72">
        <f>IF(LEN(Items[[#This Row],[Item]])&gt;0,IF(Items[[#This Row],[Unit]]="LPSM",1,SUM(Items[[#This Row],[Col_1]:[Col_13]])),0)</f>
        <v>0</v>
      </c>
      <c r="Y96" s="190">
        <f>MAX(Items[[#This Row],[Quantity]]-SUM(Items[[#This Row],[Account2]]:Items[[#This Row],[Account7]]),0)</f>
        <v>0</v>
      </c>
      <c r="Z96" s="61"/>
      <c r="AA96" s="61"/>
      <c r="AB96" s="61"/>
      <c r="AC96" s="61"/>
      <c r="AD96" s="61"/>
      <c r="AE96" s="61"/>
      <c r="AF96" s="73"/>
      <c r="AG96" s="71"/>
      <c r="AH96" s="74"/>
      <c r="AI96" s="59"/>
      <c r="AJ96" s="190" t="str">
        <f ca="1">IFERROR(RANK(Items[[#This Row],[EstSort]],OFFSET(Items[EstSort],0,0,ROW(Proposed[])-ROW(Items[])+ROWS(Proposed[]),1),1),"")</f>
        <v/>
      </c>
      <c r="AK96" s="190" t="str">
        <f ca="1">IF(CHOOSE(MATCH(Account,Accounts,0),Items[[#This Row],[Count]],Items[[#This Row],[Account1]],Items[[#This Row],[Account2]],Items[[#This Row],[Account3]],Items[[#This Row],[Account7]])&gt;0,Items[[#This Row],[Sort]],"")</f>
        <v/>
      </c>
      <c r="AL96" s="70" t="str">
        <f ca="1">IF(LEN(Items[[#This Row],[Count]])&gt;0,IFERROR(INDEX(Calcs[Counter],MATCH(Items[[#This Row],[Line]],Calcs[Line],0)),""),"")</f>
        <v/>
      </c>
      <c r="AM96" s="156" t="str">
        <f ca="1">IFERROR(Letter&amp;TEXT((Items[[#This Row],[Count]]-1)*Incr+BeginLine,"0000"),"")</f>
        <v/>
      </c>
      <c r="AN96" s="7" t="str">
        <f>IF(ISNA(MATCH(LEFT(Items[[#This Row],[Raw Item]],5)&amp;"-"&amp;RIGHT(Items[[#This Row],[Raw Item]],4),Pay.Item.Listing[Pay Item],0)),"",LEFT(Items[[#This Row],[Raw Item]],5)&amp;"-"&amp;RIGHT(Items[[#This Row],[Raw Item]],4))</f>
        <v/>
      </c>
    </row>
    <row r="97" spans="1:40" x14ac:dyDescent="0.15">
      <c r="A97" s="7" t="str">
        <f ca="1">IFERROR(RANK(Items[[#This Row],[Sort]],OFFSET(Items[Sort],0,0,ROW(Proposed[])-ROW(Items[])+ROWS(Proposed[]),1),1),"")</f>
        <v/>
      </c>
      <c r="B97" s="7" t="str">
        <f>IF(LEN(Items[[#This Row],[Item]])&gt;0,Items[[#This Row],[Raw Item]]+COUNTIF(AN$4:AN97,AN97)/100,"")</f>
        <v/>
      </c>
      <c r="C97" s="7">
        <f>IFERROR(VALUE(LEFT(VALUE(SUBSTITUTE(Items[[#This Row],[Pay Item]],"-",""))*100000000,9)),0)</f>
        <v>0</v>
      </c>
      <c r="D97" s="8"/>
      <c r="E97" s="127"/>
      <c r="F97" s="123" t="str">
        <f>IFERROR(SUBSTITUTE(VLOOKUP(Items[[#This Row],[Item]],Pay.Item.Listing[],2+2*(Units&lt;&gt;"Metric"),0),"{","&lt;"),"&lt;&lt; Pay Item not found &gt;&gt;")</f>
        <v>&lt;&lt; Pay Item not found &gt;&gt;</v>
      </c>
      <c r="G97" s="70" t="str">
        <f>IFERROR(VLOOKUP(Items[[#This Row],[Item]],Pay.Item.Listing[],3+2*(Units&lt;&gt;"Metric"),0),"–")</f>
        <v>–</v>
      </c>
      <c r="H97" s="70" t="str">
        <f>IFERROR(VLOOKUP(Items[[#This Row],[Item]],Pay.Item.Listing[],6,0),"–")</f>
        <v>–</v>
      </c>
      <c r="I97" s="70" t="str">
        <f>IFERROR(VLOOKUP(Items[[#This Row],[Item]],Pay.Item.Listing[],7,0),"–")</f>
        <v>–</v>
      </c>
      <c r="J97" s="71"/>
      <c r="K97" s="69"/>
      <c r="L97" s="69"/>
      <c r="M97" s="69"/>
      <c r="N97" s="69"/>
      <c r="O97" s="69"/>
      <c r="P97" s="69"/>
      <c r="Q97" s="69"/>
      <c r="R97" s="69"/>
      <c r="S97" s="69"/>
      <c r="T97" s="69"/>
      <c r="U97" s="69"/>
      <c r="V97" s="69"/>
      <c r="W97" s="69"/>
      <c r="X97" s="72">
        <f>IF(LEN(Items[[#This Row],[Item]])&gt;0,IF(Items[[#This Row],[Unit]]="LPSM",1,SUM(Items[[#This Row],[Col_1]:[Col_13]])),0)</f>
        <v>0</v>
      </c>
      <c r="Y97" s="190">
        <f>MAX(Items[[#This Row],[Quantity]]-SUM(Items[[#This Row],[Account2]]:Items[[#This Row],[Account7]]),0)</f>
        <v>0</v>
      </c>
      <c r="Z97" s="61"/>
      <c r="AA97" s="61"/>
      <c r="AB97" s="61"/>
      <c r="AC97" s="61"/>
      <c r="AD97" s="61"/>
      <c r="AE97" s="61"/>
      <c r="AF97" s="73"/>
      <c r="AG97" s="71"/>
      <c r="AH97" s="74"/>
      <c r="AI97" s="59"/>
      <c r="AJ97" s="190" t="str">
        <f ca="1">IFERROR(RANK(Items[[#This Row],[EstSort]],OFFSET(Items[EstSort],0,0,ROW(Proposed[])-ROW(Items[])+ROWS(Proposed[]),1),1),"")</f>
        <v/>
      </c>
      <c r="AK97" s="190" t="str">
        <f ca="1">IF(CHOOSE(MATCH(Account,Accounts,0),Items[[#This Row],[Count]],Items[[#This Row],[Account1]],Items[[#This Row],[Account2]],Items[[#This Row],[Account3]],Items[[#This Row],[Account7]])&gt;0,Items[[#This Row],[Sort]],"")</f>
        <v/>
      </c>
      <c r="AL97" s="70" t="str">
        <f ca="1">IF(LEN(Items[[#This Row],[Count]])&gt;0,IFERROR(INDEX(Calcs[Counter],MATCH(Items[[#This Row],[Line]],Calcs[Line],0)),""),"")</f>
        <v/>
      </c>
      <c r="AM97" s="156" t="str">
        <f ca="1">IFERROR(Letter&amp;TEXT((Items[[#This Row],[Count]]-1)*Incr+BeginLine,"0000"),"")</f>
        <v/>
      </c>
      <c r="AN97" s="7" t="str">
        <f>IF(ISNA(MATCH(LEFT(Items[[#This Row],[Raw Item]],5)&amp;"-"&amp;RIGHT(Items[[#This Row],[Raw Item]],4),Pay.Item.Listing[Pay Item],0)),"",LEFT(Items[[#This Row],[Raw Item]],5)&amp;"-"&amp;RIGHT(Items[[#This Row],[Raw Item]],4))</f>
        <v/>
      </c>
    </row>
    <row r="98" spans="1:40" x14ac:dyDescent="0.15">
      <c r="A98" s="7" t="str">
        <f ca="1">IFERROR(RANK(Items[[#This Row],[Sort]],OFFSET(Items[Sort],0,0,ROW(Proposed[])-ROW(Items[])+ROWS(Proposed[]),1),1),"")</f>
        <v/>
      </c>
      <c r="B98" s="7" t="str">
        <f>IF(LEN(Items[[#This Row],[Item]])&gt;0,Items[[#This Row],[Raw Item]]+COUNTIF(AN$4:AN98,AN98)/100,"")</f>
        <v/>
      </c>
      <c r="C98" s="7">
        <f>IFERROR(VALUE(LEFT(VALUE(SUBSTITUTE(Items[[#This Row],[Pay Item]],"-",""))*100000000,9)),0)</f>
        <v>0</v>
      </c>
      <c r="D98" s="8"/>
      <c r="E98" s="127"/>
      <c r="F98" s="123" t="str">
        <f>IFERROR(SUBSTITUTE(VLOOKUP(Items[[#This Row],[Item]],Pay.Item.Listing[],2+2*(Units&lt;&gt;"Metric"),0),"{","&lt;"),"&lt;&lt; Pay Item not found &gt;&gt;")</f>
        <v>&lt;&lt; Pay Item not found &gt;&gt;</v>
      </c>
      <c r="G98" s="70" t="str">
        <f>IFERROR(VLOOKUP(Items[[#This Row],[Item]],Pay.Item.Listing[],3+2*(Units&lt;&gt;"Metric"),0),"–")</f>
        <v>–</v>
      </c>
      <c r="H98" s="70" t="str">
        <f>IFERROR(VLOOKUP(Items[[#This Row],[Item]],Pay.Item.Listing[],6,0),"–")</f>
        <v>–</v>
      </c>
      <c r="I98" s="70" t="str">
        <f>IFERROR(VLOOKUP(Items[[#This Row],[Item]],Pay.Item.Listing[],7,0),"–")</f>
        <v>–</v>
      </c>
      <c r="J98" s="71"/>
      <c r="K98" s="69"/>
      <c r="L98" s="69"/>
      <c r="M98" s="69"/>
      <c r="N98" s="69"/>
      <c r="O98" s="69"/>
      <c r="P98" s="69"/>
      <c r="Q98" s="69"/>
      <c r="R98" s="69"/>
      <c r="S98" s="69"/>
      <c r="T98" s="69"/>
      <c r="U98" s="69"/>
      <c r="V98" s="69"/>
      <c r="W98" s="69"/>
      <c r="X98" s="72">
        <f>IF(LEN(Items[[#This Row],[Item]])&gt;0,IF(Items[[#This Row],[Unit]]="LPSM",1,SUM(Items[[#This Row],[Col_1]:[Col_13]])),0)</f>
        <v>0</v>
      </c>
      <c r="Y98" s="190">
        <f>MAX(Items[[#This Row],[Quantity]]-SUM(Items[[#This Row],[Account2]]:Items[[#This Row],[Account7]]),0)</f>
        <v>0</v>
      </c>
      <c r="Z98" s="61"/>
      <c r="AA98" s="61"/>
      <c r="AB98" s="61"/>
      <c r="AC98" s="61"/>
      <c r="AD98" s="61"/>
      <c r="AE98" s="61"/>
      <c r="AF98" s="73"/>
      <c r="AG98" s="71"/>
      <c r="AH98" s="74"/>
      <c r="AI98" s="59"/>
      <c r="AJ98" s="190" t="str">
        <f ca="1">IFERROR(RANK(Items[[#This Row],[EstSort]],OFFSET(Items[EstSort],0,0,ROW(Proposed[])-ROW(Items[])+ROWS(Proposed[]),1),1),"")</f>
        <v/>
      </c>
      <c r="AK98" s="190" t="str">
        <f ca="1">IF(CHOOSE(MATCH(Account,Accounts,0),Items[[#This Row],[Count]],Items[[#This Row],[Account1]],Items[[#This Row],[Account2]],Items[[#This Row],[Account3]],Items[[#This Row],[Account7]])&gt;0,Items[[#This Row],[Sort]],"")</f>
        <v/>
      </c>
      <c r="AL98" s="70" t="str">
        <f ca="1">IF(LEN(Items[[#This Row],[Count]])&gt;0,IFERROR(INDEX(Calcs[Counter],MATCH(Items[[#This Row],[Line]],Calcs[Line],0)),""),"")</f>
        <v/>
      </c>
      <c r="AM98" s="156" t="str">
        <f ca="1">IFERROR(Letter&amp;TEXT((Items[[#This Row],[Count]]-1)*Incr+BeginLine,"0000"),"")</f>
        <v/>
      </c>
      <c r="AN98" s="7" t="str">
        <f>IF(ISNA(MATCH(LEFT(Items[[#This Row],[Raw Item]],5)&amp;"-"&amp;RIGHT(Items[[#This Row],[Raw Item]],4),Pay.Item.Listing[Pay Item],0)),"",LEFT(Items[[#This Row],[Raw Item]],5)&amp;"-"&amp;RIGHT(Items[[#This Row],[Raw Item]],4))</f>
        <v/>
      </c>
    </row>
    <row r="99" spans="1:40" x14ac:dyDescent="0.15">
      <c r="A99" s="7" t="str">
        <f ca="1">IFERROR(RANK(Items[[#This Row],[Sort]],OFFSET(Items[Sort],0,0,ROW(Proposed[])-ROW(Items[])+ROWS(Proposed[]),1),1),"")</f>
        <v/>
      </c>
      <c r="B99" s="7" t="str">
        <f>IF(LEN(Items[[#This Row],[Item]])&gt;0,Items[[#This Row],[Raw Item]]+COUNTIF(AN$4:AN99,AN99)/100,"")</f>
        <v/>
      </c>
      <c r="C99" s="7">
        <f>IFERROR(VALUE(LEFT(VALUE(SUBSTITUTE(Items[[#This Row],[Pay Item]],"-",""))*100000000,9)),0)</f>
        <v>0</v>
      </c>
      <c r="D99" s="8"/>
      <c r="E99" s="127"/>
      <c r="F99" s="123" t="str">
        <f>IFERROR(SUBSTITUTE(VLOOKUP(Items[[#This Row],[Item]],Pay.Item.Listing[],2+2*(Units&lt;&gt;"Metric"),0),"{","&lt;"),"&lt;&lt; Pay Item not found &gt;&gt;")</f>
        <v>&lt;&lt; Pay Item not found &gt;&gt;</v>
      </c>
      <c r="G99" s="70" t="str">
        <f>IFERROR(VLOOKUP(Items[[#This Row],[Item]],Pay.Item.Listing[],3+2*(Units&lt;&gt;"Metric"),0),"–")</f>
        <v>–</v>
      </c>
      <c r="H99" s="70" t="str">
        <f>IFERROR(VLOOKUP(Items[[#This Row],[Item]],Pay.Item.Listing[],6,0),"–")</f>
        <v>–</v>
      </c>
      <c r="I99" s="70" t="str">
        <f>IFERROR(VLOOKUP(Items[[#This Row],[Item]],Pay.Item.Listing[],7,0),"–")</f>
        <v>–</v>
      </c>
      <c r="J99" s="71"/>
      <c r="K99" s="69"/>
      <c r="L99" s="69"/>
      <c r="M99" s="69"/>
      <c r="N99" s="69"/>
      <c r="O99" s="69"/>
      <c r="P99" s="69"/>
      <c r="Q99" s="69"/>
      <c r="R99" s="69"/>
      <c r="S99" s="69"/>
      <c r="T99" s="69"/>
      <c r="U99" s="69"/>
      <c r="V99" s="69"/>
      <c r="W99" s="69"/>
      <c r="X99" s="72">
        <f>IF(LEN(Items[[#This Row],[Item]])&gt;0,IF(Items[[#This Row],[Unit]]="LPSM",1,SUM(Items[[#This Row],[Col_1]:[Col_13]])),0)</f>
        <v>0</v>
      </c>
      <c r="Y99" s="190">
        <f>MAX(Items[[#This Row],[Quantity]]-SUM(Items[[#This Row],[Account2]]:Items[[#This Row],[Account7]]),0)</f>
        <v>0</v>
      </c>
      <c r="Z99" s="61"/>
      <c r="AA99" s="61"/>
      <c r="AB99" s="61"/>
      <c r="AC99" s="61"/>
      <c r="AD99" s="61"/>
      <c r="AE99" s="61"/>
      <c r="AF99" s="73"/>
      <c r="AG99" s="71"/>
      <c r="AH99" s="74"/>
      <c r="AI99" s="59"/>
      <c r="AJ99" s="190" t="str">
        <f ca="1">IFERROR(RANK(Items[[#This Row],[EstSort]],OFFSET(Items[EstSort],0,0,ROW(Proposed[])-ROW(Items[])+ROWS(Proposed[]),1),1),"")</f>
        <v/>
      </c>
      <c r="AK99" s="190" t="str">
        <f ca="1">IF(CHOOSE(MATCH(Account,Accounts,0),Items[[#This Row],[Count]],Items[[#This Row],[Account1]],Items[[#This Row],[Account2]],Items[[#This Row],[Account3]],Items[[#This Row],[Account7]])&gt;0,Items[[#This Row],[Sort]],"")</f>
        <v/>
      </c>
      <c r="AL99" s="70" t="str">
        <f ca="1">IF(LEN(Items[[#This Row],[Count]])&gt;0,IFERROR(INDEX(Calcs[Counter],MATCH(Items[[#This Row],[Line]],Calcs[Line],0)),""),"")</f>
        <v/>
      </c>
      <c r="AM99" s="156" t="str">
        <f ca="1">IFERROR(Letter&amp;TEXT((Items[[#This Row],[Count]]-1)*Incr+BeginLine,"0000"),"")</f>
        <v/>
      </c>
      <c r="AN99" s="7" t="str">
        <f>IF(ISNA(MATCH(LEFT(Items[[#This Row],[Raw Item]],5)&amp;"-"&amp;RIGHT(Items[[#This Row],[Raw Item]],4),Pay.Item.Listing[Pay Item],0)),"",LEFT(Items[[#This Row],[Raw Item]],5)&amp;"-"&amp;RIGHT(Items[[#This Row],[Raw Item]],4))</f>
        <v/>
      </c>
    </row>
    <row r="100" spans="1:40" x14ac:dyDescent="0.15">
      <c r="A100" s="7" t="str">
        <f ca="1">IFERROR(RANK(Items[[#This Row],[Sort]],OFFSET(Items[Sort],0,0,ROW(Proposed[])-ROW(Items[])+ROWS(Proposed[]),1),1),"")</f>
        <v/>
      </c>
      <c r="B100" s="7" t="str">
        <f>IF(LEN(Items[[#This Row],[Item]])&gt;0,Items[[#This Row],[Raw Item]]+COUNTIF(AN$4:AN100,AN100)/100,"")</f>
        <v/>
      </c>
      <c r="C100" s="7">
        <f>IFERROR(VALUE(LEFT(VALUE(SUBSTITUTE(Items[[#This Row],[Pay Item]],"-",""))*100000000,9)),0)</f>
        <v>0</v>
      </c>
      <c r="D100" s="8"/>
      <c r="E100" s="127"/>
      <c r="F100" s="123" t="str">
        <f>IFERROR(SUBSTITUTE(VLOOKUP(Items[[#This Row],[Item]],Pay.Item.Listing[],2+2*(Units&lt;&gt;"Metric"),0),"{","&lt;"),"&lt;&lt; Pay Item not found &gt;&gt;")</f>
        <v>&lt;&lt; Pay Item not found &gt;&gt;</v>
      </c>
      <c r="G100" s="70" t="str">
        <f>IFERROR(VLOOKUP(Items[[#This Row],[Item]],Pay.Item.Listing[],3+2*(Units&lt;&gt;"Metric"),0),"–")</f>
        <v>–</v>
      </c>
      <c r="H100" s="70" t="str">
        <f>IFERROR(VLOOKUP(Items[[#This Row],[Item]],Pay.Item.Listing[],6,0),"–")</f>
        <v>–</v>
      </c>
      <c r="I100" s="70" t="str">
        <f>IFERROR(VLOOKUP(Items[[#This Row],[Item]],Pay.Item.Listing[],7,0),"–")</f>
        <v>–</v>
      </c>
      <c r="J100" s="71"/>
      <c r="K100" s="69"/>
      <c r="L100" s="69"/>
      <c r="M100" s="69"/>
      <c r="N100" s="69"/>
      <c r="O100" s="69"/>
      <c r="P100" s="69"/>
      <c r="Q100" s="69"/>
      <c r="R100" s="69"/>
      <c r="S100" s="69"/>
      <c r="T100" s="69"/>
      <c r="U100" s="69"/>
      <c r="V100" s="69"/>
      <c r="W100" s="69"/>
      <c r="X100" s="72">
        <f>IF(LEN(Items[[#This Row],[Item]])&gt;0,IF(Items[[#This Row],[Unit]]="LPSM",1,SUM(Items[[#This Row],[Col_1]:[Col_13]])),0)</f>
        <v>0</v>
      </c>
      <c r="Y100" s="190">
        <f>MAX(Items[[#This Row],[Quantity]]-SUM(Items[[#This Row],[Account2]]:Items[[#This Row],[Account7]]),0)</f>
        <v>0</v>
      </c>
      <c r="Z100" s="61"/>
      <c r="AA100" s="61"/>
      <c r="AB100" s="61"/>
      <c r="AC100" s="61"/>
      <c r="AD100" s="61"/>
      <c r="AE100" s="61"/>
      <c r="AF100" s="73"/>
      <c r="AG100" s="71"/>
      <c r="AH100" s="74"/>
      <c r="AI100" s="59"/>
      <c r="AJ100" s="190" t="str">
        <f ca="1">IFERROR(RANK(Items[[#This Row],[EstSort]],OFFSET(Items[EstSort],0,0,ROW(Proposed[])-ROW(Items[])+ROWS(Proposed[]),1),1),"")</f>
        <v/>
      </c>
      <c r="AK100" s="190" t="str">
        <f ca="1">IF(CHOOSE(MATCH(Account,Accounts,0),Items[[#This Row],[Count]],Items[[#This Row],[Account1]],Items[[#This Row],[Account2]],Items[[#This Row],[Account3]],Items[[#This Row],[Account7]])&gt;0,Items[[#This Row],[Sort]],"")</f>
        <v/>
      </c>
      <c r="AL100" s="70" t="str">
        <f ca="1">IF(LEN(Items[[#This Row],[Count]])&gt;0,IFERROR(INDEX(Calcs[Counter],MATCH(Items[[#This Row],[Line]],Calcs[Line],0)),""),"")</f>
        <v/>
      </c>
      <c r="AM100" s="156" t="str">
        <f ca="1">IFERROR(Letter&amp;TEXT((Items[[#This Row],[Count]]-1)*Incr+BeginLine,"0000"),"")</f>
        <v/>
      </c>
      <c r="AN100" s="7" t="str">
        <f>IF(ISNA(MATCH(LEFT(Items[[#This Row],[Raw Item]],5)&amp;"-"&amp;RIGHT(Items[[#This Row],[Raw Item]],4),Pay.Item.Listing[Pay Item],0)),"",LEFT(Items[[#This Row],[Raw Item]],5)&amp;"-"&amp;RIGHT(Items[[#This Row],[Raw Item]],4))</f>
        <v/>
      </c>
    </row>
    <row r="101" spans="1:40" x14ac:dyDescent="0.15">
      <c r="A101" s="7" t="str">
        <f ca="1">IFERROR(RANK(Items[[#This Row],[Sort]],OFFSET(Items[Sort],0,0,ROW(Proposed[])-ROW(Items[])+ROWS(Proposed[]),1),1),"")</f>
        <v/>
      </c>
      <c r="B101" s="7" t="str">
        <f>IF(LEN(Items[[#This Row],[Item]])&gt;0,Items[[#This Row],[Raw Item]]+COUNTIF(AN$4:AN101,AN101)/100,"")</f>
        <v/>
      </c>
      <c r="C101" s="7">
        <f>IFERROR(VALUE(LEFT(VALUE(SUBSTITUTE(Items[[#This Row],[Pay Item]],"-",""))*100000000,9)),0)</f>
        <v>0</v>
      </c>
      <c r="D101" s="8"/>
      <c r="E101" s="127"/>
      <c r="F101" s="123" t="str">
        <f>IFERROR(SUBSTITUTE(VLOOKUP(Items[[#This Row],[Item]],Pay.Item.Listing[],2+2*(Units&lt;&gt;"Metric"),0),"{","&lt;"),"&lt;&lt; Pay Item not found &gt;&gt;")</f>
        <v>&lt;&lt; Pay Item not found &gt;&gt;</v>
      </c>
      <c r="G101" s="70" t="str">
        <f>IFERROR(VLOOKUP(Items[[#This Row],[Item]],Pay.Item.Listing[],3+2*(Units&lt;&gt;"Metric"),0),"–")</f>
        <v>–</v>
      </c>
      <c r="H101" s="70" t="str">
        <f>IFERROR(VLOOKUP(Items[[#This Row],[Item]],Pay.Item.Listing[],6,0),"–")</f>
        <v>–</v>
      </c>
      <c r="I101" s="70" t="str">
        <f>IFERROR(VLOOKUP(Items[[#This Row],[Item]],Pay.Item.Listing[],7,0),"–")</f>
        <v>–</v>
      </c>
      <c r="J101" s="71"/>
      <c r="K101" s="69"/>
      <c r="L101" s="69"/>
      <c r="M101" s="69"/>
      <c r="N101" s="69"/>
      <c r="O101" s="69"/>
      <c r="P101" s="69"/>
      <c r="Q101" s="69"/>
      <c r="R101" s="69"/>
      <c r="S101" s="69"/>
      <c r="T101" s="69"/>
      <c r="U101" s="69"/>
      <c r="V101" s="69"/>
      <c r="W101" s="69"/>
      <c r="X101" s="72">
        <f>IF(LEN(Items[[#This Row],[Item]])&gt;0,IF(Items[[#This Row],[Unit]]="LPSM",1,SUM(Items[[#This Row],[Col_1]:[Col_13]])),0)</f>
        <v>0</v>
      </c>
      <c r="Y101" s="190">
        <f>MAX(Items[[#This Row],[Quantity]]-SUM(Items[[#This Row],[Account2]]:Items[[#This Row],[Account7]]),0)</f>
        <v>0</v>
      </c>
      <c r="Z101" s="61"/>
      <c r="AA101" s="61"/>
      <c r="AB101" s="61"/>
      <c r="AC101" s="61"/>
      <c r="AD101" s="61"/>
      <c r="AE101" s="61"/>
      <c r="AF101" s="73"/>
      <c r="AG101" s="71"/>
      <c r="AH101" s="74"/>
      <c r="AI101" s="59"/>
      <c r="AJ101" s="190" t="str">
        <f ca="1">IFERROR(RANK(Items[[#This Row],[EstSort]],OFFSET(Items[EstSort],0,0,ROW(Proposed[])-ROW(Items[])+ROWS(Proposed[]),1),1),"")</f>
        <v/>
      </c>
      <c r="AK101" s="190" t="str">
        <f ca="1">IF(CHOOSE(MATCH(Account,Accounts,0),Items[[#This Row],[Count]],Items[[#This Row],[Account1]],Items[[#This Row],[Account2]],Items[[#This Row],[Account3]],Items[[#This Row],[Account7]])&gt;0,Items[[#This Row],[Sort]],"")</f>
        <v/>
      </c>
      <c r="AL101" s="70" t="str">
        <f ca="1">IF(LEN(Items[[#This Row],[Count]])&gt;0,IFERROR(INDEX(Calcs[Counter],MATCH(Items[[#This Row],[Line]],Calcs[Line],0)),""),"")</f>
        <v/>
      </c>
      <c r="AM101" s="156" t="str">
        <f ca="1">IFERROR(Letter&amp;TEXT((Items[[#This Row],[Count]]-1)*Incr+BeginLine,"0000"),"")</f>
        <v/>
      </c>
      <c r="AN101" s="7" t="str">
        <f>IF(ISNA(MATCH(LEFT(Items[[#This Row],[Raw Item]],5)&amp;"-"&amp;RIGHT(Items[[#This Row],[Raw Item]],4),Pay.Item.Listing[Pay Item],0)),"",LEFT(Items[[#This Row],[Raw Item]],5)&amp;"-"&amp;RIGHT(Items[[#This Row],[Raw Item]],4))</f>
        <v/>
      </c>
    </row>
    <row r="102" spans="1:40" x14ac:dyDescent="0.15">
      <c r="A102" s="7" t="str">
        <f ca="1">IFERROR(RANK(Items[[#This Row],[Sort]],OFFSET(Items[Sort],0,0,ROW(Proposed[])-ROW(Items[])+ROWS(Proposed[]),1),1),"")</f>
        <v/>
      </c>
      <c r="B102" s="7" t="str">
        <f>IF(LEN(Items[[#This Row],[Item]])&gt;0,Items[[#This Row],[Raw Item]]+COUNTIF(AN$4:AN102,AN102)/100,"")</f>
        <v/>
      </c>
      <c r="C102" s="7">
        <f>IFERROR(VALUE(LEFT(VALUE(SUBSTITUTE(Items[[#This Row],[Pay Item]],"-",""))*100000000,9)),0)</f>
        <v>0</v>
      </c>
      <c r="D102" s="8"/>
      <c r="E102" s="127"/>
      <c r="F102" s="123" t="str">
        <f>IFERROR(SUBSTITUTE(VLOOKUP(Items[[#This Row],[Item]],Pay.Item.Listing[],2+2*(Units&lt;&gt;"Metric"),0),"{","&lt;"),"&lt;&lt; Pay Item not found &gt;&gt;")</f>
        <v>&lt;&lt; Pay Item not found &gt;&gt;</v>
      </c>
      <c r="G102" s="70" t="str">
        <f>IFERROR(VLOOKUP(Items[[#This Row],[Item]],Pay.Item.Listing[],3+2*(Units&lt;&gt;"Metric"),0),"–")</f>
        <v>–</v>
      </c>
      <c r="H102" s="70" t="str">
        <f>IFERROR(VLOOKUP(Items[[#This Row],[Item]],Pay.Item.Listing[],6,0),"–")</f>
        <v>–</v>
      </c>
      <c r="I102" s="70" t="str">
        <f>IFERROR(VLOOKUP(Items[[#This Row],[Item]],Pay.Item.Listing[],7,0),"–")</f>
        <v>–</v>
      </c>
      <c r="J102" s="71"/>
      <c r="K102" s="69"/>
      <c r="L102" s="69"/>
      <c r="M102" s="69"/>
      <c r="N102" s="69"/>
      <c r="O102" s="69"/>
      <c r="P102" s="69"/>
      <c r="Q102" s="69"/>
      <c r="R102" s="69"/>
      <c r="S102" s="69"/>
      <c r="T102" s="69"/>
      <c r="U102" s="69"/>
      <c r="V102" s="69"/>
      <c r="W102" s="69"/>
      <c r="X102" s="72">
        <f>IF(LEN(Items[[#This Row],[Item]])&gt;0,IF(Items[[#This Row],[Unit]]="LPSM",1,SUM(Items[[#This Row],[Col_1]:[Col_13]])),0)</f>
        <v>0</v>
      </c>
      <c r="Y102" s="190">
        <f>MAX(Items[[#This Row],[Quantity]]-SUM(Items[[#This Row],[Account2]]:Items[[#This Row],[Account7]]),0)</f>
        <v>0</v>
      </c>
      <c r="Z102" s="61"/>
      <c r="AA102" s="61"/>
      <c r="AB102" s="61"/>
      <c r="AC102" s="61"/>
      <c r="AD102" s="61"/>
      <c r="AE102" s="61"/>
      <c r="AF102" s="73"/>
      <c r="AG102" s="71"/>
      <c r="AH102" s="74"/>
      <c r="AI102" s="59"/>
      <c r="AJ102" s="190" t="str">
        <f ca="1">IFERROR(RANK(Items[[#This Row],[EstSort]],OFFSET(Items[EstSort],0,0,ROW(Proposed[])-ROW(Items[])+ROWS(Proposed[]),1),1),"")</f>
        <v/>
      </c>
      <c r="AK102" s="190" t="str">
        <f ca="1">IF(CHOOSE(MATCH(Account,Accounts,0),Items[[#This Row],[Count]],Items[[#This Row],[Account1]],Items[[#This Row],[Account2]],Items[[#This Row],[Account3]],Items[[#This Row],[Account7]])&gt;0,Items[[#This Row],[Sort]],"")</f>
        <v/>
      </c>
      <c r="AL102" s="70" t="str">
        <f ca="1">IF(LEN(Items[[#This Row],[Count]])&gt;0,IFERROR(INDEX(Calcs[Counter],MATCH(Items[[#This Row],[Line]],Calcs[Line],0)),""),"")</f>
        <v/>
      </c>
      <c r="AM102" s="156" t="str">
        <f ca="1">IFERROR(Letter&amp;TEXT((Items[[#This Row],[Count]]-1)*Incr+BeginLine,"0000"),"")</f>
        <v/>
      </c>
      <c r="AN102" s="7" t="str">
        <f>IF(ISNA(MATCH(LEFT(Items[[#This Row],[Raw Item]],5)&amp;"-"&amp;RIGHT(Items[[#This Row],[Raw Item]],4),Pay.Item.Listing[Pay Item],0)),"",LEFT(Items[[#This Row],[Raw Item]],5)&amp;"-"&amp;RIGHT(Items[[#This Row],[Raw Item]],4))</f>
        <v/>
      </c>
    </row>
    <row r="103" spans="1:40" x14ac:dyDescent="0.15">
      <c r="A103" s="7" t="str">
        <f ca="1">IFERROR(RANK(Items[[#This Row],[Sort]],OFFSET(Items[Sort],0,0,ROW(Proposed[])-ROW(Items[])+ROWS(Proposed[]),1),1),"")</f>
        <v/>
      </c>
      <c r="B103" s="7" t="str">
        <f>IF(LEN(Items[[#This Row],[Item]])&gt;0,Items[[#This Row],[Raw Item]]+COUNTIF(AN$4:AN103,AN103)/100,"")</f>
        <v/>
      </c>
      <c r="C103" s="7">
        <f>IFERROR(VALUE(LEFT(VALUE(SUBSTITUTE(Items[[#This Row],[Pay Item]],"-",""))*100000000,9)),0)</f>
        <v>0</v>
      </c>
      <c r="D103" s="8"/>
      <c r="E103" s="127"/>
      <c r="F103" s="123" t="str">
        <f>IFERROR(SUBSTITUTE(VLOOKUP(Items[[#This Row],[Item]],Pay.Item.Listing[],2+2*(Units&lt;&gt;"Metric"),0),"{","&lt;"),"&lt;&lt; Pay Item not found &gt;&gt;")</f>
        <v>&lt;&lt; Pay Item not found &gt;&gt;</v>
      </c>
      <c r="G103" s="70" t="str">
        <f>IFERROR(VLOOKUP(Items[[#This Row],[Item]],Pay.Item.Listing[],3+2*(Units&lt;&gt;"Metric"),0),"–")</f>
        <v>–</v>
      </c>
      <c r="H103" s="70" t="str">
        <f>IFERROR(VLOOKUP(Items[[#This Row],[Item]],Pay.Item.Listing[],6,0),"–")</f>
        <v>–</v>
      </c>
      <c r="I103" s="70" t="str">
        <f>IFERROR(VLOOKUP(Items[[#This Row],[Item]],Pay.Item.Listing[],7,0),"–")</f>
        <v>–</v>
      </c>
      <c r="J103" s="71"/>
      <c r="K103" s="69"/>
      <c r="L103" s="69"/>
      <c r="M103" s="69"/>
      <c r="N103" s="69"/>
      <c r="O103" s="69"/>
      <c r="P103" s="69"/>
      <c r="Q103" s="69"/>
      <c r="R103" s="69"/>
      <c r="S103" s="69"/>
      <c r="T103" s="69"/>
      <c r="U103" s="69"/>
      <c r="V103" s="69"/>
      <c r="W103" s="69"/>
      <c r="X103" s="72">
        <f>IF(LEN(Items[[#This Row],[Item]])&gt;0,IF(Items[[#This Row],[Unit]]="LPSM",1,SUM(Items[[#This Row],[Col_1]:[Col_13]])),0)</f>
        <v>0</v>
      </c>
      <c r="Y103" s="190">
        <f>MAX(Items[[#This Row],[Quantity]]-SUM(Items[[#This Row],[Account2]]:Items[[#This Row],[Account7]]),0)</f>
        <v>0</v>
      </c>
      <c r="Z103" s="61"/>
      <c r="AA103" s="61"/>
      <c r="AB103" s="61"/>
      <c r="AC103" s="61"/>
      <c r="AD103" s="61"/>
      <c r="AE103" s="61"/>
      <c r="AF103" s="73"/>
      <c r="AG103" s="71"/>
      <c r="AH103" s="74"/>
      <c r="AI103" s="59"/>
      <c r="AJ103" s="190" t="str">
        <f ca="1">IFERROR(RANK(Items[[#This Row],[EstSort]],OFFSET(Items[EstSort],0,0,ROW(Proposed[])-ROW(Items[])+ROWS(Proposed[]),1),1),"")</f>
        <v/>
      </c>
      <c r="AK103" s="190" t="str">
        <f ca="1">IF(CHOOSE(MATCH(Account,Accounts,0),Items[[#This Row],[Count]],Items[[#This Row],[Account1]],Items[[#This Row],[Account2]],Items[[#This Row],[Account3]],Items[[#This Row],[Account7]])&gt;0,Items[[#This Row],[Sort]],"")</f>
        <v/>
      </c>
      <c r="AL103" s="70" t="str">
        <f ca="1">IF(LEN(Items[[#This Row],[Count]])&gt;0,IFERROR(INDEX(Calcs[Counter],MATCH(Items[[#This Row],[Line]],Calcs[Line],0)),""),"")</f>
        <v/>
      </c>
      <c r="AM103" s="156" t="str">
        <f ca="1">IFERROR(Letter&amp;TEXT((Items[[#This Row],[Count]]-1)*Incr+BeginLine,"0000"),"")</f>
        <v/>
      </c>
      <c r="AN103" s="7" t="str">
        <f>IF(ISNA(MATCH(LEFT(Items[[#This Row],[Raw Item]],5)&amp;"-"&amp;RIGHT(Items[[#This Row],[Raw Item]],4),Pay.Item.Listing[Pay Item],0)),"",LEFT(Items[[#This Row],[Raw Item]],5)&amp;"-"&amp;RIGHT(Items[[#This Row],[Raw Item]],4))</f>
        <v/>
      </c>
    </row>
    <row r="104" spans="1:40" x14ac:dyDescent="0.15">
      <c r="A104" s="7" t="str">
        <f ca="1">IFERROR(RANK(Items[[#This Row],[Sort]],OFFSET(Items[Sort],0,0,ROW(Proposed[])-ROW(Items[])+ROWS(Proposed[]),1),1),"")</f>
        <v/>
      </c>
      <c r="B104" s="7" t="str">
        <f>IF(LEN(Items[[#This Row],[Item]])&gt;0,Items[[#This Row],[Raw Item]]+COUNTIF(AN$4:AN104,AN104)/100,"")</f>
        <v/>
      </c>
      <c r="C104" s="7">
        <f>IFERROR(VALUE(LEFT(VALUE(SUBSTITUTE(Items[[#This Row],[Pay Item]],"-",""))*100000000,9)),0)</f>
        <v>0</v>
      </c>
      <c r="D104" s="8"/>
      <c r="E104" s="127"/>
      <c r="F104" s="123" t="str">
        <f>IFERROR(SUBSTITUTE(VLOOKUP(Items[[#This Row],[Item]],Pay.Item.Listing[],2+2*(Units&lt;&gt;"Metric"),0),"{","&lt;"),"&lt;&lt; Pay Item not found &gt;&gt;")</f>
        <v>&lt;&lt; Pay Item not found &gt;&gt;</v>
      </c>
      <c r="G104" s="70" t="str">
        <f>IFERROR(VLOOKUP(Items[[#This Row],[Item]],Pay.Item.Listing[],3+2*(Units&lt;&gt;"Metric"),0),"–")</f>
        <v>–</v>
      </c>
      <c r="H104" s="70" t="str">
        <f>IFERROR(VLOOKUP(Items[[#This Row],[Item]],Pay.Item.Listing[],6,0),"–")</f>
        <v>–</v>
      </c>
      <c r="I104" s="70" t="str">
        <f>IFERROR(VLOOKUP(Items[[#This Row],[Item]],Pay.Item.Listing[],7,0),"–")</f>
        <v>–</v>
      </c>
      <c r="J104" s="71"/>
      <c r="K104" s="69"/>
      <c r="L104" s="69"/>
      <c r="M104" s="69"/>
      <c r="N104" s="69"/>
      <c r="O104" s="69"/>
      <c r="P104" s="69"/>
      <c r="Q104" s="69"/>
      <c r="R104" s="69"/>
      <c r="S104" s="69"/>
      <c r="T104" s="69"/>
      <c r="U104" s="69"/>
      <c r="V104" s="69"/>
      <c r="W104" s="69"/>
      <c r="X104" s="72">
        <f>IF(LEN(Items[[#This Row],[Item]])&gt;0,IF(Items[[#This Row],[Unit]]="LPSM",1,SUM(Items[[#This Row],[Col_1]:[Col_13]])),0)</f>
        <v>0</v>
      </c>
      <c r="Y104" s="190">
        <f>MAX(Items[[#This Row],[Quantity]]-SUM(Items[[#This Row],[Account2]]:Items[[#This Row],[Account7]]),0)</f>
        <v>0</v>
      </c>
      <c r="Z104" s="61"/>
      <c r="AA104" s="61"/>
      <c r="AB104" s="61"/>
      <c r="AC104" s="61"/>
      <c r="AD104" s="61"/>
      <c r="AE104" s="61"/>
      <c r="AF104" s="73"/>
      <c r="AG104" s="71"/>
      <c r="AH104" s="74"/>
      <c r="AI104" s="59"/>
      <c r="AJ104" s="190" t="str">
        <f ca="1">IFERROR(RANK(Items[[#This Row],[EstSort]],OFFSET(Items[EstSort],0,0,ROW(Proposed[])-ROW(Items[])+ROWS(Proposed[]),1),1),"")</f>
        <v/>
      </c>
      <c r="AK104" s="190" t="str">
        <f ca="1">IF(CHOOSE(MATCH(Account,Accounts,0),Items[[#This Row],[Count]],Items[[#This Row],[Account1]],Items[[#This Row],[Account2]],Items[[#This Row],[Account3]],Items[[#This Row],[Account7]])&gt;0,Items[[#This Row],[Sort]],"")</f>
        <v/>
      </c>
      <c r="AL104" s="70" t="str">
        <f ca="1">IF(LEN(Items[[#This Row],[Count]])&gt;0,IFERROR(INDEX(Calcs[Counter],MATCH(Items[[#This Row],[Line]],Calcs[Line],0)),""),"")</f>
        <v/>
      </c>
      <c r="AM104" s="156" t="str">
        <f ca="1">IFERROR(Letter&amp;TEXT((Items[[#This Row],[Count]]-1)*Incr+BeginLine,"0000"),"")</f>
        <v/>
      </c>
      <c r="AN104" s="7" t="str">
        <f>IF(ISNA(MATCH(LEFT(Items[[#This Row],[Raw Item]],5)&amp;"-"&amp;RIGHT(Items[[#This Row],[Raw Item]],4),Pay.Item.Listing[Pay Item],0)),"",LEFT(Items[[#This Row],[Raw Item]],5)&amp;"-"&amp;RIGHT(Items[[#This Row],[Raw Item]],4))</f>
        <v/>
      </c>
    </row>
    <row r="105" spans="1:40" x14ac:dyDescent="0.15">
      <c r="A105" s="7" t="str">
        <f ca="1">IFERROR(RANK(Items[[#This Row],[Sort]],OFFSET(Items[Sort],0,0,ROW(Proposed[])-ROW(Items[])+ROWS(Proposed[]),1),1),"")</f>
        <v/>
      </c>
      <c r="B105" s="7" t="str">
        <f>IF(LEN(Items[[#This Row],[Item]])&gt;0,Items[[#This Row],[Raw Item]]+COUNTIF(AN$4:AN105,AN105)/100,"")</f>
        <v/>
      </c>
      <c r="C105" s="7">
        <f>IFERROR(VALUE(LEFT(VALUE(SUBSTITUTE(Items[[#This Row],[Pay Item]],"-",""))*100000000,9)),0)</f>
        <v>0</v>
      </c>
      <c r="D105" s="8"/>
      <c r="E105" s="127"/>
      <c r="F105" s="123" t="str">
        <f>IFERROR(SUBSTITUTE(VLOOKUP(Items[[#This Row],[Item]],Pay.Item.Listing[],2+2*(Units&lt;&gt;"Metric"),0),"{","&lt;"),"&lt;&lt; Pay Item not found &gt;&gt;")</f>
        <v>&lt;&lt; Pay Item not found &gt;&gt;</v>
      </c>
      <c r="G105" s="70" t="str">
        <f>IFERROR(VLOOKUP(Items[[#This Row],[Item]],Pay.Item.Listing[],3+2*(Units&lt;&gt;"Metric"),0),"–")</f>
        <v>–</v>
      </c>
      <c r="H105" s="70" t="str">
        <f>IFERROR(VLOOKUP(Items[[#This Row],[Item]],Pay.Item.Listing[],6,0),"–")</f>
        <v>–</v>
      </c>
      <c r="I105" s="70" t="str">
        <f>IFERROR(VLOOKUP(Items[[#This Row],[Item]],Pay.Item.Listing[],7,0),"–")</f>
        <v>–</v>
      </c>
      <c r="J105" s="71"/>
      <c r="K105" s="69"/>
      <c r="L105" s="69"/>
      <c r="M105" s="69"/>
      <c r="N105" s="69"/>
      <c r="O105" s="69"/>
      <c r="P105" s="69"/>
      <c r="Q105" s="69"/>
      <c r="R105" s="69"/>
      <c r="S105" s="69"/>
      <c r="T105" s="69"/>
      <c r="U105" s="69"/>
      <c r="V105" s="69"/>
      <c r="W105" s="69"/>
      <c r="X105" s="72">
        <f>IF(LEN(Items[[#This Row],[Item]])&gt;0,IF(Items[[#This Row],[Unit]]="LPSM",1,SUM(Items[[#This Row],[Col_1]:[Col_13]])),0)</f>
        <v>0</v>
      </c>
      <c r="Y105" s="190">
        <f>MAX(Items[[#This Row],[Quantity]]-SUM(Items[[#This Row],[Account2]]:Items[[#This Row],[Account7]]),0)</f>
        <v>0</v>
      </c>
      <c r="Z105" s="61"/>
      <c r="AA105" s="61"/>
      <c r="AB105" s="61"/>
      <c r="AC105" s="61"/>
      <c r="AD105" s="61"/>
      <c r="AE105" s="61"/>
      <c r="AF105" s="73"/>
      <c r="AG105" s="71"/>
      <c r="AH105" s="74"/>
      <c r="AI105" s="59"/>
      <c r="AJ105" s="190" t="str">
        <f ca="1">IFERROR(RANK(Items[[#This Row],[EstSort]],OFFSET(Items[EstSort],0,0,ROW(Proposed[])-ROW(Items[])+ROWS(Proposed[]),1),1),"")</f>
        <v/>
      </c>
      <c r="AK105" s="190" t="str">
        <f ca="1">IF(CHOOSE(MATCH(Account,Accounts,0),Items[[#This Row],[Count]],Items[[#This Row],[Account1]],Items[[#This Row],[Account2]],Items[[#This Row],[Account3]],Items[[#This Row],[Account7]])&gt;0,Items[[#This Row],[Sort]],"")</f>
        <v/>
      </c>
      <c r="AL105" s="70" t="str">
        <f ca="1">IF(LEN(Items[[#This Row],[Count]])&gt;0,IFERROR(INDEX(Calcs[Counter],MATCH(Items[[#This Row],[Line]],Calcs[Line],0)),""),"")</f>
        <v/>
      </c>
      <c r="AM105" s="156" t="str">
        <f ca="1">IFERROR(Letter&amp;TEXT((Items[[#This Row],[Count]]-1)*Incr+BeginLine,"0000"),"")</f>
        <v/>
      </c>
      <c r="AN105" s="7" t="str">
        <f>IF(ISNA(MATCH(LEFT(Items[[#This Row],[Raw Item]],5)&amp;"-"&amp;RIGHT(Items[[#This Row],[Raw Item]],4),Pay.Item.Listing[Pay Item],0)),"",LEFT(Items[[#This Row],[Raw Item]],5)&amp;"-"&amp;RIGHT(Items[[#This Row],[Raw Item]],4))</f>
        <v/>
      </c>
    </row>
    <row r="106" spans="1:40" x14ac:dyDescent="0.15">
      <c r="A106" s="7" t="str">
        <f ca="1">IFERROR(RANK(Items[[#This Row],[Sort]],OFFSET(Items[Sort],0,0,ROW(Proposed[])-ROW(Items[])+ROWS(Proposed[]),1),1),"")</f>
        <v/>
      </c>
      <c r="B106" s="7" t="str">
        <f>IF(LEN(Items[[#This Row],[Item]])&gt;0,Items[[#This Row],[Raw Item]]+COUNTIF(AN$4:AN106,AN106)/100,"")</f>
        <v/>
      </c>
      <c r="C106" s="7">
        <f>IFERROR(VALUE(LEFT(VALUE(SUBSTITUTE(Items[[#This Row],[Pay Item]],"-",""))*100000000,9)),0)</f>
        <v>0</v>
      </c>
      <c r="D106" s="8"/>
      <c r="E106" s="127"/>
      <c r="F106" s="123" t="str">
        <f>IFERROR(SUBSTITUTE(VLOOKUP(Items[[#This Row],[Item]],Pay.Item.Listing[],2+2*(Units&lt;&gt;"Metric"),0),"{","&lt;"),"&lt;&lt; Pay Item not found &gt;&gt;")</f>
        <v>&lt;&lt; Pay Item not found &gt;&gt;</v>
      </c>
      <c r="G106" s="70" t="str">
        <f>IFERROR(VLOOKUP(Items[[#This Row],[Item]],Pay.Item.Listing[],3+2*(Units&lt;&gt;"Metric"),0),"–")</f>
        <v>–</v>
      </c>
      <c r="H106" s="70" t="str">
        <f>IFERROR(VLOOKUP(Items[[#This Row],[Item]],Pay.Item.Listing[],6,0),"–")</f>
        <v>–</v>
      </c>
      <c r="I106" s="70" t="str">
        <f>IFERROR(VLOOKUP(Items[[#This Row],[Item]],Pay.Item.Listing[],7,0),"–")</f>
        <v>–</v>
      </c>
      <c r="J106" s="71"/>
      <c r="K106" s="69"/>
      <c r="L106" s="69"/>
      <c r="M106" s="69"/>
      <c r="N106" s="69"/>
      <c r="O106" s="69"/>
      <c r="P106" s="69"/>
      <c r="Q106" s="69"/>
      <c r="R106" s="69"/>
      <c r="S106" s="69"/>
      <c r="T106" s="69"/>
      <c r="U106" s="69"/>
      <c r="V106" s="69"/>
      <c r="W106" s="69"/>
      <c r="X106" s="72">
        <f>IF(LEN(Items[[#This Row],[Item]])&gt;0,IF(Items[[#This Row],[Unit]]="LPSM",1,SUM(Items[[#This Row],[Col_1]:[Col_13]])),0)</f>
        <v>0</v>
      </c>
      <c r="Y106" s="190">
        <f>MAX(Items[[#This Row],[Quantity]]-SUM(Items[[#This Row],[Account2]]:Items[[#This Row],[Account7]]),0)</f>
        <v>0</v>
      </c>
      <c r="Z106" s="61"/>
      <c r="AA106" s="61"/>
      <c r="AB106" s="61"/>
      <c r="AC106" s="61"/>
      <c r="AD106" s="61"/>
      <c r="AE106" s="61"/>
      <c r="AF106" s="73"/>
      <c r="AG106" s="71"/>
      <c r="AH106" s="74"/>
      <c r="AI106" s="59"/>
      <c r="AJ106" s="190" t="str">
        <f ca="1">IFERROR(RANK(Items[[#This Row],[EstSort]],OFFSET(Items[EstSort],0,0,ROW(Proposed[])-ROW(Items[])+ROWS(Proposed[]),1),1),"")</f>
        <v/>
      </c>
      <c r="AK106" s="190" t="str">
        <f ca="1">IF(CHOOSE(MATCH(Account,Accounts,0),Items[[#This Row],[Count]],Items[[#This Row],[Account1]],Items[[#This Row],[Account2]],Items[[#This Row],[Account3]],Items[[#This Row],[Account7]])&gt;0,Items[[#This Row],[Sort]],"")</f>
        <v/>
      </c>
      <c r="AL106" s="70" t="str">
        <f ca="1">IF(LEN(Items[[#This Row],[Count]])&gt;0,IFERROR(INDEX(Calcs[Counter],MATCH(Items[[#This Row],[Line]],Calcs[Line],0)),""),"")</f>
        <v/>
      </c>
      <c r="AM106" s="156" t="str">
        <f ca="1">IFERROR(Letter&amp;TEXT((Items[[#This Row],[Count]]-1)*Incr+BeginLine,"0000"),"")</f>
        <v/>
      </c>
      <c r="AN106" s="7" t="str">
        <f>IF(ISNA(MATCH(LEFT(Items[[#This Row],[Raw Item]],5)&amp;"-"&amp;RIGHT(Items[[#This Row],[Raw Item]],4),Pay.Item.Listing[Pay Item],0)),"",LEFT(Items[[#This Row],[Raw Item]],5)&amp;"-"&amp;RIGHT(Items[[#This Row],[Raw Item]],4))</f>
        <v/>
      </c>
    </row>
    <row r="107" spans="1:40" x14ac:dyDescent="0.15">
      <c r="A107" s="7" t="str">
        <f ca="1">IFERROR(RANK(Items[[#This Row],[Sort]],OFFSET(Items[Sort],0,0,ROW(Proposed[])-ROW(Items[])+ROWS(Proposed[]),1),1),"")</f>
        <v/>
      </c>
      <c r="B107" s="7" t="str">
        <f>IF(LEN(Items[[#This Row],[Item]])&gt;0,Items[[#This Row],[Raw Item]]+COUNTIF(AN$4:AN107,AN107)/100,"")</f>
        <v/>
      </c>
      <c r="C107" s="7">
        <f>IFERROR(VALUE(LEFT(VALUE(SUBSTITUTE(Items[[#This Row],[Pay Item]],"-",""))*100000000,9)),0)</f>
        <v>0</v>
      </c>
      <c r="D107" s="8"/>
      <c r="E107" s="127"/>
      <c r="F107" s="123" t="str">
        <f>IFERROR(SUBSTITUTE(VLOOKUP(Items[[#This Row],[Item]],Pay.Item.Listing[],2+2*(Units&lt;&gt;"Metric"),0),"{","&lt;"),"&lt;&lt; Pay Item not found &gt;&gt;")</f>
        <v>&lt;&lt; Pay Item not found &gt;&gt;</v>
      </c>
      <c r="G107" s="70" t="str">
        <f>IFERROR(VLOOKUP(Items[[#This Row],[Item]],Pay.Item.Listing[],3+2*(Units&lt;&gt;"Metric"),0),"–")</f>
        <v>–</v>
      </c>
      <c r="H107" s="70" t="str">
        <f>IFERROR(VLOOKUP(Items[[#This Row],[Item]],Pay.Item.Listing[],6,0),"–")</f>
        <v>–</v>
      </c>
      <c r="I107" s="70" t="str">
        <f>IFERROR(VLOOKUP(Items[[#This Row],[Item]],Pay.Item.Listing[],7,0),"–")</f>
        <v>–</v>
      </c>
      <c r="J107" s="71"/>
      <c r="K107" s="69"/>
      <c r="L107" s="69"/>
      <c r="M107" s="69"/>
      <c r="N107" s="69"/>
      <c r="O107" s="69"/>
      <c r="P107" s="69"/>
      <c r="Q107" s="69"/>
      <c r="R107" s="69"/>
      <c r="S107" s="69"/>
      <c r="T107" s="69"/>
      <c r="U107" s="69"/>
      <c r="V107" s="69"/>
      <c r="W107" s="69"/>
      <c r="X107" s="72">
        <f>IF(LEN(Items[[#This Row],[Item]])&gt;0,IF(Items[[#This Row],[Unit]]="LPSM",1,SUM(Items[[#This Row],[Col_1]:[Col_13]])),0)</f>
        <v>0</v>
      </c>
      <c r="Y107" s="190">
        <f>MAX(Items[[#This Row],[Quantity]]-SUM(Items[[#This Row],[Account2]]:Items[[#This Row],[Account7]]),0)</f>
        <v>0</v>
      </c>
      <c r="Z107" s="61"/>
      <c r="AA107" s="61"/>
      <c r="AB107" s="61"/>
      <c r="AC107" s="61"/>
      <c r="AD107" s="61"/>
      <c r="AE107" s="61"/>
      <c r="AF107" s="73"/>
      <c r="AG107" s="71"/>
      <c r="AH107" s="74"/>
      <c r="AI107" s="59"/>
      <c r="AJ107" s="190" t="str">
        <f ca="1">IFERROR(RANK(Items[[#This Row],[EstSort]],OFFSET(Items[EstSort],0,0,ROW(Proposed[])-ROW(Items[])+ROWS(Proposed[]),1),1),"")</f>
        <v/>
      </c>
      <c r="AK107" s="190" t="str">
        <f ca="1">IF(CHOOSE(MATCH(Account,Accounts,0),Items[[#This Row],[Count]],Items[[#This Row],[Account1]],Items[[#This Row],[Account2]],Items[[#This Row],[Account3]],Items[[#This Row],[Account7]])&gt;0,Items[[#This Row],[Sort]],"")</f>
        <v/>
      </c>
      <c r="AL107" s="70" t="str">
        <f ca="1">IF(LEN(Items[[#This Row],[Count]])&gt;0,IFERROR(INDEX(Calcs[Counter],MATCH(Items[[#This Row],[Line]],Calcs[Line],0)),""),"")</f>
        <v/>
      </c>
      <c r="AM107" s="156" t="str">
        <f ca="1">IFERROR(Letter&amp;TEXT((Items[[#This Row],[Count]]-1)*Incr+BeginLine,"0000"),"")</f>
        <v/>
      </c>
      <c r="AN107" s="7" t="str">
        <f>IF(ISNA(MATCH(LEFT(Items[[#This Row],[Raw Item]],5)&amp;"-"&amp;RIGHT(Items[[#This Row],[Raw Item]],4),Pay.Item.Listing[Pay Item],0)),"",LEFT(Items[[#This Row],[Raw Item]],5)&amp;"-"&amp;RIGHT(Items[[#This Row],[Raw Item]],4))</f>
        <v/>
      </c>
    </row>
    <row r="108" spans="1:40" x14ac:dyDescent="0.15">
      <c r="A108" s="7" t="str">
        <f ca="1">IFERROR(RANK(Items[[#This Row],[Sort]],OFFSET(Items[Sort],0,0,ROW(Proposed[])-ROW(Items[])+ROWS(Proposed[]),1),1),"")</f>
        <v/>
      </c>
      <c r="B108" s="7" t="str">
        <f>IF(LEN(Items[[#This Row],[Item]])&gt;0,Items[[#This Row],[Raw Item]]+COUNTIF(AN$4:AN108,AN108)/100,"")</f>
        <v/>
      </c>
      <c r="C108" s="7">
        <f>IFERROR(VALUE(LEFT(VALUE(SUBSTITUTE(Items[[#This Row],[Pay Item]],"-",""))*100000000,9)),0)</f>
        <v>0</v>
      </c>
      <c r="D108" s="8"/>
      <c r="E108" s="127"/>
      <c r="F108" s="123" t="str">
        <f>IFERROR(SUBSTITUTE(VLOOKUP(Items[[#This Row],[Item]],Pay.Item.Listing[],2+2*(Units&lt;&gt;"Metric"),0),"{","&lt;"),"&lt;&lt; Pay Item not found &gt;&gt;")</f>
        <v>&lt;&lt; Pay Item not found &gt;&gt;</v>
      </c>
      <c r="G108" s="70" t="str">
        <f>IFERROR(VLOOKUP(Items[[#This Row],[Item]],Pay.Item.Listing[],3+2*(Units&lt;&gt;"Metric"),0),"–")</f>
        <v>–</v>
      </c>
      <c r="H108" s="70" t="str">
        <f>IFERROR(VLOOKUP(Items[[#This Row],[Item]],Pay.Item.Listing[],6,0),"–")</f>
        <v>–</v>
      </c>
      <c r="I108" s="70" t="str">
        <f>IFERROR(VLOOKUP(Items[[#This Row],[Item]],Pay.Item.Listing[],7,0),"–")</f>
        <v>–</v>
      </c>
      <c r="J108" s="71"/>
      <c r="K108" s="69"/>
      <c r="L108" s="69"/>
      <c r="M108" s="69"/>
      <c r="N108" s="69"/>
      <c r="O108" s="69"/>
      <c r="P108" s="69"/>
      <c r="Q108" s="69"/>
      <c r="R108" s="69"/>
      <c r="S108" s="69"/>
      <c r="T108" s="69"/>
      <c r="U108" s="69"/>
      <c r="V108" s="69"/>
      <c r="W108" s="69"/>
      <c r="X108" s="72">
        <f>IF(LEN(Items[[#This Row],[Item]])&gt;0,IF(Items[[#This Row],[Unit]]="LPSM",1,SUM(Items[[#This Row],[Col_1]:[Col_13]])),0)</f>
        <v>0</v>
      </c>
      <c r="Y108" s="190">
        <f>MAX(Items[[#This Row],[Quantity]]-SUM(Items[[#This Row],[Account2]]:Items[[#This Row],[Account7]]),0)</f>
        <v>0</v>
      </c>
      <c r="Z108" s="61"/>
      <c r="AA108" s="61"/>
      <c r="AB108" s="61"/>
      <c r="AC108" s="61"/>
      <c r="AD108" s="61"/>
      <c r="AE108" s="61"/>
      <c r="AF108" s="73"/>
      <c r="AG108" s="71"/>
      <c r="AH108" s="74"/>
      <c r="AI108" s="59"/>
      <c r="AJ108" s="190" t="str">
        <f ca="1">IFERROR(RANK(Items[[#This Row],[EstSort]],OFFSET(Items[EstSort],0,0,ROW(Proposed[])-ROW(Items[])+ROWS(Proposed[]),1),1),"")</f>
        <v/>
      </c>
      <c r="AK108" s="190" t="str">
        <f ca="1">IF(CHOOSE(MATCH(Account,Accounts,0),Items[[#This Row],[Count]],Items[[#This Row],[Account1]],Items[[#This Row],[Account2]],Items[[#This Row],[Account3]],Items[[#This Row],[Account7]])&gt;0,Items[[#This Row],[Sort]],"")</f>
        <v/>
      </c>
      <c r="AL108" s="70" t="str">
        <f ca="1">IF(LEN(Items[[#This Row],[Count]])&gt;0,IFERROR(INDEX(Calcs[Counter],MATCH(Items[[#This Row],[Line]],Calcs[Line],0)),""),"")</f>
        <v/>
      </c>
      <c r="AM108" s="156" t="str">
        <f ca="1">IFERROR(Letter&amp;TEXT((Items[[#This Row],[Count]]-1)*Incr+BeginLine,"0000"),"")</f>
        <v/>
      </c>
      <c r="AN108" s="7" t="str">
        <f>IF(ISNA(MATCH(LEFT(Items[[#This Row],[Raw Item]],5)&amp;"-"&amp;RIGHT(Items[[#This Row],[Raw Item]],4),Pay.Item.Listing[Pay Item],0)),"",LEFT(Items[[#This Row],[Raw Item]],5)&amp;"-"&amp;RIGHT(Items[[#This Row],[Raw Item]],4))</f>
        <v/>
      </c>
    </row>
    <row r="109" spans="1:40" x14ac:dyDescent="0.15">
      <c r="A109" s="7" t="str">
        <f ca="1">IFERROR(RANK(Items[[#This Row],[Sort]],OFFSET(Items[Sort],0,0,ROW(Proposed[])-ROW(Items[])+ROWS(Proposed[]),1),1),"")</f>
        <v/>
      </c>
      <c r="B109" s="7" t="str">
        <f>IF(LEN(Items[[#This Row],[Item]])&gt;0,Items[[#This Row],[Raw Item]]+COUNTIF(AN$4:AN109,AN109)/100,"")</f>
        <v/>
      </c>
      <c r="C109" s="7">
        <f>IFERROR(VALUE(LEFT(VALUE(SUBSTITUTE(Items[[#This Row],[Pay Item]],"-",""))*100000000,9)),0)</f>
        <v>0</v>
      </c>
      <c r="D109" s="8"/>
      <c r="E109" s="127"/>
      <c r="F109" s="123" t="str">
        <f>IFERROR(SUBSTITUTE(VLOOKUP(Items[[#This Row],[Item]],Pay.Item.Listing[],2+2*(Units&lt;&gt;"Metric"),0),"{","&lt;"),"&lt;&lt; Pay Item not found &gt;&gt;")</f>
        <v>&lt;&lt; Pay Item not found &gt;&gt;</v>
      </c>
      <c r="G109" s="70" t="str">
        <f>IFERROR(VLOOKUP(Items[[#This Row],[Item]],Pay.Item.Listing[],3+2*(Units&lt;&gt;"Metric"),0),"–")</f>
        <v>–</v>
      </c>
      <c r="H109" s="70" t="str">
        <f>IFERROR(VLOOKUP(Items[[#This Row],[Item]],Pay.Item.Listing[],6,0),"–")</f>
        <v>–</v>
      </c>
      <c r="I109" s="70" t="str">
        <f>IFERROR(VLOOKUP(Items[[#This Row],[Item]],Pay.Item.Listing[],7,0),"–")</f>
        <v>–</v>
      </c>
      <c r="J109" s="71"/>
      <c r="K109" s="69"/>
      <c r="L109" s="69"/>
      <c r="M109" s="69"/>
      <c r="N109" s="69"/>
      <c r="O109" s="69"/>
      <c r="P109" s="69"/>
      <c r="Q109" s="69"/>
      <c r="R109" s="69"/>
      <c r="S109" s="69"/>
      <c r="T109" s="69"/>
      <c r="U109" s="69"/>
      <c r="V109" s="69"/>
      <c r="W109" s="69"/>
      <c r="X109" s="72">
        <f>IF(LEN(Items[[#This Row],[Item]])&gt;0,IF(Items[[#This Row],[Unit]]="LPSM",1,SUM(Items[[#This Row],[Col_1]:[Col_13]])),0)</f>
        <v>0</v>
      </c>
      <c r="Y109" s="190">
        <f>MAX(Items[[#This Row],[Quantity]]-SUM(Items[[#This Row],[Account2]]:Items[[#This Row],[Account7]]),0)</f>
        <v>0</v>
      </c>
      <c r="Z109" s="61"/>
      <c r="AA109" s="61"/>
      <c r="AB109" s="61"/>
      <c r="AC109" s="61"/>
      <c r="AD109" s="61"/>
      <c r="AE109" s="61"/>
      <c r="AF109" s="73"/>
      <c r="AG109" s="71"/>
      <c r="AH109" s="74"/>
      <c r="AI109" s="59"/>
      <c r="AJ109" s="190" t="str">
        <f ca="1">IFERROR(RANK(Items[[#This Row],[EstSort]],OFFSET(Items[EstSort],0,0,ROW(Proposed[])-ROW(Items[])+ROWS(Proposed[]),1),1),"")</f>
        <v/>
      </c>
      <c r="AK109" s="190" t="str">
        <f ca="1">IF(CHOOSE(MATCH(Account,Accounts,0),Items[[#This Row],[Count]],Items[[#This Row],[Account1]],Items[[#This Row],[Account2]],Items[[#This Row],[Account3]],Items[[#This Row],[Account7]])&gt;0,Items[[#This Row],[Sort]],"")</f>
        <v/>
      </c>
      <c r="AL109" s="70" t="str">
        <f ca="1">IF(LEN(Items[[#This Row],[Count]])&gt;0,IFERROR(INDEX(Calcs[Counter],MATCH(Items[[#This Row],[Line]],Calcs[Line],0)),""),"")</f>
        <v/>
      </c>
      <c r="AM109" s="156" t="str">
        <f ca="1">IFERROR(Letter&amp;TEXT((Items[[#This Row],[Count]]-1)*Incr+BeginLine,"0000"),"")</f>
        <v/>
      </c>
      <c r="AN109" s="7" t="str">
        <f>IF(ISNA(MATCH(LEFT(Items[[#This Row],[Raw Item]],5)&amp;"-"&amp;RIGHT(Items[[#This Row],[Raw Item]],4),Pay.Item.Listing[Pay Item],0)),"",LEFT(Items[[#This Row],[Raw Item]],5)&amp;"-"&amp;RIGHT(Items[[#This Row],[Raw Item]],4))</f>
        <v/>
      </c>
    </row>
    <row r="110" spans="1:40" x14ac:dyDescent="0.15">
      <c r="A110" s="7" t="str">
        <f ca="1">IFERROR(RANK(Items[[#This Row],[Sort]],OFFSET(Items[Sort],0,0,ROW(Proposed[])-ROW(Items[])+ROWS(Proposed[]),1),1),"")</f>
        <v/>
      </c>
      <c r="B110" s="7" t="str">
        <f>IF(LEN(Items[[#This Row],[Item]])&gt;0,Items[[#This Row],[Raw Item]]+COUNTIF(AN$4:AN110,AN110)/100,"")</f>
        <v/>
      </c>
      <c r="C110" s="7">
        <f>IFERROR(VALUE(LEFT(VALUE(SUBSTITUTE(Items[[#This Row],[Pay Item]],"-",""))*100000000,9)),0)</f>
        <v>0</v>
      </c>
      <c r="D110" s="8"/>
      <c r="E110" s="127"/>
      <c r="F110" s="123" t="str">
        <f>IFERROR(SUBSTITUTE(VLOOKUP(Items[[#This Row],[Item]],Pay.Item.Listing[],2+2*(Units&lt;&gt;"Metric"),0),"{","&lt;"),"&lt;&lt; Pay Item not found &gt;&gt;")</f>
        <v>&lt;&lt; Pay Item not found &gt;&gt;</v>
      </c>
      <c r="G110" s="70" t="str">
        <f>IFERROR(VLOOKUP(Items[[#This Row],[Item]],Pay.Item.Listing[],3+2*(Units&lt;&gt;"Metric"),0),"–")</f>
        <v>–</v>
      </c>
      <c r="H110" s="70" t="str">
        <f>IFERROR(VLOOKUP(Items[[#This Row],[Item]],Pay.Item.Listing[],6,0),"–")</f>
        <v>–</v>
      </c>
      <c r="I110" s="70" t="str">
        <f>IFERROR(VLOOKUP(Items[[#This Row],[Item]],Pay.Item.Listing[],7,0),"–")</f>
        <v>–</v>
      </c>
      <c r="J110" s="71"/>
      <c r="K110" s="69"/>
      <c r="L110" s="69"/>
      <c r="M110" s="69"/>
      <c r="N110" s="69"/>
      <c r="O110" s="69"/>
      <c r="P110" s="69"/>
      <c r="Q110" s="69"/>
      <c r="R110" s="69"/>
      <c r="S110" s="69"/>
      <c r="T110" s="69"/>
      <c r="U110" s="69"/>
      <c r="V110" s="69"/>
      <c r="W110" s="69"/>
      <c r="X110" s="72">
        <f>IF(LEN(Items[[#This Row],[Item]])&gt;0,IF(Items[[#This Row],[Unit]]="LPSM",1,SUM(Items[[#This Row],[Col_1]:[Col_13]])),0)</f>
        <v>0</v>
      </c>
      <c r="Y110" s="190">
        <f>MAX(Items[[#This Row],[Quantity]]-SUM(Items[[#This Row],[Account2]]:Items[[#This Row],[Account7]]),0)</f>
        <v>0</v>
      </c>
      <c r="Z110" s="61"/>
      <c r="AA110" s="61"/>
      <c r="AB110" s="61"/>
      <c r="AC110" s="61"/>
      <c r="AD110" s="61"/>
      <c r="AE110" s="61"/>
      <c r="AF110" s="73"/>
      <c r="AG110" s="71"/>
      <c r="AH110" s="74"/>
      <c r="AI110" s="59"/>
      <c r="AJ110" s="190" t="str">
        <f ca="1">IFERROR(RANK(Items[[#This Row],[EstSort]],OFFSET(Items[EstSort],0,0,ROW(Proposed[])-ROW(Items[])+ROWS(Proposed[]),1),1),"")</f>
        <v/>
      </c>
      <c r="AK110" s="190" t="str">
        <f ca="1">IF(CHOOSE(MATCH(Account,Accounts,0),Items[[#This Row],[Count]],Items[[#This Row],[Account1]],Items[[#This Row],[Account2]],Items[[#This Row],[Account3]],Items[[#This Row],[Account7]])&gt;0,Items[[#This Row],[Sort]],"")</f>
        <v/>
      </c>
      <c r="AL110" s="70" t="str">
        <f ca="1">IF(LEN(Items[[#This Row],[Count]])&gt;0,IFERROR(INDEX(Calcs[Counter],MATCH(Items[[#This Row],[Line]],Calcs[Line],0)),""),"")</f>
        <v/>
      </c>
      <c r="AM110" s="156" t="str">
        <f ca="1">IFERROR(Letter&amp;TEXT((Items[[#This Row],[Count]]-1)*Incr+BeginLine,"0000"),"")</f>
        <v/>
      </c>
      <c r="AN110" s="7" t="str">
        <f>IF(ISNA(MATCH(LEFT(Items[[#This Row],[Raw Item]],5)&amp;"-"&amp;RIGHT(Items[[#This Row],[Raw Item]],4),Pay.Item.Listing[Pay Item],0)),"",LEFT(Items[[#This Row],[Raw Item]],5)&amp;"-"&amp;RIGHT(Items[[#This Row],[Raw Item]],4))</f>
        <v/>
      </c>
    </row>
    <row r="111" spans="1:40" x14ac:dyDescent="0.15">
      <c r="A111" s="7" t="str">
        <f ca="1">IFERROR(RANK(Items[[#This Row],[Sort]],OFFSET(Items[Sort],0,0,ROW(Proposed[])-ROW(Items[])+ROWS(Proposed[]),1),1),"")</f>
        <v/>
      </c>
      <c r="B111" s="7" t="str">
        <f>IF(LEN(Items[[#This Row],[Item]])&gt;0,Items[[#This Row],[Raw Item]]+COUNTIF(AN$4:AN111,AN111)/100,"")</f>
        <v/>
      </c>
      <c r="C111" s="7">
        <f>IFERROR(VALUE(LEFT(VALUE(SUBSTITUTE(Items[[#This Row],[Pay Item]],"-",""))*100000000,9)),0)</f>
        <v>0</v>
      </c>
      <c r="D111" s="8"/>
      <c r="E111" s="127"/>
      <c r="F111" s="123" t="str">
        <f>IFERROR(SUBSTITUTE(VLOOKUP(Items[[#This Row],[Item]],Pay.Item.Listing[],2+2*(Units&lt;&gt;"Metric"),0),"{","&lt;"),"&lt;&lt; Pay Item not found &gt;&gt;")</f>
        <v>&lt;&lt; Pay Item not found &gt;&gt;</v>
      </c>
      <c r="G111" s="70" t="str">
        <f>IFERROR(VLOOKUP(Items[[#This Row],[Item]],Pay.Item.Listing[],3+2*(Units&lt;&gt;"Metric"),0),"–")</f>
        <v>–</v>
      </c>
      <c r="H111" s="70" t="str">
        <f>IFERROR(VLOOKUP(Items[[#This Row],[Item]],Pay.Item.Listing[],6,0),"–")</f>
        <v>–</v>
      </c>
      <c r="I111" s="70" t="str">
        <f>IFERROR(VLOOKUP(Items[[#This Row],[Item]],Pay.Item.Listing[],7,0),"–")</f>
        <v>–</v>
      </c>
      <c r="J111" s="71"/>
      <c r="K111" s="69"/>
      <c r="L111" s="69"/>
      <c r="M111" s="69"/>
      <c r="N111" s="69"/>
      <c r="O111" s="69"/>
      <c r="P111" s="69"/>
      <c r="Q111" s="69"/>
      <c r="R111" s="69"/>
      <c r="S111" s="69"/>
      <c r="T111" s="69"/>
      <c r="U111" s="69"/>
      <c r="V111" s="69"/>
      <c r="W111" s="69"/>
      <c r="X111" s="72">
        <f>IF(LEN(Items[[#This Row],[Item]])&gt;0,IF(Items[[#This Row],[Unit]]="LPSM",1,SUM(Items[[#This Row],[Col_1]:[Col_13]])),0)</f>
        <v>0</v>
      </c>
      <c r="Y111" s="190">
        <f>MAX(Items[[#This Row],[Quantity]]-SUM(Items[[#This Row],[Account2]]:Items[[#This Row],[Account7]]),0)</f>
        <v>0</v>
      </c>
      <c r="Z111" s="61"/>
      <c r="AA111" s="61"/>
      <c r="AB111" s="61"/>
      <c r="AC111" s="61"/>
      <c r="AD111" s="61"/>
      <c r="AE111" s="61"/>
      <c r="AF111" s="73"/>
      <c r="AG111" s="71"/>
      <c r="AH111" s="74"/>
      <c r="AI111" s="59"/>
      <c r="AJ111" s="190" t="str">
        <f ca="1">IFERROR(RANK(Items[[#This Row],[EstSort]],OFFSET(Items[EstSort],0,0,ROW(Proposed[])-ROW(Items[])+ROWS(Proposed[]),1),1),"")</f>
        <v/>
      </c>
      <c r="AK111" s="190" t="str">
        <f ca="1">IF(CHOOSE(MATCH(Account,Accounts,0),Items[[#This Row],[Count]],Items[[#This Row],[Account1]],Items[[#This Row],[Account2]],Items[[#This Row],[Account3]],Items[[#This Row],[Account7]])&gt;0,Items[[#This Row],[Sort]],"")</f>
        <v/>
      </c>
      <c r="AL111" s="70" t="str">
        <f ca="1">IF(LEN(Items[[#This Row],[Count]])&gt;0,IFERROR(INDEX(Calcs[Counter],MATCH(Items[[#This Row],[Line]],Calcs[Line],0)),""),"")</f>
        <v/>
      </c>
      <c r="AM111" s="156" t="str">
        <f ca="1">IFERROR(Letter&amp;TEXT((Items[[#This Row],[Count]]-1)*Incr+BeginLine,"0000"),"")</f>
        <v/>
      </c>
      <c r="AN111" s="7" t="str">
        <f>IF(ISNA(MATCH(LEFT(Items[[#This Row],[Raw Item]],5)&amp;"-"&amp;RIGHT(Items[[#This Row],[Raw Item]],4),Pay.Item.Listing[Pay Item],0)),"",LEFT(Items[[#This Row],[Raw Item]],5)&amp;"-"&amp;RIGHT(Items[[#This Row],[Raw Item]],4))</f>
        <v/>
      </c>
    </row>
    <row r="112" spans="1:40" x14ac:dyDescent="0.15">
      <c r="A112" s="7" t="str">
        <f ca="1">IFERROR(RANK(Items[[#This Row],[Sort]],OFFSET(Items[Sort],0,0,ROW(Proposed[])-ROW(Items[])+ROWS(Proposed[]),1),1),"")</f>
        <v/>
      </c>
      <c r="B112" s="7" t="str">
        <f>IF(LEN(Items[[#This Row],[Item]])&gt;0,Items[[#This Row],[Raw Item]]+COUNTIF(AN$4:AN112,AN112)/100,"")</f>
        <v/>
      </c>
      <c r="C112" s="7">
        <f>IFERROR(VALUE(LEFT(VALUE(SUBSTITUTE(Items[[#This Row],[Pay Item]],"-",""))*100000000,9)),0)</f>
        <v>0</v>
      </c>
      <c r="D112" s="8"/>
      <c r="E112" s="127"/>
      <c r="F112" s="123" t="str">
        <f>IFERROR(SUBSTITUTE(VLOOKUP(Items[[#This Row],[Item]],Pay.Item.Listing[],2+2*(Units&lt;&gt;"Metric"),0),"{","&lt;"),"&lt;&lt; Pay Item not found &gt;&gt;")</f>
        <v>&lt;&lt; Pay Item not found &gt;&gt;</v>
      </c>
      <c r="G112" s="70" t="str">
        <f>IFERROR(VLOOKUP(Items[[#This Row],[Item]],Pay.Item.Listing[],3+2*(Units&lt;&gt;"Metric"),0),"–")</f>
        <v>–</v>
      </c>
      <c r="H112" s="70" t="str">
        <f>IFERROR(VLOOKUP(Items[[#This Row],[Item]],Pay.Item.Listing[],6,0),"–")</f>
        <v>–</v>
      </c>
      <c r="I112" s="70" t="str">
        <f>IFERROR(VLOOKUP(Items[[#This Row],[Item]],Pay.Item.Listing[],7,0),"–")</f>
        <v>–</v>
      </c>
      <c r="J112" s="71"/>
      <c r="K112" s="69"/>
      <c r="L112" s="69"/>
      <c r="M112" s="69"/>
      <c r="N112" s="69"/>
      <c r="O112" s="69"/>
      <c r="P112" s="69"/>
      <c r="Q112" s="69"/>
      <c r="R112" s="69"/>
      <c r="S112" s="69"/>
      <c r="T112" s="69"/>
      <c r="U112" s="69"/>
      <c r="V112" s="69"/>
      <c r="W112" s="69"/>
      <c r="X112" s="72">
        <f>IF(LEN(Items[[#This Row],[Item]])&gt;0,IF(Items[[#This Row],[Unit]]="LPSM",1,SUM(Items[[#This Row],[Col_1]:[Col_13]])),0)</f>
        <v>0</v>
      </c>
      <c r="Y112" s="190">
        <f>MAX(Items[[#This Row],[Quantity]]-SUM(Items[[#This Row],[Account2]]:Items[[#This Row],[Account7]]),0)</f>
        <v>0</v>
      </c>
      <c r="Z112" s="61"/>
      <c r="AA112" s="61"/>
      <c r="AB112" s="61"/>
      <c r="AC112" s="61"/>
      <c r="AD112" s="61"/>
      <c r="AE112" s="61"/>
      <c r="AF112" s="73"/>
      <c r="AG112" s="71"/>
      <c r="AH112" s="74"/>
      <c r="AI112" s="59"/>
      <c r="AJ112" s="190" t="str">
        <f ca="1">IFERROR(RANK(Items[[#This Row],[EstSort]],OFFSET(Items[EstSort],0,0,ROW(Proposed[])-ROW(Items[])+ROWS(Proposed[]),1),1),"")</f>
        <v/>
      </c>
      <c r="AK112" s="190" t="str">
        <f ca="1">IF(CHOOSE(MATCH(Account,Accounts,0),Items[[#This Row],[Count]],Items[[#This Row],[Account1]],Items[[#This Row],[Account2]],Items[[#This Row],[Account3]],Items[[#This Row],[Account7]])&gt;0,Items[[#This Row],[Sort]],"")</f>
        <v/>
      </c>
      <c r="AL112" s="70" t="str">
        <f ca="1">IF(LEN(Items[[#This Row],[Count]])&gt;0,IFERROR(INDEX(Calcs[Counter],MATCH(Items[[#This Row],[Line]],Calcs[Line],0)),""),"")</f>
        <v/>
      </c>
      <c r="AM112" s="156" t="str">
        <f ca="1">IFERROR(Letter&amp;TEXT((Items[[#This Row],[Count]]-1)*Incr+BeginLine,"0000"),"")</f>
        <v/>
      </c>
      <c r="AN112" s="7" t="str">
        <f>IF(ISNA(MATCH(LEFT(Items[[#This Row],[Raw Item]],5)&amp;"-"&amp;RIGHT(Items[[#This Row],[Raw Item]],4),Pay.Item.Listing[Pay Item],0)),"",LEFT(Items[[#This Row],[Raw Item]],5)&amp;"-"&amp;RIGHT(Items[[#This Row],[Raw Item]],4))</f>
        <v/>
      </c>
    </row>
    <row r="113" spans="1:40" x14ac:dyDescent="0.15">
      <c r="A113" s="7" t="str">
        <f ca="1">IFERROR(RANK(Items[[#This Row],[Sort]],OFFSET(Items[Sort],0,0,ROW(Proposed[])-ROW(Items[])+ROWS(Proposed[]),1),1),"")</f>
        <v/>
      </c>
      <c r="B113" s="7" t="str">
        <f>IF(LEN(Items[[#This Row],[Item]])&gt;0,Items[[#This Row],[Raw Item]]+COUNTIF(AN$4:AN113,AN113)/100,"")</f>
        <v/>
      </c>
      <c r="C113" s="7">
        <f>IFERROR(VALUE(LEFT(VALUE(SUBSTITUTE(Items[[#This Row],[Pay Item]],"-",""))*100000000,9)),0)</f>
        <v>0</v>
      </c>
      <c r="D113" s="8"/>
      <c r="E113" s="127"/>
      <c r="F113" s="123" t="str">
        <f>IFERROR(SUBSTITUTE(VLOOKUP(Items[[#This Row],[Item]],Pay.Item.Listing[],2+2*(Units&lt;&gt;"Metric"),0),"{","&lt;"),"&lt;&lt; Pay Item not found &gt;&gt;")</f>
        <v>&lt;&lt; Pay Item not found &gt;&gt;</v>
      </c>
      <c r="G113" s="70" t="str">
        <f>IFERROR(VLOOKUP(Items[[#This Row],[Item]],Pay.Item.Listing[],3+2*(Units&lt;&gt;"Metric"),0),"–")</f>
        <v>–</v>
      </c>
      <c r="H113" s="70" t="str">
        <f>IFERROR(VLOOKUP(Items[[#This Row],[Item]],Pay.Item.Listing[],6,0),"–")</f>
        <v>–</v>
      </c>
      <c r="I113" s="70" t="str">
        <f>IFERROR(VLOOKUP(Items[[#This Row],[Item]],Pay.Item.Listing[],7,0),"–")</f>
        <v>–</v>
      </c>
      <c r="J113" s="71"/>
      <c r="K113" s="69"/>
      <c r="L113" s="69"/>
      <c r="M113" s="69"/>
      <c r="N113" s="69"/>
      <c r="O113" s="69"/>
      <c r="P113" s="69"/>
      <c r="Q113" s="69"/>
      <c r="R113" s="69"/>
      <c r="S113" s="69"/>
      <c r="T113" s="69"/>
      <c r="U113" s="69"/>
      <c r="V113" s="69"/>
      <c r="W113" s="69"/>
      <c r="X113" s="72">
        <f>IF(LEN(Items[[#This Row],[Item]])&gt;0,IF(Items[[#This Row],[Unit]]="LPSM",1,SUM(Items[[#This Row],[Col_1]:[Col_13]])),0)</f>
        <v>0</v>
      </c>
      <c r="Y113" s="190">
        <f>MAX(Items[[#This Row],[Quantity]]-SUM(Items[[#This Row],[Account2]]:Items[[#This Row],[Account7]]),0)</f>
        <v>0</v>
      </c>
      <c r="Z113" s="61"/>
      <c r="AA113" s="61"/>
      <c r="AB113" s="61"/>
      <c r="AC113" s="61"/>
      <c r="AD113" s="61"/>
      <c r="AE113" s="61"/>
      <c r="AF113" s="73"/>
      <c r="AG113" s="71"/>
      <c r="AH113" s="74"/>
      <c r="AI113" s="59"/>
      <c r="AJ113" s="190" t="str">
        <f ca="1">IFERROR(RANK(Items[[#This Row],[EstSort]],OFFSET(Items[EstSort],0,0,ROW(Proposed[])-ROW(Items[])+ROWS(Proposed[]),1),1),"")</f>
        <v/>
      </c>
      <c r="AK113" s="190" t="str">
        <f ca="1">IF(CHOOSE(MATCH(Account,Accounts,0),Items[[#This Row],[Count]],Items[[#This Row],[Account1]],Items[[#This Row],[Account2]],Items[[#This Row],[Account3]],Items[[#This Row],[Account7]])&gt;0,Items[[#This Row],[Sort]],"")</f>
        <v/>
      </c>
      <c r="AL113" s="70" t="str">
        <f ca="1">IF(LEN(Items[[#This Row],[Count]])&gt;0,IFERROR(INDEX(Calcs[Counter],MATCH(Items[[#This Row],[Line]],Calcs[Line],0)),""),"")</f>
        <v/>
      </c>
      <c r="AM113" s="156" t="str">
        <f ca="1">IFERROR(Letter&amp;TEXT((Items[[#This Row],[Count]]-1)*Incr+BeginLine,"0000"),"")</f>
        <v/>
      </c>
      <c r="AN113" s="7" t="str">
        <f>IF(ISNA(MATCH(LEFT(Items[[#This Row],[Raw Item]],5)&amp;"-"&amp;RIGHT(Items[[#This Row],[Raw Item]],4),Pay.Item.Listing[Pay Item],0)),"",LEFT(Items[[#This Row],[Raw Item]],5)&amp;"-"&amp;RIGHT(Items[[#This Row],[Raw Item]],4))</f>
        <v/>
      </c>
    </row>
    <row r="114" spans="1:40" x14ac:dyDescent="0.15">
      <c r="A114" s="7" t="str">
        <f ca="1">IFERROR(RANK(Items[[#This Row],[Sort]],OFFSET(Items[Sort],0,0,ROW(Proposed[])-ROW(Items[])+ROWS(Proposed[]),1),1),"")</f>
        <v/>
      </c>
      <c r="B114" s="7" t="str">
        <f>IF(LEN(Items[[#This Row],[Item]])&gt;0,Items[[#This Row],[Raw Item]]+COUNTIF(AN$4:AN114,AN114)/100,"")</f>
        <v/>
      </c>
      <c r="C114" s="7">
        <f>IFERROR(VALUE(LEFT(VALUE(SUBSTITUTE(Items[[#This Row],[Pay Item]],"-",""))*100000000,9)),0)</f>
        <v>0</v>
      </c>
      <c r="D114" s="8"/>
      <c r="E114" s="127"/>
      <c r="F114" s="123" t="str">
        <f>IFERROR(SUBSTITUTE(VLOOKUP(Items[[#This Row],[Item]],Pay.Item.Listing[],2+2*(Units&lt;&gt;"Metric"),0),"{","&lt;"),"&lt;&lt; Pay Item not found &gt;&gt;")</f>
        <v>&lt;&lt; Pay Item not found &gt;&gt;</v>
      </c>
      <c r="G114" s="70" t="str">
        <f>IFERROR(VLOOKUP(Items[[#This Row],[Item]],Pay.Item.Listing[],3+2*(Units&lt;&gt;"Metric"),0),"–")</f>
        <v>–</v>
      </c>
      <c r="H114" s="70" t="str">
        <f>IFERROR(VLOOKUP(Items[[#This Row],[Item]],Pay.Item.Listing[],6,0),"–")</f>
        <v>–</v>
      </c>
      <c r="I114" s="70" t="str">
        <f>IFERROR(VLOOKUP(Items[[#This Row],[Item]],Pay.Item.Listing[],7,0),"–")</f>
        <v>–</v>
      </c>
      <c r="J114" s="71"/>
      <c r="K114" s="69"/>
      <c r="L114" s="69"/>
      <c r="M114" s="69"/>
      <c r="N114" s="69"/>
      <c r="O114" s="69"/>
      <c r="P114" s="69"/>
      <c r="Q114" s="69"/>
      <c r="R114" s="69"/>
      <c r="S114" s="69"/>
      <c r="T114" s="69"/>
      <c r="U114" s="69"/>
      <c r="V114" s="69"/>
      <c r="W114" s="69"/>
      <c r="X114" s="72">
        <f>IF(LEN(Items[[#This Row],[Item]])&gt;0,IF(Items[[#This Row],[Unit]]="LPSM",1,SUM(Items[[#This Row],[Col_1]:[Col_13]])),0)</f>
        <v>0</v>
      </c>
      <c r="Y114" s="190">
        <f>MAX(Items[[#This Row],[Quantity]]-SUM(Items[[#This Row],[Account2]]:Items[[#This Row],[Account7]]),0)</f>
        <v>0</v>
      </c>
      <c r="Z114" s="61"/>
      <c r="AA114" s="61"/>
      <c r="AB114" s="61"/>
      <c r="AC114" s="61"/>
      <c r="AD114" s="61"/>
      <c r="AE114" s="61"/>
      <c r="AF114" s="73"/>
      <c r="AG114" s="71"/>
      <c r="AH114" s="74"/>
      <c r="AI114" s="59"/>
      <c r="AJ114" s="190" t="str">
        <f ca="1">IFERROR(RANK(Items[[#This Row],[EstSort]],OFFSET(Items[EstSort],0,0,ROW(Proposed[])-ROW(Items[])+ROWS(Proposed[]),1),1),"")</f>
        <v/>
      </c>
      <c r="AK114" s="190" t="str">
        <f ca="1">IF(CHOOSE(MATCH(Account,Accounts,0),Items[[#This Row],[Count]],Items[[#This Row],[Account1]],Items[[#This Row],[Account2]],Items[[#This Row],[Account3]],Items[[#This Row],[Account7]])&gt;0,Items[[#This Row],[Sort]],"")</f>
        <v/>
      </c>
      <c r="AL114" s="70" t="str">
        <f ca="1">IF(LEN(Items[[#This Row],[Count]])&gt;0,IFERROR(INDEX(Calcs[Counter],MATCH(Items[[#This Row],[Line]],Calcs[Line],0)),""),"")</f>
        <v/>
      </c>
      <c r="AM114" s="156" t="str">
        <f ca="1">IFERROR(Letter&amp;TEXT((Items[[#This Row],[Count]]-1)*Incr+BeginLine,"0000"),"")</f>
        <v/>
      </c>
      <c r="AN114" s="7" t="str">
        <f>IF(ISNA(MATCH(LEFT(Items[[#This Row],[Raw Item]],5)&amp;"-"&amp;RIGHT(Items[[#This Row],[Raw Item]],4),Pay.Item.Listing[Pay Item],0)),"",LEFT(Items[[#This Row],[Raw Item]],5)&amp;"-"&amp;RIGHT(Items[[#This Row],[Raw Item]],4))</f>
        <v/>
      </c>
    </row>
    <row r="115" spans="1:40" x14ac:dyDescent="0.15">
      <c r="A115" s="7" t="str">
        <f ca="1">IFERROR(RANK(Items[[#This Row],[Sort]],OFFSET(Items[Sort],0,0,ROW(Proposed[])-ROW(Items[])+ROWS(Proposed[]),1),1),"")</f>
        <v/>
      </c>
      <c r="B115" s="7" t="str">
        <f>IF(LEN(Items[[#This Row],[Item]])&gt;0,Items[[#This Row],[Raw Item]]+COUNTIF(AN$4:AN115,AN115)/100,"")</f>
        <v/>
      </c>
      <c r="C115" s="7">
        <f>IFERROR(VALUE(LEFT(VALUE(SUBSTITUTE(Items[[#This Row],[Pay Item]],"-",""))*100000000,9)),0)</f>
        <v>0</v>
      </c>
      <c r="D115" s="8"/>
      <c r="E115" s="127"/>
      <c r="F115" s="123" t="str">
        <f>IFERROR(SUBSTITUTE(VLOOKUP(Items[[#This Row],[Item]],Pay.Item.Listing[],2+2*(Units&lt;&gt;"Metric"),0),"{","&lt;"),"&lt;&lt; Pay Item not found &gt;&gt;")</f>
        <v>&lt;&lt; Pay Item not found &gt;&gt;</v>
      </c>
      <c r="G115" s="70" t="str">
        <f>IFERROR(VLOOKUP(Items[[#This Row],[Item]],Pay.Item.Listing[],3+2*(Units&lt;&gt;"Metric"),0),"–")</f>
        <v>–</v>
      </c>
      <c r="H115" s="70" t="str">
        <f>IFERROR(VLOOKUP(Items[[#This Row],[Item]],Pay.Item.Listing[],6,0),"–")</f>
        <v>–</v>
      </c>
      <c r="I115" s="70" t="str">
        <f>IFERROR(VLOOKUP(Items[[#This Row],[Item]],Pay.Item.Listing[],7,0),"–")</f>
        <v>–</v>
      </c>
      <c r="J115" s="71"/>
      <c r="K115" s="69"/>
      <c r="L115" s="69"/>
      <c r="M115" s="69"/>
      <c r="N115" s="69"/>
      <c r="O115" s="69"/>
      <c r="P115" s="69"/>
      <c r="Q115" s="69"/>
      <c r="R115" s="69"/>
      <c r="S115" s="69"/>
      <c r="T115" s="69"/>
      <c r="U115" s="69"/>
      <c r="V115" s="69"/>
      <c r="W115" s="69"/>
      <c r="X115" s="72">
        <f>IF(LEN(Items[[#This Row],[Item]])&gt;0,IF(Items[[#This Row],[Unit]]="LPSM",1,SUM(Items[[#This Row],[Col_1]:[Col_13]])),0)</f>
        <v>0</v>
      </c>
      <c r="Y115" s="190">
        <f>MAX(Items[[#This Row],[Quantity]]-SUM(Items[[#This Row],[Account2]]:Items[[#This Row],[Account7]]),0)</f>
        <v>0</v>
      </c>
      <c r="Z115" s="61"/>
      <c r="AA115" s="61"/>
      <c r="AB115" s="61"/>
      <c r="AC115" s="61"/>
      <c r="AD115" s="61"/>
      <c r="AE115" s="61"/>
      <c r="AF115" s="73"/>
      <c r="AG115" s="71"/>
      <c r="AH115" s="74"/>
      <c r="AI115" s="59"/>
      <c r="AJ115" s="190" t="str">
        <f ca="1">IFERROR(RANK(Items[[#This Row],[EstSort]],OFFSET(Items[EstSort],0,0,ROW(Proposed[])-ROW(Items[])+ROWS(Proposed[]),1),1),"")</f>
        <v/>
      </c>
      <c r="AK115" s="190" t="str">
        <f ca="1">IF(CHOOSE(MATCH(Account,Accounts,0),Items[[#This Row],[Count]],Items[[#This Row],[Account1]],Items[[#This Row],[Account2]],Items[[#This Row],[Account3]],Items[[#This Row],[Account7]])&gt;0,Items[[#This Row],[Sort]],"")</f>
        <v/>
      </c>
      <c r="AL115" s="70" t="str">
        <f ca="1">IF(LEN(Items[[#This Row],[Count]])&gt;0,IFERROR(INDEX(Calcs[Counter],MATCH(Items[[#This Row],[Line]],Calcs[Line],0)),""),"")</f>
        <v/>
      </c>
      <c r="AM115" s="156" t="str">
        <f ca="1">IFERROR(Letter&amp;TEXT((Items[[#This Row],[Count]]-1)*Incr+BeginLine,"0000"),"")</f>
        <v/>
      </c>
      <c r="AN115" s="7" t="str">
        <f>IF(ISNA(MATCH(LEFT(Items[[#This Row],[Raw Item]],5)&amp;"-"&amp;RIGHT(Items[[#This Row],[Raw Item]],4),Pay.Item.Listing[Pay Item],0)),"",LEFT(Items[[#This Row],[Raw Item]],5)&amp;"-"&amp;RIGHT(Items[[#This Row],[Raw Item]],4))</f>
        <v/>
      </c>
    </row>
    <row r="116" spans="1:40" x14ac:dyDescent="0.15">
      <c r="A116" s="7" t="str">
        <f ca="1">IFERROR(RANK(Items[[#This Row],[Sort]],OFFSET(Items[Sort],0,0,ROW(Proposed[])-ROW(Items[])+ROWS(Proposed[]),1),1),"")</f>
        <v/>
      </c>
      <c r="B116" s="7" t="str">
        <f>IF(LEN(Items[[#This Row],[Item]])&gt;0,Items[[#This Row],[Raw Item]]+COUNTIF(AN$4:AN116,AN116)/100,"")</f>
        <v/>
      </c>
      <c r="C116" s="7">
        <f>IFERROR(VALUE(LEFT(VALUE(SUBSTITUTE(Items[[#This Row],[Pay Item]],"-",""))*100000000,9)),0)</f>
        <v>0</v>
      </c>
      <c r="D116" s="8"/>
      <c r="E116" s="127"/>
      <c r="F116" s="123" t="str">
        <f>IFERROR(SUBSTITUTE(VLOOKUP(Items[[#This Row],[Item]],Pay.Item.Listing[],2+2*(Units&lt;&gt;"Metric"),0),"{","&lt;"),"&lt;&lt; Pay Item not found &gt;&gt;")</f>
        <v>&lt;&lt; Pay Item not found &gt;&gt;</v>
      </c>
      <c r="G116" s="70" t="str">
        <f>IFERROR(VLOOKUP(Items[[#This Row],[Item]],Pay.Item.Listing[],3+2*(Units&lt;&gt;"Metric"),0),"–")</f>
        <v>–</v>
      </c>
      <c r="H116" s="70" t="str">
        <f>IFERROR(VLOOKUP(Items[[#This Row],[Item]],Pay.Item.Listing[],6,0),"–")</f>
        <v>–</v>
      </c>
      <c r="I116" s="70" t="str">
        <f>IFERROR(VLOOKUP(Items[[#This Row],[Item]],Pay.Item.Listing[],7,0),"–")</f>
        <v>–</v>
      </c>
      <c r="J116" s="71"/>
      <c r="K116" s="69"/>
      <c r="L116" s="69"/>
      <c r="M116" s="69"/>
      <c r="N116" s="69"/>
      <c r="O116" s="69"/>
      <c r="P116" s="69"/>
      <c r="Q116" s="69"/>
      <c r="R116" s="69"/>
      <c r="S116" s="69"/>
      <c r="T116" s="69"/>
      <c r="U116" s="69"/>
      <c r="V116" s="69"/>
      <c r="W116" s="69"/>
      <c r="X116" s="72">
        <f>IF(LEN(Items[[#This Row],[Item]])&gt;0,IF(Items[[#This Row],[Unit]]="LPSM",1,SUM(Items[[#This Row],[Col_1]:[Col_13]])),0)</f>
        <v>0</v>
      </c>
      <c r="Y116" s="190">
        <f>MAX(Items[[#This Row],[Quantity]]-SUM(Items[[#This Row],[Account2]]:Items[[#This Row],[Account7]]),0)</f>
        <v>0</v>
      </c>
      <c r="Z116" s="61"/>
      <c r="AA116" s="61"/>
      <c r="AB116" s="61"/>
      <c r="AC116" s="61"/>
      <c r="AD116" s="61"/>
      <c r="AE116" s="61"/>
      <c r="AF116" s="73"/>
      <c r="AG116" s="71"/>
      <c r="AH116" s="74"/>
      <c r="AI116" s="59"/>
      <c r="AJ116" s="190" t="str">
        <f ca="1">IFERROR(RANK(Items[[#This Row],[EstSort]],OFFSET(Items[EstSort],0,0,ROW(Proposed[])-ROW(Items[])+ROWS(Proposed[]),1),1),"")</f>
        <v/>
      </c>
      <c r="AK116" s="190" t="str">
        <f ca="1">IF(CHOOSE(MATCH(Account,Accounts,0),Items[[#This Row],[Count]],Items[[#This Row],[Account1]],Items[[#This Row],[Account2]],Items[[#This Row],[Account3]],Items[[#This Row],[Account7]])&gt;0,Items[[#This Row],[Sort]],"")</f>
        <v/>
      </c>
      <c r="AL116" s="70" t="str">
        <f ca="1">IF(LEN(Items[[#This Row],[Count]])&gt;0,IFERROR(INDEX(Calcs[Counter],MATCH(Items[[#This Row],[Line]],Calcs[Line],0)),""),"")</f>
        <v/>
      </c>
      <c r="AM116" s="156" t="str">
        <f ca="1">IFERROR(Letter&amp;TEXT((Items[[#This Row],[Count]]-1)*Incr+BeginLine,"0000"),"")</f>
        <v/>
      </c>
      <c r="AN116" s="7" t="str">
        <f>IF(ISNA(MATCH(LEFT(Items[[#This Row],[Raw Item]],5)&amp;"-"&amp;RIGHT(Items[[#This Row],[Raw Item]],4),Pay.Item.Listing[Pay Item],0)),"",LEFT(Items[[#This Row],[Raw Item]],5)&amp;"-"&amp;RIGHT(Items[[#This Row],[Raw Item]],4))</f>
        <v/>
      </c>
    </row>
    <row r="117" spans="1:40" x14ac:dyDescent="0.15">
      <c r="A117" s="7" t="str">
        <f ca="1">IFERROR(RANK(Items[[#This Row],[Sort]],OFFSET(Items[Sort],0,0,ROW(Proposed[])-ROW(Items[])+ROWS(Proposed[]),1),1),"")</f>
        <v/>
      </c>
      <c r="B117" s="7" t="str">
        <f>IF(LEN(Items[[#This Row],[Item]])&gt;0,Items[[#This Row],[Raw Item]]+COUNTIF(AN$4:AN117,AN117)/100,"")</f>
        <v/>
      </c>
      <c r="C117" s="7">
        <f>IFERROR(VALUE(LEFT(VALUE(SUBSTITUTE(Items[[#This Row],[Pay Item]],"-",""))*100000000,9)),0)</f>
        <v>0</v>
      </c>
      <c r="D117" s="8"/>
      <c r="E117" s="127"/>
      <c r="F117" s="123" t="str">
        <f>IFERROR(SUBSTITUTE(VLOOKUP(Items[[#This Row],[Item]],Pay.Item.Listing[],2+2*(Units&lt;&gt;"Metric"),0),"{","&lt;"),"&lt;&lt; Pay Item not found &gt;&gt;")</f>
        <v>&lt;&lt; Pay Item not found &gt;&gt;</v>
      </c>
      <c r="G117" s="70" t="str">
        <f>IFERROR(VLOOKUP(Items[[#This Row],[Item]],Pay.Item.Listing[],3+2*(Units&lt;&gt;"Metric"),0),"–")</f>
        <v>–</v>
      </c>
      <c r="H117" s="70" t="str">
        <f>IFERROR(VLOOKUP(Items[[#This Row],[Item]],Pay.Item.Listing[],6,0),"–")</f>
        <v>–</v>
      </c>
      <c r="I117" s="70" t="str">
        <f>IFERROR(VLOOKUP(Items[[#This Row],[Item]],Pay.Item.Listing[],7,0),"–")</f>
        <v>–</v>
      </c>
      <c r="J117" s="71"/>
      <c r="K117" s="69"/>
      <c r="L117" s="69"/>
      <c r="M117" s="69"/>
      <c r="N117" s="69"/>
      <c r="O117" s="69"/>
      <c r="P117" s="69"/>
      <c r="Q117" s="69"/>
      <c r="R117" s="69"/>
      <c r="S117" s="69"/>
      <c r="T117" s="69"/>
      <c r="U117" s="69"/>
      <c r="V117" s="69"/>
      <c r="W117" s="69"/>
      <c r="X117" s="72">
        <f>IF(LEN(Items[[#This Row],[Item]])&gt;0,IF(Items[[#This Row],[Unit]]="LPSM",1,SUM(Items[[#This Row],[Col_1]:[Col_13]])),0)</f>
        <v>0</v>
      </c>
      <c r="Y117" s="190">
        <f>MAX(Items[[#This Row],[Quantity]]-SUM(Items[[#This Row],[Account2]]:Items[[#This Row],[Account7]]),0)</f>
        <v>0</v>
      </c>
      <c r="Z117" s="61"/>
      <c r="AA117" s="61"/>
      <c r="AB117" s="61"/>
      <c r="AC117" s="61"/>
      <c r="AD117" s="61"/>
      <c r="AE117" s="61"/>
      <c r="AF117" s="73"/>
      <c r="AG117" s="71"/>
      <c r="AH117" s="74"/>
      <c r="AI117" s="59"/>
      <c r="AJ117" s="190" t="str">
        <f ca="1">IFERROR(RANK(Items[[#This Row],[EstSort]],OFFSET(Items[EstSort],0,0,ROW(Proposed[])-ROW(Items[])+ROWS(Proposed[]),1),1),"")</f>
        <v/>
      </c>
      <c r="AK117" s="190" t="str">
        <f ca="1">IF(CHOOSE(MATCH(Account,Accounts,0),Items[[#This Row],[Count]],Items[[#This Row],[Account1]],Items[[#This Row],[Account2]],Items[[#This Row],[Account3]],Items[[#This Row],[Account7]])&gt;0,Items[[#This Row],[Sort]],"")</f>
        <v/>
      </c>
      <c r="AL117" s="70" t="str">
        <f ca="1">IF(LEN(Items[[#This Row],[Count]])&gt;0,IFERROR(INDEX(Calcs[Counter],MATCH(Items[[#This Row],[Line]],Calcs[Line],0)),""),"")</f>
        <v/>
      </c>
      <c r="AM117" s="156" t="str">
        <f ca="1">IFERROR(Letter&amp;TEXT((Items[[#This Row],[Count]]-1)*Incr+BeginLine,"0000"),"")</f>
        <v/>
      </c>
      <c r="AN117" s="7" t="str">
        <f>IF(ISNA(MATCH(LEFT(Items[[#This Row],[Raw Item]],5)&amp;"-"&amp;RIGHT(Items[[#This Row],[Raw Item]],4),Pay.Item.Listing[Pay Item],0)),"",LEFT(Items[[#This Row],[Raw Item]],5)&amp;"-"&amp;RIGHT(Items[[#This Row],[Raw Item]],4))</f>
        <v/>
      </c>
    </row>
    <row r="118" spans="1:40" x14ac:dyDescent="0.15">
      <c r="A118" s="7" t="str">
        <f ca="1">IFERROR(RANK(Items[[#This Row],[Sort]],OFFSET(Items[Sort],0,0,ROW(Proposed[])-ROW(Items[])+ROWS(Proposed[]),1),1),"")</f>
        <v/>
      </c>
      <c r="B118" s="7" t="str">
        <f>IF(LEN(Items[[#This Row],[Item]])&gt;0,Items[[#This Row],[Raw Item]]+COUNTIF(AN$4:AN118,AN118)/100,"")</f>
        <v/>
      </c>
      <c r="C118" s="7">
        <f>IFERROR(VALUE(LEFT(VALUE(SUBSTITUTE(Items[[#This Row],[Pay Item]],"-",""))*100000000,9)),0)</f>
        <v>0</v>
      </c>
      <c r="D118" s="8"/>
      <c r="E118" s="127"/>
      <c r="F118" s="123" t="str">
        <f>IFERROR(SUBSTITUTE(VLOOKUP(Items[[#This Row],[Item]],Pay.Item.Listing[],2+2*(Units&lt;&gt;"Metric"),0),"{","&lt;"),"&lt;&lt; Pay Item not found &gt;&gt;")</f>
        <v>&lt;&lt; Pay Item not found &gt;&gt;</v>
      </c>
      <c r="G118" s="70" t="str">
        <f>IFERROR(VLOOKUP(Items[[#This Row],[Item]],Pay.Item.Listing[],3+2*(Units&lt;&gt;"Metric"),0),"–")</f>
        <v>–</v>
      </c>
      <c r="H118" s="70" t="str">
        <f>IFERROR(VLOOKUP(Items[[#This Row],[Item]],Pay.Item.Listing[],6,0),"–")</f>
        <v>–</v>
      </c>
      <c r="I118" s="70" t="str">
        <f>IFERROR(VLOOKUP(Items[[#This Row],[Item]],Pay.Item.Listing[],7,0),"–")</f>
        <v>–</v>
      </c>
      <c r="J118" s="71"/>
      <c r="K118" s="69"/>
      <c r="L118" s="69"/>
      <c r="M118" s="69"/>
      <c r="N118" s="69"/>
      <c r="O118" s="69"/>
      <c r="P118" s="69"/>
      <c r="Q118" s="69"/>
      <c r="R118" s="69"/>
      <c r="S118" s="69"/>
      <c r="T118" s="69"/>
      <c r="U118" s="69"/>
      <c r="V118" s="69"/>
      <c r="W118" s="69"/>
      <c r="X118" s="72">
        <f>IF(LEN(Items[[#This Row],[Item]])&gt;0,IF(Items[[#This Row],[Unit]]="LPSM",1,SUM(Items[[#This Row],[Col_1]:[Col_13]])),0)</f>
        <v>0</v>
      </c>
      <c r="Y118" s="190">
        <f>MAX(Items[[#This Row],[Quantity]]-SUM(Items[[#This Row],[Account2]]:Items[[#This Row],[Account7]]),0)</f>
        <v>0</v>
      </c>
      <c r="Z118" s="61"/>
      <c r="AA118" s="61"/>
      <c r="AB118" s="61"/>
      <c r="AC118" s="61"/>
      <c r="AD118" s="61"/>
      <c r="AE118" s="61"/>
      <c r="AF118" s="73"/>
      <c r="AG118" s="71"/>
      <c r="AH118" s="74"/>
      <c r="AI118" s="59"/>
      <c r="AJ118" s="190" t="str">
        <f ca="1">IFERROR(RANK(Items[[#This Row],[EstSort]],OFFSET(Items[EstSort],0,0,ROW(Proposed[])-ROW(Items[])+ROWS(Proposed[]),1),1),"")</f>
        <v/>
      </c>
      <c r="AK118" s="190" t="str">
        <f ca="1">IF(CHOOSE(MATCH(Account,Accounts,0),Items[[#This Row],[Count]],Items[[#This Row],[Account1]],Items[[#This Row],[Account2]],Items[[#This Row],[Account3]],Items[[#This Row],[Account7]])&gt;0,Items[[#This Row],[Sort]],"")</f>
        <v/>
      </c>
      <c r="AL118" s="70" t="str">
        <f ca="1">IF(LEN(Items[[#This Row],[Count]])&gt;0,IFERROR(INDEX(Calcs[Counter],MATCH(Items[[#This Row],[Line]],Calcs[Line],0)),""),"")</f>
        <v/>
      </c>
      <c r="AM118" s="156" t="str">
        <f ca="1">IFERROR(Letter&amp;TEXT((Items[[#This Row],[Count]]-1)*Incr+BeginLine,"0000"),"")</f>
        <v/>
      </c>
      <c r="AN118" s="7" t="str">
        <f>IF(ISNA(MATCH(LEFT(Items[[#This Row],[Raw Item]],5)&amp;"-"&amp;RIGHT(Items[[#This Row],[Raw Item]],4),Pay.Item.Listing[Pay Item],0)),"",LEFT(Items[[#This Row],[Raw Item]],5)&amp;"-"&amp;RIGHT(Items[[#This Row],[Raw Item]],4))</f>
        <v/>
      </c>
    </row>
    <row r="119" spans="1:40" x14ac:dyDescent="0.15">
      <c r="A119" s="7" t="str">
        <f ca="1">IFERROR(RANK(Items[[#This Row],[Sort]],OFFSET(Items[Sort],0,0,ROW(Proposed[])-ROW(Items[])+ROWS(Proposed[]),1),1),"")</f>
        <v/>
      </c>
      <c r="B119" s="7" t="str">
        <f>IF(LEN(Items[[#This Row],[Item]])&gt;0,Items[[#This Row],[Raw Item]]+COUNTIF(AN$4:AN119,AN119)/100,"")</f>
        <v/>
      </c>
      <c r="C119" s="7">
        <f>IFERROR(VALUE(LEFT(VALUE(SUBSTITUTE(Items[[#This Row],[Pay Item]],"-",""))*100000000,9)),0)</f>
        <v>0</v>
      </c>
      <c r="D119" s="8"/>
      <c r="E119" s="127"/>
      <c r="F119" s="123" t="str">
        <f>IFERROR(SUBSTITUTE(VLOOKUP(Items[[#This Row],[Item]],Pay.Item.Listing[],2+2*(Units&lt;&gt;"Metric"),0),"{","&lt;"),"&lt;&lt; Pay Item not found &gt;&gt;")</f>
        <v>&lt;&lt; Pay Item not found &gt;&gt;</v>
      </c>
      <c r="G119" s="70" t="str">
        <f>IFERROR(VLOOKUP(Items[[#This Row],[Item]],Pay.Item.Listing[],3+2*(Units&lt;&gt;"Metric"),0),"–")</f>
        <v>–</v>
      </c>
      <c r="H119" s="70" t="str">
        <f>IFERROR(VLOOKUP(Items[[#This Row],[Item]],Pay.Item.Listing[],6,0),"–")</f>
        <v>–</v>
      </c>
      <c r="I119" s="70" t="str">
        <f>IFERROR(VLOOKUP(Items[[#This Row],[Item]],Pay.Item.Listing[],7,0),"–")</f>
        <v>–</v>
      </c>
      <c r="J119" s="71"/>
      <c r="K119" s="69"/>
      <c r="L119" s="69"/>
      <c r="M119" s="69"/>
      <c r="N119" s="69"/>
      <c r="O119" s="69"/>
      <c r="P119" s="69"/>
      <c r="Q119" s="69"/>
      <c r="R119" s="69"/>
      <c r="S119" s="69"/>
      <c r="T119" s="69"/>
      <c r="U119" s="69"/>
      <c r="V119" s="69"/>
      <c r="W119" s="69"/>
      <c r="X119" s="72">
        <f>IF(LEN(Items[[#This Row],[Item]])&gt;0,IF(Items[[#This Row],[Unit]]="LPSM",1,SUM(Items[[#This Row],[Col_1]:[Col_13]])),0)</f>
        <v>0</v>
      </c>
      <c r="Y119" s="190">
        <f>MAX(Items[[#This Row],[Quantity]]-SUM(Items[[#This Row],[Account2]]:Items[[#This Row],[Account7]]),0)</f>
        <v>0</v>
      </c>
      <c r="Z119" s="61"/>
      <c r="AA119" s="61"/>
      <c r="AB119" s="61"/>
      <c r="AC119" s="61"/>
      <c r="AD119" s="61"/>
      <c r="AE119" s="61"/>
      <c r="AF119" s="73"/>
      <c r="AG119" s="71"/>
      <c r="AH119" s="74"/>
      <c r="AI119" s="59"/>
      <c r="AJ119" s="190" t="str">
        <f ca="1">IFERROR(RANK(Items[[#This Row],[EstSort]],OFFSET(Items[EstSort],0,0,ROW(Proposed[])-ROW(Items[])+ROWS(Proposed[]),1),1),"")</f>
        <v/>
      </c>
      <c r="AK119" s="190" t="str">
        <f ca="1">IF(CHOOSE(MATCH(Account,Accounts,0),Items[[#This Row],[Count]],Items[[#This Row],[Account1]],Items[[#This Row],[Account2]],Items[[#This Row],[Account3]],Items[[#This Row],[Account7]])&gt;0,Items[[#This Row],[Sort]],"")</f>
        <v/>
      </c>
      <c r="AL119" s="70" t="str">
        <f ca="1">IF(LEN(Items[[#This Row],[Count]])&gt;0,IFERROR(INDEX(Calcs[Counter],MATCH(Items[[#This Row],[Line]],Calcs[Line],0)),""),"")</f>
        <v/>
      </c>
      <c r="AM119" s="156" t="str">
        <f ca="1">IFERROR(Letter&amp;TEXT((Items[[#This Row],[Count]]-1)*Incr+BeginLine,"0000"),"")</f>
        <v/>
      </c>
      <c r="AN119" s="7" t="str">
        <f>IF(ISNA(MATCH(LEFT(Items[[#This Row],[Raw Item]],5)&amp;"-"&amp;RIGHT(Items[[#This Row],[Raw Item]],4),Pay.Item.Listing[Pay Item],0)),"",LEFT(Items[[#This Row],[Raw Item]],5)&amp;"-"&amp;RIGHT(Items[[#This Row],[Raw Item]],4))</f>
        <v/>
      </c>
    </row>
    <row r="120" spans="1:40" x14ac:dyDescent="0.15">
      <c r="A120" s="7" t="str">
        <f ca="1">IFERROR(RANK(Items[[#This Row],[Sort]],OFFSET(Items[Sort],0,0,ROW(Proposed[])-ROW(Items[])+ROWS(Proposed[]),1),1),"")</f>
        <v/>
      </c>
      <c r="B120" s="7" t="str">
        <f>IF(LEN(Items[[#This Row],[Item]])&gt;0,Items[[#This Row],[Raw Item]]+COUNTIF(AN$4:AN120,AN120)/100,"")</f>
        <v/>
      </c>
      <c r="C120" s="7">
        <f>IFERROR(VALUE(LEFT(VALUE(SUBSTITUTE(Items[[#This Row],[Pay Item]],"-",""))*100000000,9)),0)</f>
        <v>0</v>
      </c>
      <c r="D120" s="8"/>
      <c r="E120" s="127"/>
      <c r="F120" s="123" t="str">
        <f>IFERROR(SUBSTITUTE(VLOOKUP(Items[[#This Row],[Item]],Pay.Item.Listing[],2+2*(Units&lt;&gt;"Metric"),0),"{","&lt;"),"&lt;&lt; Pay Item not found &gt;&gt;")</f>
        <v>&lt;&lt; Pay Item not found &gt;&gt;</v>
      </c>
      <c r="G120" s="70" t="str">
        <f>IFERROR(VLOOKUP(Items[[#This Row],[Item]],Pay.Item.Listing[],3+2*(Units&lt;&gt;"Metric"),0),"–")</f>
        <v>–</v>
      </c>
      <c r="H120" s="70" t="str">
        <f>IFERROR(VLOOKUP(Items[[#This Row],[Item]],Pay.Item.Listing[],6,0),"–")</f>
        <v>–</v>
      </c>
      <c r="I120" s="70" t="str">
        <f>IFERROR(VLOOKUP(Items[[#This Row],[Item]],Pay.Item.Listing[],7,0),"–")</f>
        <v>–</v>
      </c>
      <c r="J120" s="71"/>
      <c r="K120" s="69"/>
      <c r="L120" s="69"/>
      <c r="M120" s="69"/>
      <c r="N120" s="69"/>
      <c r="O120" s="69"/>
      <c r="P120" s="69"/>
      <c r="Q120" s="69"/>
      <c r="R120" s="69"/>
      <c r="S120" s="69"/>
      <c r="T120" s="69"/>
      <c r="U120" s="69"/>
      <c r="V120" s="69"/>
      <c r="W120" s="69"/>
      <c r="X120" s="72">
        <f>IF(LEN(Items[[#This Row],[Item]])&gt;0,IF(Items[[#This Row],[Unit]]="LPSM",1,SUM(Items[[#This Row],[Col_1]:[Col_13]])),0)</f>
        <v>0</v>
      </c>
      <c r="Y120" s="190">
        <f>MAX(Items[[#This Row],[Quantity]]-SUM(Items[[#This Row],[Account2]]:Items[[#This Row],[Account7]]),0)</f>
        <v>0</v>
      </c>
      <c r="Z120" s="61"/>
      <c r="AA120" s="61"/>
      <c r="AB120" s="61"/>
      <c r="AC120" s="61"/>
      <c r="AD120" s="61"/>
      <c r="AE120" s="61"/>
      <c r="AF120" s="73"/>
      <c r="AG120" s="71"/>
      <c r="AH120" s="74"/>
      <c r="AI120" s="59"/>
      <c r="AJ120" s="190" t="str">
        <f ca="1">IFERROR(RANK(Items[[#This Row],[EstSort]],OFFSET(Items[EstSort],0,0,ROW(Proposed[])-ROW(Items[])+ROWS(Proposed[]),1),1),"")</f>
        <v/>
      </c>
      <c r="AK120" s="190" t="str">
        <f ca="1">IF(CHOOSE(MATCH(Account,Accounts,0),Items[[#This Row],[Count]],Items[[#This Row],[Account1]],Items[[#This Row],[Account2]],Items[[#This Row],[Account3]],Items[[#This Row],[Account7]])&gt;0,Items[[#This Row],[Sort]],"")</f>
        <v/>
      </c>
      <c r="AL120" s="70" t="str">
        <f ca="1">IF(LEN(Items[[#This Row],[Count]])&gt;0,IFERROR(INDEX(Calcs[Counter],MATCH(Items[[#This Row],[Line]],Calcs[Line],0)),""),"")</f>
        <v/>
      </c>
      <c r="AM120" s="156" t="str">
        <f ca="1">IFERROR(Letter&amp;TEXT((Items[[#This Row],[Count]]-1)*Incr+BeginLine,"0000"),"")</f>
        <v/>
      </c>
      <c r="AN120" s="7" t="str">
        <f>IF(ISNA(MATCH(LEFT(Items[[#This Row],[Raw Item]],5)&amp;"-"&amp;RIGHT(Items[[#This Row],[Raw Item]],4),Pay.Item.Listing[Pay Item],0)),"",LEFT(Items[[#This Row],[Raw Item]],5)&amp;"-"&amp;RIGHT(Items[[#This Row],[Raw Item]],4))</f>
        <v/>
      </c>
    </row>
    <row r="121" spans="1:40" x14ac:dyDescent="0.15">
      <c r="A121" s="7" t="str">
        <f ca="1">IFERROR(RANK(Items[[#This Row],[Sort]],OFFSET(Items[Sort],0,0,ROW(Proposed[])-ROW(Items[])+ROWS(Proposed[]),1),1),"")</f>
        <v/>
      </c>
      <c r="B121" s="7" t="str">
        <f>IF(LEN(Items[[#This Row],[Item]])&gt;0,Items[[#This Row],[Raw Item]]+COUNTIF(AN$4:AN121,AN121)/100,"")</f>
        <v/>
      </c>
      <c r="C121" s="7">
        <f>IFERROR(VALUE(LEFT(VALUE(SUBSTITUTE(Items[[#This Row],[Pay Item]],"-",""))*100000000,9)),0)</f>
        <v>0</v>
      </c>
      <c r="D121" s="8"/>
      <c r="E121" s="127"/>
      <c r="F121" s="123" t="str">
        <f>IFERROR(SUBSTITUTE(VLOOKUP(Items[[#This Row],[Item]],Pay.Item.Listing[],2+2*(Units&lt;&gt;"Metric"),0),"{","&lt;"),"&lt;&lt; Pay Item not found &gt;&gt;")</f>
        <v>&lt;&lt; Pay Item not found &gt;&gt;</v>
      </c>
      <c r="G121" s="70" t="str">
        <f>IFERROR(VLOOKUP(Items[[#This Row],[Item]],Pay.Item.Listing[],3+2*(Units&lt;&gt;"Metric"),0),"–")</f>
        <v>–</v>
      </c>
      <c r="H121" s="70" t="str">
        <f>IFERROR(VLOOKUP(Items[[#This Row],[Item]],Pay.Item.Listing[],6,0),"–")</f>
        <v>–</v>
      </c>
      <c r="I121" s="70" t="str">
        <f>IFERROR(VLOOKUP(Items[[#This Row],[Item]],Pay.Item.Listing[],7,0),"–")</f>
        <v>–</v>
      </c>
      <c r="J121" s="71"/>
      <c r="K121" s="69"/>
      <c r="L121" s="69"/>
      <c r="M121" s="69"/>
      <c r="N121" s="69"/>
      <c r="O121" s="69"/>
      <c r="P121" s="69"/>
      <c r="Q121" s="69"/>
      <c r="R121" s="69"/>
      <c r="S121" s="69"/>
      <c r="T121" s="69"/>
      <c r="U121" s="69"/>
      <c r="V121" s="69"/>
      <c r="W121" s="69"/>
      <c r="X121" s="72">
        <f>IF(LEN(Items[[#This Row],[Item]])&gt;0,IF(Items[[#This Row],[Unit]]="LPSM",1,SUM(Items[[#This Row],[Col_1]:[Col_13]])),0)</f>
        <v>0</v>
      </c>
      <c r="Y121" s="190">
        <f>MAX(Items[[#This Row],[Quantity]]-SUM(Items[[#This Row],[Account2]]:Items[[#This Row],[Account7]]),0)</f>
        <v>0</v>
      </c>
      <c r="Z121" s="61"/>
      <c r="AA121" s="61"/>
      <c r="AB121" s="61"/>
      <c r="AC121" s="61"/>
      <c r="AD121" s="61"/>
      <c r="AE121" s="61"/>
      <c r="AF121" s="73"/>
      <c r="AG121" s="71"/>
      <c r="AH121" s="74"/>
      <c r="AI121" s="59"/>
      <c r="AJ121" s="190" t="str">
        <f ca="1">IFERROR(RANK(Items[[#This Row],[EstSort]],OFFSET(Items[EstSort],0,0,ROW(Proposed[])-ROW(Items[])+ROWS(Proposed[]),1),1),"")</f>
        <v/>
      </c>
      <c r="AK121" s="190" t="str">
        <f ca="1">IF(CHOOSE(MATCH(Account,Accounts,0),Items[[#This Row],[Count]],Items[[#This Row],[Account1]],Items[[#This Row],[Account2]],Items[[#This Row],[Account3]],Items[[#This Row],[Account7]])&gt;0,Items[[#This Row],[Sort]],"")</f>
        <v/>
      </c>
      <c r="AL121" s="70" t="str">
        <f ca="1">IF(LEN(Items[[#This Row],[Count]])&gt;0,IFERROR(INDEX(Calcs[Counter],MATCH(Items[[#This Row],[Line]],Calcs[Line],0)),""),"")</f>
        <v/>
      </c>
      <c r="AM121" s="156" t="str">
        <f ca="1">IFERROR(Letter&amp;TEXT((Items[[#This Row],[Count]]-1)*Incr+BeginLine,"0000"),"")</f>
        <v/>
      </c>
      <c r="AN121" s="7" t="str">
        <f>IF(ISNA(MATCH(LEFT(Items[[#This Row],[Raw Item]],5)&amp;"-"&amp;RIGHT(Items[[#This Row],[Raw Item]],4),Pay.Item.Listing[Pay Item],0)),"",LEFT(Items[[#This Row],[Raw Item]],5)&amp;"-"&amp;RIGHT(Items[[#This Row],[Raw Item]],4))</f>
        <v/>
      </c>
    </row>
    <row r="122" spans="1:40" x14ac:dyDescent="0.15">
      <c r="A122" s="7" t="str">
        <f ca="1">IFERROR(RANK(Items[[#This Row],[Sort]],OFFSET(Items[Sort],0,0,ROW(Proposed[])-ROW(Items[])+ROWS(Proposed[]),1),1),"")</f>
        <v/>
      </c>
      <c r="B122" s="7" t="str">
        <f>IF(LEN(Items[[#This Row],[Item]])&gt;0,Items[[#This Row],[Raw Item]]+COUNTIF(AN$4:AN122,AN122)/100,"")</f>
        <v/>
      </c>
      <c r="C122" s="7">
        <f>IFERROR(VALUE(LEFT(VALUE(SUBSTITUTE(Items[[#This Row],[Pay Item]],"-",""))*100000000,9)),0)</f>
        <v>0</v>
      </c>
      <c r="D122" s="8"/>
      <c r="E122" s="127"/>
      <c r="F122" s="123" t="str">
        <f>IFERROR(SUBSTITUTE(VLOOKUP(Items[[#This Row],[Item]],Pay.Item.Listing[],2+2*(Units&lt;&gt;"Metric"),0),"{","&lt;"),"&lt;&lt; Pay Item not found &gt;&gt;")</f>
        <v>&lt;&lt; Pay Item not found &gt;&gt;</v>
      </c>
      <c r="G122" s="70" t="str">
        <f>IFERROR(VLOOKUP(Items[[#This Row],[Item]],Pay.Item.Listing[],3+2*(Units&lt;&gt;"Metric"),0),"–")</f>
        <v>–</v>
      </c>
      <c r="H122" s="70" t="str">
        <f>IFERROR(VLOOKUP(Items[[#This Row],[Item]],Pay.Item.Listing[],6,0),"–")</f>
        <v>–</v>
      </c>
      <c r="I122" s="70" t="str">
        <f>IFERROR(VLOOKUP(Items[[#This Row],[Item]],Pay.Item.Listing[],7,0),"–")</f>
        <v>–</v>
      </c>
      <c r="J122" s="71"/>
      <c r="K122" s="69"/>
      <c r="L122" s="69"/>
      <c r="M122" s="69"/>
      <c r="N122" s="69"/>
      <c r="O122" s="69"/>
      <c r="P122" s="69"/>
      <c r="Q122" s="69"/>
      <c r="R122" s="69"/>
      <c r="S122" s="69"/>
      <c r="T122" s="69"/>
      <c r="U122" s="69"/>
      <c r="V122" s="69"/>
      <c r="W122" s="69"/>
      <c r="X122" s="72">
        <f>IF(LEN(Items[[#This Row],[Item]])&gt;0,IF(Items[[#This Row],[Unit]]="LPSM",1,SUM(Items[[#This Row],[Col_1]:[Col_13]])),0)</f>
        <v>0</v>
      </c>
      <c r="Y122" s="190">
        <f>MAX(Items[[#This Row],[Quantity]]-SUM(Items[[#This Row],[Account2]]:Items[[#This Row],[Account7]]),0)</f>
        <v>0</v>
      </c>
      <c r="Z122" s="61"/>
      <c r="AA122" s="61"/>
      <c r="AB122" s="61"/>
      <c r="AC122" s="61"/>
      <c r="AD122" s="61"/>
      <c r="AE122" s="61"/>
      <c r="AF122" s="73"/>
      <c r="AG122" s="71"/>
      <c r="AH122" s="74"/>
      <c r="AI122" s="59"/>
      <c r="AJ122" s="190" t="str">
        <f ca="1">IFERROR(RANK(Items[[#This Row],[EstSort]],OFFSET(Items[EstSort],0,0,ROW(Proposed[])-ROW(Items[])+ROWS(Proposed[]),1),1),"")</f>
        <v/>
      </c>
      <c r="AK122" s="190" t="str">
        <f ca="1">IF(CHOOSE(MATCH(Account,Accounts,0),Items[[#This Row],[Count]],Items[[#This Row],[Account1]],Items[[#This Row],[Account2]],Items[[#This Row],[Account3]],Items[[#This Row],[Account7]])&gt;0,Items[[#This Row],[Sort]],"")</f>
        <v/>
      </c>
      <c r="AL122" s="70" t="str">
        <f ca="1">IF(LEN(Items[[#This Row],[Count]])&gt;0,IFERROR(INDEX(Calcs[Counter],MATCH(Items[[#This Row],[Line]],Calcs[Line],0)),""),"")</f>
        <v/>
      </c>
      <c r="AM122" s="156" t="str">
        <f ca="1">IFERROR(Letter&amp;TEXT((Items[[#This Row],[Count]]-1)*Incr+BeginLine,"0000"),"")</f>
        <v/>
      </c>
      <c r="AN122" s="7" t="str">
        <f>IF(ISNA(MATCH(LEFT(Items[[#This Row],[Raw Item]],5)&amp;"-"&amp;RIGHT(Items[[#This Row],[Raw Item]],4),Pay.Item.Listing[Pay Item],0)),"",LEFT(Items[[#This Row],[Raw Item]],5)&amp;"-"&amp;RIGHT(Items[[#This Row],[Raw Item]],4))</f>
        <v/>
      </c>
    </row>
    <row r="123" spans="1:40" x14ac:dyDescent="0.15">
      <c r="A123" s="7" t="str">
        <f ca="1">IFERROR(RANK(Items[[#This Row],[Sort]],OFFSET(Items[Sort],0,0,ROW(Proposed[])-ROW(Items[])+ROWS(Proposed[]),1),1),"")</f>
        <v/>
      </c>
      <c r="B123" s="7" t="str">
        <f>IF(LEN(Items[[#This Row],[Item]])&gt;0,Items[[#This Row],[Raw Item]]+COUNTIF(AN$4:AN123,AN123)/100,"")</f>
        <v/>
      </c>
      <c r="C123" s="7">
        <f>IFERROR(VALUE(LEFT(VALUE(SUBSTITUTE(Items[[#This Row],[Pay Item]],"-",""))*100000000,9)),0)</f>
        <v>0</v>
      </c>
      <c r="D123" s="8"/>
      <c r="E123" s="127"/>
      <c r="F123" s="123" t="str">
        <f>IFERROR(SUBSTITUTE(VLOOKUP(Items[[#This Row],[Item]],Pay.Item.Listing[],2+2*(Units&lt;&gt;"Metric"),0),"{","&lt;"),"&lt;&lt; Pay Item not found &gt;&gt;")</f>
        <v>&lt;&lt; Pay Item not found &gt;&gt;</v>
      </c>
      <c r="G123" s="70" t="str">
        <f>IFERROR(VLOOKUP(Items[[#This Row],[Item]],Pay.Item.Listing[],3+2*(Units&lt;&gt;"Metric"),0),"–")</f>
        <v>–</v>
      </c>
      <c r="H123" s="70" t="str">
        <f>IFERROR(VLOOKUP(Items[[#This Row],[Item]],Pay.Item.Listing[],6,0),"–")</f>
        <v>–</v>
      </c>
      <c r="I123" s="70" t="str">
        <f>IFERROR(VLOOKUP(Items[[#This Row],[Item]],Pay.Item.Listing[],7,0),"–")</f>
        <v>–</v>
      </c>
      <c r="J123" s="71"/>
      <c r="K123" s="69"/>
      <c r="L123" s="69"/>
      <c r="M123" s="69"/>
      <c r="N123" s="69"/>
      <c r="O123" s="69"/>
      <c r="P123" s="69"/>
      <c r="Q123" s="69"/>
      <c r="R123" s="69"/>
      <c r="S123" s="69"/>
      <c r="T123" s="69"/>
      <c r="U123" s="69"/>
      <c r="V123" s="69"/>
      <c r="W123" s="69"/>
      <c r="X123" s="72">
        <f>IF(LEN(Items[[#This Row],[Item]])&gt;0,IF(Items[[#This Row],[Unit]]="LPSM",1,SUM(Items[[#This Row],[Col_1]:[Col_13]])),0)</f>
        <v>0</v>
      </c>
      <c r="Y123" s="190">
        <f>MAX(Items[[#This Row],[Quantity]]-SUM(Items[[#This Row],[Account2]]:Items[[#This Row],[Account7]]),0)</f>
        <v>0</v>
      </c>
      <c r="Z123" s="61"/>
      <c r="AA123" s="61"/>
      <c r="AB123" s="61"/>
      <c r="AC123" s="61"/>
      <c r="AD123" s="61"/>
      <c r="AE123" s="61"/>
      <c r="AF123" s="73"/>
      <c r="AG123" s="71"/>
      <c r="AH123" s="74"/>
      <c r="AI123" s="59"/>
      <c r="AJ123" s="190" t="str">
        <f ca="1">IFERROR(RANK(Items[[#This Row],[EstSort]],OFFSET(Items[EstSort],0,0,ROW(Proposed[])-ROW(Items[])+ROWS(Proposed[]),1),1),"")</f>
        <v/>
      </c>
      <c r="AK123" s="190" t="str">
        <f ca="1">IF(CHOOSE(MATCH(Account,Accounts,0),Items[[#This Row],[Count]],Items[[#This Row],[Account1]],Items[[#This Row],[Account2]],Items[[#This Row],[Account3]],Items[[#This Row],[Account7]])&gt;0,Items[[#This Row],[Sort]],"")</f>
        <v/>
      </c>
      <c r="AL123" s="70" t="str">
        <f ca="1">IF(LEN(Items[[#This Row],[Count]])&gt;0,IFERROR(INDEX(Calcs[Counter],MATCH(Items[[#This Row],[Line]],Calcs[Line],0)),""),"")</f>
        <v/>
      </c>
      <c r="AM123" s="156" t="str">
        <f ca="1">IFERROR(Letter&amp;TEXT((Items[[#This Row],[Count]]-1)*Incr+BeginLine,"0000"),"")</f>
        <v/>
      </c>
      <c r="AN123" s="7" t="str">
        <f>IF(ISNA(MATCH(LEFT(Items[[#This Row],[Raw Item]],5)&amp;"-"&amp;RIGHT(Items[[#This Row],[Raw Item]],4),Pay.Item.Listing[Pay Item],0)),"",LEFT(Items[[#This Row],[Raw Item]],5)&amp;"-"&amp;RIGHT(Items[[#This Row],[Raw Item]],4))</f>
        <v/>
      </c>
    </row>
    <row r="124" spans="1:40" x14ac:dyDescent="0.15">
      <c r="A124" s="7" t="str">
        <f ca="1">IFERROR(RANK(Items[[#This Row],[Sort]],OFFSET(Items[Sort],0,0,ROW(Proposed[])-ROW(Items[])+ROWS(Proposed[]),1),1),"")</f>
        <v/>
      </c>
      <c r="B124" s="7" t="str">
        <f>IF(LEN(Items[[#This Row],[Item]])&gt;0,Items[[#This Row],[Raw Item]]+COUNTIF(AN$4:AN124,AN124)/100,"")</f>
        <v/>
      </c>
      <c r="C124" s="7">
        <f>IFERROR(VALUE(LEFT(VALUE(SUBSTITUTE(Items[[#This Row],[Pay Item]],"-",""))*100000000,9)),0)</f>
        <v>0</v>
      </c>
      <c r="D124" s="8"/>
      <c r="E124" s="127"/>
      <c r="F124" s="123" t="str">
        <f>IFERROR(SUBSTITUTE(VLOOKUP(Items[[#This Row],[Item]],Pay.Item.Listing[],2+2*(Units&lt;&gt;"Metric"),0),"{","&lt;"),"&lt;&lt; Pay Item not found &gt;&gt;")</f>
        <v>&lt;&lt; Pay Item not found &gt;&gt;</v>
      </c>
      <c r="G124" s="70" t="str">
        <f>IFERROR(VLOOKUP(Items[[#This Row],[Item]],Pay.Item.Listing[],3+2*(Units&lt;&gt;"Metric"),0),"–")</f>
        <v>–</v>
      </c>
      <c r="H124" s="70" t="str">
        <f>IFERROR(VLOOKUP(Items[[#This Row],[Item]],Pay.Item.Listing[],6,0),"–")</f>
        <v>–</v>
      </c>
      <c r="I124" s="70" t="str">
        <f>IFERROR(VLOOKUP(Items[[#This Row],[Item]],Pay.Item.Listing[],7,0),"–")</f>
        <v>–</v>
      </c>
      <c r="J124" s="71"/>
      <c r="K124" s="69"/>
      <c r="L124" s="69"/>
      <c r="M124" s="69"/>
      <c r="N124" s="69"/>
      <c r="O124" s="69"/>
      <c r="P124" s="69"/>
      <c r="Q124" s="69"/>
      <c r="R124" s="69"/>
      <c r="S124" s="69"/>
      <c r="T124" s="69"/>
      <c r="U124" s="69"/>
      <c r="V124" s="69"/>
      <c r="W124" s="69"/>
      <c r="X124" s="72">
        <f>IF(LEN(Items[[#This Row],[Item]])&gt;0,IF(Items[[#This Row],[Unit]]="LPSM",1,SUM(Items[[#This Row],[Col_1]:[Col_13]])),0)</f>
        <v>0</v>
      </c>
      <c r="Y124" s="190">
        <f>MAX(Items[[#This Row],[Quantity]]-SUM(Items[[#This Row],[Account2]]:Items[[#This Row],[Account7]]),0)</f>
        <v>0</v>
      </c>
      <c r="Z124" s="61"/>
      <c r="AA124" s="61"/>
      <c r="AB124" s="61"/>
      <c r="AC124" s="61"/>
      <c r="AD124" s="61"/>
      <c r="AE124" s="61"/>
      <c r="AF124" s="73"/>
      <c r="AG124" s="71"/>
      <c r="AH124" s="74"/>
      <c r="AI124" s="59"/>
      <c r="AJ124" s="190" t="str">
        <f ca="1">IFERROR(RANK(Items[[#This Row],[EstSort]],OFFSET(Items[EstSort],0,0,ROW(Proposed[])-ROW(Items[])+ROWS(Proposed[]),1),1),"")</f>
        <v/>
      </c>
      <c r="AK124" s="190" t="str">
        <f ca="1">IF(CHOOSE(MATCH(Account,Accounts,0),Items[[#This Row],[Count]],Items[[#This Row],[Account1]],Items[[#This Row],[Account2]],Items[[#This Row],[Account3]],Items[[#This Row],[Account7]])&gt;0,Items[[#This Row],[Sort]],"")</f>
        <v/>
      </c>
      <c r="AL124" s="70" t="str">
        <f ca="1">IF(LEN(Items[[#This Row],[Count]])&gt;0,IFERROR(INDEX(Calcs[Counter],MATCH(Items[[#This Row],[Line]],Calcs[Line],0)),""),"")</f>
        <v/>
      </c>
      <c r="AM124" s="156" t="str">
        <f ca="1">IFERROR(Letter&amp;TEXT((Items[[#This Row],[Count]]-1)*Incr+BeginLine,"0000"),"")</f>
        <v/>
      </c>
      <c r="AN124" s="7" t="str">
        <f>IF(ISNA(MATCH(LEFT(Items[[#This Row],[Raw Item]],5)&amp;"-"&amp;RIGHT(Items[[#This Row],[Raw Item]],4),Pay.Item.Listing[Pay Item],0)),"",LEFT(Items[[#This Row],[Raw Item]],5)&amp;"-"&amp;RIGHT(Items[[#This Row],[Raw Item]],4))</f>
        <v/>
      </c>
    </row>
    <row r="125" spans="1:40" x14ac:dyDescent="0.15">
      <c r="A125" s="7" t="str">
        <f ca="1">IFERROR(RANK(Items[[#This Row],[Sort]],OFFSET(Items[Sort],0,0,ROW(Proposed[])-ROW(Items[])+ROWS(Proposed[]),1),1),"")</f>
        <v/>
      </c>
      <c r="B125" s="7" t="str">
        <f>IF(LEN(Items[[#This Row],[Item]])&gt;0,Items[[#This Row],[Raw Item]]+COUNTIF(AN$4:AN125,AN125)/100,"")</f>
        <v/>
      </c>
      <c r="C125" s="7">
        <f>IFERROR(VALUE(LEFT(VALUE(SUBSTITUTE(Items[[#This Row],[Pay Item]],"-",""))*100000000,9)),0)</f>
        <v>0</v>
      </c>
      <c r="D125" s="8"/>
      <c r="E125" s="127"/>
      <c r="F125" s="123" t="str">
        <f>IFERROR(SUBSTITUTE(VLOOKUP(Items[[#This Row],[Item]],Pay.Item.Listing[],2+2*(Units&lt;&gt;"Metric"),0),"{","&lt;"),"&lt;&lt; Pay Item not found &gt;&gt;")</f>
        <v>&lt;&lt; Pay Item not found &gt;&gt;</v>
      </c>
      <c r="G125" s="70" t="str">
        <f>IFERROR(VLOOKUP(Items[[#This Row],[Item]],Pay.Item.Listing[],3+2*(Units&lt;&gt;"Metric"),0),"–")</f>
        <v>–</v>
      </c>
      <c r="H125" s="70" t="str">
        <f>IFERROR(VLOOKUP(Items[[#This Row],[Item]],Pay.Item.Listing[],6,0),"–")</f>
        <v>–</v>
      </c>
      <c r="I125" s="70" t="str">
        <f>IFERROR(VLOOKUP(Items[[#This Row],[Item]],Pay.Item.Listing[],7,0),"–")</f>
        <v>–</v>
      </c>
      <c r="J125" s="71"/>
      <c r="K125" s="69"/>
      <c r="L125" s="69"/>
      <c r="M125" s="69"/>
      <c r="N125" s="69"/>
      <c r="O125" s="69"/>
      <c r="P125" s="69"/>
      <c r="Q125" s="69"/>
      <c r="R125" s="69"/>
      <c r="S125" s="69"/>
      <c r="T125" s="69"/>
      <c r="U125" s="69"/>
      <c r="V125" s="69"/>
      <c r="W125" s="69"/>
      <c r="X125" s="72">
        <f>IF(LEN(Items[[#This Row],[Item]])&gt;0,IF(Items[[#This Row],[Unit]]="LPSM",1,SUM(Items[[#This Row],[Col_1]:[Col_13]])),0)</f>
        <v>0</v>
      </c>
      <c r="Y125" s="190">
        <f>MAX(Items[[#This Row],[Quantity]]-SUM(Items[[#This Row],[Account2]]:Items[[#This Row],[Account7]]),0)</f>
        <v>0</v>
      </c>
      <c r="Z125" s="61"/>
      <c r="AA125" s="61"/>
      <c r="AB125" s="61"/>
      <c r="AC125" s="61"/>
      <c r="AD125" s="61"/>
      <c r="AE125" s="61"/>
      <c r="AF125" s="73"/>
      <c r="AG125" s="71"/>
      <c r="AH125" s="74"/>
      <c r="AI125" s="59"/>
      <c r="AJ125" s="190" t="str">
        <f ca="1">IFERROR(RANK(Items[[#This Row],[EstSort]],OFFSET(Items[EstSort],0,0,ROW(Proposed[])-ROW(Items[])+ROWS(Proposed[]),1),1),"")</f>
        <v/>
      </c>
      <c r="AK125" s="190" t="str">
        <f ca="1">IF(CHOOSE(MATCH(Account,Accounts,0),Items[[#This Row],[Count]],Items[[#This Row],[Account1]],Items[[#This Row],[Account2]],Items[[#This Row],[Account3]],Items[[#This Row],[Account7]])&gt;0,Items[[#This Row],[Sort]],"")</f>
        <v/>
      </c>
      <c r="AL125" s="70" t="str">
        <f ca="1">IF(LEN(Items[[#This Row],[Count]])&gt;0,IFERROR(INDEX(Calcs[Counter],MATCH(Items[[#This Row],[Line]],Calcs[Line],0)),""),"")</f>
        <v/>
      </c>
      <c r="AM125" s="156" t="str">
        <f ca="1">IFERROR(Letter&amp;TEXT((Items[[#This Row],[Count]]-1)*Incr+BeginLine,"0000"),"")</f>
        <v/>
      </c>
      <c r="AN125" s="7" t="str">
        <f>IF(ISNA(MATCH(LEFT(Items[[#This Row],[Raw Item]],5)&amp;"-"&amp;RIGHT(Items[[#This Row],[Raw Item]],4),Pay.Item.Listing[Pay Item],0)),"",LEFT(Items[[#This Row],[Raw Item]],5)&amp;"-"&amp;RIGHT(Items[[#This Row],[Raw Item]],4))</f>
        <v/>
      </c>
    </row>
    <row r="126" spans="1:40" x14ac:dyDescent="0.15">
      <c r="A126" s="7" t="str">
        <f ca="1">IFERROR(RANK(Items[[#This Row],[Sort]],OFFSET(Items[Sort],0,0,ROW(Proposed[])-ROW(Items[])+ROWS(Proposed[]),1),1),"")</f>
        <v/>
      </c>
      <c r="B126" s="7" t="str">
        <f>IF(LEN(Items[[#This Row],[Item]])&gt;0,Items[[#This Row],[Raw Item]]+COUNTIF(AN$4:AN126,AN126)/100,"")</f>
        <v/>
      </c>
      <c r="C126" s="7">
        <f>IFERROR(VALUE(LEFT(VALUE(SUBSTITUTE(Items[[#This Row],[Pay Item]],"-",""))*100000000,9)),0)</f>
        <v>0</v>
      </c>
      <c r="D126" s="8"/>
      <c r="E126" s="127"/>
      <c r="F126" s="123" t="str">
        <f>IFERROR(SUBSTITUTE(VLOOKUP(Items[[#This Row],[Item]],Pay.Item.Listing[],2+2*(Units&lt;&gt;"Metric"),0),"{","&lt;"),"&lt;&lt; Pay Item not found &gt;&gt;")</f>
        <v>&lt;&lt; Pay Item not found &gt;&gt;</v>
      </c>
      <c r="G126" s="70" t="str">
        <f>IFERROR(VLOOKUP(Items[[#This Row],[Item]],Pay.Item.Listing[],3+2*(Units&lt;&gt;"Metric"),0),"–")</f>
        <v>–</v>
      </c>
      <c r="H126" s="70" t="str">
        <f>IFERROR(VLOOKUP(Items[[#This Row],[Item]],Pay.Item.Listing[],6,0),"–")</f>
        <v>–</v>
      </c>
      <c r="I126" s="70" t="str">
        <f>IFERROR(VLOOKUP(Items[[#This Row],[Item]],Pay.Item.Listing[],7,0),"–")</f>
        <v>–</v>
      </c>
      <c r="J126" s="71"/>
      <c r="K126" s="69"/>
      <c r="L126" s="69"/>
      <c r="M126" s="69"/>
      <c r="N126" s="69"/>
      <c r="O126" s="69"/>
      <c r="P126" s="69"/>
      <c r="Q126" s="69"/>
      <c r="R126" s="69"/>
      <c r="S126" s="69"/>
      <c r="T126" s="69"/>
      <c r="U126" s="69"/>
      <c r="V126" s="69"/>
      <c r="W126" s="69"/>
      <c r="X126" s="72">
        <f>IF(LEN(Items[[#This Row],[Item]])&gt;0,IF(Items[[#This Row],[Unit]]="LPSM",1,SUM(Items[[#This Row],[Col_1]:[Col_13]])),0)</f>
        <v>0</v>
      </c>
      <c r="Y126" s="190">
        <f>MAX(Items[[#This Row],[Quantity]]-SUM(Items[[#This Row],[Account2]]:Items[[#This Row],[Account7]]),0)</f>
        <v>0</v>
      </c>
      <c r="Z126" s="61"/>
      <c r="AA126" s="61"/>
      <c r="AB126" s="61"/>
      <c r="AC126" s="61"/>
      <c r="AD126" s="61"/>
      <c r="AE126" s="61"/>
      <c r="AF126" s="73"/>
      <c r="AG126" s="71"/>
      <c r="AH126" s="74"/>
      <c r="AI126" s="59"/>
      <c r="AJ126" s="190" t="str">
        <f ca="1">IFERROR(RANK(Items[[#This Row],[EstSort]],OFFSET(Items[EstSort],0,0,ROW(Proposed[])-ROW(Items[])+ROWS(Proposed[]),1),1),"")</f>
        <v/>
      </c>
      <c r="AK126" s="190" t="str">
        <f ca="1">IF(CHOOSE(MATCH(Account,Accounts,0),Items[[#This Row],[Count]],Items[[#This Row],[Account1]],Items[[#This Row],[Account2]],Items[[#This Row],[Account3]],Items[[#This Row],[Account7]])&gt;0,Items[[#This Row],[Sort]],"")</f>
        <v/>
      </c>
      <c r="AL126" s="70" t="str">
        <f ca="1">IF(LEN(Items[[#This Row],[Count]])&gt;0,IFERROR(INDEX(Calcs[Counter],MATCH(Items[[#This Row],[Line]],Calcs[Line],0)),""),"")</f>
        <v/>
      </c>
      <c r="AM126" s="156" t="str">
        <f ca="1">IFERROR(Letter&amp;TEXT((Items[[#This Row],[Count]]-1)*Incr+BeginLine,"0000"),"")</f>
        <v/>
      </c>
      <c r="AN126" s="7" t="str">
        <f>IF(ISNA(MATCH(LEFT(Items[[#This Row],[Raw Item]],5)&amp;"-"&amp;RIGHT(Items[[#This Row],[Raw Item]],4),Pay.Item.Listing[Pay Item],0)),"",LEFT(Items[[#This Row],[Raw Item]],5)&amp;"-"&amp;RIGHT(Items[[#This Row],[Raw Item]],4))</f>
        <v/>
      </c>
    </row>
    <row r="127" spans="1:40" x14ac:dyDescent="0.15">
      <c r="A127" s="7" t="str">
        <f ca="1">IFERROR(RANK(Items[[#This Row],[Sort]],OFFSET(Items[Sort],0,0,ROW(Proposed[])-ROW(Items[])+ROWS(Proposed[]),1),1),"")</f>
        <v/>
      </c>
      <c r="B127" s="7" t="str">
        <f>IF(LEN(Items[[#This Row],[Item]])&gt;0,Items[[#This Row],[Raw Item]]+COUNTIF(AN$4:AN127,AN127)/100,"")</f>
        <v/>
      </c>
      <c r="C127" s="7">
        <f>IFERROR(VALUE(LEFT(VALUE(SUBSTITUTE(Items[[#This Row],[Pay Item]],"-",""))*100000000,9)),0)</f>
        <v>0</v>
      </c>
      <c r="D127" s="8"/>
      <c r="E127" s="127"/>
      <c r="F127" s="123" t="str">
        <f>IFERROR(SUBSTITUTE(VLOOKUP(Items[[#This Row],[Item]],Pay.Item.Listing[],2+2*(Units&lt;&gt;"Metric"),0),"{","&lt;"),"&lt;&lt; Pay Item not found &gt;&gt;")</f>
        <v>&lt;&lt; Pay Item not found &gt;&gt;</v>
      </c>
      <c r="G127" s="70" t="str">
        <f>IFERROR(VLOOKUP(Items[[#This Row],[Item]],Pay.Item.Listing[],3+2*(Units&lt;&gt;"Metric"),0),"–")</f>
        <v>–</v>
      </c>
      <c r="H127" s="70" t="str">
        <f>IFERROR(VLOOKUP(Items[[#This Row],[Item]],Pay.Item.Listing[],6,0),"–")</f>
        <v>–</v>
      </c>
      <c r="I127" s="70" t="str">
        <f>IFERROR(VLOOKUP(Items[[#This Row],[Item]],Pay.Item.Listing[],7,0),"–")</f>
        <v>–</v>
      </c>
      <c r="J127" s="71"/>
      <c r="K127" s="69"/>
      <c r="L127" s="69"/>
      <c r="M127" s="69"/>
      <c r="N127" s="69"/>
      <c r="O127" s="69"/>
      <c r="P127" s="69"/>
      <c r="Q127" s="69"/>
      <c r="R127" s="69"/>
      <c r="S127" s="69"/>
      <c r="T127" s="69"/>
      <c r="U127" s="69"/>
      <c r="V127" s="69"/>
      <c r="W127" s="69"/>
      <c r="X127" s="72">
        <f>IF(LEN(Items[[#This Row],[Item]])&gt;0,IF(Items[[#This Row],[Unit]]="LPSM",1,SUM(Items[[#This Row],[Col_1]:[Col_13]])),0)</f>
        <v>0</v>
      </c>
      <c r="Y127" s="190">
        <f>MAX(Items[[#This Row],[Quantity]]-SUM(Items[[#This Row],[Account2]]:Items[[#This Row],[Account7]]),0)</f>
        <v>0</v>
      </c>
      <c r="Z127" s="61"/>
      <c r="AA127" s="61"/>
      <c r="AB127" s="61"/>
      <c r="AC127" s="61"/>
      <c r="AD127" s="61"/>
      <c r="AE127" s="61"/>
      <c r="AF127" s="73"/>
      <c r="AG127" s="71"/>
      <c r="AH127" s="74"/>
      <c r="AI127" s="59"/>
      <c r="AJ127" s="190" t="str">
        <f ca="1">IFERROR(RANK(Items[[#This Row],[EstSort]],OFFSET(Items[EstSort],0,0,ROW(Proposed[])-ROW(Items[])+ROWS(Proposed[]),1),1),"")</f>
        <v/>
      </c>
      <c r="AK127" s="190" t="str">
        <f ca="1">IF(CHOOSE(MATCH(Account,Accounts,0),Items[[#This Row],[Count]],Items[[#This Row],[Account1]],Items[[#This Row],[Account2]],Items[[#This Row],[Account3]],Items[[#This Row],[Account7]])&gt;0,Items[[#This Row],[Sort]],"")</f>
        <v/>
      </c>
      <c r="AL127" s="70" t="str">
        <f ca="1">IF(LEN(Items[[#This Row],[Count]])&gt;0,IFERROR(INDEX(Calcs[Counter],MATCH(Items[[#This Row],[Line]],Calcs[Line],0)),""),"")</f>
        <v/>
      </c>
      <c r="AM127" s="156" t="str">
        <f ca="1">IFERROR(Letter&amp;TEXT((Items[[#This Row],[Count]]-1)*Incr+BeginLine,"0000"),"")</f>
        <v/>
      </c>
      <c r="AN127" s="7" t="str">
        <f>IF(ISNA(MATCH(LEFT(Items[[#This Row],[Raw Item]],5)&amp;"-"&amp;RIGHT(Items[[#This Row],[Raw Item]],4),Pay.Item.Listing[Pay Item],0)),"",LEFT(Items[[#This Row],[Raw Item]],5)&amp;"-"&amp;RIGHT(Items[[#This Row],[Raw Item]],4))</f>
        <v/>
      </c>
    </row>
    <row r="128" spans="1:40" x14ac:dyDescent="0.15">
      <c r="A128" s="7" t="str">
        <f ca="1">IFERROR(RANK(Items[[#This Row],[Sort]],OFFSET(Items[Sort],0,0,ROW(Proposed[])-ROW(Items[])+ROWS(Proposed[]),1),1),"")</f>
        <v/>
      </c>
      <c r="B128" s="7" t="str">
        <f>IF(LEN(Items[[#This Row],[Item]])&gt;0,Items[[#This Row],[Raw Item]]+COUNTIF(AN$4:AN128,AN128)/100,"")</f>
        <v/>
      </c>
      <c r="C128" s="7">
        <f>IFERROR(VALUE(LEFT(VALUE(SUBSTITUTE(Items[[#This Row],[Pay Item]],"-",""))*100000000,9)),0)</f>
        <v>0</v>
      </c>
      <c r="D128" s="8"/>
      <c r="E128" s="127"/>
      <c r="F128" s="123" t="str">
        <f>IFERROR(SUBSTITUTE(VLOOKUP(Items[[#This Row],[Item]],Pay.Item.Listing[],2+2*(Units&lt;&gt;"Metric"),0),"{","&lt;"),"&lt;&lt; Pay Item not found &gt;&gt;")</f>
        <v>&lt;&lt; Pay Item not found &gt;&gt;</v>
      </c>
      <c r="G128" s="70" t="str">
        <f>IFERROR(VLOOKUP(Items[[#This Row],[Item]],Pay.Item.Listing[],3+2*(Units&lt;&gt;"Metric"),0),"–")</f>
        <v>–</v>
      </c>
      <c r="H128" s="70" t="str">
        <f>IFERROR(VLOOKUP(Items[[#This Row],[Item]],Pay.Item.Listing[],6,0),"–")</f>
        <v>–</v>
      </c>
      <c r="I128" s="70" t="str">
        <f>IFERROR(VLOOKUP(Items[[#This Row],[Item]],Pay.Item.Listing[],7,0),"–")</f>
        <v>–</v>
      </c>
      <c r="J128" s="71"/>
      <c r="K128" s="69"/>
      <c r="L128" s="69"/>
      <c r="M128" s="69"/>
      <c r="N128" s="69"/>
      <c r="O128" s="69"/>
      <c r="P128" s="69"/>
      <c r="Q128" s="69"/>
      <c r="R128" s="69"/>
      <c r="S128" s="69"/>
      <c r="T128" s="69"/>
      <c r="U128" s="69"/>
      <c r="V128" s="69"/>
      <c r="W128" s="69"/>
      <c r="X128" s="72">
        <f>IF(LEN(Items[[#This Row],[Item]])&gt;0,IF(Items[[#This Row],[Unit]]="LPSM",1,SUM(Items[[#This Row],[Col_1]:[Col_13]])),0)</f>
        <v>0</v>
      </c>
      <c r="Y128" s="190">
        <f>MAX(Items[[#This Row],[Quantity]]-SUM(Items[[#This Row],[Account2]]:Items[[#This Row],[Account7]]),0)</f>
        <v>0</v>
      </c>
      <c r="Z128" s="61"/>
      <c r="AA128" s="61"/>
      <c r="AB128" s="61"/>
      <c r="AC128" s="61"/>
      <c r="AD128" s="61"/>
      <c r="AE128" s="61"/>
      <c r="AF128" s="73"/>
      <c r="AG128" s="71"/>
      <c r="AH128" s="74"/>
      <c r="AI128" s="59"/>
      <c r="AJ128" s="190" t="str">
        <f ca="1">IFERROR(RANK(Items[[#This Row],[EstSort]],OFFSET(Items[EstSort],0,0,ROW(Proposed[])-ROW(Items[])+ROWS(Proposed[]),1),1),"")</f>
        <v/>
      </c>
      <c r="AK128" s="190" t="str">
        <f ca="1">IF(CHOOSE(MATCH(Account,Accounts,0),Items[[#This Row],[Count]],Items[[#This Row],[Account1]],Items[[#This Row],[Account2]],Items[[#This Row],[Account3]],Items[[#This Row],[Account7]])&gt;0,Items[[#This Row],[Sort]],"")</f>
        <v/>
      </c>
      <c r="AL128" s="70" t="str">
        <f ca="1">IF(LEN(Items[[#This Row],[Count]])&gt;0,IFERROR(INDEX(Calcs[Counter],MATCH(Items[[#This Row],[Line]],Calcs[Line],0)),""),"")</f>
        <v/>
      </c>
      <c r="AM128" s="156" t="str">
        <f ca="1">IFERROR(Letter&amp;TEXT((Items[[#This Row],[Count]]-1)*Incr+BeginLine,"0000"),"")</f>
        <v/>
      </c>
      <c r="AN128" s="7" t="str">
        <f>IF(ISNA(MATCH(LEFT(Items[[#This Row],[Raw Item]],5)&amp;"-"&amp;RIGHT(Items[[#This Row],[Raw Item]],4),Pay.Item.Listing[Pay Item],0)),"",LEFT(Items[[#This Row],[Raw Item]],5)&amp;"-"&amp;RIGHT(Items[[#This Row],[Raw Item]],4))</f>
        <v/>
      </c>
    </row>
    <row r="129" spans="1:40" x14ac:dyDescent="0.15">
      <c r="A129" s="7" t="str">
        <f ca="1">IFERROR(RANK(Items[[#This Row],[Sort]],OFFSET(Items[Sort],0,0,ROW(Proposed[])-ROW(Items[])+ROWS(Proposed[]),1),1),"")</f>
        <v/>
      </c>
      <c r="B129" s="7" t="str">
        <f>IF(LEN(Items[[#This Row],[Item]])&gt;0,Items[[#This Row],[Raw Item]]+COUNTIF(AN$4:AN129,AN129)/100,"")</f>
        <v/>
      </c>
      <c r="C129" s="7">
        <f>IFERROR(VALUE(LEFT(VALUE(SUBSTITUTE(Items[[#This Row],[Pay Item]],"-",""))*100000000,9)),0)</f>
        <v>0</v>
      </c>
      <c r="D129" s="8"/>
      <c r="E129" s="127"/>
      <c r="F129" s="123" t="str">
        <f>IFERROR(SUBSTITUTE(VLOOKUP(Items[[#This Row],[Item]],Pay.Item.Listing[],2+2*(Units&lt;&gt;"Metric"),0),"{","&lt;"),"&lt;&lt; Pay Item not found &gt;&gt;")</f>
        <v>&lt;&lt; Pay Item not found &gt;&gt;</v>
      </c>
      <c r="G129" s="70" t="str">
        <f>IFERROR(VLOOKUP(Items[[#This Row],[Item]],Pay.Item.Listing[],3+2*(Units&lt;&gt;"Metric"),0),"–")</f>
        <v>–</v>
      </c>
      <c r="H129" s="70" t="str">
        <f>IFERROR(VLOOKUP(Items[[#This Row],[Item]],Pay.Item.Listing[],6,0),"–")</f>
        <v>–</v>
      </c>
      <c r="I129" s="70" t="str">
        <f>IFERROR(VLOOKUP(Items[[#This Row],[Item]],Pay.Item.Listing[],7,0),"–")</f>
        <v>–</v>
      </c>
      <c r="J129" s="71"/>
      <c r="K129" s="69"/>
      <c r="L129" s="69"/>
      <c r="M129" s="69"/>
      <c r="N129" s="69"/>
      <c r="O129" s="69"/>
      <c r="P129" s="69"/>
      <c r="Q129" s="69"/>
      <c r="R129" s="69"/>
      <c r="S129" s="69"/>
      <c r="T129" s="69"/>
      <c r="U129" s="69"/>
      <c r="V129" s="69"/>
      <c r="W129" s="69"/>
      <c r="X129" s="72">
        <f>IF(LEN(Items[[#This Row],[Item]])&gt;0,IF(Items[[#This Row],[Unit]]="LPSM",1,SUM(Items[[#This Row],[Col_1]:[Col_13]])),0)</f>
        <v>0</v>
      </c>
      <c r="Y129" s="190">
        <f>MAX(Items[[#This Row],[Quantity]]-SUM(Items[[#This Row],[Account2]]:Items[[#This Row],[Account7]]),0)</f>
        <v>0</v>
      </c>
      <c r="Z129" s="61"/>
      <c r="AA129" s="61"/>
      <c r="AB129" s="61"/>
      <c r="AC129" s="61"/>
      <c r="AD129" s="61"/>
      <c r="AE129" s="61"/>
      <c r="AF129" s="73"/>
      <c r="AG129" s="71"/>
      <c r="AH129" s="74"/>
      <c r="AI129" s="59"/>
      <c r="AJ129" s="190" t="str">
        <f ca="1">IFERROR(RANK(Items[[#This Row],[EstSort]],OFFSET(Items[EstSort],0,0,ROW(Proposed[])-ROW(Items[])+ROWS(Proposed[]),1),1),"")</f>
        <v/>
      </c>
      <c r="AK129" s="190" t="str">
        <f ca="1">IF(CHOOSE(MATCH(Account,Accounts,0),Items[[#This Row],[Count]],Items[[#This Row],[Account1]],Items[[#This Row],[Account2]],Items[[#This Row],[Account3]],Items[[#This Row],[Account7]])&gt;0,Items[[#This Row],[Sort]],"")</f>
        <v/>
      </c>
      <c r="AL129" s="70" t="str">
        <f ca="1">IF(LEN(Items[[#This Row],[Count]])&gt;0,IFERROR(INDEX(Calcs[Counter],MATCH(Items[[#This Row],[Line]],Calcs[Line],0)),""),"")</f>
        <v/>
      </c>
      <c r="AM129" s="156" t="str">
        <f ca="1">IFERROR(Letter&amp;TEXT((Items[[#This Row],[Count]]-1)*Incr+BeginLine,"0000"),"")</f>
        <v/>
      </c>
      <c r="AN129" s="7" t="str">
        <f>IF(ISNA(MATCH(LEFT(Items[[#This Row],[Raw Item]],5)&amp;"-"&amp;RIGHT(Items[[#This Row],[Raw Item]],4),Pay.Item.Listing[Pay Item],0)),"",LEFT(Items[[#This Row],[Raw Item]],5)&amp;"-"&amp;RIGHT(Items[[#This Row],[Raw Item]],4))</f>
        <v/>
      </c>
    </row>
    <row r="130" spans="1:40" x14ac:dyDescent="0.15">
      <c r="A130" s="7" t="str">
        <f ca="1">IFERROR(RANK(Items[[#This Row],[Sort]],OFFSET(Items[Sort],0,0,ROW(Proposed[])-ROW(Items[])+ROWS(Proposed[]),1),1),"")</f>
        <v/>
      </c>
      <c r="B130" s="7" t="str">
        <f>IF(LEN(Items[[#This Row],[Item]])&gt;0,Items[[#This Row],[Raw Item]]+COUNTIF(AN$4:AN130,AN130)/100,"")</f>
        <v/>
      </c>
      <c r="C130" s="7">
        <f>IFERROR(VALUE(LEFT(VALUE(SUBSTITUTE(Items[[#This Row],[Pay Item]],"-",""))*100000000,9)),0)</f>
        <v>0</v>
      </c>
      <c r="D130" s="8"/>
      <c r="E130" s="127"/>
      <c r="F130" s="123" t="str">
        <f>IFERROR(SUBSTITUTE(VLOOKUP(Items[[#This Row],[Item]],Pay.Item.Listing[],2+2*(Units&lt;&gt;"Metric"),0),"{","&lt;"),"&lt;&lt; Pay Item not found &gt;&gt;")</f>
        <v>&lt;&lt; Pay Item not found &gt;&gt;</v>
      </c>
      <c r="G130" s="70" t="str">
        <f>IFERROR(VLOOKUP(Items[[#This Row],[Item]],Pay.Item.Listing[],3+2*(Units&lt;&gt;"Metric"),0),"–")</f>
        <v>–</v>
      </c>
      <c r="H130" s="70" t="str">
        <f>IFERROR(VLOOKUP(Items[[#This Row],[Item]],Pay.Item.Listing[],6,0),"–")</f>
        <v>–</v>
      </c>
      <c r="I130" s="70" t="str">
        <f>IFERROR(VLOOKUP(Items[[#This Row],[Item]],Pay.Item.Listing[],7,0),"–")</f>
        <v>–</v>
      </c>
      <c r="J130" s="71"/>
      <c r="K130" s="69"/>
      <c r="L130" s="69"/>
      <c r="M130" s="69"/>
      <c r="N130" s="69"/>
      <c r="O130" s="69"/>
      <c r="P130" s="69"/>
      <c r="Q130" s="69"/>
      <c r="R130" s="69"/>
      <c r="S130" s="69"/>
      <c r="T130" s="69"/>
      <c r="U130" s="69"/>
      <c r="V130" s="69"/>
      <c r="W130" s="69"/>
      <c r="X130" s="72">
        <f>IF(LEN(Items[[#This Row],[Item]])&gt;0,IF(Items[[#This Row],[Unit]]="LPSM",1,SUM(Items[[#This Row],[Col_1]:[Col_13]])),0)</f>
        <v>0</v>
      </c>
      <c r="Y130" s="190">
        <f>MAX(Items[[#This Row],[Quantity]]-SUM(Items[[#This Row],[Account2]]:Items[[#This Row],[Account7]]),0)</f>
        <v>0</v>
      </c>
      <c r="Z130" s="61"/>
      <c r="AA130" s="61"/>
      <c r="AB130" s="61"/>
      <c r="AC130" s="61"/>
      <c r="AD130" s="61"/>
      <c r="AE130" s="61"/>
      <c r="AF130" s="73"/>
      <c r="AG130" s="71"/>
      <c r="AH130" s="74"/>
      <c r="AI130" s="59"/>
      <c r="AJ130" s="190" t="str">
        <f ca="1">IFERROR(RANK(Items[[#This Row],[EstSort]],OFFSET(Items[EstSort],0,0,ROW(Proposed[])-ROW(Items[])+ROWS(Proposed[]),1),1),"")</f>
        <v/>
      </c>
      <c r="AK130" s="190" t="str">
        <f ca="1">IF(CHOOSE(MATCH(Account,Accounts,0),Items[[#This Row],[Count]],Items[[#This Row],[Account1]],Items[[#This Row],[Account2]],Items[[#This Row],[Account3]],Items[[#This Row],[Account7]])&gt;0,Items[[#This Row],[Sort]],"")</f>
        <v/>
      </c>
      <c r="AL130" s="70" t="str">
        <f ca="1">IF(LEN(Items[[#This Row],[Count]])&gt;0,IFERROR(INDEX(Calcs[Counter],MATCH(Items[[#This Row],[Line]],Calcs[Line],0)),""),"")</f>
        <v/>
      </c>
      <c r="AM130" s="156" t="str">
        <f ca="1">IFERROR(Letter&amp;TEXT((Items[[#This Row],[Count]]-1)*Incr+BeginLine,"0000"),"")</f>
        <v/>
      </c>
      <c r="AN130" s="7" t="str">
        <f>IF(ISNA(MATCH(LEFT(Items[[#This Row],[Raw Item]],5)&amp;"-"&amp;RIGHT(Items[[#This Row],[Raw Item]],4),Pay.Item.Listing[Pay Item],0)),"",LEFT(Items[[#This Row],[Raw Item]],5)&amp;"-"&amp;RIGHT(Items[[#This Row],[Raw Item]],4))</f>
        <v/>
      </c>
    </row>
    <row r="131" spans="1:40" x14ac:dyDescent="0.15">
      <c r="A131" s="7" t="str">
        <f ca="1">IFERROR(RANK(Items[[#This Row],[Sort]],OFFSET(Items[Sort],0,0,ROW(Proposed[])-ROW(Items[])+ROWS(Proposed[]),1),1),"")</f>
        <v/>
      </c>
      <c r="B131" s="7" t="str">
        <f>IF(LEN(Items[[#This Row],[Item]])&gt;0,Items[[#This Row],[Raw Item]]+COUNTIF(AN$4:AN131,AN131)/100,"")</f>
        <v/>
      </c>
      <c r="C131" s="7">
        <f>IFERROR(VALUE(LEFT(VALUE(SUBSTITUTE(Items[[#This Row],[Pay Item]],"-",""))*100000000,9)),0)</f>
        <v>0</v>
      </c>
      <c r="D131" s="8"/>
      <c r="E131" s="127"/>
      <c r="F131" s="123" t="str">
        <f>IFERROR(SUBSTITUTE(VLOOKUP(Items[[#This Row],[Item]],Pay.Item.Listing[],2+2*(Units&lt;&gt;"Metric"),0),"{","&lt;"),"&lt;&lt; Pay Item not found &gt;&gt;")</f>
        <v>&lt;&lt; Pay Item not found &gt;&gt;</v>
      </c>
      <c r="G131" s="70" t="str">
        <f>IFERROR(VLOOKUP(Items[[#This Row],[Item]],Pay.Item.Listing[],3+2*(Units&lt;&gt;"Metric"),0),"–")</f>
        <v>–</v>
      </c>
      <c r="H131" s="70" t="str">
        <f>IFERROR(VLOOKUP(Items[[#This Row],[Item]],Pay.Item.Listing[],6,0),"–")</f>
        <v>–</v>
      </c>
      <c r="I131" s="70" t="str">
        <f>IFERROR(VLOOKUP(Items[[#This Row],[Item]],Pay.Item.Listing[],7,0),"–")</f>
        <v>–</v>
      </c>
      <c r="J131" s="71"/>
      <c r="K131" s="69"/>
      <c r="L131" s="69"/>
      <c r="M131" s="69"/>
      <c r="N131" s="69"/>
      <c r="O131" s="69"/>
      <c r="P131" s="69"/>
      <c r="Q131" s="69"/>
      <c r="R131" s="69"/>
      <c r="S131" s="69"/>
      <c r="T131" s="69"/>
      <c r="U131" s="69"/>
      <c r="V131" s="69"/>
      <c r="W131" s="69"/>
      <c r="X131" s="72">
        <f>IF(LEN(Items[[#This Row],[Item]])&gt;0,IF(Items[[#This Row],[Unit]]="LPSM",1,SUM(Items[[#This Row],[Col_1]:[Col_13]])),0)</f>
        <v>0</v>
      </c>
      <c r="Y131" s="190">
        <f>MAX(Items[[#This Row],[Quantity]]-SUM(Items[[#This Row],[Account2]]:Items[[#This Row],[Account7]]),0)</f>
        <v>0</v>
      </c>
      <c r="Z131" s="61"/>
      <c r="AA131" s="61"/>
      <c r="AB131" s="61"/>
      <c r="AC131" s="61"/>
      <c r="AD131" s="61"/>
      <c r="AE131" s="61"/>
      <c r="AF131" s="73"/>
      <c r="AG131" s="71"/>
      <c r="AH131" s="74"/>
      <c r="AI131" s="59"/>
      <c r="AJ131" s="190" t="str">
        <f ca="1">IFERROR(RANK(Items[[#This Row],[EstSort]],OFFSET(Items[EstSort],0,0,ROW(Proposed[])-ROW(Items[])+ROWS(Proposed[]),1),1),"")</f>
        <v/>
      </c>
      <c r="AK131" s="190" t="str">
        <f ca="1">IF(CHOOSE(MATCH(Account,Accounts,0),Items[[#This Row],[Count]],Items[[#This Row],[Account1]],Items[[#This Row],[Account2]],Items[[#This Row],[Account3]],Items[[#This Row],[Account7]])&gt;0,Items[[#This Row],[Sort]],"")</f>
        <v/>
      </c>
      <c r="AL131" s="70" t="str">
        <f ca="1">IF(LEN(Items[[#This Row],[Count]])&gt;0,IFERROR(INDEX(Calcs[Counter],MATCH(Items[[#This Row],[Line]],Calcs[Line],0)),""),"")</f>
        <v/>
      </c>
      <c r="AM131" s="156" t="str">
        <f ca="1">IFERROR(Letter&amp;TEXT((Items[[#This Row],[Count]]-1)*Incr+BeginLine,"0000"),"")</f>
        <v/>
      </c>
      <c r="AN131" s="7" t="str">
        <f>IF(ISNA(MATCH(LEFT(Items[[#This Row],[Raw Item]],5)&amp;"-"&amp;RIGHT(Items[[#This Row],[Raw Item]],4),Pay.Item.Listing[Pay Item],0)),"",LEFT(Items[[#This Row],[Raw Item]],5)&amp;"-"&amp;RIGHT(Items[[#This Row],[Raw Item]],4))</f>
        <v/>
      </c>
    </row>
    <row r="132" spans="1:40" x14ac:dyDescent="0.15">
      <c r="A132" s="7" t="str">
        <f ca="1">IFERROR(RANK(Items[[#This Row],[Sort]],OFFSET(Items[Sort],0,0,ROW(Proposed[])-ROW(Items[])+ROWS(Proposed[]),1),1),"")</f>
        <v/>
      </c>
      <c r="B132" s="7" t="str">
        <f>IF(LEN(Items[[#This Row],[Item]])&gt;0,Items[[#This Row],[Raw Item]]+COUNTIF(AN$4:AN132,AN132)/100,"")</f>
        <v/>
      </c>
      <c r="C132" s="7">
        <f>IFERROR(VALUE(LEFT(VALUE(SUBSTITUTE(Items[[#This Row],[Pay Item]],"-",""))*100000000,9)),0)</f>
        <v>0</v>
      </c>
      <c r="D132" s="8"/>
      <c r="E132" s="127"/>
      <c r="F132" s="123" t="str">
        <f>IFERROR(SUBSTITUTE(VLOOKUP(Items[[#This Row],[Item]],Pay.Item.Listing[],2+2*(Units&lt;&gt;"Metric"),0),"{","&lt;"),"&lt;&lt; Pay Item not found &gt;&gt;")</f>
        <v>&lt;&lt; Pay Item not found &gt;&gt;</v>
      </c>
      <c r="G132" s="70" t="str">
        <f>IFERROR(VLOOKUP(Items[[#This Row],[Item]],Pay.Item.Listing[],3+2*(Units&lt;&gt;"Metric"),0),"–")</f>
        <v>–</v>
      </c>
      <c r="H132" s="70" t="str">
        <f>IFERROR(VLOOKUP(Items[[#This Row],[Item]],Pay.Item.Listing[],6,0),"–")</f>
        <v>–</v>
      </c>
      <c r="I132" s="70" t="str">
        <f>IFERROR(VLOOKUP(Items[[#This Row],[Item]],Pay.Item.Listing[],7,0),"–")</f>
        <v>–</v>
      </c>
      <c r="J132" s="71"/>
      <c r="K132" s="69"/>
      <c r="L132" s="69"/>
      <c r="M132" s="69"/>
      <c r="N132" s="69"/>
      <c r="O132" s="69"/>
      <c r="P132" s="69"/>
      <c r="Q132" s="69"/>
      <c r="R132" s="69"/>
      <c r="S132" s="69"/>
      <c r="T132" s="69"/>
      <c r="U132" s="69"/>
      <c r="V132" s="69"/>
      <c r="W132" s="69"/>
      <c r="X132" s="72">
        <f>IF(LEN(Items[[#This Row],[Item]])&gt;0,IF(Items[[#This Row],[Unit]]="LPSM",1,SUM(Items[[#This Row],[Col_1]:[Col_13]])),0)</f>
        <v>0</v>
      </c>
      <c r="Y132" s="190">
        <f>MAX(Items[[#This Row],[Quantity]]-SUM(Items[[#This Row],[Account2]]:Items[[#This Row],[Account7]]),0)</f>
        <v>0</v>
      </c>
      <c r="Z132" s="61"/>
      <c r="AA132" s="61"/>
      <c r="AB132" s="61"/>
      <c r="AC132" s="61"/>
      <c r="AD132" s="61"/>
      <c r="AE132" s="61"/>
      <c r="AF132" s="73"/>
      <c r="AG132" s="71"/>
      <c r="AH132" s="74"/>
      <c r="AI132" s="59"/>
      <c r="AJ132" s="190" t="str">
        <f ca="1">IFERROR(RANK(Items[[#This Row],[EstSort]],OFFSET(Items[EstSort],0,0,ROW(Proposed[])-ROW(Items[])+ROWS(Proposed[]),1),1),"")</f>
        <v/>
      </c>
      <c r="AK132" s="190" t="str">
        <f ca="1">IF(CHOOSE(MATCH(Account,Accounts,0),Items[[#This Row],[Count]],Items[[#This Row],[Account1]],Items[[#This Row],[Account2]],Items[[#This Row],[Account3]],Items[[#This Row],[Account7]])&gt;0,Items[[#This Row],[Sort]],"")</f>
        <v/>
      </c>
      <c r="AL132" s="70" t="str">
        <f ca="1">IF(LEN(Items[[#This Row],[Count]])&gt;0,IFERROR(INDEX(Calcs[Counter],MATCH(Items[[#This Row],[Line]],Calcs[Line],0)),""),"")</f>
        <v/>
      </c>
      <c r="AM132" s="156" t="str">
        <f ca="1">IFERROR(Letter&amp;TEXT((Items[[#This Row],[Count]]-1)*Incr+BeginLine,"0000"),"")</f>
        <v/>
      </c>
      <c r="AN132" s="7" t="str">
        <f>IF(ISNA(MATCH(LEFT(Items[[#This Row],[Raw Item]],5)&amp;"-"&amp;RIGHT(Items[[#This Row],[Raw Item]],4),Pay.Item.Listing[Pay Item],0)),"",LEFT(Items[[#This Row],[Raw Item]],5)&amp;"-"&amp;RIGHT(Items[[#This Row],[Raw Item]],4))</f>
        <v/>
      </c>
    </row>
    <row r="133" spans="1:40" x14ac:dyDescent="0.15">
      <c r="A133" s="7" t="str">
        <f ca="1">IFERROR(RANK(Items[[#This Row],[Sort]],OFFSET(Items[Sort],0,0,ROW(Proposed[])-ROW(Items[])+ROWS(Proposed[]),1),1),"")</f>
        <v/>
      </c>
      <c r="B133" s="7" t="str">
        <f>IF(LEN(Items[[#This Row],[Item]])&gt;0,Items[[#This Row],[Raw Item]]+COUNTIF(AN$4:AN133,AN133)/100,"")</f>
        <v/>
      </c>
      <c r="C133" s="7">
        <f>IFERROR(VALUE(LEFT(VALUE(SUBSTITUTE(Items[[#This Row],[Pay Item]],"-",""))*100000000,9)),0)</f>
        <v>0</v>
      </c>
      <c r="D133" s="8"/>
      <c r="E133" s="127"/>
      <c r="F133" s="123" t="str">
        <f>IFERROR(SUBSTITUTE(VLOOKUP(Items[[#This Row],[Item]],Pay.Item.Listing[],2+2*(Units&lt;&gt;"Metric"),0),"{","&lt;"),"&lt;&lt; Pay Item not found &gt;&gt;")</f>
        <v>&lt;&lt; Pay Item not found &gt;&gt;</v>
      </c>
      <c r="G133" s="70" t="str">
        <f>IFERROR(VLOOKUP(Items[[#This Row],[Item]],Pay.Item.Listing[],3+2*(Units&lt;&gt;"Metric"),0),"–")</f>
        <v>–</v>
      </c>
      <c r="H133" s="70" t="str">
        <f>IFERROR(VLOOKUP(Items[[#This Row],[Item]],Pay.Item.Listing[],6,0),"–")</f>
        <v>–</v>
      </c>
      <c r="I133" s="70" t="str">
        <f>IFERROR(VLOOKUP(Items[[#This Row],[Item]],Pay.Item.Listing[],7,0),"–")</f>
        <v>–</v>
      </c>
      <c r="J133" s="71"/>
      <c r="K133" s="69"/>
      <c r="L133" s="69"/>
      <c r="M133" s="69"/>
      <c r="N133" s="69"/>
      <c r="O133" s="69"/>
      <c r="P133" s="69"/>
      <c r="Q133" s="69"/>
      <c r="R133" s="69"/>
      <c r="S133" s="69"/>
      <c r="T133" s="69"/>
      <c r="U133" s="69"/>
      <c r="V133" s="69"/>
      <c r="W133" s="69"/>
      <c r="X133" s="72">
        <f>IF(LEN(Items[[#This Row],[Item]])&gt;0,IF(Items[[#This Row],[Unit]]="LPSM",1,SUM(Items[[#This Row],[Col_1]:[Col_13]])),0)</f>
        <v>0</v>
      </c>
      <c r="Y133" s="190">
        <f>MAX(Items[[#This Row],[Quantity]]-SUM(Items[[#This Row],[Account2]]:Items[[#This Row],[Account7]]),0)</f>
        <v>0</v>
      </c>
      <c r="Z133" s="61"/>
      <c r="AA133" s="61"/>
      <c r="AB133" s="61"/>
      <c r="AC133" s="61"/>
      <c r="AD133" s="61"/>
      <c r="AE133" s="61"/>
      <c r="AF133" s="73"/>
      <c r="AG133" s="71"/>
      <c r="AH133" s="74"/>
      <c r="AI133" s="59"/>
      <c r="AJ133" s="190" t="str">
        <f ca="1">IFERROR(RANK(Items[[#This Row],[EstSort]],OFFSET(Items[EstSort],0,0,ROW(Proposed[])-ROW(Items[])+ROWS(Proposed[]),1),1),"")</f>
        <v/>
      </c>
      <c r="AK133" s="190" t="str">
        <f ca="1">IF(CHOOSE(MATCH(Account,Accounts,0),Items[[#This Row],[Count]],Items[[#This Row],[Account1]],Items[[#This Row],[Account2]],Items[[#This Row],[Account3]],Items[[#This Row],[Account7]])&gt;0,Items[[#This Row],[Sort]],"")</f>
        <v/>
      </c>
      <c r="AL133" s="70" t="str">
        <f ca="1">IF(LEN(Items[[#This Row],[Count]])&gt;0,IFERROR(INDEX(Calcs[Counter],MATCH(Items[[#This Row],[Line]],Calcs[Line],0)),""),"")</f>
        <v/>
      </c>
      <c r="AM133" s="156" t="str">
        <f ca="1">IFERROR(Letter&amp;TEXT((Items[[#This Row],[Count]]-1)*Incr+BeginLine,"0000"),"")</f>
        <v/>
      </c>
      <c r="AN133" s="7" t="str">
        <f>IF(ISNA(MATCH(LEFT(Items[[#This Row],[Raw Item]],5)&amp;"-"&amp;RIGHT(Items[[#This Row],[Raw Item]],4),Pay.Item.Listing[Pay Item],0)),"",LEFT(Items[[#This Row],[Raw Item]],5)&amp;"-"&amp;RIGHT(Items[[#This Row],[Raw Item]],4))</f>
        <v/>
      </c>
    </row>
    <row r="134" spans="1:40" x14ac:dyDescent="0.15">
      <c r="A134" s="7" t="str">
        <f ca="1">IFERROR(RANK(Items[[#This Row],[Sort]],OFFSET(Items[Sort],0,0,ROW(Proposed[])-ROW(Items[])+ROWS(Proposed[]),1),1),"")</f>
        <v/>
      </c>
      <c r="B134" s="7" t="str">
        <f>IF(LEN(Items[[#This Row],[Item]])&gt;0,Items[[#This Row],[Raw Item]]+COUNTIF(AN$4:AN134,AN134)/100,"")</f>
        <v/>
      </c>
      <c r="C134" s="7">
        <f>IFERROR(VALUE(LEFT(VALUE(SUBSTITUTE(Items[[#This Row],[Pay Item]],"-",""))*100000000,9)),0)</f>
        <v>0</v>
      </c>
      <c r="D134" s="8"/>
      <c r="E134" s="127"/>
      <c r="F134" s="123" t="str">
        <f>IFERROR(SUBSTITUTE(VLOOKUP(Items[[#This Row],[Item]],Pay.Item.Listing[],2+2*(Units&lt;&gt;"Metric"),0),"{","&lt;"),"&lt;&lt; Pay Item not found &gt;&gt;")</f>
        <v>&lt;&lt; Pay Item not found &gt;&gt;</v>
      </c>
      <c r="G134" s="70" t="str">
        <f>IFERROR(VLOOKUP(Items[[#This Row],[Item]],Pay.Item.Listing[],3+2*(Units&lt;&gt;"Metric"),0),"–")</f>
        <v>–</v>
      </c>
      <c r="H134" s="70" t="str">
        <f>IFERROR(VLOOKUP(Items[[#This Row],[Item]],Pay.Item.Listing[],6,0),"–")</f>
        <v>–</v>
      </c>
      <c r="I134" s="70" t="str">
        <f>IFERROR(VLOOKUP(Items[[#This Row],[Item]],Pay.Item.Listing[],7,0),"–")</f>
        <v>–</v>
      </c>
      <c r="J134" s="71"/>
      <c r="K134" s="69"/>
      <c r="L134" s="69"/>
      <c r="M134" s="69"/>
      <c r="N134" s="69"/>
      <c r="O134" s="69"/>
      <c r="P134" s="69"/>
      <c r="Q134" s="69"/>
      <c r="R134" s="69"/>
      <c r="S134" s="69"/>
      <c r="T134" s="69"/>
      <c r="U134" s="69"/>
      <c r="V134" s="69"/>
      <c r="W134" s="69"/>
      <c r="X134" s="72">
        <f>IF(LEN(Items[[#This Row],[Item]])&gt;0,IF(Items[[#This Row],[Unit]]="LPSM",1,SUM(Items[[#This Row],[Col_1]:[Col_13]])),0)</f>
        <v>0</v>
      </c>
      <c r="Y134" s="190">
        <f>MAX(Items[[#This Row],[Quantity]]-SUM(Items[[#This Row],[Account2]]:Items[[#This Row],[Account7]]),0)</f>
        <v>0</v>
      </c>
      <c r="Z134" s="61"/>
      <c r="AA134" s="61"/>
      <c r="AB134" s="61"/>
      <c r="AC134" s="61"/>
      <c r="AD134" s="61"/>
      <c r="AE134" s="61"/>
      <c r="AF134" s="73"/>
      <c r="AG134" s="71"/>
      <c r="AH134" s="74"/>
      <c r="AI134" s="59"/>
      <c r="AJ134" s="190" t="str">
        <f ca="1">IFERROR(RANK(Items[[#This Row],[EstSort]],OFFSET(Items[EstSort],0,0,ROW(Proposed[])-ROW(Items[])+ROWS(Proposed[]),1),1),"")</f>
        <v/>
      </c>
      <c r="AK134" s="190" t="str">
        <f ca="1">IF(CHOOSE(MATCH(Account,Accounts,0),Items[[#This Row],[Count]],Items[[#This Row],[Account1]],Items[[#This Row],[Account2]],Items[[#This Row],[Account3]],Items[[#This Row],[Account7]])&gt;0,Items[[#This Row],[Sort]],"")</f>
        <v/>
      </c>
      <c r="AL134" s="70" t="str">
        <f ca="1">IF(LEN(Items[[#This Row],[Count]])&gt;0,IFERROR(INDEX(Calcs[Counter],MATCH(Items[[#This Row],[Line]],Calcs[Line],0)),""),"")</f>
        <v/>
      </c>
      <c r="AM134" s="156" t="str">
        <f ca="1">IFERROR(Letter&amp;TEXT((Items[[#This Row],[Count]]-1)*Incr+BeginLine,"0000"),"")</f>
        <v/>
      </c>
      <c r="AN134" s="7" t="str">
        <f>IF(ISNA(MATCH(LEFT(Items[[#This Row],[Raw Item]],5)&amp;"-"&amp;RIGHT(Items[[#This Row],[Raw Item]],4),Pay.Item.Listing[Pay Item],0)),"",LEFT(Items[[#This Row],[Raw Item]],5)&amp;"-"&amp;RIGHT(Items[[#This Row],[Raw Item]],4))</f>
        <v/>
      </c>
    </row>
    <row r="135" spans="1:40" x14ac:dyDescent="0.15">
      <c r="A135" s="7" t="str">
        <f ca="1">IFERROR(RANK(Items[[#This Row],[Sort]],OFFSET(Items[Sort],0,0,ROW(Proposed[])-ROW(Items[])+ROWS(Proposed[]),1),1),"")</f>
        <v/>
      </c>
      <c r="B135" s="7" t="str">
        <f>IF(LEN(Items[[#This Row],[Item]])&gt;0,Items[[#This Row],[Raw Item]]+COUNTIF(AN$4:AN135,AN135)/100,"")</f>
        <v/>
      </c>
      <c r="C135" s="7">
        <f>IFERROR(VALUE(LEFT(VALUE(SUBSTITUTE(Items[[#This Row],[Pay Item]],"-",""))*100000000,9)),0)</f>
        <v>0</v>
      </c>
      <c r="D135" s="8"/>
      <c r="E135" s="127"/>
      <c r="F135" s="123" t="str">
        <f>IFERROR(SUBSTITUTE(VLOOKUP(Items[[#This Row],[Item]],Pay.Item.Listing[],2+2*(Units&lt;&gt;"Metric"),0),"{","&lt;"),"&lt;&lt; Pay Item not found &gt;&gt;")</f>
        <v>&lt;&lt; Pay Item not found &gt;&gt;</v>
      </c>
      <c r="G135" s="70" t="str">
        <f>IFERROR(VLOOKUP(Items[[#This Row],[Item]],Pay.Item.Listing[],3+2*(Units&lt;&gt;"Metric"),0),"–")</f>
        <v>–</v>
      </c>
      <c r="H135" s="70" t="str">
        <f>IFERROR(VLOOKUP(Items[[#This Row],[Item]],Pay.Item.Listing[],6,0),"–")</f>
        <v>–</v>
      </c>
      <c r="I135" s="70" t="str">
        <f>IFERROR(VLOOKUP(Items[[#This Row],[Item]],Pay.Item.Listing[],7,0),"–")</f>
        <v>–</v>
      </c>
      <c r="J135" s="71"/>
      <c r="K135" s="69"/>
      <c r="L135" s="69"/>
      <c r="M135" s="69"/>
      <c r="N135" s="69"/>
      <c r="O135" s="69"/>
      <c r="P135" s="69"/>
      <c r="Q135" s="69"/>
      <c r="R135" s="69"/>
      <c r="S135" s="69"/>
      <c r="T135" s="69"/>
      <c r="U135" s="69"/>
      <c r="V135" s="69"/>
      <c r="W135" s="69"/>
      <c r="X135" s="72">
        <f>IF(LEN(Items[[#This Row],[Item]])&gt;0,IF(Items[[#This Row],[Unit]]="LPSM",1,SUM(Items[[#This Row],[Col_1]:[Col_13]])),0)</f>
        <v>0</v>
      </c>
      <c r="Y135" s="190">
        <f>MAX(Items[[#This Row],[Quantity]]-SUM(Items[[#This Row],[Account2]]:Items[[#This Row],[Account7]]),0)</f>
        <v>0</v>
      </c>
      <c r="Z135" s="61"/>
      <c r="AA135" s="61"/>
      <c r="AB135" s="61"/>
      <c r="AC135" s="61"/>
      <c r="AD135" s="61"/>
      <c r="AE135" s="61"/>
      <c r="AF135" s="73"/>
      <c r="AG135" s="71"/>
      <c r="AH135" s="74"/>
      <c r="AI135" s="59"/>
      <c r="AJ135" s="190" t="str">
        <f ca="1">IFERROR(RANK(Items[[#This Row],[EstSort]],OFFSET(Items[EstSort],0,0,ROW(Proposed[])-ROW(Items[])+ROWS(Proposed[]),1),1),"")</f>
        <v/>
      </c>
      <c r="AK135" s="190" t="str">
        <f ca="1">IF(CHOOSE(MATCH(Account,Accounts,0),Items[[#This Row],[Count]],Items[[#This Row],[Account1]],Items[[#This Row],[Account2]],Items[[#This Row],[Account3]],Items[[#This Row],[Account7]])&gt;0,Items[[#This Row],[Sort]],"")</f>
        <v/>
      </c>
      <c r="AL135" s="70" t="str">
        <f ca="1">IF(LEN(Items[[#This Row],[Count]])&gt;0,IFERROR(INDEX(Calcs[Counter],MATCH(Items[[#This Row],[Line]],Calcs[Line],0)),""),"")</f>
        <v/>
      </c>
      <c r="AM135" s="156" t="str">
        <f ca="1">IFERROR(Letter&amp;TEXT((Items[[#This Row],[Count]]-1)*Incr+BeginLine,"0000"),"")</f>
        <v/>
      </c>
      <c r="AN135" s="7" t="str">
        <f>IF(ISNA(MATCH(LEFT(Items[[#This Row],[Raw Item]],5)&amp;"-"&amp;RIGHT(Items[[#This Row],[Raw Item]],4),Pay.Item.Listing[Pay Item],0)),"",LEFT(Items[[#This Row],[Raw Item]],5)&amp;"-"&amp;RIGHT(Items[[#This Row],[Raw Item]],4))</f>
        <v/>
      </c>
    </row>
    <row r="136" spans="1:40" x14ac:dyDescent="0.15">
      <c r="A136" s="7" t="str">
        <f ca="1">IFERROR(RANK(Items[[#This Row],[Sort]],OFFSET(Items[Sort],0,0,ROW(Proposed[])-ROW(Items[])+ROWS(Proposed[]),1),1),"")</f>
        <v/>
      </c>
      <c r="B136" s="7" t="str">
        <f>IF(LEN(Items[[#This Row],[Item]])&gt;0,Items[[#This Row],[Raw Item]]+COUNTIF(AN$4:AN136,AN136)/100,"")</f>
        <v/>
      </c>
      <c r="C136" s="7">
        <f>IFERROR(VALUE(LEFT(VALUE(SUBSTITUTE(Items[[#This Row],[Pay Item]],"-",""))*100000000,9)),0)</f>
        <v>0</v>
      </c>
      <c r="D136" s="8"/>
      <c r="E136" s="127"/>
      <c r="F136" s="123" t="str">
        <f>IFERROR(SUBSTITUTE(VLOOKUP(Items[[#This Row],[Item]],Pay.Item.Listing[],2+2*(Units&lt;&gt;"Metric"),0),"{","&lt;"),"&lt;&lt; Pay Item not found &gt;&gt;")</f>
        <v>&lt;&lt; Pay Item not found &gt;&gt;</v>
      </c>
      <c r="G136" s="70" t="str">
        <f>IFERROR(VLOOKUP(Items[[#This Row],[Item]],Pay.Item.Listing[],3+2*(Units&lt;&gt;"Metric"),0),"–")</f>
        <v>–</v>
      </c>
      <c r="H136" s="70" t="str">
        <f>IFERROR(VLOOKUP(Items[[#This Row],[Item]],Pay.Item.Listing[],6,0),"–")</f>
        <v>–</v>
      </c>
      <c r="I136" s="70" t="str">
        <f>IFERROR(VLOOKUP(Items[[#This Row],[Item]],Pay.Item.Listing[],7,0),"–")</f>
        <v>–</v>
      </c>
      <c r="J136" s="71"/>
      <c r="K136" s="69"/>
      <c r="L136" s="69"/>
      <c r="M136" s="69"/>
      <c r="N136" s="69"/>
      <c r="O136" s="69"/>
      <c r="P136" s="69"/>
      <c r="Q136" s="69"/>
      <c r="R136" s="69"/>
      <c r="S136" s="69"/>
      <c r="T136" s="69"/>
      <c r="U136" s="69"/>
      <c r="V136" s="69"/>
      <c r="W136" s="69"/>
      <c r="X136" s="72">
        <f>IF(LEN(Items[[#This Row],[Item]])&gt;0,IF(Items[[#This Row],[Unit]]="LPSM",1,SUM(Items[[#This Row],[Col_1]:[Col_13]])),0)</f>
        <v>0</v>
      </c>
      <c r="Y136" s="190">
        <f>MAX(Items[[#This Row],[Quantity]]-SUM(Items[[#This Row],[Account2]]:Items[[#This Row],[Account7]]),0)</f>
        <v>0</v>
      </c>
      <c r="Z136" s="61"/>
      <c r="AA136" s="61"/>
      <c r="AB136" s="61"/>
      <c r="AC136" s="61"/>
      <c r="AD136" s="61"/>
      <c r="AE136" s="61"/>
      <c r="AF136" s="73"/>
      <c r="AG136" s="71"/>
      <c r="AH136" s="74"/>
      <c r="AI136" s="59"/>
      <c r="AJ136" s="190" t="str">
        <f ca="1">IFERROR(RANK(Items[[#This Row],[EstSort]],OFFSET(Items[EstSort],0,0,ROW(Proposed[])-ROW(Items[])+ROWS(Proposed[]),1),1),"")</f>
        <v/>
      </c>
      <c r="AK136" s="190" t="str">
        <f ca="1">IF(CHOOSE(MATCH(Account,Accounts,0),Items[[#This Row],[Count]],Items[[#This Row],[Account1]],Items[[#This Row],[Account2]],Items[[#This Row],[Account3]],Items[[#This Row],[Account7]])&gt;0,Items[[#This Row],[Sort]],"")</f>
        <v/>
      </c>
      <c r="AL136" s="70" t="str">
        <f ca="1">IF(LEN(Items[[#This Row],[Count]])&gt;0,IFERROR(INDEX(Calcs[Counter],MATCH(Items[[#This Row],[Line]],Calcs[Line],0)),""),"")</f>
        <v/>
      </c>
      <c r="AM136" s="156" t="str">
        <f ca="1">IFERROR(Letter&amp;TEXT((Items[[#This Row],[Count]]-1)*Incr+BeginLine,"0000"),"")</f>
        <v/>
      </c>
      <c r="AN136" s="7" t="str">
        <f>IF(ISNA(MATCH(LEFT(Items[[#This Row],[Raw Item]],5)&amp;"-"&amp;RIGHT(Items[[#This Row],[Raw Item]],4),Pay.Item.Listing[Pay Item],0)),"",LEFT(Items[[#This Row],[Raw Item]],5)&amp;"-"&amp;RIGHT(Items[[#This Row],[Raw Item]],4))</f>
        <v/>
      </c>
    </row>
    <row r="137" spans="1:40" x14ac:dyDescent="0.15">
      <c r="A137" s="7" t="str">
        <f ca="1">IFERROR(RANK(Items[[#This Row],[Sort]],OFFSET(Items[Sort],0,0,ROW(Proposed[])-ROW(Items[])+ROWS(Proposed[]),1),1),"")</f>
        <v/>
      </c>
      <c r="B137" s="7" t="str">
        <f>IF(LEN(Items[[#This Row],[Item]])&gt;0,Items[[#This Row],[Raw Item]]+COUNTIF(AN$4:AN137,AN137)/100,"")</f>
        <v/>
      </c>
      <c r="C137" s="7">
        <f>IFERROR(VALUE(LEFT(VALUE(SUBSTITUTE(Items[[#This Row],[Pay Item]],"-",""))*100000000,9)),0)</f>
        <v>0</v>
      </c>
      <c r="D137" s="8"/>
      <c r="E137" s="127"/>
      <c r="F137" s="123" t="str">
        <f>IFERROR(SUBSTITUTE(VLOOKUP(Items[[#This Row],[Item]],Pay.Item.Listing[],2+2*(Units&lt;&gt;"Metric"),0),"{","&lt;"),"&lt;&lt; Pay Item not found &gt;&gt;")</f>
        <v>&lt;&lt; Pay Item not found &gt;&gt;</v>
      </c>
      <c r="G137" s="70" t="str">
        <f>IFERROR(VLOOKUP(Items[[#This Row],[Item]],Pay.Item.Listing[],3+2*(Units&lt;&gt;"Metric"),0),"–")</f>
        <v>–</v>
      </c>
      <c r="H137" s="70" t="str">
        <f>IFERROR(VLOOKUP(Items[[#This Row],[Item]],Pay.Item.Listing[],6,0),"–")</f>
        <v>–</v>
      </c>
      <c r="I137" s="70" t="str">
        <f>IFERROR(VLOOKUP(Items[[#This Row],[Item]],Pay.Item.Listing[],7,0),"–")</f>
        <v>–</v>
      </c>
      <c r="J137" s="71"/>
      <c r="K137" s="69"/>
      <c r="L137" s="69"/>
      <c r="M137" s="69"/>
      <c r="N137" s="69"/>
      <c r="O137" s="69"/>
      <c r="P137" s="69"/>
      <c r="Q137" s="69"/>
      <c r="R137" s="69"/>
      <c r="S137" s="69"/>
      <c r="T137" s="69"/>
      <c r="U137" s="69"/>
      <c r="V137" s="69"/>
      <c r="W137" s="69"/>
      <c r="X137" s="72">
        <f>IF(LEN(Items[[#This Row],[Item]])&gt;0,IF(Items[[#This Row],[Unit]]="LPSM",1,SUM(Items[[#This Row],[Col_1]:[Col_13]])),0)</f>
        <v>0</v>
      </c>
      <c r="Y137" s="190">
        <f>MAX(Items[[#This Row],[Quantity]]-SUM(Items[[#This Row],[Account2]]:Items[[#This Row],[Account7]]),0)</f>
        <v>0</v>
      </c>
      <c r="Z137" s="61"/>
      <c r="AA137" s="61"/>
      <c r="AB137" s="61"/>
      <c r="AC137" s="61"/>
      <c r="AD137" s="61"/>
      <c r="AE137" s="61"/>
      <c r="AF137" s="73"/>
      <c r="AG137" s="71"/>
      <c r="AH137" s="74"/>
      <c r="AI137" s="59"/>
      <c r="AJ137" s="190" t="str">
        <f ca="1">IFERROR(RANK(Items[[#This Row],[EstSort]],OFFSET(Items[EstSort],0,0,ROW(Proposed[])-ROW(Items[])+ROWS(Proposed[]),1),1),"")</f>
        <v/>
      </c>
      <c r="AK137" s="190" t="str">
        <f ca="1">IF(CHOOSE(MATCH(Account,Accounts,0),Items[[#This Row],[Count]],Items[[#This Row],[Account1]],Items[[#This Row],[Account2]],Items[[#This Row],[Account3]],Items[[#This Row],[Account7]])&gt;0,Items[[#This Row],[Sort]],"")</f>
        <v/>
      </c>
      <c r="AL137" s="70" t="str">
        <f ca="1">IF(LEN(Items[[#This Row],[Count]])&gt;0,IFERROR(INDEX(Calcs[Counter],MATCH(Items[[#This Row],[Line]],Calcs[Line],0)),""),"")</f>
        <v/>
      </c>
      <c r="AM137" s="156" t="str">
        <f ca="1">IFERROR(Letter&amp;TEXT((Items[[#This Row],[Count]]-1)*Incr+BeginLine,"0000"),"")</f>
        <v/>
      </c>
      <c r="AN137" s="7" t="str">
        <f>IF(ISNA(MATCH(LEFT(Items[[#This Row],[Raw Item]],5)&amp;"-"&amp;RIGHT(Items[[#This Row],[Raw Item]],4),Pay.Item.Listing[Pay Item],0)),"",LEFT(Items[[#This Row],[Raw Item]],5)&amp;"-"&amp;RIGHT(Items[[#This Row],[Raw Item]],4))</f>
        <v/>
      </c>
    </row>
    <row r="138" spans="1:40" x14ac:dyDescent="0.15">
      <c r="A138" s="7" t="str">
        <f ca="1">IFERROR(RANK(Items[[#This Row],[Sort]],OFFSET(Items[Sort],0,0,ROW(Proposed[])-ROW(Items[])+ROWS(Proposed[]),1),1),"")</f>
        <v/>
      </c>
      <c r="B138" s="7" t="str">
        <f>IF(LEN(Items[[#This Row],[Item]])&gt;0,Items[[#This Row],[Raw Item]]+COUNTIF(AN$4:AN138,AN138)/100,"")</f>
        <v/>
      </c>
      <c r="C138" s="7">
        <f>IFERROR(VALUE(LEFT(VALUE(SUBSTITUTE(Items[[#This Row],[Pay Item]],"-",""))*100000000,9)),0)</f>
        <v>0</v>
      </c>
      <c r="D138" s="8"/>
      <c r="E138" s="127"/>
      <c r="F138" s="123" t="str">
        <f>IFERROR(SUBSTITUTE(VLOOKUP(Items[[#This Row],[Item]],Pay.Item.Listing[],2+2*(Units&lt;&gt;"Metric"),0),"{","&lt;"),"&lt;&lt; Pay Item not found &gt;&gt;")</f>
        <v>&lt;&lt; Pay Item not found &gt;&gt;</v>
      </c>
      <c r="G138" s="70" t="str">
        <f>IFERROR(VLOOKUP(Items[[#This Row],[Item]],Pay.Item.Listing[],3+2*(Units&lt;&gt;"Metric"),0),"–")</f>
        <v>–</v>
      </c>
      <c r="H138" s="70" t="str">
        <f>IFERROR(VLOOKUP(Items[[#This Row],[Item]],Pay.Item.Listing[],6,0),"–")</f>
        <v>–</v>
      </c>
      <c r="I138" s="70" t="str">
        <f>IFERROR(VLOOKUP(Items[[#This Row],[Item]],Pay.Item.Listing[],7,0),"–")</f>
        <v>–</v>
      </c>
      <c r="J138" s="71"/>
      <c r="K138" s="69"/>
      <c r="L138" s="69"/>
      <c r="M138" s="69"/>
      <c r="N138" s="69"/>
      <c r="O138" s="69"/>
      <c r="P138" s="69"/>
      <c r="Q138" s="69"/>
      <c r="R138" s="69"/>
      <c r="S138" s="69"/>
      <c r="T138" s="69"/>
      <c r="U138" s="69"/>
      <c r="V138" s="69"/>
      <c r="W138" s="69"/>
      <c r="X138" s="72">
        <f>IF(LEN(Items[[#This Row],[Item]])&gt;0,IF(Items[[#This Row],[Unit]]="LPSM",1,SUM(Items[[#This Row],[Col_1]:[Col_13]])),0)</f>
        <v>0</v>
      </c>
      <c r="Y138" s="190">
        <f>MAX(Items[[#This Row],[Quantity]]-SUM(Items[[#This Row],[Account2]]:Items[[#This Row],[Account7]]),0)</f>
        <v>0</v>
      </c>
      <c r="Z138" s="61"/>
      <c r="AA138" s="61"/>
      <c r="AB138" s="61"/>
      <c r="AC138" s="61"/>
      <c r="AD138" s="61"/>
      <c r="AE138" s="61"/>
      <c r="AF138" s="73"/>
      <c r="AG138" s="71"/>
      <c r="AH138" s="74"/>
      <c r="AI138" s="59"/>
      <c r="AJ138" s="190" t="str">
        <f ca="1">IFERROR(RANK(Items[[#This Row],[EstSort]],OFFSET(Items[EstSort],0,0,ROW(Proposed[])-ROW(Items[])+ROWS(Proposed[]),1),1),"")</f>
        <v/>
      </c>
      <c r="AK138" s="190" t="str">
        <f ca="1">IF(CHOOSE(MATCH(Account,Accounts,0),Items[[#This Row],[Count]],Items[[#This Row],[Account1]],Items[[#This Row],[Account2]],Items[[#This Row],[Account3]],Items[[#This Row],[Account7]])&gt;0,Items[[#This Row],[Sort]],"")</f>
        <v/>
      </c>
      <c r="AL138" s="70" t="str">
        <f ca="1">IF(LEN(Items[[#This Row],[Count]])&gt;0,IFERROR(INDEX(Calcs[Counter],MATCH(Items[[#This Row],[Line]],Calcs[Line],0)),""),"")</f>
        <v/>
      </c>
      <c r="AM138" s="156" t="str">
        <f ca="1">IFERROR(Letter&amp;TEXT((Items[[#This Row],[Count]]-1)*Incr+BeginLine,"0000"),"")</f>
        <v/>
      </c>
      <c r="AN138" s="7" t="str">
        <f>IF(ISNA(MATCH(LEFT(Items[[#This Row],[Raw Item]],5)&amp;"-"&amp;RIGHT(Items[[#This Row],[Raw Item]],4),Pay.Item.Listing[Pay Item],0)),"",LEFT(Items[[#This Row],[Raw Item]],5)&amp;"-"&amp;RIGHT(Items[[#This Row],[Raw Item]],4))</f>
        <v/>
      </c>
    </row>
    <row r="139" spans="1:40" x14ac:dyDescent="0.15">
      <c r="A139" s="7" t="str">
        <f ca="1">IFERROR(RANK(Items[[#This Row],[Sort]],OFFSET(Items[Sort],0,0,ROW(Proposed[])-ROW(Items[])+ROWS(Proposed[]),1),1),"")</f>
        <v/>
      </c>
      <c r="B139" s="7" t="str">
        <f>IF(LEN(Items[[#This Row],[Item]])&gt;0,Items[[#This Row],[Raw Item]]+COUNTIF(AN$4:AN139,AN139)/100,"")</f>
        <v/>
      </c>
      <c r="C139" s="7">
        <f>IFERROR(VALUE(LEFT(VALUE(SUBSTITUTE(Items[[#This Row],[Pay Item]],"-",""))*100000000,9)),0)</f>
        <v>0</v>
      </c>
      <c r="D139" s="8"/>
      <c r="E139" s="127"/>
      <c r="F139" s="123" t="str">
        <f>IFERROR(SUBSTITUTE(VLOOKUP(Items[[#This Row],[Item]],Pay.Item.Listing[],2+2*(Units&lt;&gt;"Metric"),0),"{","&lt;"),"&lt;&lt; Pay Item not found &gt;&gt;")</f>
        <v>&lt;&lt; Pay Item not found &gt;&gt;</v>
      </c>
      <c r="G139" s="70" t="str">
        <f>IFERROR(VLOOKUP(Items[[#This Row],[Item]],Pay.Item.Listing[],3+2*(Units&lt;&gt;"Metric"),0),"–")</f>
        <v>–</v>
      </c>
      <c r="H139" s="70" t="str">
        <f>IFERROR(VLOOKUP(Items[[#This Row],[Item]],Pay.Item.Listing[],6,0),"–")</f>
        <v>–</v>
      </c>
      <c r="I139" s="70" t="str">
        <f>IFERROR(VLOOKUP(Items[[#This Row],[Item]],Pay.Item.Listing[],7,0),"–")</f>
        <v>–</v>
      </c>
      <c r="J139" s="71"/>
      <c r="K139" s="69"/>
      <c r="L139" s="69"/>
      <c r="M139" s="69"/>
      <c r="N139" s="69"/>
      <c r="O139" s="69"/>
      <c r="P139" s="69"/>
      <c r="Q139" s="69"/>
      <c r="R139" s="69"/>
      <c r="S139" s="69"/>
      <c r="T139" s="69"/>
      <c r="U139" s="69"/>
      <c r="V139" s="69"/>
      <c r="W139" s="69"/>
      <c r="X139" s="72">
        <f>IF(LEN(Items[[#This Row],[Item]])&gt;0,IF(Items[[#This Row],[Unit]]="LPSM",1,SUM(Items[[#This Row],[Col_1]:[Col_13]])),0)</f>
        <v>0</v>
      </c>
      <c r="Y139" s="190">
        <f>MAX(Items[[#This Row],[Quantity]]-SUM(Items[[#This Row],[Account2]]:Items[[#This Row],[Account7]]),0)</f>
        <v>0</v>
      </c>
      <c r="Z139" s="61"/>
      <c r="AA139" s="61"/>
      <c r="AB139" s="61"/>
      <c r="AC139" s="61"/>
      <c r="AD139" s="61"/>
      <c r="AE139" s="61"/>
      <c r="AF139" s="73"/>
      <c r="AG139" s="71"/>
      <c r="AH139" s="74"/>
      <c r="AI139" s="59"/>
      <c r="AJ139" s="190" t="str">
        <f ca="1">IFERROR(RANK(Items[[#This Row],[EstSort]],OFFSET(Items[EstSort],0,0,ROW(Proposed[])-ROW(Items[])+ROWS(Proposed[]),1),1),"")</f>
        <v/>
      </c>
      <c r="AK139" s="190" t="str">
        <f ca="1">IF(CHOOSE(MATCH(Account,Accounts,0),Items[[#This Row],[Count]],Items[[#This Row],[Account1]],Items[[#This Row],[Account2]],Items[[#This Row],[Account3]],Items[[#This Row],[Account7]])&gt;0,Items[[#This Row],[Sort]],"")</f>
        <v/>
      </c>
      <c r="AL139" s="70" t="str">
        <f ca="1">IF(LEN(Items[[#This Row],[Count]])&gt;0,IFERROR(INDEX(Calcs[Counter],MATCH(Items[[#This Row],[Line]],Calcs[Line],0)),""),"")</f>
        <v/>
      </c>
      <c r="AM139" s="156" t="str">
        <f ca="1">IFERROR(Letter&amp;TEXT((Items[[#This Row],[Count]]-1)*Incr+BeginLine,"0000"),"")</f>
        <v/>
      </c>
      <c r="AN139" s="7" t="str">
        <f>IF(ISNA(MATCH(LEFT(Items[[#This Row],[Raw Item]],5)&amp;"-"&amp;RIGHT(Items[[#This Row],[Raw Item]],4),Pay.Item.Listing[Pay Item],0)),"",LEFT(Items[[#This Row],[Raw Item]],5)&amp;"-"&amp;RIGHT(Items[[#This Row],[Raw Item]],4))</f>
        <v/>
      </c>
    </row>
    <row r="140" spans="1:40" x14ac:dyDescent="0.15">
      <c r="A140" s="7" t="str">
        <f ca="1">IFERROR(RANK(Items[[#This Row],[Sort]],OFFSET(Items[Sort],0,0,ROW(Proposed[])-ROW(Items[])+ROWS(Proposed[]),1),1),"")</f>
        <v/>
      </c>
      <c r="B140" s="7" t="str">
        <f>IF(LEN(Items[[#This Row],[Item]])&gt;0,Items[[#This Row],[Raw Item]]+COUNTIF(AN$4:AN140,AN140)/100,"")</f>
        <v/>
      </c>
      <c r="C140" s="7">
        <f>IFERROR(VALUE(LEFT(VALUE(SUBSTITUTE(Items[[#This Row],[Pay Item]],"-",""))*100000000,9)),0)</f>
        <v>0</v>
      </c>
      <c r="D140" s="8"/>
      <c r="E140" s="127"/>
      <c r="F140" s="123" t="str">
        <f>IFERROR(SUBSTITUTE(VLOOKUP(Items[[#This Row],[Item]],Pay.Item.Listing[],2+2*(Units&lt;&gt;"Metric"),0),"{","&lt;"),"&lt;&lt; Pay Item not found &gt;&gt;")</f>
        <v>&lt;&lt; Pay Item not found &gt;&gt;</v>
      </c>
      <c r="G140" s="70" t="str">
        <f>IFERROR(VLOOKUP(Items[[#This Row],[Item]],Pay.Item.Listing[],3+2*(Units&lt;&gt;"Metric"),0),"–")</f>
        <v>–</v>
      </c>
      <c r="H140" s="70" t="str">
        <f>IFERROR(VLOOKUP(Items[[#This Row],[Item]],Pay.Item.Listing[],6,0),"–")</f>
        <v>–</v>
      </c>
      <c r="I140" s="70" t="str">
        <f>IFERROR(VLOOKUP(Items[[#This Row],[Item]],Pay.Item.Listing[],7,0),"–")</f>
        <v>–</v>
      </c>
      <c r="J140" s="71"/>
      <c r="K140" s="69"/>
      <c r="L140" s="69"/>
      <c r="M140" s="69"/>
      <c r="N140" s="69"/>
      <c r="O140" s="69"/>
      <c r="P140" s="69"/>
      <c r="Q140" s="69"/>
      <c r="R140" s="69"/>
      <c r="S140" s="69"/>
      <c r="T140" s="69"/>
      <c r="U140" s="69"/>
      <c r="V140" s="69"/>
      <c r="W140" s="69"/>
      <c r="X140" s="72">
        <f>IF(LEN(Items[[#This Row],[Item]])&gt;0,IF(Items[[#This Row],[Unit]]="LPSM",1,SUM(Items[[#This Row],[Col_1]:[Col_13]])),0)</f>
        <v>0</v>
      </c>
      <c r="Y140" s="190">
        <f>MAX(Items[[#This Row],[Quantity]]-SUM(Items[[#This Row],[Account2]]:Items[[#This Row],[Account7]]),0)</f>
        <v>0</v>
      </c>
      <c r="Z140" s="61"/>
      <c r="AA140" s="61"/>
      <c r="AB140" s="61"/>
      <c r="AC140" s="61"/>
      <c r="AD140" s="61"/>
      <c r="AE140" s="61"/>
      <c r="AF140" s="73"/>
      <c r="AG140" s="71"/>
      <c r="AH140" s="74"/>
      <c r="AI140" s="59"/>
      <c r="AJ140" s="190" t="str">
        <f ca="1">IFERROR(RANK(Items[[#This Row],[EstSort]],OFFSET(Items[EstSort],0,0,ROW(Proposed[])-ROW(Items[])+ROWS(Proposed[]),1),1),"")</f>
        <v/>
      </c>
      <c r="AK140" s="190" t="str">
        <f ca="1">IF(CHOOSE(MATCH(Account,Accounts,0),Items[[#This Row],[Count]],Items[[#This Row],[Account1]],Items[[#This Row],[Account2]],Items[[#This Row],[Account3]],Items[[#This Row],[Account7]])&gt;0,Items[[#This Row],[Sort]],"")</f>
        <v/>
      </c>
      <c r="AL140" s="70" t="str">
        <f ca="1">IF(LEN(Items[[#This Row],[Count]])&gt;0,IFERROR(INDEX(Calcs[Counter],MATCH(Items[[#This Row],[Line]],Calcs[Line],0)),""),"")</f>
        <v/>
      </c>
      <c r="AM140" s="156" t="str">
        <f ca="1">IFERROR(Letter&amp;TEXT((Items[[#This Row],[Count]]-1)*Incr+BeginLine,"0000"),"")</f>
        <v/>
      </c>
      <c r="AN140" s="7" t="str">
        <f>IF(ISNA(MATCH(LEFT(Items[[#This Row],[Raw Item]],5)&amp;"-"&amp;RIGHT(Items[[#This Row],[Raw Item]],4),Pay.Item.Listing[Pay Item],0)),"",LEFT(Items[[#This Row],[Raw Item]],5)&amp;"-"&amp;RIGHT(Items[[#This Row],[Raw Item]],4))</f>
        <v/>
      </c>
    </row>
    <row r="141" spans="1:40" x14ac:dyDescent="0.15">
      <c r="A141" s="7" t="str">
        <f ca="1">IFERROR(RANK(Items[[#This Row],[Sort]],OFFSET(Items[Sort],0,0,ROW(Proposed[])-ROW(Items[])+ROWS(Proposed[]),1),1),"")</f>
        <v/>
      </c>
      <c r="B141" s="7" t="str">
        <f>IF(LEN(Items[[#This Row],[Item]])&gt;0,Items[[#This Row],[Raw Item]]+COUNTIF(AN$4:AN141,AN141)/100,"")</f>
        <v/>
      </c>
      <c r="C141" s="7">
        <f>IFERROR(VALUE(LEFT(VALUE(SUBSTITUTE(Items[[#This Row],[Pay Item]],"-",""))*100000000,9)),0)</f>
        <v>0</v>
      </c>
      <c r="D141" s="8"/>
      <c r="E141" s="127"/>
      <c r="F141" s="123" t="str">
        <f>IFERROR(SUBSTITUTE(VLOOKUP(Items[[#This Row],[Item]],Pay.Item.Listing[],2+2*(Units&lt;&gt;"Metric"),0),"{","&lt;"),"&lt;&lt; Pay Item not found &gt;&gt;")</f>
        <v>&lt;&lt; Pay Item not found &gt;&gt;</v>
      </c>
      <c r="G141" s="70" t="str">
        <f>IFERROR(VLOOKUP(Items[[#This Row],[Item]],Pay.Item.Listing[],3+2*(Units&lt;&gt;"Metric"),0),"–")</f>
        <v>–</v>
      </c>
      <c r="H141" s="70" t="str">
        <f>IFERROR(VLOOKUP(Items[[#This Row],[Item]],Pay.Item.Listing[],6,0),"–")</f>
        <v>–</v>
      </c>
      <c r="I141" s="70" t="str">
        <f>IFERROR(VLOOKUP(Items[[#This Row],[Item]],Pay.Item.Listing[],7,0),"–")</f>
        <v>–</v>
      </c>
      <c r="J141" s="71"/>
      <c r="K141" s="69"/>
      <c r="L141" s="69"/>
      <c r="M141" s="69"/>
      <c r="N141" s="69"/>
      <c r="O141" s="69"/>
      <c r="P141" s="69"/>
      <c r="Q141" s="69"/>
      <c r="R141" s="69"/>
      <c r="S141" s="69"/>
      <c r="T141" s="69"/>
      <c r="U141" s="69"/>
      <c r="V141" s="69"/>
      <c r="W141" s="69"/>
      <c r="X141" s="72">
        <f>IF(LEN(Items[[#This Row],[Item]])&gt;0,IF(Items[[#This Row],[Unit]]="LPSM",1,SUM(Items[[#This Row],[Col_1]:[Col_13]])),0)</f>
        <v>0</v>
      </c>
      <c r="Y141" s="190">
        <f>MAX(Items[[#This Row],[Quantity]]-SUM(Items[[#This Row],[Account2]]:Items[[#This Row],[Account7]]),0)</f>
        <v>0</v>
      </c>
      <c r="Z141" s="61"/>
      <c r="AA141" s="61"/>
      <c r="AB141" s="61"/>
      <c r="AC141" s="61"/>
      <c r="AD141" s="61"/>
      <c r="AE141" s="61"/>
      <c r="AF141" s="73"/>
      <c r="AG141" s="71"/>
      <c r="AH141" s="74"/>
      <c r="AI141" s="59"/>
      <c r="AJ141" s="190" t="str">
        <f ca="1">IFERROR(RANK(Items[[#This Row],[EstSort]],OFFSET(Items[EstSort],0,0,ROW(Proposed[])-ROW(Items[])+ROWS(Proposed[]),1),1),"")</f>
        <v/>
      </c>
      <c r="AK141" s="190" t="str">
        <f ca="1">IF(CHOOSE(MATCH(Account,Accounts,0),Items[[#This Row],[Count]],Items[[#This Row],[Account1]],Items[[#This Row],[Account2]],Items[[#This Row],[Account3]],Items[[#This Row],[Account7]])&gt;0,Items[[#This Row],[Sort]],"")</f>
        <v/>
      </c>
      <c r="AL141" s="70" t="str">
        <f ca="1">IF(LEN(Items[[#This Row],[Count]])&gt;0,IFERROR(INDEX(Calcs[Counter],MATCH(Items[[#This Row],[Line]],Calcs[Line],0)),""),"")</f>
        <v/>
      </c>
      <c r="AM141" s="156" t="str">
        <f ca="1">IFERROR(Letter&amp;TEXT((Items[[#This Row],[Count]]-1)*Incr+BeginLine,"0000"),"")</f>
        <v/>
      </c>
      <c r="AN141" s="7" t="str">
        <f>IF(ISNA(MATCH(LEFT(Items[[#This Row],[Raw Item]],5)&amp;"-"&amp;RIGHT(Items[[#This Row],[Raw Item]],4),Pay.Item.Listing[Pay Item],0)),"",LEFT(Items[[#This Row],[Raw Item]],5)&amp;"-"&amp;RIGHT(Items[[#This Row],[Raw Item]],4))</f>
        <v/>
      </c>
    </row>
    <row r="142" spans="1:40" x14ac:dyDescent="0.15">
      <c r="A142" s="7" t="str">
        <f ca="1">IFERROR(RANK(Items[[#This Row],[Sort]],OFFSET(Items[Sort],0,0,ROW(Proposed[])-ROW(Items[])+ROWS(Proposed[]),1),1),"")</f>
        <v/>
      </c>
      <c r="B142" s="7" t="str">
        <f>IF(LEN(Items[[#This Row],[Item]])&gt;0,Items[[#This Row],[Raw Item]]+COUNTIF(AN$4:AN142,AN142)/100,"")</f>
        <v/>
      </c>
      <c r="C142" s="7">
        <f>IFERROR(VALUE(LEFT(VALUE(SUBSTITUTE(Items[[#This Row],[Pay Item]],"-",""))*100000000,9)),0)</f>
        <v>0</v>
      </c>
      <c r="D142" s="8"/>
      <c r="E142" s="127"/>
      <c r="F142" s="123" t="str">
        <f>IFERROR(SUBSTITUTE(VLOOKUP(Items[[#This Row],[Item]],Pay.Item.Listing[],2+2*(Units&lt;&gt;"Metric"),0),"{","&lt;"),"&lt;&lt; Pay Item not found &gt;&gt;")</f>
        <v>&lt;&lt; Pay Item not found &gt;&gt;</v>
      </c>
      <c r="G142" s="70" t="str">
        <f>IFERROR(VLOOKUP(Items[[#This Row],[Item]],Pay.Item.Listing[],3+2*(Units&lt;&gt;"Metric"),0),"–")</f>
        <v>–</v>
      </c>
      <c r="H142" s="70" t="str">
        <f>IFERROR(VLOOKUP(Items[[#This Row],[Item]],Pay.Item.Listing[],6,0),"–")</f>
        <v>–</v>
      </c>
      <c r="I142" s="70" t="str">
        <f>IFERROR(VLOOKUP(Items[[#This Row],[Item]],Pay.Item.Listing[],7,0),"–")</f>
        <v>–</v>
      </c>
      <c r="J142" s="71"/>
      <c r="K142" s="69"/>
      <c r="L142" s="69"/>
      <c r="M142" s="69"/>
      <c r="N142" s="69"/>
      <c r="O142" s="69"/>
      <c r="P142" s="69"/>
      <c r="Q142" s="69"/>
      <c r="R142" s="69"/>
      <c r="S142" s="69"/>
      <c r="T142" s="69"/>
      <c r="U142" s="69"/>
      <c r="V142" s="69"/>
      <c r="W142" s="69"/>
      <c r="X142" s="72">
        <f>IF(LEN(Items[[#This Row],[Item]])&gt;0,IF(Items[[#This Row],[Unit]]="LPSM",1,SUM(Items[[#This Row],[Col_1]:[Col_13]])),0)</f>
        <v>0</v>
      </c>
      <c r="Y142" s="190">
        <f>MAX(Items[[#This Row],[Quantity]]-SUM(Items[[#This Row],[Account2]]:Items[[#This Row],[Account7]]),0)</f>
        <v>0</v>
      </c>
      <c r="Z142" s="61"/>
      <c r="AA142" s="61"/>
      <c r="AB142" s="61"/>
      <c r="AC142" s="61"/>
      <c r="AD142" s="61"/>
      <c r="AE142" s="61"/>
      <c r="AF142" s="73"/>
      <c r="AG142" s="71"/>
      <c r="AH142" s="74"/>
      <c r="AI142" s="59"/>
      <c r="AJ142" s="190" t="str">
        <f ca="1">IFERROR(RANK(Items[[#This Row],[EstSort]],OFFSET(Items[EstSort],0,0,ROW(Proposed[])-ROW(Items[])+ROWS(Proposed[]),1),1),"")</f>
        <v/>
      </c>
      <c r="AK142" s="190" t="str">
        <f ca="1">IF(CHOOSE(MATCH(Account,Accounts,0),Items[[#This Row],[Count]],Items[[#This Row],[Account1]],Items[[#This Row],[Account2]],Items[[#This Row],[Account3]],Items[[#This Row],[Account7]])&gt;0,Items[[#This Row],[Sort]],"")</f>
        <v/>
      </c>
      <c r="AL142" s="70" t="str">
        <f ca="1">IF(LEN(Items[[#This Row],[Count]])&gt;0,IFERROR(INDEX(Calcs[Counter],MATCH(Items[[#This Row],[Line]],Calcs[Line],0)),""),"")</f>
        <v/>
      </c>
      <c r="AM142" s="156" t="str">
        <f ca="1">IFERROR(Letter&amp;TEXT((Items[[#This Row],[Count]]-1)*Incr+BeginLine,"0000"),"")</f>
        <v/>
      </c>
      <c r="AN142" s="7" t="str">
        <f>IF(ISNA(MATCH(LEFT(Items[[#This Row],[Raw Item]],5)&amp;"-"&amp;RIGHT(Items[[#This Row],[Raw Item]],4),Pay.Item.Listing[Pay Item],0)),"",LEFT(Items[[#This Row],[Raw Item]],5)&amp;"-"&amp;RIGHT(Items[[#This Row],[Raw Item]],4))</f>
        <v/>
      </c>
    </row>
    <row r="143" spans="1:40" x14ac:dyDescent="0.15">
      <c r="A143" s="7" t="str">
        <f ca="1">IFERROR(RANK(Items[[#This Row],[Sort]],OFFSET(Items[Sort],0,0,ROW(Proposed[])-ROW(Items[])+ROWS(Proposed[]),1),1),"")</f>
        <v/>
      </c>
      <c r="B143" s="7" t="str">
        <f>IF(LEN(Items[[#This Row],[Item]])&gt;0,Items[[#This Row],[Raw Item]]+COUNTIF(AN$4:AN143,AN143)/100,"")</f>
        <v/>
      </c>
      <c r="C143" s="7">
        <f>IFERROR(VALUE(LEFT(VALUE(SUBSTITUTE(Items[[#This Row],[Pay Item]],"-",""))*100000000,9)),0)</f>
        <v>0</v>
      </c>
      <c r="D143" s="8"/>
      <c r="E143" s="127"/>
      <c r="F143" s="123" t="str">
        <f>IFERROR(SUBSTITUTE(VLOOKUP(Items[[#This Row],[Item]],Pay.Item.Listing[],2+2*(Units&lt;&gt;"Metric"),0),"{","&lt;"),"&lt;&lt; Pay Item not found &gt;&gt;")</f>
        <v>&lt;&lt; Pay Item not found &gt;&gt;</v>
      </c>
      <c r="G143" s="70" t="str">
        <f>IFERROR(VLOOKUP(Items[[#This Row],[Item]],Pay.Item.Listing[],3+2*(Units&lt;&gt;"Metric"),0),"–")</f>
        <v>–</v>
      </c>
      <c r="H143" s="70" t="str">
        <f>IFERROR(VLOOKUP(Items[[#This Row],[Item]],Pay.Item.Listing[],6,0),"–")</f>
        <v>–</v>
      </c>
      <c r="I143" s="70" t="str">
        <f>IFERROR(VLOOKUP(Items[[#This Row],[Item]],Pay.Item.Listing[],7,0),"–")</f>
        <v>–</v>
      </c>
      <c r="J143" s="71"/>
      <c r="K143" s="69"/>
      <c r="L143" s="69"/>
      <c r="M143" s="69"/>
      <c r="N143" s="69"/>
      <c r="O143" s="69"/>
      <c r="P143" s="69"/>
      <c r="Q143" s="69"/>
      <c r="R143" s="69"/>
      <c r="S143" s="69"/>
      <c r="T143" s="69"/>
      <c r="U143" s="69"/>
      <c r="V143" s="69"/>
      <c r="W143" s="69"/>
      <c r="X143" s="72">
        <f>IF(LEN(Items[[#This Row],[Item]])&gt;0,IF(Items[[#This Row],[Unit]]="LPSM",1,SUM(Items[[#This Row],[Col_1]:[Col_13]])),0)</f>
        <v>0</v>
      </c>
      <c r="Y143" s="190">
        <f>MAX(Items[[#This Row],[Quantity]]-SUM(Items[[#This Row],[Account2]]:Items[[#This Row],[Account7]]),0)</f>
        <v>0</v>
      </c>
      <c r="Z143" s="61"/>
      <c r="AA143" s="61"/>
      <c r="AB143" s="61"/>
      <c r="AC143" s="61"/>
      <c r="AD143" s="61"/>
      <c r="AE143" s="61"/>
      <c r="AF143" s="73"/>
      <c r="AG143" s="71"/>
      <c r="AH143" s="74"/>
      <c r="AI143" s="59"/>
      <c r="AJ143" s="190" t="str">
        <f ca="1">IFERROR(RANK(Items[[#This Row],[EstSort]],OFFSET(Items[EstSort],0,0,ROW(Proposed[])-ROW(Items[])+ROWS(Proposed[]),1),1),"")</f>
        <v/>
      </c>
      <c r="AK143" s="190" t="str">
        <f ca="1">IF(CHOOSE(MATCH(Account,Accounts,0),Items[[#This Row],[Count]],Items[[#This Row],[Account1]],Items[[#This Row],[Account2]],Items[[#This Row],[Account3]],Items[[#This Row],[Account7]])&gt;0,Items[[#This Row],[Sort]],"")</f>
        <v/>
      </c>
      <c r="AL143" s="70" t="str">
        <f ca="1">IF(LEN(Items[[#This Row],[Count]])&gt;0,IFERROR(INDEX(Calcs[Counter],MATCH(Items[[#This Row],[Line]],Calcs[Line],0)),""),"")</f>
        <v/>
      </c>
      <c r="AM143" s="156" t="str">
        <f ca="1">IFERROR(Letter&amp;TEXT((Items[[#This Row],[Count]]-1)*Incr+BeginLine,"0000"),"")</f>
        <v/>
      </c>
      <c r="AN143" s="7" t="str">
        <f>IF(ISNA(MATCH(LEFT(Items[[#This Row],[Raw Item]],5)&amp;"-"&amp;RIGHT(Items[[#This Row],[Raw Item]],4),Pay.Item.Listing[Pay Item],0)),"",LEFT(Items[[#This Row],[Raw Item]],5)&amp;"-"&amp;RIGHT(Items[[#This Row],[Raw Item]],4))</f>
        <v/>
      </c>
    </row>
    <row r="144" spans="1:40" x14ac:dyDescent="0.15">
      <c r="A144" s="7" t="str">
        <f ca="1">IFERROR(RANK(Items[[#This Row],[Sort]],OFFSET(Items[Sort],0,0,ROW(Proposed[])-ROW(Items[])+ROWS(Proposed[]),1),1),"")</f>
        <v/>
      </c>
      <c r="B144" s="7" t="str">
        <f>IF(LEN(Items[[#This Row],[Item]])&gt;0,Items[[#This Row],[Raw Item]]+COUNTIF(AN$4:AN144,AN144)/100,"")</f>
        <v/>
      </c>
      <c r="C144" s="7">
        <f>IFERROR(VALUE(LEFT(VALUE(SUBSTITUTE(Items[[#This Row],[Pay Item]],"-",""))*100000000,9)),0)</f>
        <v>0</v>
      </c>
      <c r="D144" s="8"/>
      <c r="E144" s="127"/>
      <c r="F144" s="123" t="str">
        <f>IFERROR(SUBSTITUTE(VLOOKUP(Items[[#This Row],[Item]],Pay.Item.Listing[],2+2*(Units&lt;&gt;"Metric"),0),"{","&lt;"),"&lt;&lt; Pay Item not found &gt;&gt;")</f>
        <v>&lt;&lt; Pay Item not found &gt;&gt;</v>
      </c>
      <c r="G144" s="70" t="str">
        <f>IFERROR(VLOOKUP(Items[[#This Row],[Item]],Pay.Item.Listing[],3+2*(Units&lt;&gt;"Metric"),0),"–")</f>
        <v>–</v>
      </c>
      <c r="H144" s="70" t="str">
        <f>IFERROR(VLOOKUP(Items[[#This Row],[Item]],Pay.Item.Listing[],6,0),"–")</f>
        <v>–</v>
      </c>
      <c r="I144" s="70" t="str">
        <f>IFERROR(VLOOKUP(Items[[#This Row],[Item]],Pay.Item.Listing[],7,0),"–")</f>
        <v>–</v>
      </c>
      <c r="J144" s="71"/>
      <c r="K144" s="69"/>
      <c r="L144" s="69"/>
      <c r="M144" s="69"/>
      <c r="N144" s="69"/>
      <c r="O144" s="69"/>
      <c r="P144" s="69"/>
      <c r="Q144" s="69"/>
      <c r="R144" s="69"/>
      <c r="S144" s="69"/>
      <c r="T144" s="69"/>
      <c r="U144" s="69"/>
      <c r="V144" s="69"/>
      <c r="W144" s="69"/>
      <c r="X144" s="72">
        <f>IF(LEN(Items[[#This Row],[Item]])&gt;0,IF(Items[[#This Row],[Unit]]="LPSM",1,SUM(Items[[#This Row],[Col_1]:[Col_13]])),0)</f>
        <v>0</v>
      </c>
      <c r="Y144" s="190">
        <f>MAX(Items[[#This Row],[Quantity]]-SUM(Items[[#This Row],[Account2]]:Items[[#This Row],[Account7]]),0)</f>
        <v>0</v>
      </c>
      <c r="Z144" s="61"/>
      <c r="AA144" s="61"/>
      <c r="AB144" s="61"/>
      <c r="AC144" s="61"/>
      <c r="AD144" s="61"/>
      <c r="AE144" s="61"/>
      <c r="AF144" s="73"/>
      <c r="AG144" s="71"/>
      <c r="AH144" s="74"/>
      <c r="AI144" s="59"/>
      <c r="AJ144" s="190" t="str">
        <f ca="1">IFERROR(RANK(Items[[#This Row],[EstSort]],OFFSET(Items[EstSort],0,0,ROW(Proposed[])-ROW(Items[])+ROWS(Proposed[]),1),1),"")</f>
        <v/>
      </c>
      <c r="AK144" s="190" t="str">
        <f ca="1">IF(CHOOSE(MATCH(Account,Accounts,0),Items[[#This Row],[Count]],Items[[#This Row],[Account1]],Items[[#This Row],[Account2]],Items[[#This Row],[Account3]],Items[[#This Row],[Account7]])&gt;0,Items[[#This Row],[Sort]],"")</f>
        <v/>
      </c>
      <c r="AL144" s="70" t="str">
        <f ca="1">IF(LEN(Items[[#This Row],[Count]])&gt;0,IFERROR(INDEX(Calcs[Counter],MATCH(Items[[#This Row],[Line]],Calcs[Line],0)),""),"")</f>
        <v/>
      </c>
      <c r="AM144" s="156" t="str">
        <f ca="1">IFERROR(Letter&amp;TEXT((Items[[#This Row],[Count]]-1)*Incr+BeginLine,"0000"),"")</f>
        <v/>
      </c>
      <c r="AN144" s="7" t="str">
        <f>IF(ISNA(MATCH(LEFT(Items[[#This Row],[Raw Item]],5)&amp;"-"&amp;RIGHT(Items[[#This Row],[Raw Item]],4),Pay.Item.Listing[Pay Item],0)),"",LEFT(Items[[#This Row],[Raw Item]],5)&amp;"-"&amp;RIGHT(Items[[#This Row],[Raw Item]],4))</f>
        <v/>
      </c>
    </row>
    <row r="145" spans="1:40" x14ac:dyDescent="0.15">
      <c r="A145" s="7" t="str">
        <f ca="1">IFERROR(RANK(Items[[#This Row],[Sort]],OFFSET(Items[Sort],0,0,ROW(Proposed[])-ROW(Items[])+ROWS(Proposed[]),1),1),"")</f>
        <v/>
      </c>
      <c r="B145" s="7" t="str">
        <f>IF(LEN(Items[[#This Row],[Item]])&gt;0,Items[[#This Row],[Raw Item]]+COUNTIF(AN$4:AN145,AN145)/100,"")</f>
        <v/>
      </c>
      <c r="C145" s="7">
        <f>IFERROR(VALUE(LEFT(VALUE(SUBSTITUTE(Items[[#This Row],[Pay Item]],"-",""))*100000000,9)),0)</f>
        <v>0</v>
      </c>
      <c r="D145" s="8"/>
      <c r="E145" s="127"/>
      <c r="F145" s="123" t="str">
        <f>IFERROR(SUBSTITUTE(VLOOKUP(Items[[#This Row],[Item]],Pay.Item.Listing[],2+2*(Units&lt;&gt;"Metric"),0),"{","&lt;"),"&lt;&lt; Pay Item not found &gt;&gt;")</f>
        <v>&lt;&lt; Pay Item not found &gt;&gt;</v>
      </c>
      <c r="G145" s="70" t="str">
        <f>IFERROR(VLOOKUP(Items[[#This Row],[Item]],Pay.Item.Listing[],3+2*(Units&lt;&gt;"Metric"),0),"–")</f>
        <v>–</v>
      </c>
      <c r="H145" s="70" t="str">
        <f>IFERROR(VLOOKUP(Items[[#This Row],[Item]],Pay.Item.Listing[],6,0),"–")</f>
        <v>–</v>
      </c>
      <c r="I145" s="70" t="str">
        <f>IFERROR(VLOOKUP(Items[[#This Row],[Item]],Pay.Item.Listing[],7,0),"–")</f>
        <v>–</v>
      </c>
      <c r="J145" s="71"/>
      <c r="K145" s="69"/>
      <c r="L145" s="69"/>
      <c r="M145" s="69"/>
      <c r="N145" s="69"/>
      <c r="O145" s="69"/>
      <c r="P145" s="69"/>
      <c r="Q145" s="69"/>
      <c r="R145" s="69"/>
      <c r="S145" s="69"/>
      <c r="T145" s="69"/>
      <c r="U145" s="69"/>
      <c r="V145" s="69"/>
      <c r="W145" s="69"/>
      <c r="X145" s="72">
        <f>IF(LEN(Items[[#This Row],[Item]])&gt;0,IF(Items[[#This Row],[Unit]]="LPSM",1,SUM(Items[[#This Row],[Col_1]:[Col_13]])),0)</f>
        <v>0</v>
      </c>
      <c r="Y145" s="190">
        <f>MAX(Items[[#This Row],[Quantity]]-SUM(Items[[#This Row],[Account2]]:Items[[#This Row],[Account7]]),0)</f>
        <v>0</v>
      </c>
      <c r="Z145" s="61"/>
      <c r="AA145" s="61"/>
      <c r="AB145" s="61"/>
      <c r="AC145" s="61"/>
      <c r="AD145" s="61"/>
      <c r="AE145" s="61"/>
      <c r="AF145" s="73"/>
      <c r="AG145" s="71"/>
      <c r="AH145" s="74"/>
      <c r="AI145" s="59"/>
      <c r="AJ145" s="190" t="str">
        <f ca="1">IFERROR(RANK(Items[[#This Row],[EstSort]],OFFSET(Items[EstSort],0,0,ROW(Proposed[])-ROW(Items[])+ROWS(Proposed[]),1),1),"")</f>
        <v/>
      </c>
      <c r="AK145" s="190" t="str">
        <f ca="1">IF(CHOOSE(MATCH(Account,Accounts,0),Items[[#This Row],[Count]],Items[[#This Row],[Account1]],Items[[#This Row],[Account2]],Items[[#This Row],[Account3]],Items[[#This Row],[Account7]])&gt;0,Items[[#This Row],[Sort]],"")</f>
        <v/>
      </c>
      <c r="AL145" s="70" t="str">
        <f ca="1">IF(LEN(Items[[#This Row],[Count]])&gt;0,IFERROR(INDEX(Calcs[Counter],MATCH(Items[[#This Row],[Line]],Calcs[Line],0)),""),"")</f>
        <v/>
      </c>
      <c r="AM145" s="156" t="str">
        <f ca="1">IFERROR(Letter&amp;TEXT((Items[[#This Row],[Count]]-1)*Incr+BeginLine,"0000"),"")</f>
        <v/>
      </c>
      <c r="AN145" s="7" t="str">
        <f>IF(ISNA(MATCH(LEFT(Items[[#This Row],[Raw Item]],5)&amp;"-"&amp;RIGHT(Items[[#This Row],[Raw Item]],4),Pay.Item.Listing[Pay Item],0)),"",LEFT(Items[[#This Row],[Raw Item]],5)&amp;"-"&amp;RIGHT(Items[[#This Row],[Raw Item]],4))</f>
        <v/>
      </c>
    </row>
    <row r="146" spans="1:40" x14ac:dyDescent="0.15">
      <c r="A146" s="7" t="str">
        <f ca="1">IFERROR(RANK(Items[[#This Row],[Sort]],OFFSET(Items[Sort],0,0,ROW(Proposed[])-ROW(Items[])+ROWS(Proposed[]),1),1),"")</f>
        <v/>
      </c>
      <c r="B146" s="7" t="str">
        <f>IF(LEN(Items[[#This Row],[Item]])&gt;0,Items[[#This Row],[Raw Item]]+COUNTIF(AN$4:AN146,AN146)/100,"")</f>
        <v/>
      </c>
      <c r="C146" s="7">
        <f>IFERROR(VALUE(LEFT(VALUE(SUBSTITUTE(Items[[#This Row],[Pay Item]],"-",""))*100000000,9)),0)</f>
        <v>0</v>
      </c>
      <c r="D146" s="8"/>
      <c r="E146" s="127"/>
      <c r="F146" s="123" t="str">
        <f>IFERROR(SUBSTITUTE(VLOOKUP(Items[[#This Row],[Item]],Pay.Item.Listing[],2+2*(Units&lt;&gt;"Metric"),0),"{","&lt;"),"&lt;&lt; Pay Item not found &gt;&gt;")</f>
        <v>&lt;&lt; Pay Item not found &gt;&gt;</v>
      </c>
      <c r="G146" s="70" t="str">
        <f>IFERROR(VLOOKUP(Items[[#This Row],[Item]],Pay.Item.Listing[],3+2*(Units&lt;&gt;"Metric"),0),"–")</f>
        <v>–</v>
      </c>
      <c r="H146" s="70" t="str">
        <f>IFERROR(VLOOKUP(Items[[#This Row],[Item]],Pay.Item.Listing[],6,0),"–")</f>
        <v>–</v>
      </c>
      <c r="I146" s="70" t="str">
        <f>IFERROR(VLOOKUP(Items[[#This Row],[Item]],Pay.Item.Listing[],7,0),"–")</f>
        <v>–</v>
      </c>
      <c r="J146" s="71"/>
      <c r="K146" s="69"/>
      <c r="L146" s="69"/>
      <c r="M146" s="69"/>
      <c r="N146" s="69"/>
      <c r="O146" s="69"/>
      <c r="P146" s="69"/>
      <c r="Q146" s="69"/>
      <c r="R146" s="69"/>
      <c r="S146" s="69"/>
      <c r="T146" s="69"/>
      <c r="U146" s="69"/>
      <c r="V146" s="69"/>
      <c r="W146" s="69"/>
      <c r="X146" s="72">
        <f>IF(LEN(Items[[#This Row],[Item]])&gt;0,IF(Items[[#This Row],[Unit]]="LPSM",1,SUM(Items[[#This Row],[Col_1]:[Col_13]])),0)</f>
        <v>0</v>
      </c>
      <c r="Y146" s="190">
        <f>MAX(Items[[#This Row],[Quantity]]-SUM(Items[[#This Row],[Account2]]:Items[[#This Row],[Account7]]),0)</f>
        <v>0</v>
      </c>
      <c r="Z146" s="61"/>
      <c r="AA146" s="61"/>
      <c r="AB146" s="61"/>
      <c r="AC146" s="61"/>
      <c r="AD146" s="61"/>
      <c r="AE146" s="61"/>
      <c r="AF146" s="73"/>
      <c r="AG146" s="71"/>
      <c r="AH146" s="74"/>
      <c r="AI146" s="59"/>
      <c r="AJ146" s="190" t="str">
        <f ca="1">IFERROR(RANK(Items[[#This Row],[EstSort]],OFFSET(Items[EstSort],0,0,ROW(Proposed[])-ROW(Items[])+ROWS(Proposed[]),1),1),"")</f>
        <v/>
      </c>
      <c r="AK146" s="190" t="str">
        <f ca="1">IF(CHOOSE(MATCH(Account,Accounts,0),Items[[#This Row],[Count]],Items[[#This Row],[Account1]],Items[[#This Row],[Account2]],Items[[#This Row],[Account3]],Items[[#This Row],[Account7]])&gt;0,Items[[#This Row],[Sort]],"")</f>
        <v/>
      </c>
      <c r="AL146" s="70" t="str">
        <f ca="1">IF(LEN(Items[[#This Row],[Count]])&gt;0,IFERROR(INDEX(Calcs[Counter],MATCH(Items[[#This Row],[Line]],Calcs[Line],0)),""),"")</f>
        <v/>
      </c>
      <c r="AM146" s="156" t="str">
        <f ca="1">IFERROR(Letter&amp;TEXT((Items[[#This Row],[Count]]-1)*Incr+BeginLine,"0000"),"")</f>
        <v/>
      </c>
      <c r="AN146" s="7" t="str">
        <f>IF(ISNA(MATCH(LEFT(Items[[#This Row],[Raw Item]],5)&amp;"-"&amp;RIGHT(Items[[#This Row],[Raw Item]],4),Pay.Item.Listing[Pay Item],0)),"",LEFT(Items[[#This Row],[Raw Item]],5)&amp;"-"&amp;RIGHT(Items[[#This Row],[Raw Item]],4))</f>
        <v/>
      </c>
    </row>
    <row r="147" spans="1:40" x14ac:dyDescent="0.15">
      <c r="A147" s="7" t="str">
        <f ca="1">IFERROR(RANK(Items[[#This Row],[Sort]],OFFSET(Items[Sort],0,0,ROW(Proposed[])-ROW(Items[])+ROWS(Proposed[]),1),1),"")</f>
        <v/>
      </c>
      <c r="B147" s="7" t="str">
        <f>IF(LEN(Items[[#This Row],[Item]])&gt;0,Items[[#This Row],[Raw Item]]+COUNTIF(AN$4:AN147,AN147)/100,"")</f>
        <v/>
      </c>
      <c r="C147" s="7">
        <f>IFERROR(VALUE(LEFT(VALUE(SUBSTITUTE(Items[[#This Row],[Pay Item]],"-",""))*100000000,9)),0)</f>
        <v>0</v>
      </c>
      <c r="D147" s="8"/>
      <c r="E147" s="127"/>
      <c r="F147" s="123" t="str">
        <f>IFERROR(SUBSTITUTE(VLOOKUP(Items[[#This Row],[Item]],Pay.Item.Listing[],2+2*(Units&lt;&gt;"Metric"),0),"{","&lt;"),"&lt;&lt; Pay Item not found &gt;&gt;")</f>
        <v>&lt;&lt; Pay Item not found &gt;&gt;</v>
      </c>
      <c r="G147" s="70" t="str">
        <f>IFERROR(VLOOKUP(Items[[#This Row],[Item]],Pay.Item.Listing[],3+2*(Units&lt;&gt;"Metric"),0),"–")</f>
        <v>–</v>
      </c>
      <c r="H147" s="70" t="str">
        <f>IFERROR(VLOOKUP(Items[[#This Row],[Item]],Pay.Item.Listing[],6,0),"–")</f>
        <v>–</v>
      </c>
      <c r="I147" s="70" t="str">
        <f>IFERROR(VLOOKUP(Items[[#This Row],[Item]],Pay.Item.Listing[],7,0),"–")</f>
        <v>–</v>
      </c>
      <c r="J147" s="71"/>
      <c r="K147" s="69"/>
      <c r="L147" s="69"/>
      <c r="M147" s="69"/>
      <c r="N147" s="69"/>
      <c r="O147" s="69"/>
      <c r="P147" s="69"/>
      <c r="Q147" s="69"/>
      <c r="R147" s="69"/>
      <c r="S147" s="69"/>
      <c r="T147" s="69"/>
      <c r="U147" s="69"/>
      <c r="V147" s="69"/>
      <c r="W147" s="69"/>
      <c r="X147" s="72">
        <f>IF(LEN(Items[[#This Row],[Item]])&gt;0,IF(Items[[#This Row],[Unit]]="LPSM",1,SUM(Items[[#This Row],[Col_1]:[Col_13]])),0)</f>
        <v>0</v>
      </c>
      <c r="Y147" s="190">
        <f>MAX(Items[[#This Row],[Quantity]]-SUM(Items[[#This Row],[Account2]]:Items[[#This Row],[Account7]]),0)</f>
        <v>0</v>
      </c>
      <c r="Z147" s="61"/>
      <c r="AA147" s="61"/>
      <c r="AB147" s="61"/>
      <c r="AC147" s="61"/>
      <c r="AD147" s="61"/>
      <c r="AE147" s="61"/>
      <c r="AF147" s="73"/>
      <c r="AG147" s="71"/>
      <c r="AH147" s="74"/>
      <c r="AI147" s="59"/>
      <c r="AJ147" s="190" t="str">
        <f ca="1">IFERROR(RANK(Items[[#This Row],[EstSort]],OFFSET(Items[EstSort],0,0,ROW(Proposed[])-ROW(Items[])+ROWS(Proposed[]),1),1),"")</f>
        <v/>
      </c>
      <c r="AK147" s="190" t="str">
        <f ca="1">IF(CHOOSE(MATCH(Account,Accounts,0),Items[[#This Row],[Count]],Items[[#This Row],[Account1]],Items[[#This Row],[Account2]],Items[[#This Row],[Account3]],Items[[#This Row],[Account7]])&gt;0,Items[[#This Row],[Sort]],"")</f>
        <v/>
      </c>
      <c r="AL147" s="70" t="str">
        <f ca="1">IF(LEN(Items[[#This Row],[Count]])&gt;0,IFERROR(INDEX(Calcs[Counter],MATCH(Items[[#This Row],[Line]],Calcs[Line],0)),""),"")</f>
        <v/>
      </c>
      <c r="AM147" s="156" t="str">
        <f ca="1">IFERROR(Letter&amp;TEXT((Items[[#This Row],[Count]]-1)*Incr+BeginLine,"0000"),"")</f>
        <v/>
      </c>
      <c r="AN147" s="7" t="str">
        <f>IF(ISNA(MATCH(LEFT(Items[[#This Row],[Raw Item]],5)&amp;"-"&amp;RIGHT(Items[[#This Row],[Raw Item]],4),Pay.Item.Listing[Pay Item],0)),"",LEFT(Items[[#This Row],[Raw Item]],5)&amp;"-"&amp;RIGHT(Items[[#This Row],[Raw Item]],4))</f>
        <v/>
      </c>
    </row>
    <row r="148" spans="1:40" x14ac:dyDescent="0.15">
      <c r="A148" s="7" t="str">
        <f ca="1">IFERROR(RANK(Items[[#This Row],[Sort]],OFFSET(Items[Sort],0,0,ROW(Proposed[])-ROW(Items[])+ROWS(Proposed[]),1),1),"")</f>
        <v/>
      </c>
      <c r="B148" s="7" t="str">
        <f>IF(LEN(Items[[#This Row],[Item]])&gt;0,Items[[#This Row],[Raw Item]]+COUNTIF(AN$4:AN148,AN148)/100,"")</f>
        <v/>
      </c>
      <c r="C148" s="7">
        <f>IFERROR(VALUE(LEFT(VALUE(SUBSTITUTE(Items[[#This Row],[Pay Item]],"-",""))*100000000,9)),0)</f>
        <v>0</v>
      </c>
      <c r="D148" s="8"/>
      <c r="E148" s="127"/>
      <c r="F148" s="123" t="str">
        <f>IFERROR(SUBSTITUTE(VLOOKUP(Items[[#This Row],[Item]],Pay.Item.Listing[],2+2*(Units&lt;&gt;"Metric"),0),"{","&lt;"),"&lt;&lt; Pay Item not found &gt;&gt;")</f>
        <v>&lt;&lt; Pay Item not found &gt;&gt;</v>
      </c>
      <c r="G148" s="70" t="str">
        <f>IFERROR(VLOOKUP(Items[[#This Row],[Item]],Pay.Item.Listing[],3+2*(Units&lt;&gt;"Metric"),0),"–")</f>
        <v>–</v>
      </c>
      <c r="H148" s="70" t="str">
        <f>IFERROR(VLOOKUP(Items[[#This Row],[Item]],Pay.Item.Listing[],6,0),"–")</f>
        <v>–</v>
      </c>
      <c r="I148" s="70" t="str">
        <f>IFERROR(VLOOKUP(Items[[#This Row],[Item]],Pay.Item.Listing[],7,0),"–")</f>
        <v>–</v>
      </c>
      <c r="J148" s="71"/>
      <c r="K148" s="69"/>
      <c r="L148" s="69"/>
      <c r="M148" s="69"/>
      <c r="N148" s="69"/>
      <c r="O148" s="69"/>
      <c r="P148" s="69"/>
      <c r="Q148" s="69"/>
      <c r="R148" s="69"/>
      <c r="S148" s="69"/>
      <c r="T148" s="69"/>
      <c r="U148" s="69"/>
      <c r="V148" s="69"/>
      <c r="W148" s="69"/>
      <c r="X148" s="72">
        <f>IF(LEN(Items[[#This Row],[Item]])&gt;0,IF(Items[[#This Row],[Unit]]="LPSM",1,SUM(Items[[#This Row],[Col_1]:[Col_13]])),0)</f>
        <v>0</v>
      </c>
      <c r="Y148" s="190">
        <f>MAX(Items[[#This Row],[Quantity]]-SUM(Items[[#This Row],[Account2]]:Items[[#This Row],[Account7]]),0)</f>
        <v>0</v>
      </c>
      <c r="Z148" s="61"/>
      <c r="AA148" s="61"/>
      <c r="AB148" s="61"/>
      <c r="AC148" s="61"/>
      <c r="AD148" s="61"/>
      <c r="AE148" s="61"/>
      <c r="AF148" s="73"/>
      <c r="AG148" s="71"/>
      <c r="AH148" s="74"/>
      <c r="AI148" s="59"/>
      <c r="AJ148" s="190" t="str">
        <f ca="1">IFERROR(RANK(Items[[#This Row],[EstSort]],OFFSET(Items[EstSort],0,0,ROW(Proposed[])-ROW(Items[])+ROWS(Proposed[]),1),1),"")</f>
        <v/>
      </c>
      <c r="AK148" s="190" t="str">
        <f ca="1">IF(CHOOSE(MATCH(Account,Accounts,0),Items[[#This Row],[Count]],Items[[#This Row],[Account1]],Items[[#This Row],[Account2]],Items[[#This Row],[Account3]],Items[[#This Row],[Account7]])&gt;0,Items[[#This Row],[Sort]],"")</f>
        <v/>
      </c>
      <c r="AL148" s="70" t="str">
        <f ca="1">IF(LEN(Items[[#This Row],[Count]])&gt;0,IFERROR(INDEX(Calcs[Counter],MATCH(Items[[#This Row],[Line]],Calcs[Line],0)),""),"")</f>
        <v/>
      </c>
      <c r="AM148" s="156" t="str">
        <f ca="1">IFERROR(Letter&amp;TEXT((Items[[#This Row],[Count]]-1)*Incr+BeginLine,"0000"),"")</f>
        <v/>
      </c>
      <c r="AN148" s="7" t="str">
        <f>IF(ISNA(MATCH(LEFT(Items[[#This Row],[Raw Item]],5)&amp;"-"&amp;RIGHT(Items[[#This Row],[Raw Item]],4),Pay.Item.Listing[Pay Item],0)),"",LEFT(Items[[#This Row],[Raw Item]],5)&amp;"-"&amp;RIGHT(Items[[#This Row],[Raw Item]],4))</f>
        <v/>
      </c>
    </row>
    <row r="149" spans="1:40" x14ac:dyDescent="0.15">
      <c r="A149" s="7" t="str">
        <f ca="1">IFERROR(RANK(Items[[#This Row],[Sort]],OFFSET(Items[Sort],0,0,ROW(Proposed[])-ROW(Items[])+ROWS(Proposed[]),1),1),"")</f>
        <v/>
      </c>
      <c r="B149" s="7" t="str">
        <f>IF(LEN(Items[[#This Row],[Item]])&gt;0,Items[[#This Row],[Raw Item]]+COUNTIF(AN$4:AN149,AN149)/100,"")</f>
        <v/>
      </c>
      <c r="C149" s="7">
        <f>IFERROR(VALUE(LEFT(VALUE(SUBSTITUTE(Items[[#This Row],[Pay Item]],"-",""))*100000000,9)),0)</f>
        <v>0</v>
      </c>
      <c r="D149" s="8"/>
      <c r="E149" s="127"/>
      <c r="F149" s="123" t="str">
        <f>IFERROR(SUBSTITUTE(VLOOKUP(Items[[#This Row],[Item]],Pay.Item.Listing[],2+2*(Units&lt;&gt;"Metric"),0),"{","&lt;"),"&lt;&lt; Pay Item not found &gt;&gt;")</f>
        <v>&lt;&lt; Pay Item not found &gt;&gt;</v>
      </c>
      <c r="G149" s="70" t="str">
        <f>IFERROR(VLOOKUP(Items[[#This Row],[Item]],Pay.Item.Listing[],3+2*(Units&lt;&gt;"Metric"),0),"–")</f>
        <v>–</v>
      </c>
      <c r="H149" s="70" t="str">
        <f>IFERROR(VLOOKUP(Items[[#This Row],[Item]],Pay.Item.Listing[],6,0),"–")</f>
        <v>–</v>
      </c>
      <c r="I149" s="70" t="str">
        <f>IFERROR(VLOOKUP(Items[[#This Row],[Item]],Pay.Item.Listing[],7,0),"–")</f>
        <v>–</v>
      </c>
      <c r="J149" s="71"/>
      <c r="K149" s="69"/>
      <c r="L149" s="69"/>
      <c r="M149" s="69"/>
      <c r="N149" s="69"/>
      <c r="O149" s="69"/>
      <c r="P149" s="69"/>
      <c r="Q149" s="69"/>
      <c r="R149" s="69"/>
      <c r="S149" s="69"/>
      <c r="T149" s="69"/>
      <c r="U149" s="69"/>
      <c r="V149" s="69"/>
      <c r="W149" s="69"/>
      <c r="X149" s="72">
        <f>IF(LEN(Items[[#This Row],[Item]])&gt;0,IF(Items[[#This Row],[Unit]]="LPSM",1,SUM(Items[[#This Row],[Col_1]:[Col_13]])),0)</f>
        <v>0</v>
      </c>
      <c r="Y149" s="190">
        <f>MAX(Items[[#This Row],[Quantity]]-SUM(Items[[#This Row],[Account2]]:Items[[#This Row],[Account7]]),0)</f>
        <v>0</v>
      </c>
      <c r="Z149" s="61"/>
      <c r="AA149" s="61"/>
      <c r="AB149" s="61"/>
      <c r="AC149" s="61"/>
      <c r="AD149" s="61"/>
      <c r="AE149" s="61"/>
      <c r="AF149" s="73"/>
      <c r="AG149" s="71"/>
      <c r="AH149" s="74"/>
      <c r="AI149" s="59"/>
      <c r="AJ149" s="190" t="str">
        <f ca="1">IFERROR(RANK(Items[[#This Row],[EstSort]],OFFSET(Items[EstSort],0,0,ROW(Proposed[])-ROW(Items[])+ROWS(Proposed[]),1),1),"")</f>
        <v/>
      </c>
      <c r="AK149" s="190" t="str">
        <f ca="1">IF(CHOOSE(MATCH(Account,Accounts,0),Items[[#This Row],[Count]],Items[[#This Row],[Account1]],Items[[#This Row],[Account2]],Items[[#This Row],[Account3]],Items[[#This Row],[Account7]])&gt;0,Items[[#This Row],[Sort]],"")</f>
        <v/>
      </c>
      <c r="AL149" s="70" t="str">
        <f ca="1">IF(LEN(Items[[#This Row],[Count]])&gt;0,IFERROR(INDEX(Calcs[Counter],MATCH(Items[[#This Row],[Line]],Calcs[Line],0)),""),"")</f>
        <v/>
      </c>
      <c r="AM149" s="156" t="str">
        <f ca="1">IFERROR(Letter&amp;TEXT((Items[[#This Row],[Count]]-1)*Incr+BeginLine,"0000"),"")</f>
        <v/>
      </c>
      <c r="AN149" s="7" t="str">
        <f>IF(ISNA(MATCH(LEFT(Items[[#This Row],[Raw Item]],5)&amp;"-"&amp;RIGHT(Items[[#This Row],[Raw Item]],4),Pay.Item.Listing[Pay Item],0)),"",LEFT(Items[[#This Row],[Raw Item]],5)&amp;"-"&amp;RIGHT(Items[[#This Row],[Raw Item]],4))</f>
        <v/>
      </c>
    </row>
    <row r="150" spans="1:40" x14ac:dyDescent="0.15">
      <c r="A150" s="7" t="str">
        <f ca="1">IFERROR(RANK(Items[[#This Row],[Sort]],OFFSET(Items[Sort],0,0,ROW(Proposed[])-ROW(Items[])+ROWS(Proposed[]),1),1),"")</f>
        <v/>
      </c>
      <c r="B150" s="7" t="str">
        <f>IF(LEN(Items[[#This Row],[Item]])&gt;0,Items[[#This Row],[Raw Item]]+COUNTIF(AN$4:AN150,AN150)/100,"")</f>
        <v/>
      </c>
      <c r="C150" s="7">
        <f>IFERROR(VALUE(LEFT(VALUE(SUBSTITUTE(Items[[#This Row],[Pay Item]],"-",""))*100000000,9)),0)</f>
        <v>0</v>
      </c>
      <c r="D150" s="8"/>
      <c r="E150" s="127"/>
      <c r="F150" s="123" t="str">
        <f>IFERROR(SUBSTITUTE(VLOOKUP(Items[[#This Row],[Item]],Pay.Item.Listing[],2+2*(Units&lt;&gt;"Metric"),0),"{","&lt;"),"&lt;&lt; Pay Item not found &gt;&gt;")</f>
        <v>&lt;&lt; Pay Item not found &gt;&gt;</v>
      </c>
      <c r="G150" s="70" t="str">
        <f>IFERROR(VLOOKUP(Items[[#This Row],[Item]],Pay.Item.Listing[],3+2*(Units&lt;&gt;"Metric"),0),"–")</f>
        <v>–</v>
      </c>
      <c r="H150" s="70" t="str">
        <f>IFERROR(VLOOKUP(Items[[#This Row],[Item]],Pay.Item.Listing[],6,0),"–")</f>
        <v>–</v>
      </c>
      <c r="I150" s="70" t="str">
        <f>IFERROR(VLOOKUP(Items[[#This Row],[Item]],Pay.Item.Listing[],7,0),"–")</f>
        <v>–</v>
      </c>
      <c r="J150" s="71"/>
      <c r="K150" s="69"/>
      <c r="L150" s="69"/>
      <c r="M150" s="69"/>
      <c r="N150" s="69"/>
      <c r="O150" s="69"/>
      <c r="P150" s="69"/>
      <c r="Q150" s="69"/>
      <c r="R150" s="69"/>
      <c r="S150" s="69"/>
      <c r="T150" s="69"/>
      <c r="U150" s="69"/>
      <c r="V150" s="69"/>
      <c r="W150" s="69"/>
      <c r="X150" s="72">
        <f>IF(LEN(Items[[#This Row],[Item]])&gt;0,IF(Items[[#This Row],[Unit]]="LPSM",1,SUM(Items[[#This Row],[Col_1]:[Col_13]])),0)</f>
        <v>0</v>
      </c>
      <c r="Y150" s="190">
        <f>MAX(Items[[#This Row],[Quantity]]-SUM(Items[[#This Row],[Account2]]:Items[[#This Row],[Account7]]),0)</f>
        <v>0</v>
      </c>
      <c r="Z150" s="61"/>
      <c r="AA150" s="61"/>
      <c r="AB150" s="61"/>
      <c r="AC150" s="61"/>
      <c r="AD150" s="61"/>
      <c r="AE150" s="61"/>
      <c r="AF150" s="73"/>
      <c r="AG150" s="71"/>
      <c r="AH150" s="74"/>
      <c r="AI150" s="59"/>
      <c r="AJ150" s="190" t="str">
        <f ca="1">IFERROR(RANK(Items[[#This Row],[EstSort]],OFFSET(Items[EstSort],0,0,ROW(Proposed[])-ROW(Items[])+ROWS(Proposed[]),1),1),"")</f>
        <v/>
      </c>
      <c r="AK150" s="190" t="str">
        <f ca="1">IF(CHOOSE(MATCH(Account,Accounts,0),Items[[#This Row],[Count]],Items[[#This Row],[Account1]],Items[[#This Row],[Account2]],Items[[#This Row],[Account3]],Items[[#This Row],[Account7]])&gt;0,Items[[#This Row],[Sort]],"")</f>
        <v/>
      </c>
      <c r="AL150" s="70" t="str">
        <f ca="1">IF(LEN(Items[[#This Row],[Count]])&gt;0,IFERROR(INDEX(Calcs[Counter],MATCH(Items[[#This Row],[Line]],Calcs[Line],0)),""),"")</f>
        <v/>
      </c>
      <c r="AM150" s="156" t="str">
        <f ca="1">IFERROR(Letter&amp;TEXT((Items[[#This Row],[Count]]-1)*Incr+BeginLine,"0000"),"")</f>
        <v/>
      </c>
      <c r="AN150" s="7" t="str">
        <f>IF(ISNA(MATCH(LEFT(Items[[#This Row],[Raw Item]],5)&amp;"-"&amp;RIGHT(Items[[#This Row],[Raw Item]],4),Pay.Item.Listing[Pay Item],0)),"",LEFT(Items[[#This Row],[Raw Item]],5)&amp;"-"&amp;RIGHT(Items[[#This Row],[Raw Item]],4))</f>
        <v/>
      </c>
    </row>
    <row r="151" spans="1:40" x14ac:dyDescent="0.15">
      <c r="A151" s="7" t="str">
        <f ca="1">IFERROR(RANK(Items[[#This Row],[Sort]],OFFSET(Items[Sort],0,0,ROW(Proposed[])-ROW(Items[])+ROWS(Proposed[]),1),1),"")</f>
        <v/>
      </c>
      <c r="B151" s="7" t="str">
        <f>IF(LEN(Items[[#This Row],[Item]])&gt;0,Items[[#This Row],[Raw Item]]+COUNTIF(AN$4:AN151,AN151)/100,"")</f>
        <v/>
      </c>
      <c r="C151" s="7">
        <f>IFERROR(VALUE(LEFT(VALUE(SUBSTITUTE(Items[[#This Row],[Pay Item]],"-",""))*100000000,9)),0)</f>
        <v>0</v>
      </c>
      <c r="D151" s="8"/>
      <c r="E151" s="127"/>
      <c r="F151" s="123" t="str">
        <f>IFERROR(SUBSTITUTE(VLOOKUP(Items[[#This Row],[Item]],Pay.Item.Listing[],2+2*(Units&lt;&gt;"Metric"),0),"{","&lt;"),"&lt;&lt; Pay Item not found &gt;&gt;")</f>
        <v>&lt;&lt; Pay Item not found &gt;&gt;</v>
      </c>
      <c r="G151" s="70" t="str">
        <f>IFERROR(VLOOKUP(Items[[#This Row],[Item]],Pay.Item.Listing[],3+2*(Units&lt;&gt;"Metric"),0),"–")</f>
        <v>–</v>
      </c>
      <c r="H151" s="70" t="str">
        <f>IFERROR(VLOOKUP(Items[[#This Row],[Item]],Pay.Item.Listing[],6,0),"–")</f>
        <v>–</v>
      </c>
      <c r="I151" s="70" t="str">
        <f>IFERROR(VLOOKUP(Items[[#This Row],[Item]],Pay.Item.Listing[],7,0),"–")</f>
        <v>–</v>
      </c>
      <c r="J151" s="71"/>
      <c r="K151" s="69"/>
      <c r="L151" s="69"/>
      <c r="M151" s="69"/>
      <c r="N151" s="69"/>
      <c r="O151" s="69"/>
      <c r="P151" s="69"/>
      <c r="Q151" s="69"/>
      <c r="R151" s="69"/>
      <c r="S151" s="69"/>
      <c r="T151" s="69"/>
      <c r="U151" s="69"/>
      <c r="V151" s="69"/>
      <c r="W151" s="69"/>
      <c r="X151" s="72">
        <f>IF(LEN(Items[[#This Row],[Item]])&gt;0,IF(Items[[#This Row],[Unit]]="LPSM",1,SUM(Items[[#This Row],[Col_1]:[Col_13]])),0)</f>
        <v>0</v>
      </c>
      <c r="Y151" s="190">
        <f>MAX(Items[[#This Row],[Quantity]]-SUM(Items[[#This Row],[Account2]]:Items[[#This Row],[Account7]]),0)</f>
        <v>0</v>
      </c>
      <c r="Z151" s="61"/>
      <c r="AA151" s="61"/>
      <c r="AB151" s="61"/>
      <c r="AC151" s="61"/>
      <c r="AD151" s="61"/>
      <c r="AE151" s="61"/>
      <c r="AF151" s="73"/>
      <c r="AG151" s="71"/>
      <c r="AH151" s="74"/>
      <c r="AI151" s="59"/>
      <c r="AJ151" s="190" t="str">
        <f ca="1">IFERROR(RANK(Items[[#This Row],[EstSort]],OFFSET(Items[EstSort],0,0,ROW(Proposed[])-ROW(Items[])+ROWS(Proposed[]),1),1),"")</f>
        <v/>
      </c>
      <c r="AK151" s="190" t="str">
        <f ca="1">IF(CHOOSE(MATCH(Account,Accounts,0),Items[[#This Row],[Count]],Items[[#This Row],[Account1]],Items[[#This Row],[Account2]],Items[[#This Row],[Account3]],Items[[#This Row],[Account7]])&gt;0,Items[[#This Row],[Sort]],"")</f>
        <v/>
      </c>
      <c r="AL151" s="70" t="str">
        <f ca="1">IF(LEN(Items[[#This Row],[Count]])&gt;0,IFERROR(INDEX(Calcs[Counter],MATCH(Items[[#This Row],[Line]],Calcs[Line],0)),""),"")</f>
        <v/>
      </c>
      <c r="AM151" s="156" t="str">
        <f ca="1">IFERROR(Letter&amp;TEXT((Items[[#This Row],[Count]]-1)*Incr+BeginLine,"0000"),"")</f>
        <v/>
      </c>
      <c r="AN151" s="7" t="str">
        <f>IF(ISNA(MATCH(LEFT(Items[[#This Row],[Raw Item]],5)&amp;"-"&amp;RIGHT(Items[[#This Row],[Raw Item]],4),Pay.Item.Listing[Pay Item],0)),"",LEFT(Items[[#This Row],[Raw Item]],5)&amp;"-"&amp;RIGHT(Items[[#This Row],[Raw Item]],4))</f>
        <v/>
      </c>
    </row>
    <row r="152" spans="1:40" x14ac:dyDescent="0.15">
      <c r="A152" s="7" t="str">
        <f ca="1">IFERROR(RANK(Items[[#This Row],[Sort]],OFFSET(Items[Sort],0,0,ROW(Proposed[])-ROW(Items[])+ROWS(Proposed[]),1),1),"")</f>
        <v/>
      </c>
      <c r="B152" s="7" t="str">
        <f>IF(LEN(Items[[#This Row],[Item]])&gt;0,Items[[#This Row],[Raw Item]]+COUNTIF(AN$4:AN152,AN152)/100,"")</f>
        <v/>
      </c>
      <c r="C152" s="7">
        <f>IFERROR(VALUE(LEFT(VALUE(SUBSTITUTE(Items[[#This Row],[Pay Item]],"-",""))*100000000,9)),0)</f>
        <v>0</v>
      </c>
      <c r="D152" s="8"/>
      <c r="E152" s="127"/>
      <c r="F152" s="123" t="str">
        <f>IFERROR(SUBSTITUTE(VLOOKUP(Items[[#This Row],[Item]],Pay.Item.Listing[],2+2*(Units&lt;&gt;"Metric"),0),"{","&lt;"),"&lt;&lt; Pay Item not found &gt;&gt;")</f>
        <v>&lt;&lt; Pay Item not found &gt;&gt;</v>
      </c>
      <c r="G152" s="70" t="str">
        <f>IFERROR(VLOOKUP(Items[[#This Row],[Item]],Pay.Item.Listing[],3+2*(Units&lt;&gt;"Metric"),0),"–")</f>
        <v>–</v>
      </c>
      <c r="H152" s="70" t="str">
        <f>IFERROR(VLOOKUP(Items[[#This Row],[Item]],Pay.Item.Listing[],6,0),"–")</f>
        <v>–</v>
      </c>
      <c r="I152" s="70" t="str">
        <f>IFERROR(VLOOKUP(Items[[#This Row],[Item]],Pay.Item.Listing[],7,0),"–")</f>
        <v>–</v>
      </c>
      <c r="J152" s="71"/>
      <c r="K152" s="69"/>
      <c r="L152" s="69"/>
      <c r="M152" s="69"/>
      <c r="N152" s="69"/>
      <c r="O152" s="69"/>
      <c r="P152" s="69"/>
      <c r="Q152" s="69"/>
      <c r="R152" s="69"/>
      <c r="S152" s="69"/>
      <c r="T152" s="69"/>
      <c r="U152" s="69"/>
      <c r="V152" s="69"/>
      <c r="W152" s="69"/>
      <c r="X152" s="72">
        <f>IF(LEN(Items[[#This Row],[Item]])&gt;0,IF(Items[[#This Row],[Unit]]="LPSM",1,SUM(Items[[#This Row],[Col_1]:[Col_13]])),0)</f>
        <v>0</v>
      </c>
      <c r="Y152" s="190">
        <f>MAX(Items[[#This Row],[Quantity]]-SUM(Items[[#This Row],[Account2]]:Items[[#This Row],[Account7]]),0)</f>
        <v>0</v>
      </c>
      <c r="Z152" s="61"/>
      <c r="AA152" s="61"/>
      <c r="AB152" s="61"/>
      <c r="AC152" s="61"/>
      <c r="AD152" s="61"/>
      <c r="AE152" s="61"/>
      <c r="AF152" s="73"/>
      <c r="AG152" s="71"/>
      <c r="AH152" s="74"/>
      <c r="AI152" s="59"/>
      <c r="AJ152" s="190" t="str">
        <f ca="1">IFERROR(RANK(Items[[#This Row],[EstSort]],OFFSET(Items[EstSort],0,0,ROW(Proposed[])-ROW(Items[])+ROWS(Proposed[]),1),1),"")</f>
        <v/>
      </c>
      <c r="AK152" s="190" t="str">
        <f ca="1">IF(CHOOSE(MATCH(Account,Accounts,0),Items[[#This Row],[Count]],Items[[#This Row],[Account1]],Items[[#This Row],[Account2]],Items[[#This Row],[Account3]],Items[[#This Row],[Account7]])&gt;0,Items[[#This Row],[Sort]],"")</f>
        <v/>
      </c>
      <c r="AL152" s="70" t="str">
        <f ca="1">IF(LEN(Items[[#This Row],[Count]])&gt;0,IFERROR(INDEX(Calcs[Counter],MATCH(Items[[#This Row],[Line]],Calcs[Line],0)),""),"")</f>
        <v/>
      </c>
      <c r="AM152" s="156" t="str">
        <f ca="1">IFERROR(Letter&amp;TEXT((Items[[#This Row],[Count]]-1)*Incr+BeginLine,"0000"),"")</f>
        <v/>
      </c>
      <c r="AN152" s="7" t="str">
        <f>IF(ISNA(MATCH(LEFT(Items[[#This Row],[Raw Item]],5)&amp;"-"&amp;RIGHT(Items[[#This Row],[Raw Item]],4),Pay.Item.Listing[Pay Item],0)),"",LEFT(Items[[#This Row],[Raw Item]],5)&amp;"-"&amp;RIGHT(Items[[#This Row],[Raw Item]],4))</f>
        <v/>
      </c>
    </row>
    <row r="153" spans="1:40" x14ac:dyDescent="0.15">
      <c r="A153" s="7" t="str">
        <f ca="1">IFERROR(RANK(Items[[#This Row],[Sort]],OFFSET(Items[Sort],0,0,ROW(Proposed[])-ROW(Items[])+ROWS(Proposed[]),1),1),"")</f>
        <v/>
      </c>
      <c r="B153" s="7" t="str">
        <f>IF(LEN(Items[[#This Row],[Item]])&gt;0,Items[[#This Row],[Raw Item]]+COUNTIF(AN$4:AN153,AN153)/100,"")</f>
        <v/>
      </c>
      <c r="C153" s="7">
        <f>IFERROR(VALUE(LEFT(VALUE(SUBSTITUTE(Items[[#This Row],[Pay Item]],"-",""))*100000000,9)),0)</f>
        <v>0</v>
      </c>
      <c r="D153" s="8"/>
      <c r="E153" s="127"/>
      <c r="F153" s="123" t="str">
        <f>IFERROR(SUBSTITUTE(VLOOKUP(Items[[#This Row],[Item]],Pay.Item.Listing[],2+2*(Units&lt;&gt;"Metric"),0),"{","&lt;"),"&lt;&lt; Pay Item not found &gt;&gt;")</f>
        <v>&lt;&lt; Pay Item not found &gt;&gt;</v>
      </c>
      <c r="G153" s="70" t="str">
        <f>IFERROR(VLOOKUP(Items[[#This Row],[Item]],Pay.Item.Listing[],3+2*(Units&lt;&gt;"Metric"),0),"–")</f>
        <v>–</v>
      </c>
      <c r="H153" s="70" t="str">
        <f>IFERROR(VLOOKUP(Items[[#This Row],[Item]],Pay.Item.Listing[],6,0),"–")</f>
        <v>–</v>
      </c>
      <c r="I153" s="70" t="str">
        <f>IFERROR(VLOOKUP(Items[[#This Row],[Item]],Pay.Item.Listing[],7,0),"–")</f>
        <v>–</v>
      </c>
      <c r="J153" s="71"/>
      <c r="K153" s="69"/>
      <c r="L153" s="69"/>
      <c r="M153" s="69"/>
      <c r="N153" s="69"/>
      <c r="O153" s="69"/>
      <c r="P153" s="69"/>
      <c r="Q153" s="69"/>
      <c r="R153" s="69"/>
      <c r="S153" s="69"/>
      <c r="T153" s="69"/>
      <c r="U153" s="69"/>
      <c r="V153" s="69"/>
      <c r="W153" s="69"/>
      <c r="X153" s="72">
        <f>IF(LEN(Items[[#This Row],[Item]])&gt;0,IF(Items[[#This Row],[Unit]]="LPSM",1,SUM(Items[[#This Row],[Col_1]:[Col_13]])),0)</f>
        <v>0</v>
      </c>
      <c r="Y153" s="190">
        <f>MAX(Items[[#This Row],[Quantity]]-SUM(Items[[#This Row],[Account2]]:Items[[#This Row],[Account7]]),0)</f>
        <v>0</v>
      </c>
      <c r="Z153" s="61"/>
      <c r="AA153" s="61"/>
      <c r="AB153" s="61"/>
      <c r="AC153" s="61"/>
      <c r="AD153" s="61"/>
      <c r="AE153" s="61"/>
      <c r="AF153" s="73"/>
      <c r="AG153" s="71"/>
      <c r="AH153" s="74"/>
      <c r="AI153" s="59"/>
      <c r="AJ153" s="190" t="str">
        <f ca="1">IFERROR(RANK(Items[[#This Row],[EstSort]],OFFSET(Items[EstSort],0,0,ROW(Proposed[])-ROW(Items[])+ROWS(Proposed[]),1),1),"")</f>
        <v/>
      </c>
      <c r="AK153" s="190" t="str">
        <f ca="1">IF(CHOOSE(MATCH(Account,Accounts,0),Items[[#This Row],[Count]],Items[[#This Row],[Account1]],Items[[#This Row],[Account2]],Items[[#This Row],[Account3]],Items[[#This Row],[Account7]])&gt;0,Items[[#This Row],[Sort]],"")</f>
        <v/>
      </c>
      <c r="AL153" s="70" t="str">
        <f ca="1">IF(LEN(Items[[#This Row],[Count]])&gt;0,IFERROR(INDEX(Calcs[Counter],MATCH(Items[[#This Row],[Line]],Calcs[Line],0)),""),"")</f>
        <v/>
      </c>
      <c r="AM153" s="156" t="str">
        <f ca="1">IFERROR(Letter&amp;TEXT((Items[[#This Row],[Count]]-1)*Incr+BeginLine,"0000"),"")</f>
        <v/>
      </c>
      <c r="AN153" s="7" t="str">
        <f>IF(ISNA(MATCH(LEFT(Items[[#This Row],[Raw Item]],5)&amp;"-"&amp;RIGHT(Items[[#This Row],[Raw Item]],4),Pay.Item.Listing[Pay Item],0)),"",LEFT(Items[[#This Row],[Raw Item]],5)&amp;"-"&amp;RIGHT(Items[[#This Row],[Raw Item]],4))</f>
        <v/>
      </c>
    </row>
    <row r="154" spans="1:40" x14ac:dyDescent="0.15">
      <c r="A154" s="7" t="str">
        <f ca="1">IFERROR(RANK(Items[[#This Row],[Sort]],OFFSET(Items[Sort],0,0,ROW(Proposed[])-ROW(Items[])+ROWS(Proposed[]),1),1),"")</f>
        <v/>
      </c>
      <c r="B154" s="7" t="str">
        <f>IF(LEN(Items[[#This Row],[Item]])&gt;0,Items[[#This Row],[Raw Item]]+COUNTIF(AN$4:AN154,AN154)/100,"")</f>
        <v/>
      </c>
      <c r="C154" s="7">
        <f>IFERROR(VALUE(LEFT(VALUE(SUBSTITUTE(Items[[#This Row],[Pay Item]],"-",""))*100000000,9)),0)</f>
        <v>0</v>
      </c>
      <c r="D154" s="8"/>
      <c r="E154" s="127"/>
      <c r="F154" s="123" t="str">
        <f>IFERROR(SUBSTITUTE(VLOOKUP(Items[[#This Row],[Item]],Pay.Item.Listing[],2+2*(Units&lt;&gt;"Metric"),0),"{","&lt;"),"&lt;&lt; Pay Item not found &gt;&gt;")</f>
        <v>&lt;&lt; Pay Item not found &gt;&gt;</v>
      </c>
      <c r="G154" s="70" t="str">
        <f>IFERROR(VLOOKUP(Items[[#This Row],[Item]],Pay.Item.Listing[],3+2*(Units&lt;&gt;"Metric"),0),"–")</f>
        <v>–</v>
      </c>
      <c r="H154" s="70" t="str">
        <f>IFERROR(VLOOKUP(Items[[#This Row],[Item]],Pay.Item.Listing[],6,0),"–")</f>
        <v>–</v>
      </c>
      <c r="I154" s="70" t="str">
        <f>IFERROR(VLOOKUP(Items[[#This Row],[Item]],Pay.Item.Listing[],7,0),"–")</f>
        <v>–</v>
      </c>
      <c r="J154" s="71"/>
      <c r="K154" s="69"/>
      <c r="L154" s="69"/>
      <c r="M154" s="69"/>
      <c r="N154" s="69"/>
      <c r="O154" s="69"/>
      <c r="P154" s="69"/>
      <c r="Q154" s="69"/>
      <c r="R154" s="69"/>
      <c r="S154" s="69"/>
      <c r="T154" s="69"/>
      <c r="U154" s="69"/>
      <c r="V154" s="69"/>
      <c r="W154" s="69"/>
      <c r="X154" s="72">
        <f>IF(LEN(Items[[#This Row],[Item]])&gt;0,IF(Items[[#This Row],[Unit]]="LPSM",1,SUM(Items[[#This Row],[Col_1]:[Col_13]])),0)</f>
        <v>0</v>
      </c>
      <c r="Y154" s="190">
        <f>MAX(Items[[#This Row],[Quantity]]-SUM(Items[[#This Row],[Account2]]:Items[[#This Row],[Account7]]),0)</f>
        <v>0</v>
      </c>
      <c r="Z154" s="61"/>
      <c r="AA154" s="61"/>
      <c r="AB154" s="61"/>
      <c r="AC154" s="61"/>
      <c r="AD154" s="61"/>
      <c r="AE154" s="61"/>
      <c r="AF154" s="73"/>
      <c r="AG154" s="71"/>
      <c r="AH154" s="74"/>
      <c r="AI154" s="59"/>
      <c r="AJ154" s="190" t="str">
        <f ca="1">IFERROR(RANK(Items[[#This Row],[EstSort]],OFFSET(Items[EstSort],0,0,ROW(Proposed[])-ROW(Items[])+ROWS(Proposed[]),1),1),"")</f>
        <v/>
      </c>
      <c r="AK154" s="190" t="str">
        <f ca="1">IF(CHOOSE(MATCH(Account,Accounts,0),Items[[#This Row],[Count]],Items[[#This Row],[Account1]],Items[[#This Row],[Account2]],Items[[#This Row],[Account3]],Items[[#This Row],[Account7]])&gt;0,Items[[#This Row],[Sort]],"")</f>
        <v/>
      </c>
      <c r="AL154" s="70" t="str">
        <f ca="1">IF(LEN(Items[[#This Row],[Count]])&gt;0,IFERROR(INDEX(Calcs[Counter],MATCH(Items[[#This Row],[Line]],Calcs[Line],0)),""),"")</f>
        <v/>
      </c>
      <c r="AM154" s="156" t="str">
        <f ca="1">IFERROR(Letter&amp;TEXT((Items[[#This Row],[Count]]-1)*Incr+BeginLine,"0000"),"")</f>
        <v/>
      </c>
      <c r="AN154" s="7" t="str">
        <f>IF(ISNA(MATCH(LEFT(Items[[#This Row],[Raw Item]],5)&amp;"-"&amp;RIGHT(Items[[#This Row],[Raw Item]],4),Pay.Item.Listing[Pay Item],0)),"",LEFT(Items[[#This Row],[Raw Item]],5)&amp;"-"&amp;RIGHT(Items[[#This Row],[Raw Item]],4))</f>
        <v/>
      </c>
    </row>
    <row r="155" spans="1:40" x14ac:dyDescent="0.15">
      <c r="A155" s="7" t="str">
        <f ca="1">IFERROR(RANK(Items[[#This Row],[Sort]],OFFSET(Items[Sort],0,0,ROW(Proposed[])-ROW(Items[])+ROWS(Proposed[]),1),1),"")</f>
        <v/>
      </c>
      <c r="B155" s="7" t="str">
        <f>IF(LEN(Items[[#This Row],[Item]])&gt;0,Items[[#This Row],[Raw Item]]+COUNTIF(AN$4:AN155,AN155)/100,"")</f>
        <v/>
      </c>
      <c r="C155" s="7">
        <f>IFERROR(VALUE(LEFT(VALUE(SUBSTITUTE(Items[[#This Row],[Pay Item]],"-",""))*100000000,9)),0)</f>
        <v>0</v>
      </c>
      <c r="D155" s="8"/>
      <c r="E155" s="127"/>
      <c r="F155" s="123" t="str">
        <f>IFERROR(SUBSTITUTE(VLOOKUP(Items[[#This Row],[Item]],Pay.Item.Listing[],2+2*(Units&lt;&gt;"Metric"),0),"{","&lt;"),"&lt;&lt; Pay Item not found &gt;&gt;")</f>
        <v>&lt;&lt; Pay Item not found &gt;&gt;</v>
      </c>
      <c r="G155" s="70" t="str">
        <f>IFERROR(VLOOKUP(Items[[#This Row],[Item]],Pay.Item.Listing[],3+2*(Units&lt;&gt;"Metric"),0),"–")</f>
        <v>–</v>
      </c>
      <c r="H155" s="70" t="str">
        <f>IFERROR(VLOOKUP(Items[[#This Row],[Item]],Pay.Item.Listing[],6,0),"–")</f>
        <v>–</v>
      </c>
      <c r="I155" s="70" t="str">
        <f>IFERROR(VLOOKUP(Items[[#This Row],[Item]],Pay.Item.Listing[],7,0),"–")</f>
        <v>–</v>
      </c>
      <c r="J155" s="71"/>
      <c r="K155" s="69"/>
      <c r="L155" s="69"/>
      <c r="M155" s="69"/>
      <c r="N155" s="69"/>
      <c r="O155" s="69"/>
      <c r="P155" s="69"/>
      <c r="Q155" s="69"/>
      <c r="R155" s="69"/>
      <c r="S155" s="69"/>
      <c r="T155" s="69"/>
      <c r="U155" s="69"/>
      <c r="V155" s="69"/>
      <c r="W155" s="69"/>
      <c r="X155" s="72">
        <f>IF(LEN(Items[[#This Row],[Item]])&gt;0,IF(Items[[#This Row],[Unit]]="LPSM",1,SUM(Items[[#This Row],[Col_1]:[Col_13]])),0)</f>
        <v>0</v>
      </c>
      <c r="Y155" s="190">
        <f>MAX(Items[[#This Row],[Quantity]]-SUM(Items[[#This Row],[Account2]]:Items[[#This Row],[Account7]]),0)</f>
        <v>0</v>
      </c>
      <c r="Z155" s="61"/>
      <c r="AA155" s="61"/>
      <c r="AB155" s="61"/>
      <c r="AC155" s="61"/>
      <c r="AD155" s="61"/>
      <c r="AE155" s="61"/>
      <c r="AF155" s="73"/>
      <c r="AG155" s="71"/>
      <c r="AH155" s="74"/>
      <c r="AI155" s="59"/>
      <c r="AJ155" s="190" t="str">
        <f ca="1">IFERROR(RANK(Items[[#This Row],[EstSort]],OFFSET(Items[EstSort],0,0,ROW(Proposed[])-ROW(Items[])+ROWS(Proposed[]),1),1),"")</f>
        <v/>
      </c>
      <c r="AK155" s="190" t="str">
        <f ca="1">IF(CHOOSE(MATCH(Account,Accounts,0),Items[[#This Row],[Count]],Items[[#This Row],[Account1]],Items[[#This Row],[Account2]],Items[[#This Row],[Account3]],Items[[#This Row],[Account7]])&gt;0,Items[[#This Row],[Sort]],"")</f>
        <v/>
      </c>
      <c r="AL155" s="70" t="str">
        <f ca="1">IF(LEN(Items[[#This Row],[Count]])&gt;0,IFERROR(INDEX(Calcs[Counter],MATCH(Items[[#This Row],[Line]],Calcs[Line],0)),""),"")</f>
        <v/>
      </c>
      <c r="AM155" s="156" t="str">
        <f ca="1">IFERROR(Letter&amp;TEXT((Items[[#This Row],[Count]]-1)*Incr+BeginLine,"0000"),"")</f>
        <v/>
      </c>
      <c r="AN155" s="7" t="str">
        <f>IF(ISNA(MATCH(LEFT(Items[[#This Row],[Raw Item]],5)&amp;"-"&amp;RIGHT(Items[[#This Row],[Raw Item]],4),Pay.Item.Listing[Pay Item],0)),"",LEFT(Items[[#This Row],[Raw Item]],5)&amp;"-"&amp;RIGHT(Items[[#This Row],[Raw Item]],4))</f>
        <v/>
      </c>
    </row>
    <row r="156" spans="1:40" x14ac:dyDescent="0.15">
      <c r="A156" s="7" t="str">
        <f ca="1">IFERROR(RANK(Items[[#This Row],[Sort]],OFFSET(Items[Sort],0,0,ROW(Proposed[])-ROW(Items[])+ROWS(Proposed[]),1),1),"")</f>
        <v/>
      </c>
      <c r="B156" s="7" t="str">
        <f>IF(LEN(Items[[#This Row],[Item]])&gt;0,Items[[#This Row],[Raw Item]]+COUNTIF(AN$4:AN156,AN156)/100,"")</f>
        <v/>
      </c>
      <c r="C156" s="7">
        <f>IFERROR(VALUE(LEFT(VALUE(SUBSTITUTE(Items[[#This Row],[Pay Item]],"-",""))*100000000,9)),0)</f>
        <v>0</v>
      </c>
      <c r="D156" s="8"/>
      <c r="E156" s="127"/>
      <c r="F156" s="123" t="str">
        <f>IFERROR(SUBSTITUTE(VLOOKUP(Items[[#This Row],[Item]],Pay.Item.Listing[],2+2*(Units&lt;&gt;"Metric"),0),"{","&lt;"),"&lt;&lt; Pay Item not found &gt;&gt;")</f>
        <v>&lt;&lt; Pay Item not found &gt;&gt;</v>
      </c>
      <c r="G156" s="70" t="str">
        <f>IFERROR(VLOOKUP(Items[[#This Row],[Item]],Pay.Item.Listing[],3+2*(Units&lt;&gt;"Metric"),0),"–")</f>
        <v>–</v>
      </c>
      <c r="H156" s="70" t="str">
        <f>IFERROR(VLOOKUP(Items[[#This Row],[Item]],Pay.Item.Listing[],6,0),"–")</f>
        <v>–</v>
      </c>
      <c r="I156" s="70" t="str">
        <f>IFERROR(VLOOKUP(Items[[#This Row],[Item]],Pay.Item.Listing[],7,0),"–")</f>
        <v>–</v>
      </c>
      <c r="J156" s="71"/>
      <c r="K156" s="69"/>
      <c r="L156" s="69"/>
      <c r="M156" s="69"/>
      <c r="N156" s="69"/>
      <c r="O156" s="69"/>
      <c r="P156" s="69"/>
      <c r="Q156" s="69"/>
      <c r="R156" s="69"/>
      <c r="S156" s="69"/>
      <c r="T156" s="69"/>
      <c r="U156" s="69"/>
      <c r="V156" s="69"/>
      <c r="W156" s="69"/>
      <c r="X156" s="72">
        <f>IF(LEN(Items[[#This Row],[Item]])&gt;0,IF(Items[[#This Row],[Unit]]="LPSM",1,SUM(Items[[#This Row],[Col_1]:[Col_13]])),0)</f>
        <v>0</v>
      </c>
      <c r="Y156" s="190">
        <f>MAX(Items[[#This Row],[Quantity]]-SUM(Items[[#This Row],[Account2]]:Items[[#This Row],[Account7]]),0)</f>
        <v>0</v>
      </c>
      <c r="Z156" s="61"/>
      <c r="AA156" s="61"/>
      <c r="AB156" s="61"/>
      <c r="AC156" s="61"/>
      <c r="AD156" s="61"/>
      <c r="AE156" s="61"/>
      <c r="AF156" s="73"/>
      <c r="AG156" s="71"/>
      <c r="AH156" s="74"/>
      <c r="AI156" s="59"/>
      <c r="AJ156" s="190" t="str">
        <f ca="1">IFERROR(RANK(Items[[#This Row],[EstSort]],OFFSET(Items[EstSort],0,0,ROW(Proposed[])-ROW(Items[])+ROWS(Proposed[]),1),1),"")</f>
        <v/>
      </c>
      <c r="AK156" s="190" t="str">
        <f ca="1">IF(CHOOSE(MATCH(Account,Accounts,0),Items[[#This Row],[Count]],Items[[#This Row],[Account1]],Items[[#This Row],[Account2]],Items[[#This Row],[Account3]],Items[[#This Row],[Account7]])&gt;0,Items[[#This Row],[Sort]],"")</f>
        <v/>
      </c>
      <c r="AL156" s="70" t="str">
        <f ca="1">IF(LEN(Items[[#This Row],[Count]])&gt;0,IFERROR(INDEX(Calcs[Counter],MATCH(Items[[#This Row],[Line]],Calcs[Line],0)),""),"")</f>
        <v/>
      </c>
      <c r="AM156" s="156" t="str">
        <f ca="1">IFERROR(Letter&amp;TEXT((Items[[#This Row],[Count]]-1)*Incr+BeginLine,"0000"),"")</f>
        <v/>
      </c>
      <c r="AN156" s="7" t="str">
        <f>IF(ISNA(MATCH(LEFT(Items[[#This Row],[Raw Item]],5)&amp;"-"&amp;RIGHT(Items[[#This Row],[Raw Item]],4),Pay.Item.Listing[Pay Item],0)),"",LEFT(Items[[#This Row],[Raw Item]],5)&amp;"-"&amp;RIGHT(Items[[#This Row],[Raw Item]],4))</f>
        <v/>
      </c>
    </row>
    <row r="157" spans="1:40" x14ac:dyDescent="0.15">
      <c r="A157" s="7" t="str">
        <f ca="1">IFERROR(RANK(Items[[#This Row],[Sort]],OFFSET(Items[Sort],0,0,ROW(Proposed[])-ROW(Items[])+ROWS(Proposed[]),1),1),"")</f>
        <v/>
      </c>
      <c r="B157" s="7" t="str">
        <f>IF(LEN(Items[[#This Row],[Item]])&gt;0,Items[[#This Row],[Raw Item]]+COUNTIF(AN$4:AN157,AN157)/100,"")</f>
        <v/>
      </c>
      <c r="C157" s="7">
        <f>IFERROR(VALUE(LEFT(VALUE(SUBSTITUTE(Items[[#This Row],[Pay Item]],"-",""))*100000000,9)),0)</f>
        <v>0</v>
      </c>
      <c r="D157" s="8"/>
      <c r="E157" s="127"/>
      <c r="F157" s="123" t="str">
        <f>IFERROR(SUBSTITUTE(VLOOKUP(Items[[#This Row],[Item]],Pay.Item.Listing[],2+2*(Units&lt;&gt;"Metric"),0),"{","&lt;"),"&lt;&lt; Pay Item not found &gt;&gt;")</f>
        <v>&lt;&lt; Pay Item not found &gt;&gt;</v>
      </c>
      <c r="G157" s="70" t="str">
        <f>IFERROR(VLOOKUP(Items[[#This Row],[Item]],Pay.Item.Listing[],3+2*(Units&lt;&gt;"Metric"),0),"–")</f>
        <v>–</v>
      </c>
      <c r="H157" s="70" t="str">
        <f>IFERROR(VLOOKUP(Items[[#This Row],[Item]],Pay.Item.Listing[],6,0),"–")</f>
        <v>–</v>
      </c>
      <c r="I157" s="70" t="str">
        <f>IFERROR(VLOOKUP(Items[[#This Row],[Item]],Pay.Item.Listing[],7,0),"–")</f>
        <v>–</v>
      </c>
      <c r="J157" s="71"/>
      <c r="K157" s="69"/>
      <c r="L157" s="69"/>
      <c r="M157" s="69"/>
      <c r="N157" s="69"/>
      <c r="O157" s="69"/>
      <c r="P157" s="69"/>
      <c r="Q157" s="69"/>
      <c r="R157" s="69"/>
      <c r="S157" s="69"/>
      <c r="T157" s="69"/>
      <c r="U157" s="69"/>
      <c r="V157" s="69"/>
      <c r="W157" s="69"/>
      <c r="X157" s="72">
        <f>IF(LEN(Items[[#This Row],[Item]])&gt;0,IF(Items[[#This Row],[Unit]]="LPSM",1,SUM(Items[[#This Row],[Col_1]:[Col_13]])),0)</f>
        <v>0</v>
      </c>
      <c r="Y157" s="190">
        <f>MAX(Items[[#This Row],[Quantity]]-SUM(Items[[#This Row],[Account2]]:Items[[#This Row],[Account7]]),0)</f>
        <v>0</v>
      </c>
      <c r="Z157" s="61"/>
      <c r="AA157" s="61"/>
      <c r="AB157" s="61"/>
      <c r="AC157" s="61"/>
      <c r="AD157" s="61"/>
      <c r="AE157" s="61"/>
      <c r="AF157" s="73"/>
      <c r="AG157" s="71"/>
      <c r="AH157" s="74"/>
      <c r="AI157" s="59"/>
      <c r="AJ157" s="190" t="str">
        <f ca="1">IFERROR(RANK(Items[[#This Row],[EstSort]],OFFSET(Items[EstSort],0,0,ROW(Proposed[])-ROW(Items[])+ROWS(Proposed[]),1),1),"")</f>
        <v/>
      </c>
      <c r="AK157" s="190" t="str">
        <f ca="1">IF(CHOOSE(MATCH(Account,Accounts,0),Items[[#This Row],[Count]],Items[[#This Row],[Account1]],Items[[#This Row],[Account2]],Items[[#This Row],[Account3]],Items[[#This Row],[Account7]])&gt;0,Items[[#This Row],[Sort]],"")</f>
        <v/>
      </c>
      <c r="AL157" s="70" t="str">
        <f ca="1">IF(LEN(Items[[#This Row],[Count]])&gt;0,IFERROR(INDEX(Calcs[Counter],MATCH(Items[[#This Row],[Line]],Calcs[Line],0)),""),"")</f>
        <v/>
      </c>
      <c r="AM157" s="156" t="str">
        <f ca="1">IFERROR(Letter&amp;TEXT((Items[[#This Row],[Count]]-1)*Incr+BeginLine,"0000"),"")</f>
        <v/>
      </c>
      <c r="AN157" s="7" t="str">
        <f>IF(ISNA(MATCH(LEFT(Items[[#This Row],[Raw Item]],5)&amp;"-"&amp;RIGHT(Items[[#This Row],[Raw Item]],4),Pay.Item.Listing[Pay Item],0)),"",LEFT(Items[[#This Row],[Raw Item]],5)&amp;"-"&amp;RIGHT(Items[[#This Row],[Raw Item]],4))</f>
        <v/>
      </c>
    </row>
    <row r="158" spans="1:40" x14ac:dyDescent="0.15">
      <c r="A158" s="7" t="str">
        <f ca="1">IFERROR(RANK(Items[[#This Row],[Sort]],OFFSET(Items[Sort],0,0,ROW(Proposed[])-ROW(Items[])+ROWS(Proposed[]),1),1),"")</f>
        <v/>
      </c>
      <c r="B158" s="7" t="str">
        <f>IF(LEN(Items[[#This Row],[Item]])&gt;0,Items[[#This Row],[Raw Item]]+COUNTIF(AN$4:AN158,AN158)/100,"")</f>
        <v/>
      </c>
      <c r="C158" s="7">
        <f>IFERROR(VALUE(LEFT(VALUE(SUBSTITUTE(Items[[#This Row],[Pay Item]],"-",""))*100000000,9)),0)</f>
        <v>0</v>
      </c>
      <c r="D158" s="8"/>
      <c r="E158" s="127"/>
      <c r="F158" s="123" t="str">
        <f>IFERROR(SUBSTITUTE(VLOOKUP(Items[[#This Row],[Item]],Pay.Item.Listing[],2+2*(Units&lt;&gt;"Metric"),0),"{","&lt;"),"&lt;&lt; Pay Item not found &gt;&gt;")</f>
        <v>&lt;&lt; Pay Item not found &gt;&gt;</v>
      </c>
      <c r="G158" s="70" t="str">
        <f>IFERROR(VLOOKUP(Items[[#This Row],[Item]],Pay.Item.Listing[],3+2*(Units&lt;&gt;"Metric"),0),"–")</f>
        <v>–</v>
      </c>
      <c r="H158" s="70" t="str">
        <f>IFERROR(VLOOKUP(Items[[#This Row],[Item]],Pay.Item.Listing[],6,0),"–")</f>
        <v>–</v>
      </c>
      <c r="I158" s="70" t="str">
        <f>IFERROR(VLOOKUP(Items[[#This Row],[Item]],Pay.Item.Listing[],7,0),"–")</f>
        <v>–</v>
      </c>
      <c r="J158" s="71"/>
      <c r="K158" s="69"/>
      <c r="L158" s="69"/>
      <c r="M158" s="69"/>
      <c r="N158" s="69"/>
      <c r="O158" s="69"/>
      <c r="P158" s="69"/>
      <c r="Q158" s="69"/>
      <c r="R158" s="69"/>
      <c r="S158" s="69"/>
      <c r="T158" s="69"/>
      <c r="U158" s="69"/>
      <c r="V158" s="69"/>
      <c r="W158" s="69"/>
      <c r="X158" s="72">
        <f>IF(LEN(Items[[#This Row],[Item]])&gt;0,IF(Items[[#This Row],[Unit]]="LPSM",1,SUM(Items[[#This Row],[Col_1]:[Col_13]])),0)</f>
        <v>0</v>
      </c>
      <c r="Y158" s="190">
        <f>MAX(Items[[#This Row],[Quantity]]-SUM(Items[[#This Row],[Account2]]:Items[[#This Row],[Account7]]),0)</f>
        <v>0</v>
      </c>
      <c r="Z158" s="61"/>
      <c r="AA158" s="61"/>
      <c r="AB158" s="61"/>
      <c r="AC158" s="61"/>
      <c r="AD158" s="61"/>
      <c r="AE158" s="61"/>
      <c r="AF158" s="73"/>
      <c r="AG158" s="71"/>
      <c r="AH158" s="74"/>
      <c r="AI158" s="59"/>
      <c r="AJ158" s="190" t="str">
        <f ca="1">IFERROR(RANK(Items[[#This Row],[EstSort]],OFFSET(Items[EstSort],0,0,ROW(Proposed[])-ROW(Items[])+ROWS(Proposed[]),1),1),"")</f>
        <v/>
      </c>
      <c r="AK158" s="190" t="str">
        <f ca="1">IF(CHOOSE(MATCH(Account,Accounts,0),Items[[#This Row],[Count]],Items[[#This Row],[Account1]],Items[[#This Row],[Account2]],Items[[#This Row],[Account3]],Items[[#This Row],[Account7]])&gt;0,Items[[#This Row],[Sort]],"")</f>
        <v/>
      </c>
      <c r="AL158" s="70" t="str">
        <f ca="1">IF(LEN(Items[[#This Row],[Count]])&gt;0,IFERROR(INDEX(Calcs[Counter],MATCH(Items[[#This Row],[Line]],Calcs[Line],0)),""),"")</f>
        <v/>
      </c>
      <c r="AM158" s="156" t="str">
        <f ca="1">IFERROR(Letter&amp;TEXT((Items[[#This Row],[Count]]-1)*Incr+BeginLine,"0000"),"")</f>
        <v/>
      </c>
      <c r="AN158" s="7" t="str">
        <f>IF(ISNA(MATCH(LEFT(Items[[#This Row],[Raw Item]],5)&amp;"-"&amp;RIGHT(Items[[#This Row],[Raw Item]],4),Pay.Item.Listing[Pay Item],0)),"",LEFT(Items[[#This Row],[Raw Item]],5)&amp;"-"&amp;RIGHT(Items[[#This Row],[Raw Item]],4))</f>
        <v/>
      </c>
    </row>
    <row r="159" spans="1:40" x14ac:dyDescent="0.15">
      <c r="A159" s="7" t="str">
        <f ca="1">IFERROR(RANK(Items[[#This Row],[Sort]],OFFSET(Items[Sort],0,0,ROW(Proposed[])-ROW(Items[])+ROWS(Proposed[]),1),1),"")</f>
        <v/>
      </c>
      <c r="B159" s="7" t="str">
        <f>IF(LEN(Items[[#This Row],[Item]])&gt;0,Items[[#This Row],[Raw Item]]+COUNTIF(AN$4:AN159,AN159)/100,"")</f>
        <v/>
      </c>
      <c r="C159" s="7">
        <f>IFERROR(VALUE(LEFT(VALUE(SUBSTITUTE(Items[[#This Row],[Pay Item]],"-",""))*100000000,9)),0)</f>
        <v>0</v>
      </c>
      <c r="D159" s="8"/>
      <c r="E159" s="127"/>
      <c r="F159" s="123" t="str">
        <f>IFERROR(SUBSTITUTE(VLOOKUP(Items[[#This Row],[Item]],Pay.Item.Listing[],2+2*(Units&lt;&gt;"Metric"),0),"{","&lt;"),"&lt;&lt; Pay Item not found &gt;&gt;")</f>
        <v>&lt;&lt; Pay Item not found &gt;&gt;</v>
      </c>
      <c r="G159" s="70" t="str">
        <f>IFERROR(VLOOKUP(Items[[#This Row],[Item]],Pay.Item.Listing[],3+2*(Units&lt;&gt;"Metric"),0),"–")</f>
        <v>–</v>
      </c>
      <c r="H159" s="70" t="str">
        <f>IFERROR(VLOOKUP(Items[[#This Row],[Item]],Pay.Item.Listing[],6,0),"–")</f>
        <v>–</v>
      </c>
      <c r="I159" s="70" t="str">
        <f>IFERROR(VLOOKUP(Items[[#This Row],[Item]],Pay.Item.Listing[],7,0),"–")</f>
        <v>–</v>
      </c>
      <c r="J159" s="71"/>
      <c r="K159" s="69"/>
      <c r="L159" s="69"/>
      <c r="M159" s="69"/>
      <c r="N159" s="69"/>
      <c r="O159" s="69"/>
      <c r="P159" s="69"/>
      <c r="Q159" s="69"/>
      <c r="R159" s="69"/>
      <c r="S159" s="69"/>
      <c r="T159" s="69"/>
      <c r="U159" s="69"/>
      <c r="V159" s="69"/>
      <c r="W159" s="69"/>
      <c r="X159" s="72">
        <f>IF(LEN(Items[[#This Row],[Item]])&gt;0,IF(Items[[#This Row],[Unit]]="LPSM",1,SUM(Items[[#This Row],[Col_1]:[Col_13]])),0)</f>
        <v>0</v>
      </c>
      <c r="Y159" s="190">
        <f>MAX(Items[[#This Row],[Quantity]]-SUM(Items[[#This Row],[Account2]]:Items[[#This Row],[Account7]]),0)</f>
        <v>0</v>
      </c>
      <c r="Z159" s="61"/>
      <c r="AA159" s="61"/>
      <c r="AB159" s="61"/>
      <c r="AC159" s="61"/>
      <c r="AD159" s="61"/>
      <c r="AE159" s="61"/>
      <c r="AF159" s="73"/>
      <c r="AG159" s="71"/>
      <c r="AH159" s="74"/>
      <c r="AI159" s="59"/>
      <c r="AJ159" s="190" t="str">
        <f ca="1">IFERROR(RANK(Items[[#This Row],[EstSort]],OFFSET(Items[EstSort],0,0,ROW(Proposed[])-ROW(Items[])+ROWS(Proposed[]),1),1),"")</f>
        <v/>
      </c>
      <c r="AK159" s="190" t="str">
        <f ca="1">IF(CHOOSE(MATCH(Account,Accounts,0),Items[[#This Row],[Count]],Items[[#This Row],[Account1]],Items[[#This Row],[Account2]],Items[[#This Row],[Account3]],Items[[#This Row],[Account7]])&gt;0,Items[[#This Row],[Sort]],"")</f>
        <v/>
      </c>
      <c r="AL159" s="70" t="str">
        <f ca="1">IF(LEN(Items[[#This Row],[Count]])&gt;0,IFERROR(INDEX(Calcs[Counter],MATCH(Items[[#This Row],[Line]],Calcs[Line],0)),""),"")</f>
        <v/>
      </c>
      <c r="AM159" s="156" t="str">
        <f ca="1">IFERROR(Letter&amp;TEXT((Items[[#This Row],[Count]]-1)*Incr+BeginLine,"0000"),"")</f>
        <v/>
      </c>
      <c r="AN159" s="7" t="str">
        <f>IF(ISNA(MATCH(LEFT(Items[[#This Row],[Raw Item]],5)&amp;"-"&amp;RIGHT(Items[[#This Row],[Raw Item]],4),Pay.Item.Listing[Pay Item],0)),"",LEFT(Items[[#This Row],[Raw Item]],5)&amp;"-"&amp;RIGHT(Items[[#This Row],[Raw Item]],4))</f>
        <v/>
      </c>
    </row>
    <row r="160" spans="1:40" x14ac:dyDescent="0.15">
      <c r="A160" s="7" t="str">
        <f ca="1">IFERROR(RANK(Items[[#This Row],[Sort]],OFFSET(Items[Sort],0,0,ROW(Proposed[])-ROW(Items[])+ROWS(Proposed[]),1),1),"")</f>
        <v/>
      </c>
      <c r="B160" s="7" t="str">
        <f>IF(LEN(Items[[#This Row],[Item]])&gt;0,Items[[#This Row],[Raw Item]]+COUNTIF(AN$4:AN160,AN160)/100,"")</f>
        <v/>
      </c>
      <c r="C160" s="7">
        <f>IFERROR(VALUE(LEFT(VALUE(SUBSTITUTE(Items[[#This Row],[Pay Item]],"-",""))*100000000,9)),0)</f>
        <v>0</v>
      </c>
      <c r="D160" s="8"/>
      <c r="E160" s="127"/>
      <c r="F160" s="123" t="str">
        <f>IFERROR(SUBSTITUTE(VLOOKUP(Items[[#This Row],[Item]],Pay.Item.Listing[],2+2*(Units&lt;&gt;"Metric"),0),"{","&lt;"),"&lt;&lt; Pay Item not found &gt;&gt;")</f>
        <v>&lt;&lt; Pay Item not found &gt;&gt;</v>
      </c>
      <c r="G160" s="70" t="str">
        <f>IFERROR(VLOOKUP(Items[[#This Row],[Item]],Pay.Item.Listing[],3+2*(Units&lt;&gt;"Metric"),0),"–")</f>
        <v>–</v>
      </c>
      <c r="H160" s="70" t="str">
        <f>IFERROR(VLOOKUP(Items[[#This Row],[Item]],Pay.Item.Listing[],6,0),"–")</f>
        <v>–</v>
      </c>
      <c r="I160" s="70" t="str">
        <f>IFERROR(VLOOKUP(Items[[#This Row],[Item]],Pay.Item.Listing[],7,0),"–")</f>
        <v>–</v>
      </c>
      <c r="J160" s="71"/>
      <c r="K160" s="69"/>
      <c r="L160" s="69"/>
      <c r="M160" s="69"/>
      <c r="N160" s="69"/>
      <c r="O160" s="69"/>
      <c r="P160" s="69"/>
      <c r="Q160" s="69"/>
      <c r="R160" s="69"/>
      <c r="S160" s="69"/>
      <c r="T160" s="69"/>
      <c r="U160" s="69"/>
      <c r="V160" s="69"/>
      <c r="W160" s="69"/>
      <c r="X160" s="72">
        <f>IF(LEN(Items[[#This Row],[Item]])&gt;0,IF(Items[[#This Row],[Unit]]="LPSM",1,SUM(Items[[#This Row],[Col_1]:[Col_13]])),0)</f>
        <v>0</v>
      </c>
      <c r="Y160" s="190">
        <f>MAX(Items[[#This Row],[Quantity]]-SUM(Items[[#This Row],[Account2]]:Items[[#This Row],[Account7]]),0)</f>
        <v>0</v>
      </c>
      <c r="Z160" s="61"/>
      <c r="AA160" s="61"/>
      <c r="AB160" s="61"/>
      <c r="AC160" s="61"/>
      <c r="AD160" s="61"/>
      <c r="AE160" s="61"/>
      <c r="AF160" s="73"/>
      <c r="AG160" s="71"/>
      <c r="AH160" s="74"/>
      <c r="AI160" s="59"/>
      <c r="AJ160" s="190" t="str">
        <f ca="1">IFERROR(RANK(Items[[#This Row],[EstSort]],OFFSET(Items[EstSort],0,0,ROW(Proposed[])-ROW(Items[])+ROWS(Proposed[]),1),1),"")</f>
        <v/>
      </c>
      <c r="AK160" s="190" t="str">
        <f ca="1">IF(CHOOSE(MATCH(Account,Accounts,0),Items[[#This Row],[Count]],Items[[#This Row],[Account1]],Items[[#This Row],[Account2]],Items[[#This Row],[Account3]],Items[[#This Row],[Account7]])&gt;0,Items[[#This Row],[Sort]],"")</f>
        <v/>
      </c>
      <c r="AL160" s="70" t="str">
        <f ca="1">IF(LEN(Items[[#This Row],[Count]])&gt;0,IFERROR(INDEX(Calcs[Counter],MATCH(Items[[#This Row],[Line]],Calcs[Line],0)),""),"")</f>
        <v/>
      </c>
      <c r="AM160" s="156" t="str">
        <f ca="1">IFERROR(Letter&amp;TEXT((Items[[#This Row],[Count]]-1)*Incr+BeginLine,"0000"),"")</f>
        <v/>
      </c>
      <c r="AN160" s="7" t="str">
        <f>IF(ISNA(MATCH(LEFT(Items[[#This Row],[Raw Item]],5)&amp;"-"&amp;RIGHT(Items[[#This Row],[Raw Item]],4),Pay.Item.Listing[Pay Item],0)),"",LEFT(Items[[#This Row],[Raw Item]],5)&amp;"-"&amp;RIGHT(Items[[#This Row],[Raw Item]],4))</f>
        <v/>
      </c>
    </row>
    <row r="161" spans="1:40" x14ac:dyDescent="0.15">
      <c r="A161" s="7" t="str">
        <f ca="1">IFERROR(RANK(Items[[#This Row],[Sort]],OFFSET(Items[Sort],0,0,ROW(Proposed[])-ROW(Items[])+ROWS(Proposed[]),1),1),"")</f>
        <v/>
      </c>
      <c r="B161" s="7" t="str">
        <f>IF(LEN(Items[[#This Row],[Item]])&gt;0,Items[[#This Row],[Raw Item]]+COUNTIF(AN$4:AN161,AN161)/100,"")</f>
        <v/>
      </c>
      <c r="C161" s="7">
        <f>IFERROR(VALUE(LEFT(VALUE(SUBSTITUTE(Items[[#This Row],[Pay Item]],"-",""))*100000000,9)),0)</f>
        <v>0</v>
      </c>
      <c r="D161" s="8"/>
      <c r="E161" s="127"/>
      <c r="F161" s="123" t="str">
        <f>IFERROR(SUBSTITUTE(VLOOKUP(Items[[#This Row],[Item]],Pay.Item.Listing[],2+2*(Units&lt;&gt;"Metric"),0),"{","&lt;"),"&lt;&lt; Pay Item not found &gt;&gt;")</f>
        <v>&lt;&lt; Pay Item not found &gt;&gt;</v>
      </c>
      <c r="G161" s="70" t="str">
        <f>IFERROR(VLOOKUP(Items[[#This Row],[Item]],Pay.Item.Listing[],3+2*(Units&lt;&gt;"Metric"),0),"–")</f>
        <v>–</v>
      </c>
      <c r="H161" s="70" t="str">
        <f>IFERROR(VLOOKUP(Items[[#This Row],[Item]],Pay.Item.Listing[],6,0),"–")</f>
        <v>–</v>
      </c>
      <c r="I161" s="70" t="str">
        <f>IFERROR(VLOOKUP(Items[[#This Row],[Item]],Pay.Item.Listing[],7,0),"–")</f>
        <v>–</v>
      </c>
      <c r="J161" s="71"/>
      <c r="K161" s="69"/>
      <c r="L161" s="69"/>
      <c r="M161" s="69"/>
      <c r="N161" s="69"/>
      <c r="O161" s="69"/>
      <c r="P161" s="69"/>
      <c r="Q161" s="69"/>
      <c r="R161" s="69"/>
      <c r="S161" s="69"/>
      <c r="T161" s="69"/>
      <c r="U161" s="69"/>
      <c r="V161" s="69"/>
      <c r="W161" s="69"/>
      <c r="X161" s="72">
        <f>IF(LEN(Items[[#This Row],[Item]])&gt;0,IF(Items[[#This Row],[Unit]]="LPSM",1,SUM(Items[[#This Row],[Col_1]:[Col_13]])),0)</f>
        <v>0</v>
      </c>
      <c r="Y161" s="190">
        <f>MAX(Items[[#This Row],[Quantity]]-SUM(Items[[#This Row],[Account2]]:Items[[#This Row],[Account7]]),0)</f>
        <v>0</v>
      </c>
      <c r="Z161" s="61"/>
      <c r="AA161" s="61"/>
      <c r="AB161" s="61"/>
      <c r="AC161" s="61"/>
      <c r="AD161" s="61"/>
      <c r="AE161" s="61"/>
      <c r="AF161" s="73"/>
      <c r="AG161" s="71"/>
      <c r="AH161" s="74"/>
      <c r="AI161" s="59"/>
      <c r="AJ161" s="190" t="str">
        <f ca="1">IFERROR(RANK(Items[[#This Row],[EstSort]],OFFSET(Items[EstSort],0,0,ROW(Proposed[])-ROW(Items[])+ROWS(Proposed[]),1),1),"")</f>
        <v/>
      </c>
      <c r="AK161" s="190" t="str">
        <f ca="1">IF(CHOOSE(MATCH(Account,Accounts,0),Items[[#This Row],[Count]],Items[[#This Row],[Account1]],Items[[#This Row],[Account2]],Items[[#This Row],[Account3]],Items[[#This Row],[Account7]])&gt;0,Items[[#This Row],[Sort]],"")</f>
        <v/>
      </c>
      <c r="AL161" s="70" t="str">
        <f ca="1">IF(LEN(Items[[#This Row],[Count]])&gt;0,IFERROR(INDEX(Calcs[Counter],MATCH(Items[[#This Row],[Line]],Calcs[Line],0)),""),"")</f>
        <v/>
      </c>
      <c r="AM161" s="156" t="str">
        <f ca="1">IFERROR(Letter&amp;TEXT((Items[[#This Row],[Count]]-1)*Incr+BeginLine,"0000"),"")</f>
        <v/>
      </c>
      <c r="AN161" s="7" t="str">
        <f>IF(ISNA(MATCH(LEFT(Items[[#This Row],[Raw Item]],5)&amp;"-"&amp;RIGHT(Items[[#This Row],[Raw Item]],4),Pay.Item.Listing[Pay Item],0)),"",LEFT(Items[[#This Row],[Raw Item]],5)&amp;"-"&amp;RIGHT(Items[[#This Row],[Raw Item]],4))</f>
        <v/>
      </c>
    </row>
    <row r="162" spans="1:40" x14ac:dyDescent="0.15">
      <c r="A162" s="7" t="str">
        <f ca="1">IFERROR(RANK(Items[[#This Row],[Sort]],OFFSET(Items[Sort],0,0,ROW(Proposed[])-ROW(Items[])+ROWS(Proposed[]),1),1),"")</f>
        <v/>
      </c>
      <c r="B162" s="7" t="str">
        <f>IF(LEN(Items[[#This Row],[Item]])&gt;0,Items[[#This Row],[Raw Item]]+COUNTIF(AN$4:AN162,AN162)/100,"")</f>
        <v/>
      </c>
      <c r="C162" s="7">
        <f>IFERROR(VALUE(LEFT(VALUE(SUBSTITUTE(Items[[#This Row],[Pay Item]],"-",""))*100000000,9)),0)</f>
        <v>0</v>
      </c>
      <c r="D162" s="8"/>
      <c r="E162" s="127"/>
      <c r="F162" s="123" t="str">
        <f>IFERROR(SUBSTITUTE(VLOOKUP(Items[[#This Row],[Item]],Pay.Item.Listing[],2+2*(Units&lt;&gt;"Metric"),0),"{","&lt;"),"&lt;&lt; Pay Item not found &gt;&gt;")</f>
        <v>&lt;&lt; Pay Item not found &gt;&gt;</v>
      </c>
      <c r="G162" s="70" t="str">
        <f>IFERROR(VLOOKUP(Items[[#This Row],[Item]],Pay.Item.Listing[],3+2*(Units&lt;&gt;"Metric"),0),"–")</f>
        <v>–</v>
      </c>
      <c r="H162" s="70" t="str">
        <f>IFERROR(VLOOKUP(Items[[#This Row],[Item]],Pay.Item.Listing[],6,0),"–")</f>
        <v>–</v>
      </c>
      <c r="I162" s="70" t="str">
        <f>IFERROR(VLOOKUP(Items[[#This Row],[Item]],Pay.Item.Listing[],7,0),"–")</f>
        <v>–</v>
      </c>
      <c r="J162" s="71"/>
      <c r="K162" s="69"/>
      <c r="L162" s="69"/>
      <c r="M162" s="69"/>
      <c r="N162" s="69"/>
      <c r="O162" s="69"/>
      <c r="P162" s="69"/>
      <c r="Q162" s="69"/>
      <c r="R162" s="69"/>
      <c r="S162" s="69"/>
      <c r="T162" s="69"/>
      <c r="U162" s="69"/>
      <c r="V162" s="69"/>
      <c r="W162" s="69"/>
      <c r="X162" s="72">
        <f>IF(LEN(Items[[#This Row],[Item]])&gt;0,IF(Items[[#This Row],[Unit]]="LPSM",1,SUM(Items[[#This Row],[Col_1]:[Col_13]])),0)</f>
        <v>0</v>
      </c>
      <c r="Y162" s="190">
        <f>MAX(Items[[#This Row],[Quantity]]-SUM(Items[[#This Row],[Account2]]:Items[[#This Row],[Account7]]),0)</f>
        <v>0</v>
      </c>
      <c r="Z162" s="61"/>
      <c r="AA162" s="61"/>
      <c r="AB162" s="61"/>
      <c r="AC162" s="61"/>
      <c r="AD162" s="61"/>
      <c r="AE162" s="61"/>
      <c r="AF162" s="73"/>
      <c r="AG162" s="71"/>
      <c r="AH162" s="74"/>
      <c r="AI162" s="59"/>
      <c r="AJ162" s="190" t="str">
        <f ca="1">IFERROR(RANK(Items[[#This Row],[EstSort]],OFFSET(Items[EstSort],0,0,ROW(Proposed[])-ROW(Items[])+ROWS(Proposed[]),1),1),"")</f>
        <v/>
      </c>
      <c r="AK162" s="190" t="str">
        <f ca="1">IF(CHOOSE(MATCH(Account,Accounts,0),Items[[#This Row],[Count]],Items[[#This Row],[Account1]],Items[[#This Row],[Account2]],Items[[#This Row],[Account3]],Items[[#This Row],[Account7]])&gt;0,Items[[#This Row],[Sort]],"")</f>
        <v/>
      </c>
      <c r="AL162" s="70" t="str">
        <f ca="1">IF(LEN(Items[[#This Row],[Count]])&gt;0,IFERROR(INDEX(Calcs[Counter],MATCH(Items[[#This Row],[Line]],Calcs[Line],0)),""),"")</f>
        <v/>
      </c>
      <c r="AM162" s="156" t="str">
        <f ca="1">IFERROR(Letter&amp;TEXT((Items[[#This Row],[Count]]-1)*Incr+BeginLine,"0000"),"")</f>
        <v/>
      </c>
      <c r="AN162" s="7" t="str">
        <f>IF(ISNA(MATCH(LEFT(Items[[#This Row],[Raw Item]],5)&amp;"-"&amp;RIGHT(Items[[#This Row],[Raw Item]],4),Pay.Item.Listing[Pay Item],0)),"",LEFT(Items[[#This Row],[Raw Item]],5)&amp;"-"&amp;RIGHT(Items[[#This Row],[Raw Item]],4))</f>
        <v/>
      </c>
    </row>
    <row r="163" spans="1:40" x14ac:dyDescent="0.15">
      <c r="A163" s="7" t="str">
        <f ca="1">IFERROR(RANK(Items[[#This Row],[Sort]],OFFSET(Items[Sort],0,0,ROW(Proposed[])-ROW(Items[])+ROWS(Proposed[]),1),1),"")</f>
        <v/>
      </c>
      <c r="B163" s="7" t="str">
        <f>IF(LEN(Items[[#This Row],[Item]])&gt;0,Items[[#This Row],[Raw Item]]+COUNTIF(AN$4:AN163,AN163)/100,"")</f>
        <v/>
      </c>
      <c r="C163" s="7">
        <f>IFERROR(VALUE(LEFT(VALUE(SUBSTITUTE(Items[[#This Row],[Pay Item]],"-",""))*100000000,9)),0)</f>
        <v>0</v>
      </c>
      <c r="D163" s="8"/>
      <c r="E163" s="127"/>
      <c r="F163" s="123" t="str">
        <f>IFERROR(SUBSTITUTE(VLOOKUP(Items[[#This Row],[Item]],Pay.Item.Listing[],2+2*(Units&lt;&gt;"Metric"),0),"{","&lt;"),"&lt;&lt; Pay Item not found &gt;&gt;")</f>
        <v>&lt;&lt; Pay Item not found &gt;&gt;</v>
      </c>
      <c r="G163" s="70" t="str">
        <f>IFERROR(VLOOKUP(Items[[#This Row],[Item]],Pay.Item.Listing[],3+2*(Units&lt;&gt;"Metric"),0),"–")</f>
        <v>–</v>
      </c>
      <c r="H163" s="70" t="str">
        <f>IFERROR(VLOOKUP(Items[[#This Row],[Item]],Pay.Item.Listing[],6,0),"–")</f>
        <v>–</v>
      </c>
      <c r="I163" s="70" t="str">
        <f>IFERROR(VLOOKUP(Items[[#This Row],[Item]],Pay.Item.Listing[],7,0),"–")</f>
        <v>–</v>
      </c>
      <c r="J163" s="71"/>
      <c r="K163" s="69"/>
      <c r="L163" s="69"/>
      <c r="M163" s="69"/>
      <c r="N163" s="69"/>
      <c r="O163" s="69"/>
      <c r="P163" s="69"/>
      <c r="Q163" s="69"/>
      <c r="R163" s="69"/>
      <c r="S163" s="69"/>
      <c r="T163" s="69"/>
      <c r="U163" s="69"/>
      <c r="V163" s="69"/>
      <c r="W163" s="69"/>
      <c r="X163" s="72">
        <f>IF(LEN(Items[[#This Row],[Item]])&gt;0,IF(Items[[#This Row],[Unit]]="LPSM",1,SUM(Items[[#This Row],[Col_1]:[Col_13]])),0)</f>
        <v>0</v>
      </c>
      <c r="Y163" s="190">
        <f>MAX(Items[[#This Row],[Quantity]]-SUM(Items[[#This Row],[Account2]]:Items[[#This Row],[Account7]]),0)</f>
        <v>0</v>
      </c>
      <c r="Z163" s="61"/>
      <c r="AA163" s="61"/>
      <c r="AB163" s="61"/>
      <c r="AC163" s="61"/>
      <c r="AD163" s="61"/>
      <c r="AE163" s="61"/>
      <c r="AF163" s="73"/>
      <c r="AG163" s="71"/>
      <c r="AH163" s="74"/>
      <c r="AI163" s="59"/>
      <c r="AJ163" s="190" t="str">
        <f ca="1">IFERROR(RANK(Items[[#This Row],[EstSort]],OFFSET(Items[EstSort],0,0,ROW(Proposed[])-ROW(Items[])+ROWS(Proposed[]),1),1),"")</f>
        <v/>
      </c>
      <c r="AK163" s="190" t="str">
        <f ca="1">IF(CHOOSE(MATCH(Account,Accounts,0),Items[[#This Row],[Count]],Items[[#This Row],[Account1]],Items[[#This Row],[Account2]],Items[[#This Row],[Account3]],Items[[#This Row],[Account7]])&gt;0,Items[[#This Row],[Sort]],"")</f>
        <v/>
      </c>
      <c r="AL163" s="70" t="str">
        <f ca="1">IF(LEN(Items[[#This Row],[Count]])&gt;0,IFERROR(INDEX(Calcs[Counter],MATCH(Items[[#This Row],[Line]],Calcs[Line],0)),""),"")</f>
        <v/>
      </c>
      <c r="AM163" s="156" t="str">
        <f ca="1">IFERROR(Letter&amp;TEXT((Items[[#This Row],[Count]]-1)*Incr+BeginLine,"0000"),"")</f>
        <v/>
      </c>
      <c r="AN163" s="7" t="str">
        <f>IF(ISNA(MATCH(LEFT(Items[[#This Row],[Raw Item]],5)&amp;"-"&amp;RIGHT(Items[[#This Row],[Raw Item]],4),Pay.Item.Listing[Pay Item],0)),"",LEFT(Items[[#This Row],[Raw Item]],5)&amp;"-"&amp;RIGHT(Items[[#This Row],[Raw Item]],4))</f>
        <v/>
      </c>
    </row>
    <row r="164" spans="1:40" x14ac:dyDescent="0.15">
      <c r="A164" s="7" t="str">
        <f ca="1">IFERROR(RANK(Items[[#This Row],[Sort]],OFFSET(Items[Sort],0,0,ROW(Proposed[])-ROW(Items[])+ROWS(Proposed[]),1),1),"")</f>
        <v/>
      </c>
      <c r="B164" s="7" t="str">
        <f>IF(LEN(Items[[#This Row],[Item]])&gt;0,Items[[#This Row],[Raw Item]]+COUNTIF(AN$4:AN164,AN164)/100,"")</f>
        <v/>
      </c>
      <c r="C164" s="7">
        <f>IFERROR(VALUE(LEFT(VALUE(SUBSTITUTE(Items[[#This Row],[Pay Item]],"-",""))*100000000,9)),0)</f>
        <v>0</v>
      </c>
      <c r="D164" s="8"/>
      <c r="E164" s="127"/>
      <c r="F164" s="123" t="str">
        <f>IFERROR(SUBSTITUTE(VLOOKUP(Items[[#This Row],[Item]],Pay.Item.Listing[],2+2*(Units&lt;&gt;"Metric"),0),"{","&lt;"),"&lt;&lt; Pay Item not found &gt;&gt;")</f>
        <v>&lt;&lt; Pay Item not found &gt;&gt;</v>
      </c>
      <c r="G164" s="70" t="str">
        <f>IFERROR(VLOOKUP(Items[[#This Row],[Item]],Pay.Item.Listing[],3+2*(Units&lt;&gt;"Metric"),0),"–")</f>
        <v>–</v>
      </c>
      <c r="H164" s="70" t="str">
        <f>IFERROR(VLOOKUP(Items[[#This Row],[Item]],Pay.Item.Listing[],6,0),"–")</f>
        <v>–</v>
      </c>
      <c r="I164" s="70" t="str">
        <f>IFERROR(VLOOKUP(Items[[#This Row],[Item]],Pay.Item.Listing[],7,0),"–")</f>
        <v>–</v>
      </c>
      <c r="J164" s="71"/>
      <c r="K164" s="69"/>
      <c r="L164" s="69"/>
      <c r="M164" s="69"/>
      <c r="N164" s="69"/>
      <c r="O164" s="69"/>
      <c r="P164" s="69"/>
      <c r="Q164" s="69"/>
      <c r="R164" s="69"/>
      <c r="S164" s="69"/>
      <c r="T164" s="69"/>
      <c r="U164" s="69"/>
      <c r="V164" s="69"/>
      <c r="W164" s="69"/>
      <c r="X164" s="72">
        <f>IF(LEN(Items[[#This Row],[Item]])&gt;0,IF(Items[[#This Row],[Unit]]="LPSM",1,SUM(Items[[#This Row],[Col_1]:[Col_13]])),0)</f>
        <v>0</v>
      </c>
      <c r="Y164" s="190">
        <f>MAX(Items[[#This Row],[Quantity]]-SUM(Items[[#This Row],[Account2]]:Items[[#This Row],[Account7]]),0)</f>
        <v>0</v>
      </c>
      <c r="Z164" s="61"/>
      <c r="AA164" s="61"/>
      <c r="AB164" s="61"/>
      <c r="AC164" s="61"/>
      <c r="AD164" s="61"/>
      <c r="AE164" s="61"/>
      <c r="AF164" s="73"/>
      <c r="AG164" s="71"/>
      <c r="AH164" s="74"/>
      <c r="AI164" s="59"/>
      <c r="AJ164" s="190" t="str">
        <f ca="1">IFERROR(RANK(Items[[#This Row],[EstSort]],OFFSET(Items[EstSort],0,0,ROW(Proposed[])-ROW(Items[])+ROWS(Proposed[]),1),1),"")</f>
        <v/>
      </c>
      <c r="AK164" s="190" t="str">
        <f ca="1">IF(CHOOSE(MATCH(Account,Accounts,0),Items[[#This Row],[Count]],Items[[#This Row],[Account1]],Items[[#This Row],[Account2]],Items[[#This Row],[Account3]],Items[[#This Row],[Account7]])&gt;0,Items[[#This Row],[Sort]],"")</f>
        <v/>
      </c>
      <c r="AL164" s="70" t="str">
        <f ca="1">IF(LEN(Items[[#This Row],[Count]])&gt;0,IFERROR(INDEX(Calcs[Counter],MATCH(Items[[#This Row],[Line]],Calcs[Line],0)),""),"")</f>
        <v/>
      </c>
      <c r="AM164" s="156" t="str">
        <f ca="1">IFERROR(Letter&amp;TEXT((Items[[#This Row],[Count]]-1)*Incr+BeginLine,"0000"),"")</f>
        <v/>
      </c>
      <c r="AN164" s="7" t="str">
        <f>IF(ISNA(MATCH(LEFT(Items[[#This Row],[Raw Item]],5)&amp;"-"&amp;RIGHT(Items[[#This Row],[Raw Item]],4),Pay.Item.Listing[Pay Item],0)),"",LEFT(Items[[#This Row],[Raw Item]],5)&amp;"-"&amp;RIGHT(Items[[#This Row],[Raw Item]],4))</f>
        <v/>
      </c>
    </row>
    <row r="165" spans="1:40" x14ac:dyDescent="0.15">
      <c r="A165" s="7" t="str">
        <f ca="1">IFERROR(RANK(Items[[#This Row],[Sort]],OFFSET(Items[Sort],0,0,ROW(Proposed[])-ROW(Items[])+ROWS(Proposed[]),1),1),"")</f>
        <v/>
      </c>
      <c r="B165" s="7" t="str">
        <f>IF(LEN(Items[[#This Row],[Item]])&gt;0,Items[[#This Row],[Raw Item]]+COUNTIF(AN$4:AN165,AN165)/100,"")</f>
        <v/>
      </c>
      <c r="C165" s="7">
        <f>IFERROR(VALUE(LEFT(VALUE(SUBSTITUTE(Items[[#This Row],[Pay Item]],"-",""))*100000000,9)),0)</f>
        <v>0</v>
      </c>
      <c r="D165" s="8"/>
      <c r="E165" s="127"/>
      <c r="F165" s="123" t="str">
        <f>IFERROR(SUBSTITUTE(VLOOKUP(Items[[#This Row],[Item]],Pay.Item.Listing[],2+2*(Units&lt;&gt;"Metric"),0),"{","&lt;"),"&lt;&lt; Pay Item not found &gt;&gt;")</f>
        <v>&lt;&lt; Pay Item not found &gt;&gt;</v>
      </c>
      <c r="G165" s="70" t="str">
        <f>IFERROR(VLOOKUP(Items[[#This Row],[Item]],Pay.Item.Listing[],3+2*(Units&lt;&gt;"Metric"),0),"–")</f>
        <v>–</v>
      </c>
      <c r="H165" s="70" t="str">
        <f>IFERROR(VLOOKUP(Items[[#This Row],[Item]],Pay.Item.Listing[],6,0),"–")</f>
        <v>–</v>
      </c>
      <c r="I165" s="70" t="str">
        <f>IFERROR(VLOOKUP(Items[[#This Row],[Item]],Pay.Item.Listing[],7,0),"–")</f>
        <v>–</v>
      </c>
      <c r="J165" s="71"/>
      <c r="K165" s="69"/>
      <c r="L165" s="69"/>
      <c r="M165" s="69"/>
      <c r="N165" s="69"/>
      <c r="O165" s="69"/>
      <c r="P165" s="69"/>
      <c r="Q165" s="69"/>
      <c r="R165" s="69"/>
      <c r="S165" s="69"/>
      <c r="T165" s="69"/>
      <c r="U165" s="69"/>
      <c r="V165" s="69"/>
      <c r="W165" s="69"/>
      <c r="X165" s="72">
        <f>IF(LEN(Items[[#This Row],[Item]])&gt;0,IF(Items[[#This Row],[Unit]]="LPSM",1,SUM(Items[[#This Row],[Col_1]:[Col_13]])),0)</f>
        <v>0</v>
      </c>
      <c r="Y165" s="190">
        <f>MAX(Items[[#This Row],[Quantity]]-SUM(Items[[#This Row],[Account2]]:Items[[#This Row],[Account7]]),0)</f>
        <v>0</v>
      </c>
      <c r="Z165" s="61"/>
      <c r="AA165" s="61"/>
      <c r="AB165" s="61"/>
      <c r="AC165" s="61"/>
      <c r="AD165" s="61"/>
      <c r="AE165" s="61"/>
      <c r="AF165" s="73"/>
      <c r="AG165" s="71"/>
      <c r="AH165" s="74"/>
      <c r="AI165" s="59"/>
      <c r="AJ165" s="190" t="str">
        <f ca="1">IFERROR(RANK(Items[[#This Row],[EstSort]],OFFSET(Items[EstSort],0,0,ROW(Proposed[])-ROW(Items[])+ROWS(Proposed[]),1),1),"")</f>
        <v/>
      </c>
      <c r="AK165" s="190" t="str">
        <f ca="1">IF(CHOOSE(MATCH(Account,Accounts,0),Items[[#This Row],[Count]],Items[[#This Row],[Account1]],Items[[#This Row],[Account2]],Items[[#This Row],[Account3]],Items[[#This Row],[Account7]])&gt;0,Items[[#This Row],[Sort]],"")</f>
        <v/>
      </c>
      <c r="AL165" s="70" t="str">
        <f ca="1">IF(LEN(Items[[#This Row],[Count]])&gt;0,IFERROR(INDEX(Calcs[Counter],MATCH(Items[[#This Row],[Line]],Calcs[Line],0)),""),"")</f>
        <v/>
      </c>
      <c r="AM165" s="156" t="str">
        <f ca="1">IFERROR(Letter&amp;TEXT((Items[[#This Row],[Count]]-1)*Incr+BeginLine,"0000"),"")</f>
        <v/>
      </c>
      <c r="AN165" s="7" t="str">
        <f>IF(ISNA(MATCH(LEFT(Items[[#This Row],[Raw Item]],5)&amp;"-"&amp;RIGHT(Items[[#This Row],[Raw Item]],4),Pay.Item.Listing[Pay Item],0)),"",LEFT(Items[[#This Row],[Raw Item]],5)&amp;"-"&amp;RIGHT(Items[[#This Row],[Raw Item]],4))</f>
        <v/>
      </c>
    </row>
    <row r="166" spans="1:40" x14ac:dyDescent="0.15">
      <c r="A166" s="7" t="str">
        <f ca="1">IFERROR(RANK(Items[[#This Row],[Sort]],OFFSET(Items[Sort],0,0,ROW(Proposed[])-ROW(Items[])+ROWS(Proposed[]),1),1),"")</f>
        <v/>
      </c>
      <c r="B166" s="7" t="str">
        <f>IF(LEN(Items[[#This Row],[Item]])&gt;0,Items[[#This Row],[Raw Item]]+COUNTIF(AN$4:AN166,AN166)/100,"")</f>
        <v/>
      </c>
      <c r="C166" s="7">
        <f>IFERROR(VALUE(LEFT(VALUE(SUBSTITUTE(Items[[#This Row],[Pay Item]],"-",""))*100000000,9)),0)</f>
        <v>0</v>
      </c>
      <c r="D166" s="8"/>
      <c r="E166" s="127"/>
      <c r="F166" s="123" t="str">
        <f>IFERROR(SUBSTITUTE(VLOOKUP(Items[[#This Row],[Item]],Pay.Item.Listing[],2+2*(Units&lt;&gt;"Metric"),0),"{","&lt;"),"&lt;&lt; Pay Item not found &gt;&gt;")</f>
        <v>&lt;&lt; Pay Item not found &gt;&gt;</v>
      </c>
      <c r="G166" s="70" t="str">
        <f>IFERROR(VLOOKUP(Items[[#This Row],[Item]],Pay.Item.Listing[],3+2*(Units&lt;&gt;"Metric"),0),"–")</f>
        <v>–</v>
      </c>
      <c r="H166" s="70" t="str">
        <f>IFERROR(VLOOKUP(Items[[#This Row],[Item]],Pay.Item.Listing[],6,0),"–")</f>
        <v>–</v>
      </c>
      <c r="I166" s="70" t="str">
        <f>IFERROR(VLOOKUP(Items[[#This Row],[Item]],Pay.Item.Listing[],7,0),"–")</f>
        <v>–</v>
      </c>
      <c r="J166" s="71"/>
      <c r="K166" s="69"/>
      <c r="L166" s="69"/>
      <c r="M166" s="69"/>
      <c r="N166" s="69"/>
      <c r="O166" s="69"/>
      <c r="P166" s="69"/>
      <c r="Q166" s="69"/>
      <c r="R166" s="69"/>
      <c r="S166" s="69"/>
      <c r="T166" s="69"/>
      <c r="U166" s="69"/>
      <c r="V166" s="69"/>
      <c r="W166" s="69"/>
      <c r="X166" s="72">
        <f>IF(LEN(Items[[#This Row],[Item]])&gt;0,IF(Items[[#This Row],[Unit]]="LPSM",1,SUM(Items[[#This Row],[Col_1]:[Col_13]])),0)</f>
        <v>0</v>
      </c>
      <c r="Y166" s="190">
        <f>MAX(Items[[#This Row],[Quantity]]-SUM(Items[[#This Row],[Account2]]:Items[[#This Row],[Account7]]),0)</f>
        <v>0</v>
      </c>
      <c r="Z166" s="61"/>
      <c r="AA166" s="61"/>
      <c r="AB166" s="61"/>
      <c r="AC166" s="61"/>
      <c r="AD166" s="61"/>
      <c r="AE166" s="61"/>
      <c r="AF166" s="73"/>
      <c r="AG166" s="71"/>
      <c r="AH166" s="74"/>
      <c r="AI166" s="59"/>
      <c r="AJ166" s="190" t="str">
        <f ca="1">IFERROR(RANK(Items[[#This Row],[EstSort]],OFFSET(Items[EstSort],0,0,ROW(Proposed[])-ROW(Items[])+ROWS(Proposed[]),1),1),"")</f>
        <v/>
      </c>
      <c r="AK166" s="190" t="str">
        <f ca="1">IF(CHOOSE(MATCH(Account,Accounts,0),Items[[#This Row],[Count]],Items[[#This Row],[Account1]],Items[[#This Row],[Account2]],Items[[#This Row],[Account3]],Items[[#This Row],[Account7]])&gt;0,Items[[#This Row],[Sort]],"")</f>
        <v/>
      </c>
      <c r="AL166" s="70" t="str">
        <f ca="1">IF(LEN(Items[[#This Row],[Count]])&gt;0,IFERROR(INDEX(Calcs[Counter],MATCH(Items[[#This Row],[Line]],Calcs[Line],0)),""),"")</f>
        <v/>
      </c>
      <c r="AM166" s="156" t="str">
        <f ca="1">IFERROR(Letter&amp;TEXT((Items[[#This Row],[Count]]-1)*Incr+BeginLine,"0000"),"")</f>
        <v/>
      </c>
      <c r="AN166" s="7" t="str">
        <f>IF(ISNA(MATCH(LEFT(Items[[#This Row],[Raw Item]],5)&amp;"-"&amp;RIGHT(Items[[#This Row],[Raw Item]],4),Pay.Item.Listing[Pay Item],0)),"",LEFT(Items[[#This Row],[Raw Item]],5)&amp;"-"&amp;RIGHT(Items[[#This Row],[Raw Item]],4))</f>
        <v/>
      </c>
    </row>
    <row r="167" spans="1:40" x14ac:dyDescent="0.15">
      <c r="A167" s="7" t="str">
        <f ca="1">IFERROR(RANK(Items[[#This Row],[Sort]],OFFSET(Items[Sort],0,0,ROW(Proposed[])-ROW(Items[])+ROWS(Proposed[]),1),1),"")</f>
        <v/>
      </c>
      <c r="B167" s="7" t="str">
        <f>IF(LEN(Items[[#This Row],[Item]])&gt;0,Items[[#This Row],[Raw Item]]+COUNTIF(AN$4:AN167,AN167)/100,"")</f>
        <v/>
      </c>
      <c r="C167" s="7">
        <f>IFERROR(VALUE(LEFT(VALUE(SUBSTITUTE(Items[[#This Row],[Pay Item]],"-",""))*100000000,9)),0)</f>
        <v>0</v>
      </c>
      <c r="D167" s="8"/>
      <c r="E167" s="127"/>
      <c r="F167" s="123" t="str">
        <f>IFERROR(SUBSTITUTE(VLOOKUP(Items[[#This Row],[Item]],Pay.Item.Listing[],2+2*(Units&lt;&gt;"Metric"),0),"{","&lt;"),"&lt;&lt; Pay Item not found &gt;&gt;")</f>
        <v>&lt;&lt; Pay Item not found &gt;&gt;</v>
      </c>
      <c r="G167" s="70" t="str">
        <f>IFERROR(VLOOKUP(Items[[#This Row],[Item]],Pay.Item.Listing[],3+2*(Units&lt;&gt;"Metric"),0),"–")</f>
        <v>–</v>
      </c>
      <c r="H167" s="70" t="str">
        <f>IFERROR(VLOOKUP(Items[[#This Row],[Item]],Pay.Item.Listing[],6,0),"–")</f>
        <v>–</v>
      </c>
      <c r="I167" s="70" t="str">
        <f>IFERROR(VLOOKUP(Items[[#This Row],[Item]],Pay.Item.Listing[],7,0),"–")</f>
        <v>–</v>
      </c>
      <c r="J167" s="71"/>
      <c r="K167" s="69"/>
      <c r="L167" s="69"/>
      <c r="M167" s="69"/>
      <c r="N167" s="69"/>
      <c r="O167" s="69"/>
      <c r="P167" s="69"/>
      <c r="Q167" s="69"/>
      <c r="R167" s="69"/>
      <c r="S167" s="69"/>
      <c r="T167" s="69"/>
      <c r="U167" s="69"/>
      <c r="V167" s="69"/>
      <c r="W167" s="69"/>
      <c r="X167" s="72">
        <f>IF(LEN(Items[[#This Row],[Item]])&gt;0,IF(Items[[#This Row],[Unit]]="LPSM",1,SUM(Items[[#This Row],[Col_1]:[Col_13]])),0)</f>
        <v>0</v>
      </c>
      <c r="Y167" s="190">
        <f>MAX(Items[[#This Row],[Quantity]]-SUM(Items[[#This Row],[Account2]]:Items[[#This Row],[Account7]]),0)</f>
        <v>0</v>
      </c>
      <c r="Z167" s="61"/>
      <c r="AA167" s="61"/>
      <c r="AB167" s="61"/>
      <c r="AC167" s="61"/>
      <c r="AD167" s="61"/>
      <c r="AE167" s="61"/>
      <c r="AF167" s="73"/>
      <c r="AG167" s="71"/>
      <c r="AH167" s="74"/>
      <c r="AI167" s="59"/>
      <c r="AJ167" s="190" t="str">
        <f ca="1">IFERROR(RANK(Items[[#This Row],[EstSort]],OFFSET(Items[EstSort],0,0,ROW(Proposed[])-ROW(Items[])+ROWS(Proposed[]),1),1),"")</f>
        <v/>
      </c>
      <c r="AK167" s="190" t="str">
        <f ca="1">IF(CHOOSE(MATCH(Account,Accounts,0),Items[[#This Row],[Count]],Items[[#This Row],[Account1]],Items[[#This Row],[Account2]],Items[[#This Row],[Account3]],Items[[#This Row],[Account7]])&gt;0,Items[[#This Row],[Sort]],"")</f>
        <v/>
      </c>
      <c r="AL167" s="70" t="str">
        <f ca="1">IF(LEN(Items[[#This Row],[Count]])&gt;0,IFERROR(INDEX(Calcs[Counter],MATCH(Items[[#This Row],[Line]],Calcs[Line],0)),""),"")</f>
        <v/>
      </c>
      <c r="AM167" s="156" t="str">
        <f ca="1">IFERROR(Letter&amp;TEXT((Items[[#This Row],[Count]]-1)*Incr+BeginLine,"0000"),"")</f>
        <v/>
      </c>
      <c r="AN167" s="7" t="str">
        <f>IF(ISNA(MATCH(LEFT(Items[[#This Row],[Raw Item]],5)&amp;"-"&amp;RIGHT(Items[[#This Row],[Raw Item]],4),Pay.Item.Listing[Pay Item],0)),"",LEFT(Items[[#This Row],[Raw Item]],5)&amp;"-"&amp;RIGHT(Items[[#This Row],[Raw Item]],4))</f>
        <v/>
      </c>
    </row>
    <row r="168" spans="1:40" x14ac:dyDescent="0.15">
      <c r="A168" s="7" t="str">
        <f ca="1">IFERROR(RANK(Items[[#This Row],[Sort]],OFFSET(Items[Sort],0,0,ROW(Proposed[])-ROW(Items[])+ROWS(Proposed[]),1),1),"")</f>
        <v/>
      </c>
      <c r="B168" s="7" t="str">
        <f>IF(LEN(Items[[#This Row],[Item]])&gt;0,Items[[#This Row],[Raw Item]]+COUNTIF(AN$4:AN168,AN168)/100,"")</f>
        <v/>
      </c>
      <c r="C168" s="7">
        <f>IFERROR(VALUE(LEFT(VALUE(SUBSTITUTE(Items[[#This Row],[Pay Item]],"-",""))*100000000,9)),0)</f>
        <v>0</v>
      </c>
      <c r="D168" s="8"/>
      <c r="E168" s="127"/>
      <c r="F168" s="123" t="str">
        <f>IFERROR(SUBSTITUTE(VLOOKUP(Items[[#This Row],[Item]],Pay.Item.Listing[],2+2*(Units&lt;&gt;"Metric"),0),"{","&lt;"),"&lt;&lt; Pay Item not found &gt;&gt;")</f>
        <v>&lt;&lt; Pay Item not found &gt;&gt;</v>
      </c>
      <c r="G168" s="70" t="str">
        <f>IFERROR(VLOOKUP(Items[[#This Row],[Item]],Pay.Item.Listing[],3+2*(Units&lt;&gt;"Metric"),0),"–")</f>
        <v>–</v>
      </c>
      <c r="H168" s="70" t="str">
        <f>IFERROR(VLOOKUP(Items[[#This Row],[Item]],Pay.Item.Listing[],6,0),"–")</f>
        <v>–</v>
      </c>
      <c r="I168" s="70" t="str">
        <f>IFERROR(VLOOKUP(Items[[#This Row],[Item]],Pay.Item.Listing[],7,0),"–")</f>
        <v>–</v>
      </c>
      <c r="J168" s="71"/>
      <c r="K168" s="69"/>
      <c r="L168" s="69"/>
      <c r="M168" s="69"/>
      <c r="N168" s="69"/>
      <c r="O168" s="69"/>
      <c r="P168" s="69"/>
      <c r="Q168" s="69"/>
      <c r="R168" s="69"/>
      <c r="S168" s="69"/>
      <c r="T168" s="69"/>
      <c r="U168" s="69"/>
      <c r="V168" s="69"/>
      <c r="W168" s="69"/>
      <c r="X168" s="72">
        <f>IF(LEN(Items[[#This Row],[Item]])&gt;0,IF(Items[[#This Row],[Unit]]="LPSM",1,SUM(Items[[#This Row],[Col_1]:[Col_13]])),0)</f>
        <v>0</v>
      </c>
      <c r="Y168" s="190">
        <f>MAX(Items[[#This Row],[Quantity]]-SUM(Items[[#This Row],[Account2]]:Items[[#This Row],[Account7]]),0)</f>
        <v>0</v>
      </c>
      <c r="Z168" s="61"/>
      <c r="AA168" s="61"/>
      <c r="AB168" s="61"/>
      <c r="AC168" s="61"/>
      <c r="AD168" s="61"/>
      <c r="AE168" s="61"/>
      <c r="AF168" s="73"/>
      <c r="AG168" s="71"/>
      <c r="AH168" s="74"/>
      <c r="AI168" s="59"/>
      <c r="AJ168" s="190" t="str">
        <f ca="1">IFERROR(RANK(Items[[#This Row],[EstSort]],OFFSET(Items[EstSort],0,0,ROW(Proposed[])-ROW(Items[])+ROWS(Proposed[]),1),1),"")</f>
        <v/>
      </c>
      <c r="AK168" s="190" t="str">
        <f ca="1">IF(CHOOSE(MATCH(Account,Accounts,0),Items[[#This Row],[Count]],Items[[#This Row],[Account1]],Items[[#This Row],[Account2]],Items[[#This Row],[Account3]],Items[[#This Row],[Account7]])&gt;0,Items[[#This Row],[Sort]],"")</f>
        <v/>
      </c>
      <c r="AL168" s="70" t="str">
        <f ca="1">IF(LEN(Items[[#This Row],[Count]])&gt;0,IFERROR(INDEX(Calcs[Counter],MATCH(Items[[#This Row],[Line]],Calcs[Line],0)),""),"")</f>
        <v/>
      </c>
      <c r="AM168" s="156" t="str">
        <f ca="1">IFERROR(Letter&amp;TEXT((Items[[#This Row],[Count]]-1)*Incr+BeginLine,"0000"),"")</f>
        <v/>
      </c>
      <c r="AN168" s="7" t="str">
        <f>IF(ISNA(MATCH(LEFT(Items[[#This Row],[Raw Item]],5)&amp;"-"&amp;RIGHT(Items[[#This Row],[Raw Item]],4),Pay.Item.Listing[Pay Item],0)),"",LEFT(Items[[#This Row],[Raw Item]],5)&amp;"-"&amp;RIGHT(Items[[#This Row],[Raw Item]],4))</f>
        <v/>
      </c>
    </row>
    <row r="169" spans="1:40" x14ac:dyDescent="0.15">
      <c r="A169" s="7" t="str">
        <f ca="1">IFERROR(RANK(Items[[#This Row],[Sort]],OFFSET(Items[Sort],0,0,ROW(Proposed[])-ROW(Items[])+ROWS(Proposed[]),1),1),"")</f>
        <v/>
      </c>
      <c r="B169" s="7" t="str">
        <f>IF(LEN(Items[[#This Row],[Item]])&gt;0,Items[[#This Row],[Raw Item]]+COUNTIF(AN$4:AN169,AN169)/100,"")</f>
        <v/>
      </c>
      <c r="C169" s="7">
        <f>IFERROR(VALUE(LEFT(VALUE(SUBSTITUTE(Items[[#This Row],[Pay Item]],"-",""))*100000000,9)),0)</f>
        <v>0</v>
      </c>
      <c r="D169" s="8"/>
      <c r="E169" s="127"/>
      <c r="F169" s="123" t="str">
        <f>IFERROR(SUBSTITUTE(VLOOKUP(Items[[#This Row],[Item]],Pay.Item.Listing[],2+2*(Units&lt;&gt;"Metric"),0),"{","&lt;"),"&lt;&lt; Pay Item not found &gt;&gt;")</f>
        <v>&lt;&lt; Pay Item not found &gt;&gt;</v>
      </c>
      <c r="G169" s="70" t="str">
        <f>IFERROR(VLOOKUP(Items[[#This Row],[Item]],Pay.Item.Listing[],3+2*(Units&lt;&gt;"Metric"),0),"–")</f>
        <v>–</v>
      </c>
      <c r="H169" s="70" t="str">
        <f>IFERROR(VLOOKUP(Items[[#This Row],[Item]],Pay.Item.Listing[],6,0),"–")</f>
        <v>–</v>
      </c>
      <c r="I169" s="70" t="str">
        <f>IFERROR(VLOOKUP(Items[[#This Row],[Item]],Pay.Item.Listing[],7,0),"–")</f>
        <v>–</v>
      </c>
      <c r="J169" s="71"/>
      <c r="K169" s="69"/>
      <c r="L169" s="69"/>
      <c r="M169" s="69"/>
      <c r="N169" s="69"/>
      <c r="O169" s="69"/>
      <c r="P169" s="69"/>
      <c r="Q169" s="69"/>
      <c r="R169" s="69"/>
      <c r="S169" s="69"/>
      <c r="T169" s="69"/>
      <c r="U169" s="69"/>
      <c r="V169" s="69"/>
      <c r="W169" s="69"/>
      <c r="X169" s="72">
        <f>IF(LEN(Items[[#This Row],[Item]])&gt;0,IF(Items[[#This Row],[Unit]]="LPSM",1,SUM(Items[[#This Row],[Col_1]:[Col_13]])),0)</f>
        <v>0</v>
      </c>
      <c r="Y169" s="190">
        <f>MAX(Items[[#This Row],[Quantity]]-SUM(Items[[#This Row],[Account2]]:Items[[#This Row],[Account7]]),0)</f>
        <v>0</v>
      </c>
      <c r="Z169" s="61"/>
      <c r="AA169" s="61"/>
      <c r="AB169" s="61"/>
      <c r="AC169" s="61"/>
      <c r="AD169" s="61"/>
      <c r="AE169" s="61"/>
      <c r="AF169" s="73"/>
      <c r="AG169" s="71"/>
      <c r="AH169" s="74"/>
      <c r="AI169" s="59"/>
      <c r="AJ169" s="190" t="str">
        <f ca="1">IFERROR(RANK(Items[[#This Row],[EstSort]],OFFSET(Items[EstSort],0,0,ROW(Proposed[])-ROW(Items[])+ROWS(Proposed[]),1),1),"")</f>
        <v/>
      </c>
      <c r="AK169" s="190" t="str">
        <f ca="1">IF(CHOOSE(MATCH(Account,Accounts,0),Items[[#This Row],[Count]],Items[[#This Row],[Account1]],Items[[#This Row],[Account2]],Items[[#This Row],[Account3]],Items[[#This Row],[Account7]])&gt;0,Items[[#This Row],[Sort]],"")</f>
        <v/>
      </c>
      <c r="AL169" s="70" t="str">
        <f ca="1">IF(LEN(Items[[#This Row],[Count]])&gt;0,IFERROR(INDEX(Calcs[Counter],MATCH(Items[[#This Row],[Line]],Calcs[Line],0)),""),"")</f>
        <v/>
      </c>
      <c r="AM169" s="156" t="str">
        <f ca="1">IFERROR(Letter&amp;TEXT((Items[[#This Row],[Count]]-1)*Incr+BeginLine,"0000"),"")</f>
        <v/>
      </c>
      <c r="AN169" s="7" t="str">
        <f>IF(ISNA(MATCH(LEFT(Items[[#This Row],[Raw Item]],5)&amp;"-"&amp;RIGHT(Items[[#This Row],[Raw Item]],4),Pay.Item.Listing[Pay Item],0)),"",LEFT(Items[[#This Row],[Raw Item]],5)&amp;"-"&amp;RIGHT(Items[[#This Row],[Raw Item]],4))</f>
        <v/>
      </c>
    </row>
    <row r="170" spans="1:40" x14ac:dyDescent="0.15">
      <c r="A170" s="7" t="str">
        <f ca="1">IFERROR(RANK(Items[[#This Row],[Sort]],OFFSET(Items[Sort],0,0,ROW(Proposed[])-ROW(Items[])+ROWS(Proposed[]),1),1),"")</f>
        <v/>
      </c>
      <c r="B170" s="7" t="str">
        <f>IF(LEN(Items[[#This Row],[Item]])&gt;0,Items[[#This Row],[Raw Item]]+COUNTIF(AN$4:AN170,AN170)/100,"")</f>
        <v/>
      </c>
      <c r="C170" s="7">
        <f>IFERROR(VALUE(LEFT(VALUE(SUBSTITUTE(Items[[#This Row],[Pay Item]],"-",""))*100000000,9)),0)</f>
        <v>0</v>
      </c>
      <c r="D170" s="8"/>
      <c r="E170" s="127"/>
      <c r="F170" s="123" t="str">
        <f>IFERROR(SUBSTITUTE(VLOOKUP(Items[[#This Row],[Item]],Pay.Item.Listing[],2+2*(Units&lt;&gt;"Metric"),0),"{","&lt;"),"&lt;&lt; Pay Item not found &gt;&gt;")</f>
        <v>&lt;&lt; Pay Item not found &gt;&gt;</v>
      </c>
      <c r="G170" s="70" t="str">
        <f>IFERROR(VLOOKUP(Items[[#This Row],[Item]],Pay.Item.Listing[],3+2*(Units&lt;&gt;"Metric"),0),"–")</f>
        <v>–</v>
      </c>
      <c r="H170" s="70" t="str">
        <f>IFERROR(VLOOKUP(Items[[#This Row],[Item]],Pay.Item.Listing[],6,0),"–")</f>
        <v>–</v>
      </c>
      <c r="I170" s="70" t="str">
        <f>IFERROR(VLOOKUP(Items[[#This Row],[Item]],Pay.Item.Listing[],7,0),"–")</f>
        <v>–</v>
      </c>
      <c r="J170" s="71"/>
      <c r="K170" s="69"/>
      <c r="L170" s="69"/>
      <c r="M170" s="69"/>
      <c r="N170" s="69"/>
      <c r="O170" s="69"/>
      <c r="P170" s="69"/>
      <c r="Q170" s="69"/>
      <c r="R170" s="69"/>
      <c r="S170" s="69"/>
      <c r="T170" s="69"/>
      <c r="U170" s="69"/>
      <c r="V170" s="69"/>
      <c r="W170" s="69"/>
      <c r="X170" s="72">
        <f>IF(LEN(Items[[#This Row],[Item]])&gt;0,IF(Items[[#This Row],[Unit]]="LPSM",1,SUM(Items[[#This Row],[Col_1]:[Col_13]])),0)</f>
        <v>0</v>
      </c>
      <c r="Y170" s="190">
        <f>MAX(Items[[#This Row],[Quantity]]-SUM(Items[[#This Row],[Account2]]:Items[[#This Row],[Account7]]),0)</f>
        <v>0</v>
      </c>
      <c r="Z170" s="61"/>
      <c r="AA170" s="61"/>
      <c r="AB170" s="61"/>
      <c r="AC170" s="61"/>
      <c r="AD170" s="61"/>
      <c r="AE170" s="61"/>
      <c r="AF170" s="73"/>
      <c r="AG170" s="71"/>
      <c r="AH170" s="74"/>
      <c r="AI170" s="59"/>
      <c r="AJ170" s="190" t="str">
        <f ca="1">IFERROR(RANK(Items[[#This Row],[EstSort]],OFFSET(Items[EstSort],0,0,ROW(Proposed[])-ROW(Items[])+ROWS(Proposed[]),1),1),"")</f>
        <v/>
      </c>
      <c r="AK170" s="190" t="str">
        <f ca="1">IF(CHOOSE(MATCH(Account,Accounts,0),Items[[#This Row],[Count]],Items[[#This Row],[Account1]],Items[[#This Row],[Account2]],Items[[#This Row],[Account3]],Items[[#This Row],[Account7]])&gt;0,Items[[#This Row],[Sort]],"")</f>
        <v/>
      </c>
      <c r="AL170" s="70" t="str">
        <f ca="1">IF(LEN(Items[[#This Row],[Count]])&gt;0,IFERROR(INDEX(Calcs[Counter],MATCH(Items[[#This Row],[Line]],Calcs[Line],0)),""),"")</f>
        <v/>
      </c>
      <c r="AM170" s="156" t="str">
        <f ca="1">IFERROR(Letter&amp;TEXT((Items[[#This Row],[Count]]-1)*Incr+BeginLine,"0000"),"")</f>
        <v/>
      </c>
      <c r="AN170" s="7" t="str">
        <f>IF(ISNA(MATCH(LEFT(Items[[#This Row],[Raw Item]],5)&amp;"-"&amp;RIGHT(Items[[#This Row],[Raw Item]],4),Pay.Item.Listing[Pay Item],0)),"",LEFT(Items[[#This Row],[Raw Item]],5)&amp;"-"&amp;RIGHT(Items[[#This Row],[Raw Item]],4))</f>
        <v/>
      </c>
    </row>
    <row r="171" spans="1:40" x14ac:dyDescent="0.15">
      <c r="A171" s="7" t="str">
        <f ca="1">IFERROR(RANK(Items[[#This Row],[Sort]],OFFSET(Items[Sort],0,0,ROW(Proposed[])-ROW(Items[])+ROWS(Proposed[]),1),1),"")</f>
        <v/>
      </c>
      <c r="B171" s="7" t="str">
        <f>IF(LEN(Items[[#This Row],[Item]])&gt;0,Items[[#This Row],[Raw Item]]+COUNTIF(AN$4:AN171,AN171)/100,"")</f>
        <v/>
      </c>
      <c r="C171" s="7">
        <f>IFERROR(VALUE(LEFT(VALUE(SUBSTITUTE(Items[[#This Row],[Pay Item]],"-",""))*100000000,9)),0)</f>
        <v>0</v>
      </c>
      <c r="D171" s="8"/>
      <c r="E171" s="127"/>
      <c r="F171" s="123" t="str">
        <f>IFERROR(SUBSTITUTE(VLOOKUP(Items[[#This Row],[Item]],Pay.Item.Listing[],2+2*(Units&lt;&gt;"Metric"),0),"{","&lt;"),"&lt;&lt; Pay Item not found &gt;&gt;")</f>
        <v>&lt;&lt; Pay Item not found &gt;&gt;</v>
      </c>
      <c r="G171" s="70" t="str">
        <f>IFERROR(VLOOKUP(Items[[#This Row],[Item]],Pay.Item.Listing[],3+2*(Units&lt;&gt;"Metric"),0),"–")</f>
        <v>–</v>
      </c>
      <c r="H171" s="70" t="str">
        <f>IFERROR(VLOOKUP(Items[[#This Row],[Item]],Pay.Item.Listing[],6,0),"–")</f>
        <v>–</v>
      </c>
      <c r="I171" s="70" t="str">
        <f>IFERROR(VLOOKUP(Items[[#This Row],[Item]],Pay.Item.Listing[],7,0),"–")</f>
        <v>–</v>
      </c>
      <c r="J171" s="71"/>
      <c r="K171" s="69"/>
      <c r="L171" s="69"/>
      <c r="M171" s="69"/>
      <c r="N171" s="69"/>
      <c r="O171" s="69"/>
      <c r="P171" s="69"/>
      <c r="Q171" s="69"/>
      <c r="R171" s="69"/>
      <c r="S171" s="69"/>
      <c r="T171" s="69"/>
      <c r="U171" s="69"/>
      <c r="V171" s="69"/>
      <c r="W171" s="69"/>
      <c r="X171" s="72">
        <f>IF(LEN(Items[[#This Row],[Item]])&gt;0,IF(Items[[#This Row],[Unit]]="LPSM",1,SUM(Items[[#This Row],[Col_1]:[Col_13]])),0)</f>
        <v>0</v>
      </c>
      <c r="Y171" s="190">
        <f>MAX(Items[[#This Row],[Quantity]]-SUM(Items[[#This Row],[Account2]]:Items[[#This Row],[Account7]]),0)</f>
        <v>0</v>
      </c>
      <c r="Z171" s="61"/>
      <c r="AA171" s="61"/>
      <c r="AB171" s="61"/>
      <c r="AC171" s="61"/>
      <c r="AD171" s="61"/>
      <c r="AE171" s="61"/>
      <c r="AF171" s="73"/>
      <c r="AG171" s="71"/>
      <c r="AH171" s="74"/>
      <c r="AI171" s="59"/>
      <c r="AJ171" s="190" t="str">
        <f ca="1">IFERROR(RANK(Items[[#This Row],[EstSort]],OFFSET(Items[EstSort],0,0,ROW(Proposed[])-ROW(Items[])+ROWS(Proposed[]),1),1),"")</f>
        <v/>
      </c>
      <c r="AK171" s="190" t="str">
        <f ca="1">IF(CHOOSE(MATCH(Account,Accounts,0),Items[[#This Row],[Count]],Items[[#This Row],[Account1]],Items[[#This Row],[Account2]],Items[[#This Row],[Account3]],Items[[#This Row],[Account7]])&gt;0,Items[[#This Row],[Sort]],"")</f>
        <v/>
      </c>
      <c r="AL171" s="70" t="str">
        <f ca="1">IF(LEN(Items[[#This Row],[Count]])&gt;0,IFERROR(INDEX(Calcs[Counter],MATCH(Items[[#This Row],[Line]],Calcs[Line],0)),""),"")</f>
        <v/>
      </c>
      <c r="AM171" s="156" t="str">
        <f ca="1">IFERROR(Letter&amp;TEXT((Items[[#This Row],[Count]]-1)*Incr+BeginLine,"0000"),"")</f>
        <v/>
      </c>
      <c r="AN171" s="7" t="str">
        <f>IF(ISNA(MATCH(LEFT(Items[[#This Row],[Raw Item]],5)&amp;"-"&amp;RIGHT(Items[[#This Row],[Raw Item]],4),Pay.Item.Listing[Pay Item],0)),"",LEFT(Items[[#This Row],[Raw Item]],5)&amp;"-"&amp;RIGHT(Items[[#This Row],[Raw Item]],4))</f>
        <v/>
      </c>
    </row>
    <row r="172" spans="1:40" x14ac:dyDescent="0.15">
      <c r="A172" s="7" t="str">
        <f ca="1">IFERROR(RANK(Items[[#This Row],[Sort]],OFFSET(Items[Sort],0,0,ROW(Proposed[])-ROW(Items[])+ROWS(Proposed[]),1),1),"")</f>
        <v/>
      </c>
      <c r="B172" s="7" t="str">
        <f>IF(LEN(Items[[#This Row],[Item]])&gt;0,Items[[#This Row],[Raw Item]]+COUNTIF(AN$4:AN172,AN172)/100,"")</f>
        <v/>
      </c>
      <c r="C172" s="7">
        <f>IFERROR(VALUE(LEFT(VALUE(SUBSTITUTE(Items[[#This Row],[Pay Item]],"-",""))*100000000,9)),0)</f>
        <v>0</v>
      </c>
      <c r="D172" s="8"/>
      <c r="E172" s="127"/>
      <c r="F172" s="123" t="str">
        <f>IFERROR(SUBSTITUTE(VLOOKUP(Items[[#This Row],[Item]],Pay.Item.Listing[],2+2*(Units&lt;&gt;"Metric"),0),"{","&lt;"),"&lt;&lt; Pay Item not found &gt;&gt;")</f>
        <v>&lt;&lt; Pay Item not found &gt;&gt;</v>
      </c>
      <c r="G172" s="70" t="str">
        <f>IFERROR(VLOOKUP(Items[[#This Row],[Item]],Pay.Item.Listing[],3+2*(Units&lt;&gt;"Metric"),0),"–")</f>
        <v>–</v>
      </c>
      <c r="H172" s="70" t="str">
        <f>IFERROR(VLOOKUP(Items[[#This Row],[Item]],Pay.Item.Listing[],6,0),"–")</f>
        <v>–</v>
      </c>
      <c r="I172" s="70" t="str">
        <f>IFERROR(VLOOKUP(Items[[#This Row],[Item]],Pay.Item.Listing[],7,0),"–")</f>
        <v>–</v>
      </c>
      <c r="J172" s="71"/>
      <c r="K172" s="69"/>
      <c r="L172" s="69"/>
      <c r="M172" s="69"/>
      <c r="N172" s="69"/>
      <c r="O172" s="69"/>
      <c r="P172" s="69"/>
      <c r="Q172" s="69"/>
      <c r="R172" s="69"/>
      <c r="S172" s="69"/>
      <c r="T172" s="69"/>
      <c r="U172" s="69"/>
      <c r="V172" s="69"/>
      <c r="W172" s="69"/>
      <c r="X172" s="72">
        <f>IF(LEN(Items[[#This Row],[Item]])&gt;0,IF(Items[[#This Row],[Unit]]="LPSM",1,SUM(Items[[#This Row],[Col_1]:[Col_13]])),0)</f>
        <v>0</v>
      </c>
      <c r="Y172" s="190">
        <f>MAX(Items[[#This Row],[Quantity]]-SUM(Items[[#This Row],[Account2]]:Items[[#This Row],[Account7]]),0)</f>
        <v>0</v>
      </c>
      <c r="Z172" s="61"/>
      <c r="AA172" s="61"/>
      <c r="AB172" s="61"/>
      <c r="AC172" s="61"/>
      <c r="AD172" s="61"/>
      <c r="AE172" s="61"/>
      <c r="AF172" s="73"/>
      <c r="AG172" s="71"/>
      <c r="AH172" s="74"/>
      <c r="AI172" s="59"/>
      <c r="AJ172" s="190" t="str">
        <f ca="1">IFERROR(RANK(Items[[#This Row],[EstSort]],OFFSET(Items[EstSort],0,0,ROW(Proposed[])-ROW(Items[])+ROWS(Proposed[]),1),1),"")</f>
        <v/>
      </c>
      <c r="AK172" s="190" t="str">
        <f ca="1">IF(CHOOSE(MATCH(Account,Accounts,0),Items[[#This Row],[Count]],Items[[#This Row],[Account1]],Items[[#This Row],[Account2]],Items[[#This Row],[Account3]],Items[[#This Row],[Account7]])&gt;0,Items[[#This Row],[Sort]],"")</f>
        <v/>
      </c>
      <c r="AL172" s="70" t="str">
        <f ca="1">IF(LEN(Items[[#This Row],[Count]])&gt;0,IFERROR(INDEX(Calcs[Counter],MATCH(Items[[#This Row],[Line]],Calcs[Line],0)),""),"")</f>
        <v/>
      </c>
      <c r="AM172" s="156" t="str">
        <f ca="1">IFERROR(Letter&amp;TEXT((Items[[#This Row],[Count]]-1)*Incr+BeginLine,"0000"),"")</f>
        <v/>
      </c>
      <c r="AN172" s="7" t="str">
        <f>IF(ISNA(MATCH(LEFT(Items[[#This Row],[Raw Item]],5)&amp;"-"&amp;RIGHT(Items[[#This Row],[Raw Item]],4),Pay.Item.Listing[Pay Item],0)),"",LEFT(Items[[#This Row],[Raw Item]],5)&amp;"-"&amp;RIGHT(Items[[#This Row],[Raw Item]],4))</f>
        <v/>
      </c>
    </row>
    <row r="173" spans="1:40" x14ac:dyDescent="0.15">
      <c r="A173" s="7" t="str">
        <f ca="1">IFERROR(RANK(Items[[#This Row],[Sort]],OFFSET(Items[Sort],0,0,ROW(Proposed[])-ROW(Items[])+ROWS(Proposed[]),1),1),"")</f>
        <v/>
      </c>
      <c r="B173" s="7" t="str">
        <f>IF(LEN(Items[[#This Row],[Item]])&gt;0,Items[[#This Row],[Raw Item]]+COUNTIF(AN$4:AN173,AN173)/100,"")</f>
        <v/>
      </c>
      <c r="C173" s="7">
        <f>IFERROR(VALUE(LEFT(VALUE(SUBSTITUTE(Items[[#This Row],[Pay Item]],"-",""))*100000000,9)),0)</f>
        <v>0</v>
      </c>
      <c r="D173" s="8"/>
      <c r="E173" s="127"/>
      <c r="F173" s="123" t="str">
        <f>IFERROR(SUBSTITUTE(VLOOKUP(Items[[#This Row],[Item]],Pay.Item.Listing[],2+2*(Units&lt;&gt;"Metric"),0),"{","&lt;"),"&lt;&lt; Pay Item not found &gt;&gt;")</f>
        <v>&lt;&lt; Pay Item not found &gt;&gt;</v>
      </c>
      <c r="G173" s="70" t="str">
        <f>IFERROR(VLOOKUP(Items[[#This Row],[Item]],Pay.Item.Listing[],3+2*(Units&lt;&gt;"Metric"),0),"–")</f>
        <v>–</v>
      </c>
      <c r="H173" s="70" t="str">
        <f>IFERROR(VLOOKUP(Items[[#This Row],[Item]],Pay.Item.Listing[],6,0),"–")</f>
        <v>–</v>
      </c>
      <c r="I173" s="70" t="str">
        <f>IFERROR(VLOOKUP(Items[[#This Row],[Item]],Pay.Item.Listing[],7,0),"–")</f>
        <v>–</v>
      </c>
      <c r="J173" s="71"/>
      <c r="K173" s="69"/>
      <c r="L173" s="69"/>
      <c r="M173" s="69"/>
      <c r="N173" s="69"/>
      <c r="O173" s="69"/>
      <c r="P173" s="69"/>
      <c r="Q173" s="69"/>
      <c r="R173" s="69"/>
      <c r="S173" s="69"/>
      <c r="T173" s="69"/>
      <c r="U173" s="69"/>
      <c r="V173" s="69"/>
      <c r="W173" s="69"/>
      <c r="X173" s="72">
        <f>IF(LEN(Items[[#This Row],[Item]])&gt;0,IF(Items[[#This Row],[Unit]]="LPSM",1,SUM(Items[[#This Row],[Col_1]:[Col_13]])),0)</f>
        <v>0</v>
      </c>
      <c r="Y173" s="190">
        <f>MAX(Items[[#This Row],[Quantity]]-SUM(Items[[#This Row],[Account2]]:Items[[#This Row],[Account7]]),0)</f>
        <v>0</v>
      </c>
      <c r="Z173" s="61"/>
      <c r="AA173" s="61"/>
      <c r="AB173" s="61"/>
      <c r="AC173" s="61"/>
      <c r="AD173" s="61"/>
      <c r="AE173" s="61"/>
      <c r="AF173" s="73"/>
      <c r="AG173" s="71"/>
      <c r="AH173" s="74"/>
      <c r="AI173" s="59"/>
      <c r="AJ173" s="190" t="str">
        <f ca="1">IFERROR(RANK(Items[[#This Row],[EstSort]],OFFSET(Items[EstSort],0,0,ROW(Proposed[])-ROW(Items[])+ROWS(Proposed[]),1),1),"")</f>
        <v/>
      </c>
      <c r="AK173" s="190" t="str">
        <f ca="1">IF(CHOOSE(MATCH(Account,Accounts,0),Items[[#This Row],[Count]],Items[[#This Row],[Account1]],Items[[#This Row],[Account2]],Items[[#This Row],[Account3]],Items[[#This Row],[Account7]])&gt;0,Items[[#This Row],[Sort]],"")</f>
        <v/>
      </c>
      <c r="AL173" s="70" t="str">
        <f ca="1">IF(LEN(Items[[#This Row],[Count]])&gt;0,IFERROR(INDEX(Calcs[Counter],MATCH(Items[[#This Row],[Line]],Calcs[Line],0)),""),"")</f>
        <v/>
      </c>
      <c r="AM173" s="156" t="str">
        <f ca="1">IFERROR(Letter&amp;TEXT((Items[[#This Row],[Count]]-1)*Incr+BeginLine,"0000"),"")</f>
        <v/>
      </c>
      <c r="AN173" s="7" t="str">
        <f>IF(ISNA(MATCH(LEFT(Items[[#This Row],[Raw Item]],5)&amp;"-"&amp;RIGHT(Items[[#This Row],[Raw Item]],4),Pay.Item.Listing[Pay Item],0)),"",LEFT(Items[[#This Row],[Raw Item]],5)&amp;"-"&amp;RIGHT(Items[[#This Row],[Raw Item]],4))</f>
        <v/>
      </c>
    </row>
    <row r="174" spans="1:40" x14ac:dyDescent="0.15">
      <c r="A174" s="7" t="str">
        <f ca="1">IFERROR(RANK(Items[[#This Row],[Sort]],OFFSET(Items[Sort],0,0,ROW(Proposed[])-ROW(Items[])+ROWS(Proposed[]),1),1),"")</f>
        <v/>
      </c>
      <c r="B174" s="7" t="str">
        <f>IF(LEN(Items[[#This Row],[Item]])&gt;0,Items[[#This Row],[Raw Item]]+COUNTIF(AN$4:AN174,AN174)/100,"")</f>
        <v/>
      </c>
      <c r="C174" s="7">
        <f>IFERROR(VALUE(LEFT(VALUE(SUBSTITUTE(Items[[#This Row],[Pay Item]],"-",""))*100000000,9)),0)</f>
        <v>0</v>
      </c>
      <c r="D174" s="8"/>
      <c r="E174" s="127"/>
      <c r="F174" s="123" t="str">
        <f>IFERROR(SUBSTITUTE(VLOOKUP(Items[[#This Row],[Item]],Pay.Item.Listing[],2+2*(Units&lt;&gt;"Metric"),0),"{","&lt;"),"&lt;&lt; Pay Item not found &gt;&gt;")</f>
        <v>&lt;&lt; Pay Item not found &gt;&gt;</v>
      </c>
      <c r="G174" s="70" t="str">
        <f>IFERROR(VLOOKUP(Items[[#This Row],[Item]],Pay.Item.Listing[],3+2*(Units&lt;&gt;"Metric"),0),"–")</f>
        <v>–</v>
      </c>
      <c r="H174" s="70" t="str">
        <f>IFERROR(VLOOKUP(Items[[#This Row],[Item]],Pay.Item.Listing[],6,0),"–")</f>
        <v>–</v>
      </c>
      <c r="I174" s="70" t="str">
        <f>IFERROR(VLOOKUP(Items[[#This Row],[Item]],Pay.Item.Listing[],7,0),"–")</f>
        <v>–</v>
      </c>
      <c r="J174" s="71"/>
      <c r="K174" s="69"/>
      <c r="L174" s="69"/>
      <c r="M174" s="69"/>
      <c r="N174" s="69"/>
      <c r="O174" s="69"/>
      <c r="P174" s="69"/>
      <c r="Q174" s="69"/>
      <c r="R174" s="69"/>
      <c r="S174" s="69"/>
      <c r="T174" s="69"/>
      <c r="U174" s="69"/>
      <c r="V174" s="69"/>
      <c r="W174" s="69"/>
      <c r="X174" s="72">
        <f>IF(LEN(Items[[#This Row],[Item]])&gt;0,IF(Items[[#This Row],[Unit]]="LPSM",1,SUM(Items[[#This Row],[Col_1]:[Col_13]])),0)</f>
        <v>0</v>
      </c>
      <c r="Y174" s="190">
        <f>MAX(Items[[#This Row],[Quantity]]-SUM(Items[[#This Row],[Account2]]:Items[[#This Row],[Account7]]),0)</f>
        <v>0</v>
      </c>
      <c r="Z174" s="61"/>
      <c r="AA174" s="61"/>
      <c r="AB174" s="61"/>
      <c r="AC174" s="61"/>
      <c r="AD174" s="61"/>
      <c r="AE174" s="61"/>
      <c r="AF174" s="73"/>
      <c r="AG174" s="71"/>
      <c r="AH174" s="74"/>
      <c r="AI174" s="59"/>
      <c r="AJ174" s="190" t="str">
        <f ca="1">IFERROR(RANK(Items[[#This Row],[EstSort]],OFFSET(Items[EstSort],0,0,ROW(Proposed[])-ROW(Items[])+ROWS(Proposed[]),1),1),"")</f>
        <v/>
      </c>
      <c r="AK174" s="190" t="str">
        <f ca="1">IF(CHOOSE(MATCH(Account,Accounts,0),Items[[#This Row],[Count]],Items[[#This Row],[Account1]],Items[[#This Row],[Account2]],Items[[#This Row],[Account3]],Items[[#This Row],[Account7]])&gt;0,Items[[#This Row],[Sort]],"")</f>
        <v/>
      </c>
      <c r="AL174" s="70" t="str">
        <f ca="1">IF(LEN(Items[[#This Row],[Count]])&gt;0,IFERROR(INDEX(Calcs[Counter],MATCH(Items[[#This Row],[Line]],Calcs[Line],0)),""),"")</f>
        <v/>
      </c>
      <c r="AM174" s="156" t="str">
        <f ca="1">IFERROR(Letter&amp;TEXT((Items[[#This Row],[Count]]-1)*Incr+BeginLine,"0000"),"")</f>
        <v/>
      </c>
      <c r="AN174" s="7" t="str">
        <f>IF(ISNA(MATCH(LEFT(Items[[#This Row],[Raw Item]],5)&amp;"-"&amp;RIGHT(Items[[#This Row],[Raw Item]],4),Pay.Item.Listing[Pay Item],0)),"",LEFT(Items[[#This Row],[Raw Item]],5)&amp;"-"&amp;RIGHT(Items[[#This Row],[Raw Item]],4))</f>
        <v/>
      </c>
    </row>
    <row r="175" spans="1:40" x14ac:dyDescent="0.15">
      <c r="A175" s="7" t="str">
        <f ca="1">IFERROR(RANK(Items[[#This Row],[Sort]],OFFSET(Items[Sort],0,0,ROW(Proposed[])-ROW(Items[])+ROWS(Proposed[]),1),1),"")</f>
        <v/>
      </c>
      <c r="B175" s="7" t="str">
        <f>IF(LEN(Items[[#This Row],[Item]])&gt;0,Items[[#This Row],[Raw Item]]+COUNTIF(AN$4:AN175,AN175)/100,"")</f>
        <v/>
      </c>
      <c r="C175" s="7">
        <f>IFERROR(VALUE(LEFT(VALUE(SUBSTITUTE(Items[[#This Row],[Pay Item]],"-",""))*100000000,9)),0)</f>
        <v>0</v>
      </c>
      <c r="D175" s="8"/>
      <c r="E175" s="127"/>
      <c r="F175" s="123" t="str">
        <f>IFERROR(SUBSTITUTE(VLOOKUP(Items[[#This Row],[Item]],Pay.Item.Listing[],2+2*(Units&lt;&gt;"Metric"),0),"{","&lt;"),"&lt;&lt; Pay Item not found &gt;&gt;")</f>
        <v>&lt;&lt; Pay Item not found &gt;&gt;</v>
      </c>
      <c r="G175" s="70" t="str">
        <f>IFERROR(VLOOKUP(Items[[#This Row],[Item]],Pay.Item.Listing[],3+2*(Units&lt;&gt;"Metric"),0),"–")</f>
        <v>–</v>
      </c>
      <c r="H175" s="70" t="str">
        <f>IFERROR(VLOOKUP(Items[[#This Row],[Item]],Pay.Item.Listing[],6,0),"–")</f>
        <v>–</v>
      </c>
      <c r="I175" s="70" t="str">
        <f>IFERROR(VLOOKUP(Items[[#This Row],[Item]],Pay.Item.Listing[],7,0),"–")</f>
        <v>–</v>
      </c>
      <c r="J175" s="71"/>
      <c r="K175" s="69"/>
      <c r="L175" s="69"/>
      <c r="M175" s="69"/>
      <c r="N175" s="69"/>
      <c r="O175" s="69"/>
      <c r="P175" s="69"/>
      <c r="Q175" s="69"/>
      <c r="R175" s="69"/>
      <c r="S175" s="69"/>
      <c r="T175" s="69"/>
      <c r="U175" s="69"/>
      <c r="V175" s="69"/>
      <c r="W175" s="69"/>
      <c r="X175" s="72">
        <f>IF(LEN(Items[[#This Row],[Item]])&gt;0,IF(Items[[#This Row],[Unit]]="LPSM",1,SUM(Items[[#This Row],[Col_1]:[Col_13]])),0)</f>
        <v>0</v>
      </c>
      <c r="Y175" s="190">
        <f>MAX(Items[[#This Row],[Quantity]]-SUM(Items[[#This Row],[Account2]]:Items[[#This Row],[Account7]]),0)</f>
        <v>0</v>
      </c>
      <c r="Z175" s="61"/>
      <c r="AA175" s="61"/>
      <c r="AB175" s="61"/>
      <c r="AC175" s="61"/>
      <c r="AD175" s="61"/>
      <c r="AE175" s="61"/>
      <c r="AF175" s="73"/>
      <c r="AG175" s="71"/>
      <c r="AH175" s="74"/>
      <c r="AI175" s="59"/>
      <c r="AJ175" s="190" t="str">
        <f ca="1">IFERROR(RANK(Items[[#This Row],[EstSort]],OFFSET(Items[EstSort],0,0,ROW(Proposed[])-ROW(Items[])+ROWS(Proposed[]),1),1),"")</f>
        <v/>
      </c>
      <c r="AK175" s="190" t="str">
        <f ca="1">IF(CHOOSE(MATCH(Account,Accounts,0),Items[[#This Row],[Count]],Items[[#This Row],[Account1]],Items[[#This Row],[Account2]],Items[[#This Row],[Account3]],Items[[#This Row],[Account7]])&gt;0,Items[[#This Row],[Sort]],"")</f>
        <v/>
      </c>
      <c r="AL175" s="70" t="str">
        <f ca="1">IF(LEN(Items[[#This Row],[Count]])&gt;0,IFERROR(INDEX(Calcs[Counter],MATCH(Items[[#This Row],[Line]],Calcs[Line],0)),""),"")</f>
        <v/>
      </c>
      <c r="AM175" s="156" t="str">
        <f ca="1">IFERROR(Letter&amp;TEXT((Items[[#This Row],[Count]]-1)*Incr+BeginLine,"0000"),"")</f>
        <v/>
      </c>
      <c r="AN175" s="7" t="str">
        <f>IF(ISNA(MATCH(LEFT(Items[[#This Row],[Raw Item]],5)&amp;"-"&amp;RIGHT(Items[[#This Row],[Raw Item]],4),Pay.Item.Listing[Pay Item],0)),"",LEFT(Items[[#This Row],[Raw Item]],5)&amp;"-"&amp;RIGHT(Items[[#This Row],[Raw Item]],4))</f>
        <v/>
      </c>
    </row>
    <row r="176" spans="1:40" x14ac:dyDescent="0.15">
      <c r="A176" s="7" t="str">
        <f ca="1">IFERROR(RANK(Items[[#This Row],[Sort]],OFFSET(Items[Sort],0,0,ROW(Proposed[])-ROW(Items[])+ROWS(Proposed[]),1),1),"")</f>
        <v/>
      </c>
      <c r="B176" s="7" t="str">
        <f>IF(LEN(Items[[#This Row],[Item]])&gt;0,Items[[#This Row],[Raw Item]]+COUNTIF(AN$4:AN176,AN176)/100,"")</f>
        <v/>
      </c>
      <c r="C176" s="7">
        <f>IFERROR(VALUE(LEFT(VALUE(SUBSTITUTE(Items[[#This Row],[Pay Item]],"-",""))*100000000,9)),0)</f>
        <v>0</v>
      </c>
      <c r="D176" s="8"/>
      <c r="E176" s="127"/>
      <c r="F176" s="123" t="str">
        <f>IFERROR(SUBSTITUTE(VLOOKUP(Items[[#This Row],[Item]],Pay.Item.Listing[],2+2*(Units&lt;&gt;"Metric"),0),"{","&lt;"),"&lt;&lt; Pay Item not found &gt;&gt;")</f>
        <v>&lt;&lt; Pay Item not found &gt;&gt;</v>
      </c>
      <c r="G176" s="70" t="str">
        <f>IFERROR(VLOOKUP(Items[[#This Row],[Item]],Pay.Item.Listing[],3+2*(Units&lt;&gt;"Metric"),0),"–")</f>
        <v>–</v>
      </c>
      <c r="H176" s="70" t="str">
        <f>IFERROR(VLOOKUP(Items[[#This Row],[Item]],Pay.Item.Listing[],6,0),"–")</f>
        <v>–</v>
      </c>
      <c r="I176" s="70" t="str">
        <f>IFERROR(VLOOKUP(Items[[#This Row],[Item]],Pay.Item.Listing[],7,0),"–")</f>
        <v>–</v>
      </c>
      <c r="J176" s="71"/>
      <c r="K176" s="69"/>
      <c r="L176" s="69"/>
      <c r="M176" s="69"/>
      <c r="N176" s="69"/>
      <c r="O176" s="69"/>
      <c r="P176" s="69"/>
      <c r="Q176" s="69"/>
      <c r="R176" s="69"/>
      <c r="S176" s="69"/>
      <c r="T176" s="69"/>
      <c r="U176" s="69"/>
      <c r="V176" s="69"/>
      <c r="W176" s="69"/>
      <c r="X176" s="72">
        <f>IF(LEN(Items[[#This Row],[Item]])&gt;0,IF(Items[[#This Row],[Unit]]="LPSM",1,SUM(Items[[#This Row],[Col_1]:[Col_13]])),0)</f>
        <v>0</v>
      </c>
      <c r="Y176" s="190">
        <f>MAX(Items[[#This Row],[Quantity]]-SUM(Items[[#This Row],[Account2]]:Items[[#This Row],[Account7]]),0)</f>
        <v>0</v>
      </c>
      <c r="Z176" s="61"/>
      <c r="AA176" s="61"/>
      <c r="AB176" s="61"/>
      <c r="AC176" s="61"/>
      <c r="AD176" s="61"/>
      <c r="AE176" s="61"/>
      <c r="AF176" s="73"/>
      <c r="AG176" s="71"/>
      <c r="AH176" s="74"/>
      <c r="AI176" s="59"/>
      <c r="AJ176" s="190" t="str">
        <f ca="1">IFERROR(RANK(Items[[#This Row],[EstSort]],OFFSET(Items[EstSort],0,0,ROW(Proposed[])-ROW(Items[])+ROWS(Proposed[]),1),1),"")</f>
        <v/>
      </c>
      <c r="AK176" s="190" t="str">
        <f ca="1">IF(CHOOSE(MATCH(Account,Accounts,0),Items[[#This Row],[Count]],Items[[#This Row],[Account1]],Items[[#This Row],[Account2]],Items[[#This Row],[Account3]],Items[[#This Row],[Account7]])&gt;0,Items[[#This Row],[Sort]],"")</f>
        <v/>
      </c>
      <c r="AL176" s="70" t="str">
        <f ca="1">IF(LEN(Items[[#This Row],[Count]])&gt;0,IFERROR(INDEX(Calcs[Counter],MATCH(Items[[#This Row],[Line]],Calcs[Line],0)),""),"")</f>
        <v/>
      </c>
      <c r="AM176" s="156" t="str">
        <f ca="1">IFERROR(Letter&amp;TEXT((Items[[#This Row],[Count]]-1)*Incr+BeginLine,"0000"),"")</f>
        <v/>
      </c>
      <c r="AN176" s="7" t="str">
        <f>IF(ISNA(MATCH(LEFT(Items[[#This Row],[Raw Item]],5)&amp;"-"&amp;RIGHT(Items[[#This Row],[Raw Item]],4),Pay.Item.Listing[Pay Item],0)),"",LEFT(Items[[#This Row],[Raw Item]],5)&amp;"-"&amp;RIGHT(Items[[#This Row],[Raw Item]],4))</f>
        <v/>
      </c>
    </row>
    <row r="177" spans="1:40" x14ac:dyDescent="0.15">
      <c r="A177" s="7" t="str">
        <f ca="1">IFERROR(RANK(Items[[#This Row],[Sort]],OFFSET(Items[Sort],0,0,ROW(Proposed[])-ROW(Items[])+ROWS(Proposed[]),1),1),"")</f>
        <v/>
      </c>
      <c r="B177" s="7" t="str">
        <f>IF(LEN(Items[[#This Row],[Item]])&gt;0,Items[[#This Row],[Raw Item]]+COUNTIF(AN$4:AN177,AN177)/100,"")</f>
        <v/>
      </c>
      <c r="C177" s="7">
        <f>IFERROR(VALUE(LEFT(VALUE(SUBSTITUTE(Items[[#This Row],[Pay Item]],"-",""))*100000000,9)),0)</f>
        <v>0</v>
      </c>
      <c r="D177" s="8"/>
      <c r="E177" s="127"/>
      <c r="F177" s="123" t="str">
        <f>IFERROR(SUBSTITUTE(VLOOKUP(Items[[#This Row],[Item]],Pay.Item.Listing[],2+2*(Units&lt;&gt;"Metric"),0),"{","&lt;"),"&lt;&lt; Pay Item not found &gt;&gt;")</f>
        <v>&lt;&lt; Pay Item not found &gt;&gt;</v>
      </c>
      <c r="G177" s="70" t="str">
        <f>IFERROR(VLOOKUP(Items[[#This Row],[Item]],Pay.Item.Listing[],3+2*(Units&lt;&gt;"Metric"),0),"–")</f>
        <v>–</v>
      </c>
      <c r="H177" s="70" t="str">
        <f>IFERROR(VLOOKUP(Items[[#This Row],[Item]],Pay.Item.Listing[],6,0),"–")</f>
        <v>–</v>
      </c>
      <c r="I177" s="70" t="str">
        <f>IFERROR(VLOOKUP(Items[[#This Row],[Item]],Pay.Item.Listing[],7,0),"–")</f>
        <v>–</v>
      </c>
      <c r="J177" s="71"/>
      <c r="K177" s="69"/>
      <c r="L177" s="69"/>
      <c r="M177" s="69"/>
      <c r="N177" s="69"/>
      <c r="O177" s="69"/>
      <c r="P177" s="69"/>
      <c r="Q177" s="69"/>
      <c r="R177" s="69"/>
      <c r="S177" s="69"/>
      <c r="T177" s="69"/>
      <c r="U177" s="69"/>
      <c r="V177" s="69"/>
      <c r="W177" s="69"/>
      <c r="X177" s="72">
        <f>IF(LEN(Items[[#This Row],[Item]])&gt;0,IF(Items[[#This Row],[Unit]]="LPSM",1,SUM(Items[[#This Row],[Col_1]:[Col_13]])),0)</f>
        <v>0</v>
      </c>
      <c r="Y177" s="190">
        <f>MAX(Items[[#This Row],[Quantity]]-SUM(Items[[#This Row],[Account2]]:Items[[#This Row],[Account7]]),0)</f>
        <v>0</v>
      </c>
      <c r="Z177" s="61"/>
      <c r="AA177" s="61"/>
      <c r="AB177" s="61"/>
      <c r="AC177" s="61"/>
      <c r="AD177" s="61"/>
      <c r="AE177" s="61"/>
      <c r="AF177" s="73"/>
      <c r="AG177" s="71"/>
      <c r="AH177" s="74"/>
      <c r="AI177" s="59"/>
      <c r="AJ177" s="190" t="str">
        <f ca="1">IFERROR(RANK(Items[[#This Row],[EstSort]],OFFSET(Items[EstSort],0,0,ROW(Proposed[])-ROW(Items[])+ROWS(Proposed[]),1),1),"")</f>
        <v/>
      </c>
      <c r="AK177" s="190" t="str">
        <f ca="1">IF(CHOOSE(MATCH(Account,Accounts,0),Items[[#This Row],[Count]],Items[[#This Row],[Account1]],Items[[#This Row],[Account2]],Items[[#This Row],[Account3]],Items[[#This Row],[Account7]])&gt;0,Items[[#This Row],[Sort]],"")</f>
        <v/>
      </c>
      <c r="AL177" s="70" t="str">
        <f ca="1">IF(LEN(Items[[#This Row],[Count]])&gt;0,IFERROR(INDEX(Calcs[Counter],MATCH(Items[[#This Row],[Line]],Calcs[Line],0)),""),"")</f>
        <v/>
      </c>
      <c r="AM177" s="156" t="str">
        <f ca="1">IFERROR(Letter&amp;TEXT((Items[[#This Row],[Count]]-1)*Incr+BeginLine,"0000"),"")</f>
        <v/>
      </c>
      <c r="AN177" s="7" t="str">
        <f>IF(ISNA(MATCH(LEFT(Items[[#This Row],[Raw Item]],5)&amp;"-"&amp;RIGHT(Items[[#This Row],[Raw Item]],4),Pay.Item.Listing[Pay Item],0)),"",LEFT(Items[[#This Row],[Raw Item]],5)&amp;"-"&amp;RIGHT(Items[[#This Row],[Raw Item]],4))</f>
        <v/>
      </c>
    </row>
    <row r="178" spans="1:40" x14ac:dyDescent="0.15">
      <c r="A178" s="7" t="str">
        <f ca="1">IFERROR(RANK(Items[[#This Row],[Sort]],OFFSET(Items[Sort],0,0,ROW(Proposed[])-ROW(Items[])+ROWS(Proposed[]),1),1),"")</f>
        <v/>
      </c>
      <c r="B178" s="7" t="str">
        <f>IF(LEN(Items[[#This Row],[Item]])&gt;0,Items[[#This Row],[Raw Item]]+COUNTIF(AN$4:AN178,AN178)/100,"")</f>
        <v/>
      </c>
      <c r="C178" s="7">
        <f>IFERROR(VALUE(LEFT(VALUE(SUBSTITUTE(Items[[#This Row],[Pay Item]],"-",""))*100000000,9)),0)</f>
        <v>0</v>
      </c>
      <c r="D178" s="8"/>
      <c r="E178" s="127"/>
      <c r="F178" s="123" t="str">
        <f>IFERROR(SUBSTITUTE(VLOOKUP(Items[[#This Row],[Item]],Pay.Item.Listing[],2+2*(Units&lt;&gt;"Metric"),0),"{","&lt;"),"&lt;&lt; Pay Item not found &gt;&gt;")</f>
        <v>&lt;&lt; Pay Item not found &gt;&gt;</v>
      </c>
      <c r="G178" s="70" t="str">
        <f>IFERROR(VLOOKUP(Items[[#This Row],[Item]],Pay.Item.Listing[],3+2*(Units&lt;&gt;"Metric"),0),"–")</f>
        <v>–</v>
      </c>
      <c r="H178" s="70" t="str">
        <f>IFERROR(VLOOKUP(Items[[#This Row],[Item]],Pay.Item.Listing[],6,0),"–")</f>
        <v>–</v>
      </c>
      <c r="I178" s="70" t="str">
        <f>IFERROR(VLOOKUP(Items[[#This Row],[Item]],Pay.Item.Listing[],7,0),"–")</f>
        <v>–</v>
      </c>
      <c r="J178" s="71"/>
      <c r="K178" s="69"/>
      <c r="L178" s="69"/>
      <c r="M178" s="69"/>
      <c r="N178" s="69"/>
      <c r="O178" s="69"/>
      <c r="P178" s="69"/>
      <c r="Q178" s="69"/>
      <c r="R178" s="69"/>
      <c r="S178" s="69"/>
      <c r="T178" s="69"/>
      <c r="U178" s="69"/>
      <c r="V178" s="69"/>
      <c r="W178" s="69"/>
      <c r="X178" s="72">
        <f>IF(LEN(Items[[#This Row],[Item]])&gt;0,IF(Items[[#This Row],[Unit]]="LPSM",1,SUM(Items[[#This Row],[Col_1]:[Col_13]])),0)</f>
        <v>0</v>
      </c>
      <c r="Y178" s="190">
        <f>MAX(Items[[#This Row],[Quantity]]-SUM(Items[[#This Row],[Account2]]:Items[[#This Row],[Account7]]),0)</f>
        <v>0</v>
      </c>
      <c r="Z178" s="61"/>
      <c r="AA178" s="61"/>
      <c r="AB178" s="61"/>
      <c r="AC178" s="61"/>
      <c r="AD178" s="61"/>
      <c r="AE178" s="61"/>
      <c r="AF178" s="73"/>
      <c r="AG178" s="71"/>
      <c r="AH178" s="74"/>
      <c r="AI178" s="59"/>
      <c r="AJ178" s="190" t="str">
        <f ca="1">IFERROR(RANK(Items[[#This Row],[EstSort]],OFFSET(Items[EstSort],0,0,ROW(Proposed[])-ROW(Items[])+ROWS(Proposed[]),1),1),"")</f>
        <v/>
      </c>
      <c r="AK178" s="190" t="str">
        <f ca="1">IF(CHOOSE(MATCH(Account,Accounts,0),Items[[#This Row],[Count]],Items[[#This Row],[Account1]],Items[[#This Row],[Account2]],Items[[#This Row],[Account3]],Items[[#This Row],[Account7]])&gt;0,Items[[#This Row],[Sort]],"")</f>
        <v/>
      </c>
      <c r="AL178" s="70" t="str">
        <f ca="1">IF(LEN(Items[[#This Row],[Count]])&gt;0,IFERROR(INDEX(Calcs[Counter],MATCH(Items[[#This Row],[Line]],Calcs[Line],0)),""),"")</f>
        <v/>
      </c>
      <c r="AM178" s="156" t="str">
        <f ca="1">IFERROR(Letter&amp;TEXT((Items[[#This Row],[Count]]-1)*Incr+BeginLine,"0000"),"")</f>
        <v/>
      </c>
      <c r="AN178" s="7" t="str">
        <f>IF(ISNA(MATCH(LEFT(Items[[#This Row],[Raw Item]],5)&amp;"-"&amp;RIGHT(Items[[#This Row],[Raw Item]],4),Pay.Item.Listing[Pay Item],0)),"",LEFT(Items[[#This Row],[Raw Item]],5)&amp;"-"&amp;RIGHT(Items[[#This Row],[Raw Item]],4))</f>
        <v/>
      </c>
    </row>
    <row r="179" spans="1:40" x14ac:dyDescent="0.15">
      <c r="A179" s="7" t="str">
        <f ca="1">IFERROR(RANK(Items[[#This Row],[Sort]],OFFSET(Items[Sort],0,0,ROW(Proposed[])-ROW(Items[])+ROWS(Proposed[]),1),1),"")</f>
        <v/>
      </c>
      <c r="B179" s="7" t="str">
        <f>IF(LEN(Items[[#This Row],[Item]])&gt;0,Items[[#This Row],[Raw Item]]+COUNTIF(AN$4:AN179,AN179)/100,"")</f>
        <v/>
      </c>
      <c r="C179" s="7">
        <f>IFERROR(VALUE(LEFT(VALUE(SUBSTITUTE(Items[[#This Row],[Pay Item]],"-",""))*100000000,9)),0)</f>
        <v>0</v>
      </c>
      <c r="D179" s="8"/>
      <c r="E179" s="127"/>
      <c r="F179" s="123" t="str">
        <f>IFERROR(SUBSTITUTE(VLOOKUP(Items[[#This Row],[Item]],Pay.Item.Listing[],2+2*(Units&lt;&gt;"Metric"),0),"{","&lt;"),"&lt;&lt; Pay Item not found &gt;&gt;")</f>
        <v>&lt;&lt; Pay Item not found &gt;&gt;</v>
      </c>
      <c r="G179" s="70" t="str">
        <f>IFERROR(VLOOKUP(Items[[#This Row],[Item]],Pay.Item.Listing[],3+2*(Units&lt;&gt;"Metric"),0),"–")</f>
        <v>–</v>
      </c>
      <c r="H179" s="70" t="str">
        <f>IFERROR(VLOOKUP(Items[[#This Row],[Item]],Pay.Item.Listing[],6,0),"–")</f>
        <v>–</v>
      </c>
      <c r="I179" s="70" t="str">
        <f>IFERROR(VLOOKUP(Items[[#This Row],[Item]],Pay.Item.Listing[],7,0),"–")</f>
        <v>–</v>
      </c>
      <c r="J179" s="71"/>
      <c r="K179" s="69"/>
      <c r="L179" s="69"/>
      <c r="M179" s="69"/>
      <c r="N179" s="69"/>
      <c r="O179" s="69"/>
      <c r="P179" s="69"/>
      <c r="Q179" s="69"/>
      <c r="R179" s="69"/>
      <c r="S179" s="69"/>
      <c r="T179" s="69"/>
      <c r="U179" s="69"/>
      <c r="V179" s="69"/>
      <c r="W179" s="69"/>
      <c r="X179" s="72">
        <f>IF(LEN(Items[[#This Row],[Item]])&gt;0,IF(Items[[#This Row],[Unit]]="LPSM",1,SUM(Items[[#This Row],[Col_1]:[Col_13]])),0)</f>
        <v>0</v>
      </c>
      <c r="Y179" s="190">
        <f>MAX(Items[[#This Row],[Quantity]]-SUM(Items[[#This Row],[Account2]]:Items[[#This Row],[Account7]]),0)</f>
        <v>0</v>
      </c>
      <c r="Z179" s="61"/>
      <c r="AA179" s="61"/>
      <c r="AB179" s="61"/>
      <c r="AC179" s="61"/>
      <c r="AD179" s="61"/>
      <c r="AE179" s="61"/>
      <c r="AF179" s="73"/>
      <c r="AG179" s="71"/>
      <c r="AH179" s="74"/>
      <c r="AI179" s="59"/>
      <c r="AJ179" s="190" t="str">
        <f ca="1">IFERROR(RANK(Items[[#This Row],[EstSort]],OFFSET(Items[EstSort],0,0,ROW(Proposed[])-ROW(Items[])+ROWS(Proposed[]),1),1),"")</f>
        <v/>
      </c>
      <c r="AK179" s="190" t="str">
        <f ca="1">IF(CHOOSE(MATCH(Account,Accounts,0),Items[[#This Row],[Count]],Items[[#This Row],[Account1]],Items[[#This Row],[Account2]],Items[[#This Row],[Account3]],Items[[#This Row],[Account7]])&gt;0,Items[[#This Row],[Sort]],"")</f>
        <v/>
      </c>
      <c r="AL179" s="70" t="str">
        <f ca="1">IF(LEN(Items[[#This Row],[Count]])&gt;0,IFERROR(INDEX(Calcs[Counter],MATCH(Items[[#This Row],[Line]],Calcs[Line],0)),""),"")</f>
        <v/>
      </c>
      <c r="AM179" s="156" t="str">
        <f ca="1">IFERROR(Letter&amp;TEXT((Items[[#This Row],[Count]]-1)*Incr+BeginLine,"0000"),"")</f>
        <v/>
      </c>
      <c r="AN179" s="7" t="str">
        <f>IF(ISNA(MATCH(LEFT(Items[[#This Row],[Raw Item]],5)&amp;"-"&amp;RIGHT(Items[[#This Row],[Raw Item]],4),Pay.Item.Listing[Pay Item],0)),"",LEFT(Items[[#This Row],[Raw Item]],5)&amp;"-"&amp;RIGHT(Items[[#This Row],[Raw Item]],4))</f>
        <v/>
      </c>
    </row>
    <row r="180" spans="1:40" x14ac:dyDescent="0.15">
      <c r="A180" s="7" t="str">
        <f ca="1">IFERROR(RANK(Items[[#This Row],[Sort]],OFFSET(Items[Sort],0,0,ROW(Proposed[])-ROW(Items[])+ROWS(Proposed[]),1),1),"")</f>
        <v/>
      </c>
      <c r="B180" s="7" t="str">
        <f>IF(LEN(Items[[#This Row],[Item]])&gt;0,Items[[#This Row],[Raw Item]]+COUNTIF(AN$4:AN180,AN180)/100,"")</f>
        <v/>
      </c>
      <c r="C180" s="7">
        <f>IFERROR(VALUE(LEFT(VALUE(SUBSTITUTE(Items[[#This Row],[Pay Item]],"-",""))*100000000,9)),0)</f>
        <v>0</v>
      </c>
      <c r="D180" s="8"/>
      <c r="E180" s="127"/>
      <c r="F180" s="123" t="str">
        <f>IFERROR(SUBSTITUTE(VLOOKUP(Items[[#This Row],[Item]],Pay.Item.Listing[],2+2*(Units&lt;&gt;"Metric"),0),"{","&lt;"),"&lt;&lt; Pay Item not found &gt;&gt;")</f>
        <v>&lt;&lt; Pay Item not found &gt;&gt;</v>
      </c>
      <c r="G180" s="70" t="str">
        <f>IFERROR(VLOOKUP(Items[[#This Row],[Item]],Pay.Item.Listing[],3+2*(Units&lt;&gt;"Metric"),0),"–")</f>
        <v>–</v>
      </c>
      <c r="H180" s="70" t="str">
        <f>IFERROR(VLOOKUP(Items[[#This Row],[Item]],Pay.Item.Listing[],6,0),"–")</f>
        <v>–</v>
      </c>
      <c r="I180" s="70" t="str">
        <f>IFERROR(VLOOKUP(Items[[#This Row],[Item]],Pay.Item.Listing[],7,0),"–")</f>
        <v>–</v>
      </c>
      <c r="J180" s="71"/>
      <c r="K180" s="69"/>
      <c r="L180" s="69"/>
      <c r="M180" s="69"/>
      <c r="N180" s="69"/>
      <c r="O180" s="69"/>
      <c r="P180" s="69"/>
      <c r="Q180" s="69"/>
      <c r="R180" s="69"/>
      <c r="S180" s="69"/>
      <c r="T180" s="69"/>
      <c r="U180" s="69"/>
      <c r="V180" s="69"/>
      <c r="W180" s="69"/>
      <c r="X180" s="72">
        <f>IF(LEN(Items[[#This Row],[Item]])&gt;0,IF(Items[[#This Row],[Unit]]="LPSM",1,SUM(Items[[#This Row],[Col_1]:[Col_13]])),0)</f>
        <v>0</v>
      </c>
      <c r="Y180" s="190">
        <f>MAX(Items[[#This Row],[Quantity]]-SUM(Items[[#This Row],[Account2]]:Items[[#This Row],[Account7]]),0)</f>
        <v>0</v>
      </c>
      <c r="Z180" s="61"/>
      <c r="AA180" s="61"/>
      <c r="AB180" s="61"/>
      <c r="AC180" s="61"/>
      <c r="AD180" s="61"/>
      <c r="AE180" s="61"/>
      <c r="AF180" s="73"/>
      <c r="AG180" s="71"/>
      <c r="AH180" s="74"/>
      <c r="AI180" s="59"/>
      <c r="AJ180" s="190" t="str">
        <f ca="1">IFERROR(RANK(Items[[#This Row],[EstSort]],OFFSET(Items[EstSort],0,0,ROW(Proposed[])-ROW(Items[])+ROWS(Proposed[]),1),1),"")</f>
        <v/>
      </c>
      <c r="AK180" s="190" t="str">
        <f ca="1">IF(CHOOSE(MATCH(Account,Accounts,0),Items[[#This Row],[Count]],Items[[#This Row],[Account1]],Items[[#This Row],[Account2]],Items[[#This Row],[Account3]],Items[[#This Row],[Account7]])&gt;0,Items[[#This Row],[Sort]],"")</f>
        <v/>
      </c>
      <c r="AL180" s="70" t="str">
        <f ca="1">IF(LEN(Items[[#This Row],[Count]])&gt;0,IFERROR(INDEX(Calcs[Counter],MATCH(Items[[#This Row],[Line]],Calcs[Line],0)),""),"")</f>
        <v/>
      </c>
      <c r="AM180" s="156" t="str">
        <f ca="1">IFERROR(Letter&amp;TEXT((Items[[#This Row],[Count]]-1)*Incr+BeginLine,"0000"),"")</f>
        <v/>
      </c>
      <c r="AN180" s="7" t="str">
        <f>IF(ISNA(MATCH(LEFT(Items[[#This Row],[Raw Item]],5)&amp;"-"&amp;RIGHT(Items[[#This Row],[Raw Item]],4),Pay.Item.Listing[Pay Item],0)),"",LEFT(Items[[#This Row],[Raw Item]],5)&amp;"-"&amp;RIGHT(Items[[#This Row],[Raw Item]],4))</f>
        <v/>
      </c>
    </row>
    <row r="181" spans="1:40" x14ac:dyDescent="0.15">
      <c r="A181" s="7" t="str">
        <f ca="1">IFERROR(RANK(Items[[#This Row],[Sort]],OFFSET(Items[Sort],0,0,ROW(Proposed[])-ROW(Items[])+ROWS(Proposed[]),1),1),"")</f>
        <v/>
      </c>
      <c r="B181" s="7" t="str">
        <f>IF(LEN(Items[[#This Row],[Item]])&gt;0,Items[[#This Row],[Raw Item]]+COUNTIF(AN$4:AN181,AN181)/100,"")</f>
        <v/>
      </c>
      <c r="C181" s="7">
        <f>IFERROR(VALUE(LEFT(VALUE(SUBSTITUTE(Items[[#This Row],[Pay Item]],"-",""))*100000000,9)),0)</f>
        <v>0</v>
      </c>
      <c r="D181" s="8"/>
      <c r="E181" s="127"/>
      <c r="F181" s="123" t="str">
        <f>IFERROR(SUBSTITUTE(VLOOKUP(Items[[#This Row],[Item]],Pay.Item.Listing[],2+2*(Units&lt;&gt;"Metric"),0),"{","&lt;"),"&lt;&lt; Pay Item not found &gt;&gt;")</f>
        <v>&lt;&lt; Pay Item not found &gt;&gt;</v>
      </c>
      <c r="G181" s="70" t="str">
        <f>IFERROR(VLOOKUP(Items[[#This Row],[Item]],Pay.Item.Listing[],3+2*(Units&lt;&gt;"Metric"),0),"–")</f>
        <v>–</v>
      </c>
      <c r="H181" s="70" t="str">
        <f>IFERROR(VLOOKUP(Items[[#This Row],[Item]],Pay.Item.Listing[],6,0),"–")</f>
        <v>–</v>
      </c>
      <c r="I181" s="70" t="str">
        <f>IFERROR(VLOOKUP(Items[[#This Row],[Item]],Pay.Item.Listing[],7,0),"–")</f>
        <v>–</v>
      </c>
      <c r="J181" s="71"/>
      <c r="K181" s="69"/>
      <c r="L181" s="69"/>
      <c r="M181" s="69"/>
      <c r="N181" s="69"/>
      <c r="O181" s="69"/>
      <c r="P181" s="69"/>
      <c r="Q181" s="69"/>
      <c r="R181" s="69"/>
      <c r="S181" s="69"/>
      <c r="T181" s="69"/>
      <c r="U181" s="69"/>
      <c r="V181" s="69"/>
      <c r="W181" s="69"/>
      <c r="X181" s="72">
        <f>IF(LEN(Items[[#This Row],[Item]])&gt;0,IF(Items[[#This Row],[Unit]]="LPSM",1,SUM(Items[[#This Row],[Col_1]:[Col_13]])),0)</f>
        <v>0</v>
      </c>
      <c r="Y181" s="190">
        <f>MAX(Items[[#This Row],[Quantity]]-SUM(Items[[#This Row],[Account2]]:Items[[#This Row],[Account7]]),0)</f>
        <v>0</v>
      </c>
      <c r="Z181" s="61"/>
      <c r="AA181" s="61"/>
      <c r="AB181" s="61"/>
      <c r="AC181" s="61"/>
      <c r="AD181" s="61"/>
      <c r="AE181" s="61"/>
      <c r="AF181" s="73"/>
      <c r="AG181" s="71"/>
      <c r="AH181" s="74"/>
      <c r="AI181" s="59"/>
      <c r="AJ181" s="190" t="str">
        <f ca="1">IFERROR(RANK(Items[[#This Row],[EstSort]],OFFSET(Items[EstSort],0,0,ROW(Proposed[])-ROW(Items[])+ROWS(Proposed[]),1),1),"")</f>
        <v/>
      </c>
      <c r="AK181" s="190" t="str">
        <f ca="1">IF(CHOOSE(MATCH(Account,Accounts,0),Items[[#This Row],[Count]],Items[[#This Row],[Account1]],Items[[#This Row],[Account2]],Items[[#This Row],[Account3]],Items[[#This Row],[Account7]])&gt;0,Items[[#This Row],[Sort]],"")</f>
        <v/>
      </c>
      <c r="AL181" s="70" t="str">
        <f ca="1">IF(LEN(Items[[#This Row],[Count]])&gt;0,IFERROR(INDEX(Calcs[Counter],MATCH(Items[[#This Row],[Line]],Calcs[Line],0)),""),"")</f>
        <v/>
      </c>
      <c r="AM181" s="156" t="str">
        <f ca="1">IFERROR(Letter&amp;TEXT((Items[[#This Row],[Count]]-1)*Incr+BeginLine,"0000"),"")</f>
        <v/>
      </c>
      <c r="AN181" s="7" t="str">
        <f>IF(ISNA(MATCH(LEFT(Items[[#This Row],[Raw Item]],5)&amp;"-"&amp;RIGHT(Items[[#This Row],[Raw Item]],4),Pay.Item.Listing[Pay Item],0)),"",LEFT(Items[[#This Row],[Raw Item]],5)&amp;"-"&amp;RIGHT(Items[[#This Row],[Raw Item]],4))</f>
        <v/>
      </c>
    </row>
    <row r="182" spans="1:40" x14ac:dyDescent="0.15">
      <c r="A182" s="7" t="str">
        <f ca="1">IFERROR(RANK(Items[[#This Row],[Sort]],OFFSET(Items[Sort],0,0,ROW(Proposed[])-ROW(Items[])+ROWS(Proposed[]),1),1),"")</f>
        <v/>
      </c>
      <c r="B182" s="7" t="str">
        <f>IF(LEN(Items[[#This Row],[Item]])&gt;0,Items[[#This Row],[Raw Item]]+COUNTIF(AN$4:AN182,AN182)/100,"")</f>
        <v/>
      </c>
      <c r="C182" s="7">
        <f>IFERROR(VALUE(LEFT(VALUE(SUBSTITUTE(Items[[#This Row],[Pay Item]],"-",""))*100000000,9)),0)</f>
        <v>0</v>
      </c>
      <c r="D182" s="8"/>
      <c r="E182" s="127"/>
      <c r="F182" s="123" t="str">
        <f>IFERROR(SUBSTITUTE(VLOOKUP(Items[[#This Row],[Item]],Pay.Item.Listing[],2+2*(Units&lt;&gt;"Metric"),0),"{","&lt;"),"&lt;&lt; Pay Item not found &gt;&gt;")</f>
        <v>&lt;&lt; Pay Item not found &gt;&gt;</v>
      </c>
      <c r="G182" s="70" t="str">
        <f>IFERROR(VLOOKUP(Items[[#This Row],[Item]],Pay.Item.Listing[],3+2*(Units&lt;&gt;"Metric"),0),"–")</f>
        <v>–</v>
      </c>
      <c r="H182" s="70" t="str">
        <f>IFERROR(VLOOKUP(Items[[#This Row],[Item]],Pay.Item.Listing[],6,0),"–")</f>
        <v>–</v>
      </c>
      <c r="I182" s="70" t="str">
        <f>IFERROR(VLOOKUP(Items[[#This Row],[Item]],Pay.Item.Listing[],7,0),"–")</f>
        <v>–</v>
      </c>
      <c r="J182" s="71"/>
      <c r="K182" s="69"/>
      <c r="L182" s="69"/>
      <c r="M182" s="69"/>
      <c r="N182" s="69"/>
      <c r="O182" s="69"/>
      <c r="P182" s="69"/>
      <c r="Q182" s="69"/>
      <c r="R182" s="69"/>
      <c r="S182" s="69"/>
      <c r="T182" s="69"/>
      <c r="U182" s="69"/>
      <c r="V182" s="69"/>
      <c r="W182" s="69"/>
      <c r="X182" s="72">
        <f>IF(LEN(Items[[#This Row],[Item]])&gt;0,IF(Items[[#This Row],[Unit]]="LPSM",1,SUM(Items[[#This Row],[Col_1]:[Col_13]])),0)</f>
        <v>0</v>
      </c>
      <c r="Y182" s="190">
        <f>MAX(Items[[#This Row],[Quantity]]-SUM(Items[[#This Row],[Account2]]:Items[[#This Row],[Account7]]),0)</f>
        <v>0</v>
      </c>
      <c r="Z182" s="61"/>
      <c r="AA182" s="61"/>
      <c r="AB182" s="61"/>
      <c r="AC182" s="61"/>
      <c r="AD182" s="61"/>
      <c r="AE182" s="61"/>
      <c r="AF182" s="73"/>
      <c r="AG182" s="71"/>
      <c r="AH182" s="74"/>
      <c r="AI182" s="59"/>
      <c r="AJ182" s="190" t="str">
        <f ca="1">IFERROR(RANK(Items[[#This Row],[EstSort]],OFFSET(Items[EstSort],0,0,ROW(Proposed[])-ROW(Items[])+ROWS(Proposed[]),1),1),"")</f>
        <v/>
      </c>
      <c r="AK182" s="190" t="str">
        <f ca="1">IF(CHOOSE(MATCH(Account,Accounts,0),Items[[#This Row],[Count]],Items[[#This Row],[Account1]],Items[[#This Row],[Account2]],Items[[#This Row],[Account3]],Items[[#This Row],[Account7]])&gt;0,Items[[#This Row],[Sort]],"")</f>
        <v/>
      </c>
      <c r="AL182" s="70" t="str">
        <f ca="1">IF(LEN(Items[[#This Row],[Count]])&gt;0,IFERROR(INDEX(Calcs[Counter],MATCH(Items[[#This Row],[Line]],Calcs[Line],0)),""),"")</f>
        <v/>
      </c>
      <c r="AM182" s="156" t="str">
        <f ca="1">IFERROR(Letter&amp;TEXT((Items[[#This Row],[Count]]-1)*Incr+BeginLine,"0000"),"")</f>
        <v/>
      </c>
      <c r="AN182" s="7" t="str">
        <f>IF(ISNA(MATCH(LEFT(Items[[#This Row],[Raw Item]],5)&amp;"-"&amp;RIGHT(Items[[#This Row],[Raw Item]],4),Pay.Item.Listing[Pay Item],0)),"",LEFT(Items[[#This Row],[Raw Item]],5)&amp;"-"&amp;RIGHT(Items[[#This Row],[Raw Item]],4))</f>
        <v/>
      </c>
    </row>
    <row r="183" spans="1:40" x14ac:dyDescent="0.15">
      <c r="A183" s="7" t="str">
        <f ca="1">IFERROR(RANK(Items[[#This Row],[Sort]],OFFSET(Items[Sort],0,0,ROW(Proposed[])-ROW(Items[])+ROWS(Proposed[]),1),1),"")</f>
        <v/>
      </c>
      <c r="B183" s="7" t="str">
        <f>IF(LEN(Items[[#This Row],[Item]])&gt;0,Items[[#This Row],[Raw Item]]+COUNTIF(AN$4:AN183,AN183)/100,"")</f>
        <v/>
      </c>
      <c r="C183" s="7">
        <f>IFERROR(VALUE(LEFT(VALUE(SUBSTITUTE(Items[[#This Row],[Pay Item]],"-",""))*100000000,9)),0)</f>
        <v>0</v>
      </c>
      <c r="D183" s="8"/>
      <c r="E183" s="127"/>
      <c r="F183" s="123" t="str">
        <f>IFERROR(SUBSTITUTE(VLOOKUP(Items[[#This Row],[Item]],Pay.Item.Listing[],2+2*(Units&lt;&gt;"Metric"),0),"{","&lt;"),"&lt;&lt; Pay Item not found &gt;&gt;")</f>
        <v>&lt;&lt; Pay Item not found &gt;&gt;</v>
      </c>
      <c r="G183" s="70" t="str">
        <f>IFERROR(VLOOKUP(Items[[#This Row],[Item]],Pay.Item.Listing[],3+2*(Units&lt;&gt;"Metric"),0),"–")</f>
        <v>–</v>
      </c>
      <c r="H183" s="70" t="str">
        <f>IFERROR(VLOOKUP(Items[[#This Row],[Item]],Pay.Item.Listing[],6,0),"–")</f>
        <v>–</v>
      </c>
      <c r="I183" s="70" t="str">
        <f>IFERROR(VLOOKUP(Items[[#This Row],[Item]],Pay.Item.Listing[],7,0),"–")</f>
        <v>–</v>
      </c>
      <c r="J183" s="71"/>
      <c r="K183" s="69"/>
      <c r="L183" s="69"/>
      <c r="M183" s="69"/>
      <c r="N183" s="69"/>
      <c r="O183" s="69"/>
      <c r="P183" s="69"/>
      <c r="Q183" s="69"/>
      <c r="R183" s="69"/>
      <c r="S183" s="69"/>
      <c r="T183" s="69"/>
      <c r="U183" s="69"/>
      <c r="V183" s="69"/>
      <c r="W183" s="69"/>
      <c r="X183" s="72">
        <f>IF(LEN(Items[[#This Row],[Item]])&gt;0,IF(Items[[#This Row],[Unit]]="LPSM",1,SUM(Items[[#This Row],[Col_1]:[Col_13]])),0)</f>
        <v>0</v>
      </c>
      <c r="Y183" s="190">
        <f>MAX(Items[[#This Row],[Quantity]]-SUM(Items[[#This Row],[Account2]]:Items[[#This Row],[Account7]]),0)</f>
        <v>0</v>
      </c>
      <c r="Z183" s="61"/>
      <c r="AA183" s="61"/>
      <c r="AB183" s="61"/>
      <c r="AC183" s="61"/>
      <c r="AD183" s="61"/>
      <c r="AE183" s="61"/>
      <c r="AF183" s="73"/>
      <c r="AG183" s="71"/>
      <c r="AH183" s="74"/>
      <c r="AI183" s="59"/>
      <c r="AJ183" s="190" t="str">
        <f ca="1">IFERROR(RANK(Items[[#This Row],[EstSort]],OFFSET(Items[EstSort],0,0,ROW(Proposed[])-ROW(Items[])+ROWS(Proposed[]),1),1),"")</f>
        <v/>
      </c>
      <c r="AK183" s="190" t="str">
        <f ca="1">IF(CHOOSE(MATCH(Account,Accounts,0),Items[[#This Row],[Count]],Items[[#This Row],[Account1]],Items[[#This Row],[Account2]],Items[[#This Row],[Account3]],Items[[#This Row],[Account7]])&gt;0,Items[[#This Row],[Sort]],"")</f>
        <v/>
      </c>
      <c r="AL183" s="70" t="str">
        <f ca="1">IF(LEN(Items[[#This Row],[Count]])&gt;0,IFERROR(INDEX(Calcs[Counter],MATCH(Items[[#This Row],[Line]],Calcs[Line],0)),""),"")</f>
        <v/>
      </c>
      <c r="AM183" s="156" t="str">
        <f ca="1">IFERROR(Letter&amp;TEXT((Items[[#This Row],[Count]]-1)*Incr+BeginLine,"0000"),"")</f>
        <v/>
      </c>
      <c r="AN183" s="7" t="str">
        <f>IF(ISNA(MATCH(LEFT(Items[[#This Row],[Raw Item]],5)&amp;"-"&amp;RIGHT(Items[[#This Row],[Raw Item]],4),Pay.Item.Listing[Pay Item],0)),"",LEFT(Items[[#This Row],[Raw Item]],5)&amp;"-"&amp;RIGHT(Items[[#This Row],[Raw Item]],4))</f>
        <v/>
      </c>
    </row>
    <row r="184" spans="1:40" x14ac:dyDescent="0.15">
      <c r="A184" s="7" t="str">
        <f ca="1">IFERROR(RANK(Items[[#This Row],[Sort]],OFFSET(Items[Sort],0,0,ROW(Proposed[])-ROW(Items[])+ROWS(Proposed[]),1),1),"")</f>
        <v/>
      </c>
      <c r="B184" s="7" t="str">
        <f>IF(LEN(Items[[#This Row],[Item]])&gt;0,Items[[#This Row],[Raw Item]]+COUNTIF(AN$4:AN184,AN184)/100,"")</f>
        <v/>
      </c>
      <c r="C184" s="7">
        <f>IFERROR(VALUE(LEFT(VALUE(SUBSTITUTE(Items[[#This Row],[Pay Item]],"-",""))*100000000,9)),0)</f>
        <v>0</v>
      </c>
      <c r="D184" s="8"/>
      <c r="E184" s="127"/>
      <c r="F184" s="123" t="str">
        <f>IFERROR(SUBSTITUTE(VLOOKUP(Items[[#This Row],[Item]],Pay.Item.Listing[],2+2*(Units&lt;&gt;"Metric"),0),"{","&lt;"),"&lt;&lt; Pay Item not found &gt;&gt;")</f>
        <v>&lt;&lt; Pay Item not found &gt;&gt;</v>
      </c>
      <c r="G184" s="70" t="str">
        <f>IFERROR(VLOOKUP(Items[[#This Row],[Item]],Pay.Item.Listing[],3+2*(Units&lt;&gt;"Metric"),0),"–")</f>
        <v>–</v>
      </c>
      <c r="H184" s="70" t="str">
        <f>IFERROR(VLOOKUP(Items[[#This Row],[Item]],Pay.Item.Listing[],6,0),"–")</f>
        <v>–</v>
      </c>
      <c r="I184" s="70" t="str">
        <f>IFERROR(VLOOKUP(Items[[#This Row],[Item]],Pay.Item.Listing[],7,0),"–")</f>
        <v>–</v>
      </c>
      <c r="J184" s="71"/>
      <c r="K184" s="69"/>
      <c r="L184" s="69"/>
      <c r="M184" s="69"/>
      <c r="N184" s="69"/>
      <c r="O184" s="69"/>
      <c r="P184" s="69"/>
      <c r="Q184" s="69"/>
      <c r="R184" s="69"/>
      <c r="S184" s="69"/>
      <c r="T184" s="69"/>
      <c r="U184" s="69"/>
      <c r="V184" s="69"/>
      <c r="W184" s="69"/>
      <c r="X184" s="72">
        <f>IF(LEN(Items[[#This Row],[Item]])&gt;0,IF(Items[[#This Row],[Unit]]="LPSM",1,SUM(Items[[#This Row],[Col_1]:[Col_13]])),0)</f>
        <v>0</v>
      </c>
      <c r="Y184" s="190">
        <f>MAX(Items[[#This Row],[Quantity]]-SUM(Items[[#This Row],[Account2]]:Items[[#This Row],[Account7]]),0)</f>
        <v>0</v>
      </c>
      <c r="Z184" s="61"/>
      <c r="AA184" s="61"/>
      <c r="AB184" s="61"/>
      <c r="AC184" s="61"/>
      <c r="AD184" s="61"/>
      <c r="AE184" s="61"/>
      <c r="AF184" s="73"/>
      <c r="AG184" s="71"/>
      <c r="AH184" s="74"/>
      <c r="AI184" s="59"/>
      <c r="AJ184" s="190" t="str">
        <f ca="1">IFERROR(RANK(Items[[#This Row],[EstSort]],OFFSET(Items[EstSort],0,0,ROW(Proposed[])-ROW(Items[])+ROWS(Proposed[]),1),1),"")</f>
        <v/>
      </c>
      <c r="AK184" s="190" t="str">
        <f ca="1">IF(CHOOSE(MATCH(Account,Accounts,0),Items[[#This Row],[Count]],Items[[#This Row],[Account1]],Items[[#This Row],[Account2]],Items[[#This Row],[Account3]],Items[[#This Row],[Account7]])&gt;0,Items[[#This Row],[Sort]],"")</f>
        <v/>
      </c>
      <c r="AL184" s="70" t="str">
        <f ca="1">IF(LEN(Items[[#This Row],[Count]])&gt;0,IFERROR(INDEX(Calcs[Counter],MATCH(Items[[#This Row],[Line]],Calcs[Line],0)),""),"")</f>
        <v/>
      </c>
      <c r="AM184" s="156" t="str">
        <f ca="1">IFERROR(Letter&amp;TEXT((Items[[#This Row],[Count]]-1)*Incr+BeginLine,"0000"),"")</f>
        <v/>
      </c>
      <c r="AN184" s="7" t="str">
        <f>IF(ISNA(MATCH(LEFT(Items[[#This Row],[Raw Item]],5)&amp;"-"&amp;RIGHT(Items[[#This Row],[Raw Item]],4),Pay.Item.Listing[Pay Item],0)),"",LEFT(Items[[#This Row],[Raw Item]],5)&amp;"-"&amp;RIGHT(Items[[#This Row],[Raw Item]],4))</f>
        <v/>
      </c>
    </row>
    <row r="185" spans="1:40" x14ac:dyDescent="0.15">
      <c r="A185" s="7" t="str">
        <f ca="1">IFERROR(RANK(Items[[#This Row],[Sort]],OFFSET(Items[Sort],0,0,ROW(Proposed[])-ROW(Items[])+ROWS(Proposed[]),1),1),"")</f>
        <v/>
      </c>
      <c r="B185" s="7" t="str">
        <f>IF(LEN(Items[[#This Row],[Item]])&gt;0,Items[[#This Row],[Raw Item]]+COUNTIF(AN$4:AN185,AN185)/100,"")</f>
        <v/>
      </c>
      <c r="C185" s="7">
        <f>IFERROR(VALUE(LEFT(VALUE(SUBSTITUTE(Items[[#This Row],[Pay Item]],"-",""))*100000000,9)),0)</f>
        <v>0</v>
      </c>
      <c r="D185" s="8"/>
      <c r="E185" s="127"/>
      <c r="F185" s="123" t="str">
        <f>IFERROR(SUBSTITUTE(VLOOKUP(Items[[#This Row],[Item]],Pay.Item.Listing[],2+2*(Units&lt;&gt;"Metric"),0),"{","&lt;"),"&lt;&lt; Pay Item not found &gt;&gt;")</f>
        <v>&lt;&lt; Pay Item not found &gt;&gt;</v>
      </c>
      <c r="G185" s="70" t="str">
        <f>IFERROR(VLOOKUP(Items[[#This Row],[Item]],Pay.Item.Listing[],3+2*(Units&lt;&gt;"Metric"),0),"–")</f>
        <v>–</v>
      </c>
      <c r="H185" s="70" t="str">
        <f>IFERROR(VLOOKUP(Items[[#This Row],[Item]],Pay.Item.Listing[],6,0),"–")</f>
        <v>–</v>
      </c>
      <c r="I185" s="70" t="str">
        <f>IFERROR(VLOOKUP(Items[[#This Row],[Item]],Pay.Item.Listing[],7,0),"–")</f>
        <v>–</v>
      </c>
      <c r="J185" s="71"/>
      <c r="K185" s="69"/>
      <c r="L185" s="69"/>
      <c r="M185" s="69"/>
      <c r="N185" s="69"/>
      <c r="O185" s="69"/>
      <c r="P185" s="69"/>
      <c r="Q185" s="69"/>
      <c r="R185" s="69"/>
      <c r="S185" s="69"/>
      <c r="T185" s="69"/>
      <c r="U185" s="69"/>
      <c r="V185" s="69"/>
      <c r="W185" s="69"/>
      <c r="X185" s="72">
        <f>IF(LEN(Items[[#This Row],[Item]])&gt;0,IF(Items[[#This Row],[Unit]]="LPSM",1,SUM(Items[[#This Row],[Col_1]:[Col_13]])),0)</f>
        <v>0</v>
      </c>
      <c r="Y185" s="190">
        <f>MAX(Items[[#This Row],[Quantity]]-SUM(Items[[#This Row],[Account2]]:Items[[#This Row],[Account7]]),0)</f>
        <v>0</v>
      </c>
      <c r="Z185" s="61"/>
      <c r="AA185" s="61"/>
      <c r="AB185" s="61"/>
      <c r="AC185" s="61"/>
      <c r="AD185" s="61"/>
      <c r="AE185" s="61"/>
      <c r="AF185" s="73"/>
      <c r="AG185" s="71"/>
      <c r="AH185" s="74"/>
      <c r="AI185" s="59"/>
      <c r="AJ185" s="190" t="str">
        <f ca="1">IFERROR(RANK(Items[[#This Row],[EstSort]],OFFSET(Items[EstSort],0,0,ROW(Proposed[])-ROW(Items[])+ROWS(Proposed[]),1),1),"")</f>
        <v/>
      </c>
      <c r="AK185" s="190" t="str">
        <f ca="1">IF(CHOOSE(MATCH(Account,Accounts,0),Items[[#This Row],[Count]],Items[[#This Row],[Account1]],Items[[#This Row],[Account2]],Items[[#This Row],[Account3]],Items[[#This Row],[Account7]])&gt;0,Items[[#This Row],[Sort]],"")</f>
        <v/>
      </c>
      <c r="AL185" s="70" t="str">
        <f ca="1">IF(LEN(Items[[#This Row],[Count]])&gt;0,IFERROR(INDEX(Calcs[Counter],MATCH(Items[[#This Row],[Line]],Calcs[Line],0)),""),"")</f>
        <v/>
      </c>
      <c r="AM185" s="156" t="str">
        <f ca="1">IFERROR(Letter&amp;TEXT((Items[[#This Row],[Count]]-1)*Incr+BeginLine,"0000"),"")</f>
        <v/>
      </c>
      <c r="AN185" s="7" t="str">
        <f>IF(ISNA(MATCH(LEFT(Items[[#This Row],[Raw Item]],5)&amp;"-"&amp;RIGHT(Items[[#This Row],[Raw Item]],4),Pay.Item.Listing[Pay Item],0)),"",LEFT(Items[[#This Row],[Raw Item]],5)&amp;"-"&amp;RIGHT(Items[[#This Row],[Raw Item]],4))</f>
        <v/>
      </c>
    </row>
    <row r="186" spans="1:40" x14ac:dyDescent="0.15">
      <c r="A186" s="7" t="str">
        <f ca="1">IFERROR(RANK(Items[[#This Row],[Sort]],OFFSET(Items[Sort],0,0,ROW(Proposed[])-ROW(Items[])+ROWS(Proposed[]),1),1),"")</f>
        <v/>
      </c>
      <c r="B186" s="7" t="str">
        <f>IF(LEN(Items[[#This Row],[Item]])&gt;0,Items[[#This Row],[Raw Item]]+COUNTIF(AN$4:AN186,AN186)/100,"")</f>
        <v/>
      </c>
      <c r="C186" s="7">
        <f>IFERROR(VALUE(LEFT(VALUE(SUBSTITUTE(Items[[#This Row],[Pay Item]],"-",""))*100000000,9)),0)</f>
        <v>0</v>
      </c>
      <c r="D186" s="8"/>
      <c r="E186" s="127"/>
      <c r="F186" s="123" t="str">
        <f>IFERROR(SUBSTITUTE(VLOOKUP(Items[[#This Row],[Item]],Pay.Item.Listing[],2+2*(Units&lt;&gt;"Metric"),0),"{","&lt;"),"&lt;&lt; Pay Item not found &gt;&gt;")</f>
        <v>&lt;&lt; Pay Item not found &gt;&gt;</v>
      </c>
      <c r="G186" s="70" t="str">
        <f>IFERROR(VLOOKUP(Items[[#This Row],[Item]],Pay.Item.Listing[],3+2*(Units&lt;&gt;"Metric"),0),"–")</f>
        <v>–</v>
      </c>
      <c r="H186" s="70" t="str">
        <f>IFERROR(VLOOKUP(Items[[#This Row],[Item]],Pay.Item.Listing[],6,0),"–")</f>
        <v>–</v>
      </c>
      <c r="I186" s="70" t="str">
        <f>IFERROR(VLOOKUP(Items[[#This Row],[Item]],Pay.Item.Listing[],7,0),"–")</f>
        <v>–</v>
      </c>
      <c r="J186" s="71"/>
      <c r="K186" s="69"/>
      <c r="L186" s="69"/>
      <c r="M186" s="69"/>
      <c r="N186" s="69"/>
      <c r="O186" s="69"/>
      <c r="P186" s="69"/>
      <c r="Q186" s="69"/>
      <c r="R186" s="69"/>
      <c r="S186" s="69"/>
      <c r="T186" s="69"/>
      <c r="U186" s="69"/>
      <c r="V186" s="69"/>
      <c r="W186" s="69"/>
      <c r="X186" s="72">
        <f>IF(LEN(Items[[#This Row],[Item]])&gt;0,IF(Items[[#This Row],[Unit]]="LPSM",1,SUM(Items[[#This Row],[Col_1]:[Col_13]])),0)</f>
        <v>0</v>
      </c>
      <c r="Y186" s="190">
        <f>MAX(Items[[#This Row],[Quantity]]-SUM(Items[[#This Row],[Account2]]:Items[[#This Row],[Account7]]),0)</f>
        <v>0</v>
      </c>
      <c r="Z186" s="61"/>
      <c r="AA186" s="61"/>
      <c r="AB186" s="61"/>
      <c r="AC186" s="61"/>
      <c r="AD186" s="61"/>
      <c r="AE186" s="61"/>
      <c r="AF186" s="73"/>
      <c r="AG186" s="71"/>
      <c r="AH186" s="74"/>
      <c r="AI186" s="59"/>
      <c r="AJ186" s="190" t="str">
        <f ca="1">IFERROR(RANK(Items[[#This Row],[EstSort]],OFFSET(Items[EstSort],0,0,ROW(Proposed[])-ROW(Items[])+ROWS(Proposed[]),1),1),"")</f>
        <v/>
      </c>
      <c r="AK186" s="190" t="str">
        <f ca="1">IF(CHOOSE(MATCH(Account,Accounts,0),Items[[#This Row],[Count]],Items[[#This Row],[Account1]],Items[[#This Row],[Account2]],Items[[#This Row],[Account3]],Items[[#This Row],[Account7]])&gt;0,Items[[#This Row],[Sort]],"")</f>
        <v/>
      </c>
      <c r="AL186" s="70" t="str">
        <f ca="1">IF(LEN(Items[[#This Row],[Count]])&gt;0,IFERROR(INDEX(Calcs[Counter],MATCH(Items[[#This Row],[Line]],Calcs[Line],0)),""),"")</f>
        <v/>
      </c>
      <c r="AM186" s="156" t="str">
        <f ca="1">IFERROR(Letter&amp;TEXT((Items[[#This Row],[Count]]-1)*Incr+BeginLine,"0000"),"")</f>
        <v/>
      </c>
      <c r="AN186" s="7" t="str">
        <f>IF(ISNA(MATCH(LEFT(Items[[#This Row],[Raw Item]],5)&amp;"-"&amp;RIGHT(Items[[#This Row],[Raw Item]],4),Pay.Item.Listing[Pay Item],0)),"",LEFT(Items[[#This Row],[Raw Item]],5)&amp;"-"&amp;RIGHT(Items[[#This Row],[Raw Item]],4))</f>
        <v/>
      </c>
    </row>
    <row r="187" spans="1:40" x14ac:dyDescent="0.15">
      <c r="A187" s="7" t="str">
        <f ca="1">IFERROR(RANK(Items[[#This Row],[Sort]],OFFSET(Items[Sort],0,0,ROW(Proposed[])-ROW(Items[])+ROWS(Proposed[]),1),1),"")</f>
        <v/>
      </c>
      <c r="B187" s="7" t="str">
        <f>IF(LEN(Items[[#This Row],[Item]])&gt;0,Items[[#This Row],[Raw Item]]+COUNTIF(AN$4:AN187,AN187)/100,"")</f>
        <v/>
      </c>
      <c r="C187" s="7">
        <f>IFERROR(VALUE(LEFT(VALUE(SUBSTITUTE(Items[[#This Row],[Pay Item]],"-",""))*100000000,9)),0)</f>
        <v>0</v>
      </c>
      <c r="D187" s="8"/>
      <c r="E187" s="127"/>
      <c r="F187" s="123" t="str">
        <f>IFERROR(SUBSTITUTE(VLOOKUP(Items[[#This Row],[Item]],Pay.Item.Listing[],2+2*(Units&lt;&gt;"Metric"),0),"{","&lt;"),"&lt;&lt; Pay Item not found &gt;&gt;")</f>
        <v>&lt;&lt; Pay Item not found &gt;&gt;</v>
      </c>
      <c r="G187" s="70" t="str">
        <f>IFERROR(VLOOKUP(Items[[#This Row],[Item]],Pay.Item.Listing[],3+2*(Units&lt;&gt;"Metric"),0),"–")</f>
        <v>–</v>
      </c>
      <c r="H187" s="70" t="str">
        <f>IFERROR(VLOOKUP(Items[[#This Row],[Item]],Pay.Item.Listing[],6,0),"–")</f>
        <v>–</v>
      </c>
      <c r="I187" s="70" t="str">
        <f>IFERROR(VLOOKUP(Items[[#This Row],[Item]],Pay.Item.Listing[],7,0),"–")</f>
        <v>–</v>
      </c>
      <c r="J187" s="71"/>
      <c r="K187" s="69"/>
      <c r="L187" s="69"/>
      <c r="M187" s="69"/>
      <c r="N187" s="69"/>
      <c r="O187" s="69"/>
      <c r="P187" s="69"/>
      <c r="Q187" s="69"/>
      <c r="R187" s="69"/>
      <c r="S187" s="69"/>
      <c r="T187" s="69"/>
      <c r="U187" s="69"/>
      <c r="V187" s="69"/>
      <c r="W187" s="69"/>
      <c r="X187" s="72">
        <f>IF(LEN(Items[[#This Row],[Item]])&gt;0,IF(Items[[#This Row],[Unit]]="LPSM",1,SUM(Items[[#This Row],[Col_1]:[Col_13]])),0)</f>
        <v>0</v>
      </c>
      <c r="Y187" s="190">
        <f>MAX(Items[[#This Row],[Quantity]]-SUM(Items[[#This Row],[Account2]]:Items[[#This Row],[Account7]]),0)</f>
        <v>0</v>
      </c>
      <c r="Z187" s="61"/>
      <c r="AA187" s="61"/>
      <c r="AB187" s="61"/>
      <c r="AC187" s="61"/>
      <c r="AD187" s="61"/>
      <c r="AE187" s="61"/>
      <c r="AF187" s="73"/>
      <c r="AG187" s="71"/>
      <c r="AH187" s="74"/>
      <c r="AI187" s="59"/>
      <c r="AJ187" s="190" t="str">
        <f ca="1">IFERROR(RANK(Items[[#This Row],[EstSort]],OFFSET(Items[EstSort],0,0,ROW(Proposed[])-ROW(Items[])+ROWS(Proposed[]),1),1),"")</f>
        <v/>
      </c>
      <c r="AK187" s="190" t="str">
        <f ca="1">IF(CHOOSE(MATCH(Account,Accounts,0),Items[[#This Row],[Count]],Items[[#This Row],[Account1]],Items[[#This Row],[Account2]],Items[[#This Row],[Account3]],Items[[#This Row],[Account7]])&gt;0,Items[[#This Row],[Sort]],"")</f>
        <v/>
      </c>
      <c r="AL187" s="70" t="str">
        <f ca="1">IF(LEN(Items[[#This Row],[Count]])&gt;0,IFERROR(INDEX(Calcs[Counter],MATCH(Items[[#This Row],[Line]],Calcs[Line],0)),""),"")</f>
        <v/>
      </c>
      <c r="AM187" s="156" t="str">
        <f ca="1">IFERROR(Letter&amp;TEXT((Items[[#This Row],[Count]]-1)*Incr+BeginLine,"0000"),"")</f>
        <v/>
      </c>
      <c r="AN187" s="7" t="str">
        <f>IF(ISNA(MATCH(LEFT(Items[[#This Row],[Raw Item]],5)&amp;"-"&amp;RIGHT(Items[[#This Row],[Raw Item]],4),Pay.Item.Listing[Pay Item],0)),"",LEFT(Items[[#This Row],[Raw Item]],5)&amp;"-"&amp;RIGHT(Items[[#This Row],[Raw Item]],4))</f>
        <v/>
      </c>
    </row>
    <row r="188" spans="1:40" x14ac:dyDescent="0.15">
      <c r="A188" s="7" t="str">
        <f ca="1">IFERROR(RANK(Items[[#This Row],[Sort]],OFFSET(Items[Sort],0,0,ROW(Proposed[])-ROW(Items[])+ROWS(Proposed[]),1),1),"")</f>
        <v/>
      </c>
      <c r="B188" s="7" t="str">
        <f>IF(LEN(Items[[#This Row],[Item]])&gt;0,Items[[#This Row],[Raw Item]]+COUNTIF(AN$4:AN188,AN188)/100,"")</f>
        <v/>
      </c>
      <c r="C188" s="7">
        <f>IFERROR(VALUE(LEFT(VALUE(SUBSTITUTE(Items[[#This Row],[Pay Item]],"-",""))*100000000,9)),0)</f>
        <v>0</v>
      </c>
      <c r="D188" s="8"/>
      <c r="E188" s="127"/>
      <c r="F188" s="123" t="str">
        <f>IFERROR(SUBSTITUTE(VLOOKUP(Items[[#This Row],[Item]],Pay.Item.Listing[],2+2*(Units&lt;&gt;"Metric"),0),"{","&lt;"),"&lt;&lt; Pay Item not found &gt;&gt;")</f>
        <v>&lt;&lt; Pay Item not found &gt;&gt;</v>
      </c>
      <c r="G188" s="70" t="str">
        <f>IFERROR(VLOOKUP(Items[[#This Row],[Item]],Pay.Item.Listing[],3+2*(Units&lt;&gt;"Metric"),0),"–")</f>
        <v>–</v>
      </c>
      <c r="H188" s="70" t="str">
        <f>IFERROR(VLOOKUP(Items[[#This Row],[Item]],Pay.Item.Listing[],6,0),"–")</f>
        <v>–</v>
      </c>
      <c r="I188" s="70" t="str">
        <f>IFERROR(VLOOKUP(Items[[#This Row],[Item]],Pay.Item.Listing[],7,0),"–")</f>
        <v>–</v>
      </c>
      <c r="J188" s="71"/>
      <c r="K188" s="69"/>
      <c r="L188" s="69"/>
      <c r="M188" s="69"/>
      <c r="N188" s="69"/>
      <c r="O188" s="69"/>
      <c r="P188" s="69"/>
      <c r="Q188" s="69"/>
      <c r="R188" s="69"/>
      <c r="S188" s="69"/>
      <c r="T188" s="69"/>
      <c r="U188" s="69"/>
      <c r="V188" s="69"/>
      <c r="W188" s="69"/>
      <c r="X188" s="72">
        <f>IF(LEN(Items[[#This Row],[Item]])&gt;0,IF(Items[[#This Row],[Unit]]="LPSM",1,SUM(Items[[#This Row],[Col_1]:[Col_13]])),0)</f>
        <v>0</v>
      </c>
      <c r="Y188" s="190">
        <f>MAX(Items[[#This Row],[Quantity]]-SUM(Items[[#This Row],[Account2]]:Items[[#This Row],[Account7]]),0)</f>
        <v>0</v>
      </c>
      <c r="Z188" s="61"/>
      <c r="AA188" s="61"/>
      <c r="AB188" s="61"/>
      <c r="AC188" s="61"/>
      <c r="AD188" s="61"/>
      <c r="AE188" s="61"/>
      <c r="AF188" s="73"/>
      <c r="AG188" s="71"/>
      <c r="AH188" s="74"/>
      <c r="AI188" s="59"/>
      <c r="AJ188" s="190" t="str">
        <f ca="1">IFERROR(RANK(Items[[#This Row],[EstSort]],OFFSET(Items[EstSort],0,0,ROW(Proposed[])-ROW(Items[])+ROWS(Proposed[]),1),1),"")</f>
        <v/>
      </c>
      <c r="AK188" s="190" t="str">
        <f ca="1">IF(CHOOSE(MATCH(Account,Accounts,0),Items[[#This Row],[Count]],Items[[#This Row],[Account1]],Items[[#This Row],[Account2]],Items[[#This Row],[Account3]],Items[[#This Row],[Account7]])&gt;0,Items[[#This Row],[Sort]],"")</f>
        <v/>
      </c>
      <c r="AL188" s="70" t="str">
        <f ca="1">IF(LEN(Items[[#This Row],[Count]])&gt;0,IFERROR(INDEX(Calcs[Counter],MATCH(Items[[#This Row],[Line]],Calcs[Line],0)),""),"")</f>
        <v/>
      </c>
      <c r="AM188" s="156" t="str">
        <f ca="1">IFERROR(Letter&amp;TEXT((Items[[#This Row],[Count]]-1)*Incr+BeginLine,"0000"),"")</f>
        <v/>
      </c>
      <c r="AN188" s="7" t="str">
        <f>IF(ISNA(MATCH(LEFT(Items[[#This Row],[Raw Item]],5)&amp;"-"&amp;RIGHT(Items[[#This Row],[Raw Item]],4),Pay.Item.Listing[Pay Item],0)),"",LEFT(Items[[#This Row],[Raw Item]],5)&amp;"-"&amp;RIGHT(Items[[#This Row],[Raw Item]],4))</f>
        <v/>
      </c>
    </row>
    <row r="189" spans="1:40" x14ac:dyDescent="0.15">
      <c r="A189" s="7" t="str">
        <f ca="1">IFERROR(RANK(Items[[#This Row],[Sort]],OFFSET(Items[Sort],0,0,ROW(Proposed[])-ROW(Items[])+ROWS(Proposed[]),1),1),"")</f>
        <v/>
      </c>
      <c r="B189" s="7" t="str">
        <f>IF(LEN(Items[[#This Row],[Item]])&gt;0,Items[[#This Row],[Raw Item]]+COUNTIF(AN$4:AN189,AN189)/100,"")</f>
        <v/>
      </c>
      <c r="C189" s="7">
        <f>IFERROR(VALUE(LEFT(VALUE(SUBSTITUTE(Items[[#This Row],[Pay Item]],"-",""))*100000000,9)),0)</f>
        <v>0</v>
      </c>
      <c r="D189" s="8"/>
      <c r="E189" s="127"/>
      <c r="F189" s="123" t="str">
        <f>IFERROR(SUBSTITUTE(VLOOKUP(Items[[#This Row],[Item]],Pay.Item.Listing[],2+2*(Units&lt;&gt;"Metric"),0),"{","&lt;"),"&lt;&lt; Pay Item not found &gt;&gt;")</f>
        <v>&lt;&lt; Pay Item not found &gt;&gt;</v>
      </c>
      <c r="G189" s="70" t="str">
        <f>IFERROR(VLOOKUP(Items[[#This Row],[Item]],Pay.Item.Listing[],3+2*(Units&lt;&gt;"Metric"),0),"–")</f>
        <v>–</v>
      </c>
      <c r="H189" s="70" t="str">
        <f>IFERROR(VLOOKUP(Items[[#This Row],[Item]],Pay.Item.Listing[],6,0),"–")</f>
        <v>–</v>
      </c>
      <c r="I189" s="70" t="str">
        <f>IFERROR(VLOOKUP(Items[[#This Row],[Item]],Pay.Item.Listing[],7,0),"–")</f>
        <v>–</v>
      </c>
      <c r="J189" s="71"/>
      <c r="K189" s="69"/>
      <c r="L189" s="69"/>
      <c r="M189" s="69"/>
      <c r="N189" s="69"/>
      <c r="O189" s="69"/>
      <c r="P189" s="69"/>
      <c r="Q189" s="69"/>
      <c r="R189" s="69"/>
      <c r="S189" s="69"/>
      <c r="T189" s="69"/>
      <c r="U189" s="69"/>
      <c r="V189" s="69"/>
      <c r="W189" s="69"/>
      <c r="X189" s="72">
        <f>IF(LEN(Items[[#This Row],[Item]])&gt;0,IF(Items[[#This Row],[Unit]]="LPSM",1,SUM(Items[[#This Row],[Col_1]:[Col_13]])),0)</f>
        <v>0</v>
      </c>
      <c r="Y189" s="190">
        <f>MAX(Items[[#This Row],[Quantity]]-SUM(Items[[#This Row],[Account2]]:Items[[#This Row],[Account7]]),0)</f>
        <v>0</v>
      </c>
      <c r="Z189" s="61"/>
      <c r="AA189" s="61"/>
      <c r="AB189" s="61"/>
      <c r="AC189" s="61"/>
      <c r="AD189" s="61"/>
      <c r="AE189" s="61"/>
      <c r="AF189" s="73"/>
      <c r="AG189" s="71"/>
      <c r="AH189" s="74"/>
      <c r="AI189" s="59"/>
      <c r="AJ189" s="190" t="str">
        <f ca="1">IFERROR(RANK(Items[[#This Row],[EstSort]],OFFSET(Items[EstSort],0,0,ROW(Proposed[])-ROW(Items[])+ROWS(Proposed[]),1),1),"")</f>
        <v/>
      </c>
      <c r="AK189" s="190" t="str">
        <f ca="1">IF(CHOOSE(MATCH(Account,Accounts,0),Items[[#This Row],[Count]],Items[[#This Row],[Account1]],Items[[#This Row],[Account2]],Items[[#This Row],[Account3]],Items[[#This Row],[Account7]])&gt;0,Items[[#This Row],[Sort]],"")</f>
        <v/>
      </c>
      <c r="AL189" s="70" t="str">
        <f ca="1">IF(LEN(Items[[#This Row],[Count]])&gt;0,IFERROR(INDEX(Calcs[Counter],MATCH(Items[[#This Row],[Line]],Calcs[Line],0)),""),"")</f>
        <v/>
      </c>
      <c r="AM189" s="156" t="str">
        <f ca="1">IFERROR(Letter&amp;TEXT((Items[[#This Row],[Count]]-1)*Incr+BeginLine,"0000"),"")</f>
        <v/>
      </c>
      <c r="AN189" s="7" t="str">
        <f>IF(ISNA(MATCH(LEFT(Items[[#This Row],[Raw Item]],5)&amp;"-"&amp;RIGHT(Items[[#This Row],[Raw Item]],4),Pay.Item.Listing[Pay Item],0)),"",LEFT(Items[[#This Row],[Raw Item]],5)&amp;"-"&amp;RIGHT(Items[[#This Row],[Raw Item]],4))</f>
        <v/>
      </c>
    </row>
    <row r="190" spans="1:40" x14ac:dyDescent="0.15">
      <c r="A190" s="7" t="str">
        <f ca="1">IFERROR(RANK(Items[[#This Row],[Sort]],OFFSET(Items[Sort],0,0,ROW(Proposed[])-ROW(Items[])+ROWS(Proposed[]),1),1),"")</f>
        <v/>
      </c>
      <c r="B190" s="7" t="str">
        <f>IF(LEN(Items[[#This Row],[Item]])&gt;0,Items[[#This Row],[Raw Item]]+COUNTIF(AN$4:AN190,AN190)/100,"")</f>
        <v/>
      </c>
      <c r="C190" s="7">
        <f>IFERROR(VALUE(LEFT(VALUE(SUBSTITUTE(Items[[#This Row],[Pay Item]],"-",""))*100000000,9)),0)</f>
        <v>0</v>
      </c>
      <c r="D190" s="8"/>
      <c r="E190" s="127"/>
      <c r="F190" s="123" t="str">
        <f>IFERROR(SUBSTITUTE(VLOOKUP(Items[[#This Row],[Item]],Pay.Item.Listing[],2+2*(Units&lt;&gt;"Metric"),0),"{","&lt;"),"&lt;&lt; Pay Item not found &gt;&gt;")</f>
        <v>&lt;&lt; Pay Item not found &gt;&gt;</v>
      </c>
      <c r="G190" s="70" t="str">
        <f>IFERROR(VLOOKUP(Items[[#This Row],[Item]],Pay.Item.Listing[],3+2*(Units&lt;&gt;"Metric"),0),"–")</f>
        <v>–</v>
      </c>
      <c r="H190" s="70" t="str">
        <f>IFERROR(VLOOKUP(Items[[#This Row],[Item]],Pay.Item.Listing[],6,0),"–")</f>
        <v>–</v>
      </c>
      <c r="I190" s="70" t="str">
        <f>IFERROR(VLOOKUP(Items[[#This Row],[Item]],Pay.Item.Listing[],7,0),"–")</f>
        <v>–</v>
      </c>
      <c r="J190" s="71"/>
      <c r="K190" s="69"/>
      <c r="L190" s="69"/>
      <c r="M190" s="69"/>
      <c r="N190" s="69"/>
      <c r="O190" s="69"/>
      <c r="P190" s="69"/>
      <c r="Q190" s="69"/>
      <c r="R190" s="69"/>
      <c r="S190" s="69"/>
      <c r="T190" s="69"/>
      <c r="U190" s="69"/>
      <c r="V190" s="69"/>
      <c r="W190" s="69"/>
      <c r="X190" s="72">
        <f>IF(LEN(Items[[#This Row],[Item]])&gt;0,IF(Items[[#This Row],[Unit]]="LPSM",1,SUM(Items[[#This Row],[Col_1]:[Col_13]])),0)</f>
        <v>0</v>
      </c>
      <c r="Y190" s="190">
        <f>MAX(Items[[#This Row],[Quantity]]-SUM(Items[[#This Row],[Account2]]:Items[[#This Row],[Account7]]),0)</f>
        <v>0</v>
      </c>
      <c r="Z190" s="61"/>
      <c r="AA190" s="61"/>
      <c r="AB190" s="61"/>
      <c r="AC190" s="61"/>
      <c r="AD190" s="61"/>
      <c r="AE190" s="61"/>
      <c r="AF190" s="73"/>
      <c r="AG190" s="71"/>
      <c r="AH190" s="74"/>
      <c r="AI190" s="59"/>
      <c r="AJ190" s="190" t="str">
        <f ca="1">IFERROR(RANK(Items[[#This Row],[EstSort]],OFFSET(Items[EstSort],0,0,ROW(Proposed[])-ROW(Items[])+ROWS(Proposed[]),1),1),"")</f>
        <v/>
      </c>
      <c r="AK190" s="190" t="str">
        <f ca="1">IF(CHOOSE(MATCH(Account,Accounts,0),Items[[#This Row],[Count]],Items[[#This Row],[Account1]],Items[[#This Row],[Account2]],Items[[#This Row],[Account3]],Items[[#This Row],[Account7]])&gt;0,Items[[#This Row],[Sort]],"")</f>
        <v/>
      </c>
      <c r="AL190" s="70" t="str">
        <f ca="1">IF(LEN(Items[[#This Row],[Count]])&gt;0,IFERROR(INDEX(Calcs[Counter],MATCH(Items[[#This Row],[Line]],Calcs[Line],0)),""),"")</f>
        <v/>
      </c>
      <c r="AM190" s="156" t="str">
        <f ca="1">IFERROR(Letter&amp;TEXT((Items[[#This Row],[Count]]-1)*Incr+BeginLine,"0000"),"")</f>
        <v/>
      </c>
      <c r="AN190" s="7" t="str">
        <f>IF(ISNA(MATCH(LEFT(Items[[#This Row],[Raw Item]],5)&amp;"-"&amp;RIGHT(Items[[#This Row],[Raw Item]],4),Pay.Item.Listing[Pay Item],0)),"",LEFT(Items[[#This Row],[Raw Item]],5)&amp;"-"&amp;RIGHT(Items[[#This Row],[Raw Item]],4))</f>
        <v/>
      </c>
    </row>
    <row r="191" spans="1:40" x14ac:dyDescent="0.15">
      <c r="A191" s="7" t="str">
        <f ca="1">IFERROR(RANK(Items[[#This Row],[Sort]],OFFSET(Items[Sort],0,0,ROW(Proposed[])-ROW(Items[])+ROWS(Proposed[]),1),1),"")</f>
        <v/>
      </c>
      <c r="B191" s="7" t="str">
        <f>IF(LEN(Items[[#This Row],[Item]])&gt;0,Items[[#This Row],[Raw Item]]+COUNTIF(AN$4:AN191,AN191)/100,"")</f>
        <v/>
      </c>
      <c r="C191" s="7">
        <f>IFERROR(VALUE(LEFT(VALUE(SUBSTITUTE(Items[[#This Row],[Pay Item]],"-",""))*100000000,9)),0)</f>
        <v>0</v>
      </c>
      <c r="D191" s="8"/>
      <c r="E191" s="127"/>
      <c r="F191" s="123" t="str">
        <f>IFERROR(SUBSTITUTE(VLOOKUP(Items[[#This Row],[Item]],Pay.Item.Listing[],2+2*(Units&lt;&gt;"Metric"),0),"{","&lt;"),"&lt;&lt; Pay Item not found &gt;&gt;")</f>
        <v>&lt;&lt; Pay Item not found &gt;&gt;</v>
      </c>
      <c r="G191" s="70" t="str">
        <f>IFERROR(VLOOKUP(Items[[#This Row],[Item]],Pay.Item.Listing[],3+2*(Units&lt;&gt;"Metric"),0),"–")</f>
        <v>–</v>
      </c>
      <c r="H191" s="70" t="str">
        <f>IFERROR(VLOOKUP(Items[[#This Row],[Item]],Pay.Item.Listing[],6,0),"–")</f>
        <v>–</v>
      </c>
      <c r="I191" s="70" t="str">
        <f>IFERROR(VLOOKUP(Items[[#This Row],[Item]],Pay.Item.Listing[],7,0),"–")</f>
        <v>–</v>
      </c>
      <c r="J191" s="71"/>
      <c r="K191" s="69"/>
      <c r="L191" s="69"/>
      <c r="M191" s="69"/>
      <c r="N191" s="69"/>
      <c r="O191" s="69"/>
      <c r="P191" s="69"/>
      <c r="Q191" s="69"/>
      <c r="R191" s="69"/>
      <c r="S191" s="69"/>
      <c r="T191" s="69"/>
      <c r="U191" s="69"/>
      <c r="V191" s="69"/>
      <c r="W191" s="69"/>
      <c r="X191" s="72">
        <f>IF(LEN(Items[[#This Row],[Item]])&gt;0,IF(Items[[#This Row],[Unit]]="LPSM",1,SUM(Items[[#This Row],[Col_1]:[Col_13]])),0)</f>
        <v>0</v>
      </c>
      <c r="Y191" s="190">
        <f>MAX(Items[[#This Row],[Quantity]]-SUM(Items[[#This Row],[Account2]]:Items[[#This Row],[Account7]]),0)</f>
        <v>0</v>
      </c>
      <c r="Z191" s="61"/>
      <c r="AA191" s="61"/>
      <c r="AB191" s="61"/>
      <c r="AC191" s="61"/>
      <c r="AD191" s="61"/>
      <c r="AE191" s="61"/>
      <c r="AF191" s="73"/>
      <c r="AG191" s="71"/>
      <c r="AH191" s="74"/>
      <c r="AI191" s="59"/>
      <c r="AJ191" s="190" t="str">
        <f ca="1">IFERROR(RANK(Items[[#This Row],[EstSort]],OFFSET(Items[EstSort],0,0,ROW(Proposed[])-ROW(Items[])+ROWS(Proposed[]),1),1),"")</f>
        <v/>
      </c>
      <c r="AK191" s="190" t="str">
        <f ca="1">IF(CHOOSE(MATCH(Account,Accounts,0),Items[[#This Row],[Count]],Items[[#This Row],[Account1]],Items[[#This Row],[Account2]],Items[[#This Row],[Account3]],Items[[#This Row],[Account7]])&gt;0,Items[[#This Row],[Sort]],"")</f>
        <v/>
      </c>
      <c r="AL191" s="70" t="str">
        <f ca="1">IF(LEN(Items[[#This Row],[Count]])&gt;0,IFERROR(INDEX(Calcs[Counter],MATCH(Items[[#This Row],[Line]],Calcs[Line],0)),""),"")</f>
        <v/>
      </c>
      <c r="AM191" s="156" t="str">
        <f ca="1">IFERROR(Letter&amp;TEXT((Items[[#This Row],[Count]]-1)*Incr+BeginLine,"0000"),"")</f>
        <v/>
      </c>
      <c r="AN191" s="7" t="str">
        <f>IF(ISNA(MATCH(LEFT(Items[[#This Row],[Raw Item]],5)&amp;"-"&amp;RIGHT(Items[[#This Row],[Raw Item]],4),Pay.Item.Listing[Pay Item],0)),"",LEFT(Items[[#This Row],[Raw Item]],5)&amp;"-"&amp;RIGHT(Items[[#This Row],[Raw Item]],4))</f>
        <v/>
      </c>
    </row>
    <row r="192" spans="1:40" x14ac:dyDescent="0.15">
      <c r="A192" s="7" t="str">
        <f ca="1">IFERROR(RANK(Items[[#This Row],[Sort]],OFFSET(Items[Sort],0,0,ROW(Proposed[])-ROW(Items[])+ROWS(Proposed[]),1),1),"")</f>
        <v/>
      </c>
      <c r="B192" s="7" t="str">
        <f>IF(LEN(Items[[#This Row],[Item]])&gt;0,Items[[#This Row],[Raw Item]]+COUNTIF(AN$4:AN192,AN192)/100,"")</f>
        <v/>
      </c>
      <c r="C192" s="7">
        <f>IFERROR(VALUE(LEFT(VALUE(SUBSTITUTE(Items[[#This Row],[Pay Item]],"-",""))*100000000,9)),0)</f>
        <v>0</v>
      </c>
      <c r="D192" s="8"/>
      <c r="E192" s="127"/>
      <c r="F192" s="123" t="str">
        <f>IFERROR(SUBSTITUTE(VLOOKUP(Items[[#This Row],[Item]],Pay.Item.Listing[],2+2*(Units&lt;&gt;"Metric"),0),"{","&lt;"),"&lt;&lt; Pay Item not found &gt;&gt;")</f>
        <v>&lt;&lt; Pay Item not found &gt;&gt;</v>
      </c>
      <c r="G192" s="70" t="str">
        <f>IFERROR(VLOOKUP(Items[[#This Row],[Item]],Pay.Item.Listing[],3+2*(Units&lt;&gt;"Metric"),0),"–")</f>
        <v>–</v>
      </c>
      <c r="H192" s="70" t="str">
        <f>IFERROR(VLOOKUP(Items[[#This Row],[Item]],Pay.Item.Listing[],6,0),"–")</f>
        <v>–</v>
      </c>
      <c r="I192" s="70" t="str">
        <f>IFERROR(VLOOKUP(Items[[#This Row],[Item]],Pay.Item.Listing[],7,0),"–")</f>
        <v>–</v>
      </c>
      <c r="J192" s="71"/>
      <c r="K192" s="69"/>
      <c r="L192" s="69"/>
      <c r="M192" s="69"/>
      <c r="N192" s="69"/>
      <c r="O192" s="69"/>
      <c r="P192" s="69"/>
      <c r="Q192" s="69"/>
      <c r="R192" s="69"/>
      <c r="S192" s="69"/>
      <c r="T192" s="69"/>
      <c r="U192" s="69"/>
      <c r="V192" s="69"/>
      <c r="W192" s="69"/>
      <c r="X192" s="72">
        <f>IF(LEN(Items[[#This Row],[Item]])&gt;0,IF(Items[[#This Row],[Unit]]="LPSM",1,SUM(Items[[#This Row],[Col_1]:[Col_13]])),0)</f>
        <v>0</v>
      </c>
      <c r="Y192" s="190">
        <f>MAX(Items[[#This Row],[Quantity]]-SUM(Items[[#This Row],[Account2]]:Items[[#This Row],[Account7]]),0)</f>
        <v>0</v>
      </c>
      <c r="Z192" s="61"/>
      <c r="AA192" s="61"/>
      <c r="AB192" s="61"/>
      <c r="AC192" s="61"/>
      <c r="AD192" s="61"/>
      <c r="AE192" s="61"/>
      <c r="AF192" s="73"/>
      <c r="AG192" s="71"/>
      <c r="AH192" s="74"/>
      <c r="AI192" s="59"/>
      <c r="AJ192" s="190" t="str">
        <f ca="1">IFERROR(RANK(Items[[#This Row],[EstSort]],OFFSET(Items[EstSort],0,0,ROW(Proposed[])-ROW(Items[])+ROWS(Proposed[]),1),1),"")</f>
        <v/>
      </c>
      <c r="AK192" s="190" t="str">
        <f ca="1">IF(CHOOSE(MATCH(Account,Accounts,0),Items[[#This Row],[Count]],Items[[#This Row],[Account1]],Items[[#This Row],[Account2]],Items[[#This Row],[Account3]],Items[[#This Row],[Account7]])&gt;0,Items[[#This Row],[Sort]],"")</f>
        <v/>
      </c>
      <c r="AL192" s="70" t="str">
        <f ca="1">IF(LEN(Items[[#This Row],[Count]])&gt;0,IFERROR(INDEX(Calcs[Counter],MATCH(Items[[#This Row],[Line]],Calcs[Line],0)),""),"")</f>
        <v/>
      </c>
      <c r="AM192" s="156" t="str">
        <f ca="1">IFERROR(Letter&amp;TEXT((Items[[#This Row],[Count]]-1)*Incr+BeginLine,"0000"),"")</f>
        <v/>
      </c>
      <c r="AN192" s="7" t="str">
        <f>IF(ISNA(MATCH(LEFT(Items[[#This Row],[Raw Item]],5)&amp;"-"&amp;RIGHT(Items[[#This Row],[Raw Item]],4),Pay.Item.Listing[Pay Item],0)),"",LEFT(Items[[#This Row],[Raw Item]],5)&amp;"-"&amp;RIGHT(Items[[#This Row],[Raw Item]],4))</f>
        <v/>
      </c>
    </row>
    <row r="193" spans="1:40" x14ac:dyDescent="0.15">
      <c r="A193" s="7" t="str">
        <f ca="1">IFERROR(RANK(Items[[#This Row],[Sort]],OFFSET(Items[Sort],0,0,ROW(Proposed[])-ROW(Items[])+ROWS(Proposed[]),1),1),"")</f>
        <v/>
      </c>
      <c r="B193" s="7" t="str">
        <f>IF(LEN(Items[[#This Row],[Item]])&gt;0,Items[[#This Row],[Raw Item]]+COUNTIF(AN$4:AN193,AN193)/100,"")</f>
        <v/>
      </c>
      <c r="C193" s="7">
        <f>IFERROR(VALUE(LEFT(VALUE(SUBSTITUTE(Items[[#This Row],[Pay Item]],"-",""))*100000000,9)),0)</f>
        <v>0</v>
      </c>
      <c r="D193" s="8"/>
      <c r="E193" s="127"/>
      <c r="F193" s="123" t="str">
        <f>IFERROR(SUBSTITUTE(VLOOKUP(Items[[#This Row],[Item]],Pay.Item.Listing[],2+2*(Units&lt;&gt;"Metric"),0),"{","&lt;"),"&lt;&lt; Pay Item not found &gt;&gt;")</f>
        <v>&lt;&lt; Pay Item not found &gt;&gt;</v>
      </c>
      <c r="G193" s="70" t="str">
        <f>IFERROR(VLOOKUP(Items[[#This Row],[Item]],Pay.Item.Listing[],3+2*(Units&lt;&gt;"Metric"),0),"–")</f>
        <v>–</v>
      </c>
      <c r="H193" s="70" t="str">
        <f>IFERROR(VLOOKUP(Items[[#This Row],[Item]],Pay.Item.Listing[],6,0),"–")</f>
        <v>–</v>
      </c>
      <c r="I193" s="70" t="str">
        <f>IFERROR(VLOOKUP(Items[[#This Row],[Item]],Pay.Item.Listing[],7,0),"–")</f>
        <v>–</v>
      </c>
      <c r="J193" s="71"/>
      <c r="K193" s="69"/>
      <c r="L193" s="69"/>
      <c r="M193" s="69"/>
      <c r="N193" s="69"/>
      <c r="O193" s="69"/>
      <c r="P193" s="69"/>
      <c r="Q193" s="69"/>
      <c r="R193" s="69"/>
      <c r="S193" s="69"/>
      <c r="T193" s="69"/>
      <c r="U193" s="69"/>
      <c r="V193" s="69"/>
      <c r="W193" s="69"/>
      <c r="X193" s="72">
        <f>IF(LEN(Items[[#This Row],[Item]])&gt;0,IF(Items[[#This Row],[Unit]]="LPSM",1,SUM(Items[[#This Row],[Col_1]:[Col_13]])),0)</f>
        <v>0</v>
      </c>
      <c r="Y193" s="190">
        <f>MAX(Items[[#This Row],[Quantity]]-SUM(Items[[#This Row],[Account2]]:Items[[#This Row],[Account7]]),0)</f>
        <v>0</v>
      </c>
      <c r="Z193" s="61"/>
      <c r="AA193" s="61"/>
      <c r="AB193" s="61"/>
      <c r="AC193" s="61"/>
      <c r="AD193" s="61"/>
      <c r="AE193" s="61"/>
      <c r="AF193" s="73"/>
      <c r="AG193" s="71"/>
      <c r="AH193" s="74"/>
      <c r="AI193" s="59"/>
      <c r="AJ193" s="190" t="str">
        <f ca="1">IFERROR(RANK(Items[[#This Row],[EstSort]],OFFSET(Items[EstSort],0,0,ROW(Proposed[])-ROW(Items[])+ROWS(Proposed[]),1),1),"")</f>
        <v/>
      </c>
      <c r="AK193" s="190" t="str">
        <f ca="1">IF(CHOOSE(MATCH(Account,Accounts,0),Items[[#This Row],[Count]],Items[[#This Row],[Account1]],Items[[#This Row],[Account2]],Items[[#This Row],[Account3]],Items[[#This Row],[Account7]])&gt;0,Items[[#This Row],[Sort]],"")</f>
        <v/>
      </c>
      <c r="AL193" s="70" t="str">
        <f ca="1">IF(LEN(Items[[#This Row],[Count]])&gt;0,IFERROR(INDEX(Calcs[Counter],MATCH(Items[[#This Row],[Line]],Calcs[Line],0)),""),"")</f>
        <v/>
      </c>
      <c r="AM193" s="156" t="str">
        <f ca="1">IFERROR(Letter&amp;TEXT((Items[[#This Row],[Count]]-1)*Incr+BeginLine,"0000"),"")</f>
        <v/>
      </c>
      <c r="AN193" s="7" t="str">
        <f>IF(ISNA(MATCH(LEFT(Items[[#This Row],[Raw Item]],5)&amp;"-"&amp;RIGHT(Items[[#This Row],[Raw Item]],4),Pay.Item.Listing[Pay Item],0)),"",LEFT(Items[[#This Row],[Raw Item]],5)&amp;"-"&amp;RIGHT(Items[[#This Row],[Raw Item]],4))</f>
        <v/>
      </c>
    </row>
    <row r="194" spans="1:40" x14ac:dyDescent="0.15">
      <c r="A194" s="7" t="str">
        <f ca="1">IFERROR(RANK(Items[[#This Row],[Sort]],OFFSET(Items[Sort],0,0,ROW(Proposed[])-ROW(Items[])+ROWS(Proposed[]),1),1),"")</f>
        <v/>
      </c>
      <c r="B194" s="7" t="str">
        <f>IF(LEN(Items[[#This Row],[Item]])&gt;0,Items[[#This Row],[Raw Item]]+COUNTIF(AN$4:AN194,AN194)/100,"")</f>
        <v/>
      </c>
      <c r="C194" s="7">
        <f>IFERROR(VALUE(LEFT(VALUE(SUBSTITUTE(Items[[#This Row],[Pay Item]],"-",""))*100000000,9)),0)</f>
        <v>0</v>
      </c>
      <c r="D194" s="8"/>
      <c r="E194" s="127"/>
      <c r="F194" s="123" t="str">
        <f>IFERROR(SUBSTITUTE(VLOOKUP(Items[[#This Row],[Item]],Pay.Item.Listing[],2+2*(Units&lt;&gt;"Metric"),0),"{","&lt;"),"&lt;&lt; Pay Item not found &gt;&gt;")</f>
        <v>&lt;&lt; Pay Item not found &gt;&gt;</v>
      </c>
      <c r="G194" s="70" t="str">
        <f>IFERROR(VLOOKUP(Items[[#This Row],[Item]],Pay.Item.Listing[],3+2*(Units&lt;&gt;"Metric"),0),"–")</f>
        <v>–</v>
      </c>
      <c r="H194" s="70" t="str">
        <f>IFERROR(VLOOKUP(Items[[#This Row],[Item]],Pay.Item.Listing[],6,0),"–")</f>
        <v>–</v>
      </c>
      <c r="I194" s="70" t="str">
        <f>IFERROR(VLOOKUP(Items[[#This Row],[Item]],Pay.Item.Listing[],7,0),"–")</f>
        <v>–</v>
      </c>
      <c r="J194" s="71"/>
      <c r="K194" s="69"/>
      <c r="L194" s="69"/>
      <c r="M194" s="69"/>
      <c r="N194" s="69"/>
      <c r="O194" s="69"/>
      <c r="P194" s="69"/>
      <c r="Q194" s="69"/>
      <c r="R194" s="69"/>
      <c r="S194" s="69"/>
      <c r="T194" s="69"/>
      <c r="U194" s="69"/>
      <c r="V194" s="69"/>
      <c r="W194" s="69"/>
      <c r="X194" s="72">
        <f>IF(LEN(Items[[#This Row],[Item]])&gt;0,IF(Items[[#This Row],[Unit]]="LPSM",1,SUM(Items[[#This Row],[Col_1]:[Col_13]])),0)</f>
        <v>0</v>
      </c>
      <c r="Y194" s="190">
        <f>MAX(Items[[#This Row],[Quantity]]-SUM(Items[[#This Row],[Account2]]:Items[[#This Row],[Account7]]),0)</f>
        <v>0</v>
      </c>
      <c r="Z194" s="61"/>
      <c r="AA194" s="61"/>
      <c r="AB194" s="61"/>
      <c r="AC194" s="61"/>
      <c r="AD194" s="61"/>
      <c r="AE194" s="61"/>
      <c r="AF194" s="73"/>
      <c r="AG194" s="71"/>
      <c r="AH194" s="74"/>
      <c r="AI194" s="59"/>
      <c r="AJ194" s="190" t="str">
        <f ca="1">IFERROR(RANK(Items[[#This Row],[EstSort]],OFFSET(Items[EstSort],0,0,ROW(Proposed[])-ROW(Items[])+ROWS(Proposed[]),1),1),"")</f>
        <v/>
      </c>
      <c r="AK194" s="190" t="str">
        <f ca="1">IF(CHOOSE(MATCH(Account,Accounts,0),Items[[#This Row],[Count]],Items[[#This Row],[Account1]],Items[[#This Row],[Account2]],Items[[#This Row],[Account3]],Items[[#This Row],[Account7]])&gt;0,Items[[#This Row],[Sort]],"")</f>
        <v/>
      </c>
      <c r="AL194" s="70" t="str">
        <f ca="1">IF(LEN(Items[[#This Row],[Count]])&gt;0,IFERROR(INDEX(Calcs[Counter],MATCH(Items[[#This Row],[Line]],Calcs[Line],0)),""),"")</f>
        <v/>
      </c>
      <c r="AM194" s="156" t="str">
        <f ca="1">IFERROR(Letter&amp;TEXT((Items[[#This Row],[Count]]-1)*Incr+BeginLine,"0000"),"")</f>
        <v/>
      </c>
      <c r="AN194" s="7" t="str">
        <f>IF(ISNA(MATCH(LEFT(Items[[#This Row],[Raw Item]],5)&amp;"-"&amp;RIGHT(Items[[#This Row],[Raw Item]],4),Pay.Item.Listing[Pay Item],0)),"",LEFT(Items[[#This Row],[Raw Item]],5)&amp;"-"&amp;RIGHT(Items[[#This Row],[Raw Item]],4))</f>
        <v/>
      </c>
    </row>
    <row r="195" spans="1:40" x14ac:dyDescent="0.15">
      <c r="A195" s="7" t="str">
        <f ca="1">IFERROR(RANK(Items[[#This Row],[Sort]],OFFSET(Items[Sort],0,0,ROW(Proposed[])-ROW(Items[])+ROWS(Proposed[]),1),1),"")</f>
        <v/>
      </c>
      <c r="B195" s="7" t="str">
        <f>IF(LEN(Items[[#This Row],[Item]])&gt;0,Items[[#This Row],[Raw Item]]+COUNTIF(AN$4:AN195,AN195)/100,"")</f>
        <v/>
      </c>
      <c r="C195" s="7">
        <f>IFERROR(VALUE(LEFT(VALUE(SUBSTITUTE(Items[[#This Row],[Pay Item]],"-",""))*100000000,9)),0)</f>
        <v>0</v>
      </c>
      <c r="D195" s="8"/>
      <c r="E195" s="127"/>
      <c r="F195" s="123" t="str">
        <f>IFERROR(SUBSTITUTE(VLOOKUP(Items[[#This Row],[Item]],Pay.Item.Listing[],2+2*(Units&lt;&gt;"Metric"),0),"{","&lt;"),"&lt;&lt; Pay Item not found &gt;&gt;")</f>
        <v>&lt;&lt; Pay Item not found &gt;&gt;</v>
      </c>
      <c r="G195" s="70" t="str">
        <f>IFERROR(VLOOKUP(Items[[#This Row],[Item]],Pay.Item.Listing[],3+2*(Units&lt;&gt;"Metric"),0),"–")</f>
        <v>–</v>
      </c>
      <c r="H195" s="70" t="str">
        <f>IFERROR(VLOOKUP(Items[[#This Row],[Item]],Pay.Item.Listing[],6,0),"–")</f>
        <v>–</v>
      </c>
      <c r="I195" s="70" t="str">
        <f>IFERROR(VLOOKUP(Items[[#This Row],[Item]],Pay.Item.Listing[],7,0),"–")</f>
        <v>–</v>
      </c>
      <c r="J195" s="71"/>
      <c r="K195" s="69"/>
      <c r="L195" s="69"/>
      <c r="M195" s="69"/>
      <c r="N195" s="69"/>
      <c r="O195" s="69"/>
      <c r="P195" s="69"/>
      <c r="Q195" s="69"/>
      <c r="R195" s="69"/>
      <c r="S195" s="69"/>
      <c r="T195" s="69"/>
      <c r="U195" s="69"/>
      <c r="V195" s="69"/>
      <c r="W195" s="69"/>
      <c r="X195" s="72">
        <f>IF(LEN(Items[[#This Row],[Item]])&gt;0,IF(Items[[#This Row],[Unit]]="LPSM",1,SUM(Items[[#This Row],[Col_1]:[Col_13]])),0)</f>
        <v>0</v>
      </c>
      <c r="Y195" s="190">
        <f>MAX(Items[[#This Row],[Quantity]]-SUM(Items[[#This Row],[Account2]]:Items[[#This Row],[Account7]]),0)</f>
        <v>0</v>
      </c>
      <c r="Z195" s="61"/>
      <c r="AA195" s="61"/>
      <c r="AB195" s="61"/>
      <c r="AC195" s="61"/>
      <c r="AD195" s="61"/>
      <c r="AE195" s="61"/>
      <c r="AF195" s="73"/>
      <c r="AG195" s="71"/>
      <c r="AH195" s="74"/>
      <c r="AI195" s="59"/>
      <c r="AJ195" s="190" t="str">
        <f ca="1">IFERROR(RANK(Items[[#This Row],[EstSort]],OFFSET(Items[EstSort],0,0,ROW(Proposed[])-ROW(Items[])+ROWS(Proposed[]),1),1),"")</f>
        <v/>
      </c>
      <c r="AK195" s="190" t="str">
        <f ca="1">IF(CHOOSE(MATCH(Account,Accounts,0),Items[[#This Row],[Count]],Items[[#This Row],[Account1]],Items[[#This Row],[Account2]],Items[[#This Row],[Account3]],Items[[#This Row],[Account7]])&gt;0,Items[[#This Row],[Sort]],"")</f>
        <v/>
      </c>
      <c r="AL195" s="70" t="str">
        <f ca="1">IF(LEN(Items[[#This Row],[Count]])&gt;0,IFERROR(INDEX(Calcs[Counter],MATCH(Items[[#This Row],[Line]],Calcs[Line],0)),""),"")</f>
        <v/>
      </c>
      <c r="AM195" s="156" t="str">
        <f ca="1">IFERROR(Letter&amp;TEXT((Items[[#This Row],[Count]]-1)*Incr+BeginLine,"0000"),"")</f>
        <v/>
      </c>
      <c r="AN195" s="7" t="str">
        <f>IF(ISNA(MATCH(LEFT(Items[[#This Row],[Raw Item]],5)&amp;"-"&amp;RIGHT(Items[[#This Row],[Raw Item]],4),Pay.Item.Listing[Pay Item],0)),"",LEFT(Items[[#This Row],[Raw Item]],5)&amp;"-"&amp;RIGHT(Items[[#This Row],[Raw Item]],4))</f>
        <v/>
      </c>
    </row>
    <row r="196" spans="1:40" x14ac:dyDescent="0.15">
      <c r="A196" s="7" t="str">
        <f ca="1">IFERROR(RANK(Items[[#This Row],[Sort]],OFFSET(Items[Sort],0,0,ROW(Proposed[])-ROW(Items[])+ROWS(Proposed[]),1),1),"")</f>
        <v/>
      </c>
      <c r="B196" s="7" t="str">
        <f>IF(LEN(Items[[#This Row],[Item]])&gt;0,Items[[#This Row],[Raw Item]]+COUNTIF(AN$4:AN196,AN196)/100,"")</f>
        <v/>
      </c>
      <c r="C196" s="7">
        <f>IFERROR(VALUE(LEFT(VALUE(SUBSTITUTE(Items[[#This Row],[Pay Item]],"-",""))*100000000,9)),0)</f>
        <v>0</v>
      </c>
      <c r="D196" s="8"/>
      <c r="E196" s="127"/>
      <c r="F196" s="123" t="str">
        <f>IFERROR(SUBSTITUTE(VLOOKUP(Items[[#This Row],[Item]],Pay.Item.Listing[],2+2*(Units&lt;&gt;"Metric"),0),"{","&lt;"),"&lt;&lt; Pay Item not found &gt;&gt;")</f>
        <v>&lt;&lt; Pay Item not found &gt;&gt;</v>
      </c>
      <c r="G196" s="70" t="str">
        <f>IFERROR(VLOOKUP(Items[[#This Row],[Item]],Pay.Item.Listing[],3+2*(Units&lt;&gt;"Metric"),0),"–")</f>
        <v>–</v>
      </c>
      <c r="H196" s="70" t="str">
        <f>IFERROR(VLOOKUP(Items[[#This Row],[Item]],Pay.Item.Listing[],6,0),"–")</f>
        <v>–</v>
      </c>
      <c r="I196" s="70" t="str">
        <f>IFERROR(VLOOKUP(Items[[#This Row],[Item]],Pay.Item.Listing[],7,0),"–")</f>
        <v>–</v>
      </c>
      <c r="J196" s="71"/>
      <c r="K196" s="69"/>
      <c r="L196" s="69"/>
      <c r="M196" s="69"/>
      <c r="N196" s="69"/>
      <c r="O196" s="69"/>
      <c r="P196" s="69"/>
      <c r="Q196" s="69"/>
      <c r="R196" s="69"/>
      <c r="S196" s="69"/>
      <c r="T196" s="69"/>
      <c r="U196" s="69"/>
      <c r="V196" s="69"/>
      <c r="W196" s="69"/>
      <c r="X196" s="72">
        <f>IF(LEN(Items[[#This Row],[Item]])&gt;0,IF(Items[[#This Row],[Unit]]="LPSM",1,SUM(Items[[#This Row],[Col_1]:[Col_13]])),0)</f>
        <v>0</v>
      </c>
      <c r="Y196" s="190">
        <f>MAX(Items[[#This Row],[Quantity]]-SUM(Items[[#This Row],[Account2]]:Items[[#This Row],[Account7]]),0)</f>
        <v>0</v>
      </c>
      <c r="Z196" s="61"/>
      <c r="AA196" s="61"/>
      <c r="AB196" s="61"/>
      <c r="AC196" s="61"/>
      <c r="AD196" s="61"/>
      <c r="AE196" s="61"/>
      <c r="AF196" s="73"/>
      <c r="AG196" s="71"/>
      <c r="AH196" s="74"/>
      <c r="AI196" s="59"/>
      <c r="AJ196" s="190" t="str">
        <f ca="1">IFERROR(RANK(Items[[#This Row],[EstSort]],OFFSET(Items[EstSort],0,0,ROW(Proposed[])-ROW(Items[])+ROWS(Proposed[]),1),1),"")</f>
        <v/>
      </c>
      <c r="AK196" s="190" t="str">
        <f ca="1">IF(CHOOSE(MATCH(Account,Accounts,0),Items[[#This Row],[Count]],Items[[#This Row],[Account1]],Items[[#This Row],[Account2]],Items[[#This Row],[Account3]],Items[[#This Row],[Account7]])&gt;0,Items[[#This Row],[Sort]],"")</f>
        <v/>
      </c>
      <c r="AL196" s="70" t="str">
        <f ca="1">IF(LEN(Items[[#This Row],[Count]])&gt;0,IFERROR(INDEX(Calcs[Counter],MATCH(Items[[#This Row],[Line]],Calcs[Line],0)),""),"")</f>
        <v/>
      </c>
      <c r="AM196" s="156" t="str">
        <f ca="1">IFERROR(Letter&amp;TEXT((Items[[#This Row],[Count]]-1)*Incr+BeginLine,"0000"),"")</f>
        <v/>
      </c>
      <c r="AN196" s="7" t="str">
        <f>IF(ISNA(MATCH(LEFT(Items[[#This Row],[Raw Item]],5)&amp;"-"&amp;RIGHT(Items[[#This Row],[Raw Item]],4),Pay.Item.Listing[Pay Item],0)),"",LEFT(Items[[#This Row],[Raw Item]],5)&amp;"-"&amp;RIGHT(Items[[#This Row],[Raw Item]],4))</f>
        <v/>
      </c>
    </row>
    <row r="197" spans="1:40" x14ac:dyDescent="0.15">
      <c r="A197" s="7" t="str">
        <f ca="1">IFERROR(RANK(Items[[#This Row],[Sort]],OFFSET(Items[Sort],0,0,ROW(Proposed[])-ROW(Items[])+ROWS(Proposed[]),1),1),"")</f>
        <v/>
      </c>
      <c r="B197" s="7" t="str">
        <f>IF(LEN(Items[[#This Row],[Item]])&gt;0,Items[[#This Row],[Raw Item]]+COUNTIF(AN$4:AN197,AN197)/100,"")</f>
        <v/>
      </c>
      <c r="C197" s="7">
        <f>IFERROR(VALUE(LEFT(VALUE(SUBSTITUTE(Items[[#This Row],[Pay Item]],"-",""))*100000000,9)),0)</f>
        <v>0</v>
      </c>
      <c r="D197" s="8"/>
      <c r="E197" s="127"/>
      <c r="F197" s="123" t="str">
        <f>IFERROR(SUBSTITUTE(VLOOKUP(Items[[#This Row],[Item]],Pay.Item.Listing[],2+2*(Units&lt;&gt;"Metric"),0),"{","&lt;"),"&lt;&lt; Pay Item not found &gt;&gt;")</f>
        <v>&lt;&lt; Pay Item not found &gt;&gt;</v>
      </c>
      <c r="G197" s="70" t="str">
        <f>IFERROR(VLOOKUP(Items[[#This Row],[Item]],Pay.Item.Listing[],3+2*(Units&lt;&gt;"Metric"),0),"–")</f>
        <v>–</v>
      </c>
      <c r="H197" s="70" t="str">
        <f>IFERROR(VLOOKUP(Items[[#This Row],[Item]],Pay.Item.Listing[],6,0),"–")</f>
        <v>–</v>
      </c>
      <c r="I197" s="70" t="str">
        <f>IFERROR(VLOOKUP(Items[[#This Row],[Item]],Pay.Item.Listing[],7,0),"–")</f>
        <v>–</v>
      </c>
      <c r="J197" s="71"/>
      <c r="K197" s="69"/>
      <c r="L197" s="69"/>
      <c r="M197" s="69"/>
      <c r="N197" s="69"/>
      <c r="O197" s="69"/>
      <c r="P197" s="69"/>
      <c r="Q197" s="69"/>
      <c r="R197" s="69"/>
      <c r="S197" s="69"/>
      <c r="T197" s="69"/>
      <c r="U197" s="69"/>
      <c r="V197" s="69"/>
      <c r="W197" s="69"/>
      <c r="X197" s="72">
        <f>IF(LEN(Items[[#This Row],[Item]])&gt;0,IF(Items[[#This Row],[Unit]]="LPSM",1,SUM(Items[[#This Row],[Col_1]:[Col_13]])),0)</f>
        <v>0</v>
      </c>
      <c r="Y197" s="190">
        <f>MAX(Items[[#This Row],[Quantity]]-SUM(Items[[#This Row],[Account2]]:Items[[#This Row],[Account7]]),0)</f>
        <v>0</v>
      </c>
      <c r="Z197" s="61"/>
      <c r="AA197" s="61"/>
      <c r="AB197" s="61"/>
      <c r="AC197" s="61"/>
      <c r="AD197" s="61"/>
      <c r="AE197" s="61"/>
      <c r="AF197" s="73"/>
      <c r="AG197" s="71"/>
      <c r="AH197" s="74"/>
      <c r="AI197" s="59"/>
      <c r="AJ197" s="190" t="str">
        <f ca="1">IFERROR(RANK(Items[[#This Row],[EstSort]],OFFSET(Items[EstSort],0,0,ROW(Proposed[])-ROW(Items[])+ROWS(Proposed[]),1),1),"")</f>
        <v/>
      </c>
      <c r="AK197" s="190" t="str">
        <f ca="1">IF(CHOOSE(MATCH(Account,Accounts,0),Items[[#This Row],[Count]],Items[[#This Row],[Account1]],Items[[#This Row],[Account2]],Items[[#This Row],[Account3]],Items[[#This Row],[Account7]])&gt;0,Items[[#This Row],[Sort]],"")</f>
        <v/>
      </c>
      <c r="AL197" s="70" t="str">
        <f ca="1">IF(LEN(Items[[#This Row],[Count]])&gt;0,IFERROR(INDEX(Calcs[Counter],MATCH(Items[[#This Row],[Line]],Calcs[Line],0)),""),"")</f>
        <v/>
      </c>
      <c r="AM197" s="156" t="str">
        <f ca="1">IFERROR(Letter&amp;TEXT((Items[[#This Row],[Count]]-1)*Incr+BeginLine,"0000"),"")</f>
        <v/>
      </c>
      <c r="AN197" s="7" t="str">
        <f>IF(ISNA(MATCH(LEFT(Items[[#This Row],[Raw Item]],5)&amp;"-"&amp;RIGHT(Items[[#This Row],[Raw Item]],4),Pay.Item.Listing[Pay Item],0)),"",LEFT(Items[[#This Row],[Raw Item]],5)&amp;"-"&amp;RIGHT(Items[[#This Row],[Raw Item]],4))</f>
        <v/>
      </c>
    </row>
    <row r="198" spans="1:40" x14ac:dyDescent="0.15">
      <c r="A198" s="7" t="str">
        <f ca="1">IFERROR(RANK(Items[[#This Row],[Sort]],OFFSET(Items[Sort],0,0,ROW(Proposed[])-ROW(Items[])+ROWS(Proposed[]),1),1),"")</f>
        <v/>
      </c>
      <c r="B198" s="7" t="str">
        <f>IF(LEN(Items[[#This Row],[Item]])&gt;0,Items[[#This Row],[Raw Item]]+COUNTIF(AN$4:AN198,AN198)/100,"")</f>
        <v/>
      </c>
      <c r="C198" s="7">
        <f>IFERROR(VALUE(LEFT(VALUE(SUBSTITUTE(Items[[#This Row],[Pay Item]],"-",""))*100000000,9)),0)</f>
        <v>0</v>
      </c>
      <c r="D198" s="8"/>
      <c r="E198" s="127"/>
      <c r="F198" s="123" t="str">
        <f>IFERROR(SUBSTITUTE(VLOOKUP(Items[[#This Row],[Item]],Pay.Item.Listing[],2+2*(Units&lt;&gt;"Metric"),0),"{","&lt;"),"&lt;&lt; Pay Item not found &gt;&gt;")</f>
        <v>&lt;&lt; Pay Item not found &gt;&gt;</v>
      </c>
      <c r="G198" s="70" t="str">
        <f>IFERROR(VLOOKUP(Items[[#This Row],[Item]],Pay.Item.Listing[],3+2*(Units&lt;&gt;"Metric"),0),"–")</f>
        <v>–</v>
      </c>
      <c r="H198" s="70" t="str">
        <f>IFERROR(VLOOKUP(Items[[#This Row],[Item]],Pay.Item.Listing[],6,0),"–")</f>
        <v>–</v>
      </c>
      <c r="I198" s="70" t="str">
        <f>IFERROR(VLOOKUP(Items[[#This Row],[Item]],Pay.Item.Listing[],7,0),"–")</f>
        <v>–</v>
      </c>
      <c r="J198" s="71"/>
      <c r="K198" s="69"/>
      <c r="L198" s="69"/>
      <c r="M198" s="69"/>
      <c r="N198" s="69"/>
      <c r="O198" s="69"/>
      <c r="P198" s="69"/>
      <c r="Q198" s="69"/>
      <c r="R198" s="69"/>
      <c r="S198" s="69"/>
      <c r="T198" s="69"/>
      <c r="U198" s="69"/>
      <c r="V198" s="69"/>
      <c r="W198" s="69"/>
      <c r="X198" s="72">
        <f>IF(LEN(Items[[#This Row],[Item]])&gt;0,IF(Items[[#This Row],[Unit]]="LPSM",1,SUM(Items[[#This Row],[Col_1]:[Col_13]])),0)</f>
        <v>0</v>
      </c>
      <c r="Y198" s="190">
        <f>MAX(Items[[#This Row],[Quantity]]-SUM(Items[[#This Row],[Account2]]:Items[[#This Row],[Account7]]),0)</f>
        <v>0</v>
      </c>
      <c r="Z198" s="61"/>
      <c r="AA198" s="61"/>
      <c r="AB198" s="61"/>
      <c r="AC198" s="61"/>
      <c r="AD198" s="61"/>
      <c r="AE198" s="61"/>
      <c r="AF198" s="73"/>
      <c r="AG198" s="71"/>
      <c r="AH198" s="74"/>
      <c r="AI198" s="59"/>
      <c r="AJ198" s="190" t="str">
        <f ca="1">IFERROR(RANK(Items[[#This Row],[EstSort]],OFFSET(Items[EstSort],0,0,ROW(Proposed[])-ROW(Items[])+ROWS(Proposed[]),1),1),"")</f>
        <v/>
      </c>
      <c r="AK198" s="190" t="str">
        <f ca="1">IF(CHOOSE(MATCH(Account,Accounts,0),Items[[#This Row],[Count]],Items[[#This Row],[Account1]],Items[[#This Row],[Account2]],Items[[#This Row],[Account3]],Items[[#This Row],[Account7]])&gt;0,Items[[#This Row],[Sort]],"")</f>
        <v/>
      </c>
      <c r="AL198" s="70" t="str">
        <f ca="1">IF(LEN(Items[[#This Row],[Count]])&gt;0,IFERROR(INDEX(Calcs[Counter],MATCH(Items[[#This Row],[Line]],Calcs[Line],0)),""),"")</f>
        <v/>
      </c>
      <c r="AM198" s="156" t="str">
        <f ca="1">IFERROR(Letter&amp;TEXT((Items[[#This Row],[Count]]-1)*Incr+BeginLine,"0000"),"")</f>
        <v/>
      </c>
      <c r="AN198" s="7" t="str">
        <f>IF(ISNA(MATCH(LEFT(Items[[#This Row],[Raw Item]],5)&amp;"-"&amp;RIGHT(Items[[#This Row],[Raw Item]],4),Pay.Item.Listing[Pay Item],0)),"",LEFT(Items[[#This Row],[Raw Item]],5)&amp;"-"&amp;RIGHT(Items[[#This Row],[Raw Item]],4))</f>
        <v/>
      </c>
    </row>
    <row r="199" spans="1:40" x14ac:dyDescent="0.15">
      <c r="A199" s="7" t="str">
        <f ca="1">IFERROR(RANK(Items[[#This Row],[Sort]],OFFSET(Items[Sort],0,0,ROW(Proposed[])-ROW(Items[])+ROWS(Proposed[]),1),1),"")</f>
        <v/>
      </c>
      <c r="B199" s="7" t="str">
        <f>IF(LEN(Items[[#This Row],[Item]])&gt;0,Items[[#This Row],[Raw Item]]+COUNTIF(AN$4:AN199,AN199)/100,"")</f>
        <v/>
      </c>
      <c r="C199" s="7">
        <f>IFERROR(VALUE(LEFT(VALUE(SUBSTITUTE(Items[[#This Row],[Pay Item]],"-",""))*100000000,9)),0)</f>
        <v>0</v>
      </c>
      <c r="D199" s="8"/>
      <c r="E199" s="127"/>
      <c r="F199" s="123" t="str">
        <f>IFERROR(SUBSTITUTE(VLOOKUP(Items[[#This Row],[Item]],Pay.Item.Listing[],2+2*(Units&lt;&gt;"Metric"),0),"{","&lt;"),"&lt;&lt; Pay Item not found &gt;&gt;")</f>
        <v>&lt;&lt; Pay Item not found &gt;&gt;</v>
      </c>
      <c r="G199" s="70" t="str">
        <f>IFERROR(VLOOKUP(Items[[#This Row],[Item]],Pay.Item.Listing[],3+2*(Units&lt;&gt;"Metric"),0),"–")</f>
        <v>–</v>
      </c>
      <c r="H199" s="70" t="str">
        <f>IFERROR(VLOOKUP(Items[[#This Row],[Item]],Pay.Item.Listing[],6,0),"–")</f>
        <v>–</v>
      </c>
      <c r="I199" s="70" t="str">
        <f>IFERROR(VLOOKUP(Items[[#This Row],[Item]],Pay.Item.Listing[],7,0),"–")</f>
        <v>–</v>
      </c>
      <c r="J199" s="71"/>
      <c r="K199" s="69"/>
      <c r="L199" s="69"/>
      <c r="M199" s="69"/>
      <c r="N199" s="69"/>
      <c r="O199" s="69"/>
      <c r="P199" s="69"/>
      <c r="Q199" s="69"/>
      <c r="R199" s="69"/>
      <c r="S199" s="69"/>
      <c r="T199" s="69"/>
      <c r="U199" s="69"/>
      <c r="V199" s="69"/>
      <c r="W199" s="69"/>
      <c r="X199" s="72">
        <f>IF(LEN(Items[[#This Row],[Item]])&gt;0,IF(Items[[#This Row],[Unit]]="LPSM",1,SUM(Items[[#This Row],[Col_1]:[Col_13]])),0)</f>
        <v>0</v>
      </c>
      <c r="Y199" s="190">
        <f>MAX(Items[[#This Row],[Quantity]]-SUM(Items[[#This Row],[Account2]]:Items[[#This Row],[Account7]]),0)</f>
        <v>0</v>
      </c>
      <c r="Z199" s="61"/>
      <c r="AA199" s="61"/>
      <c r="AB199" s="61"/>
      <c r="AC199" s="61"/>
      <c r="AD199" s="61"/>
      <c r="AE199" s="61"/>
      <c r="AF199" s="73"/>
      <c r="AG199" s="71"/>
      <c r="AH199" s="74"/>
      <c r="AI199" s="59"/>
      <c r="AJ199" s="190" t="str">
        <f ca="1">IFERROR(RANK(Items[[#This Row],[EstSort]],OFFSET(Items[EstSort],0,0,ROW(Proposed[])-ROW(Items[])+ROWS(Proposed[]),1),1),"")</f>
        <v/>
      </c>
      <c r="AK199" s="190" t="str">
        <f ca="1">IF(CHOOSE(MATCH(Account,Accounts,0),Items[[#This Row],[Count]],Items[[#This Row],[Account1]],Items[[#This Row],[Account2]],Items[[#This Row],[Account3]],Items[[#This Row],[Account7]])&gt;0,Items[[#This Row],[Sort]],"")</f>
        <v/>
      </c>
      <c r="AL199" s="70" t="str">
        <f ca="1">IF(LEN(Items[[#This Row],[Count]])&gt;0,IFERROR(INDEX(Calcs[Counter],MATCH(Items[[#This Row],[Line]],Calcs[Line],0)),""),"")</f>
        <v/>
      </c>
      <c r="AM199" s="156" t="str">
        <f ca="1">IFERROR(Letter&amp;TEXT((Items[[#This Row],[Count]]-1)*Incr+BeginLine,"0000"),"")</f>
        <v/>
      </c>
      <c r="AN199" s="7" t="str">
        <f>IF(ISNA(MATCH(LEFT(Items[[#This Row],[Raw Item]],5)&amp;"-"&amp;RIGHT(Items[[#This Row],[Raw Item]],4),Pay.Item.Listing[Pay Item],0)),"",LEFT(Items[[#This Row],[Raw Item]],5)&amp;"-"&amp;RIGHT(Items[[#This Row],[Raw Item]],4))</f>
        <v/>
      </c>
    </row>
    <row r="200" spans="1:40" x14ac:dyDescent="0.15">
      <c r="A200" s="7" t="str">
        <f ca="1">IFERROR(RANK(Items[[#This Row],[Sort]],OFFSET(Items[Sort],0,0,ROW(Proposed[])-ROW(Items[])+ROWS(Proposed[]),1),1),"")</f>
        <v/>
      </c>
      <c r="B200" s="7" t="str">
        <f>IF(LEN(Items[[#This Row],[Item]])&gt;0,Items[[#This Row],[Raw Item]]+COUNTIF(AN$4:AN200,AN200)/100,"")</f>
        <v/>
      </c>
      <c r="C200" s="7">
        <f>IFERROR(VALUE(LEFT(VALUE(SUBSTITUTE(Items[[#This Row],[Pay Item]],"-",""))*100000000,9)),0)</f>
        <v>0</v>
      </c>
      <c r="D200" s="8"/>
      <c r="E200" s="127"/>
      <c r="F200" s="123" t="str">
        <f>IFERROR(SUBSTITUTE(VLOOKUP(Items[[#This Row],[Item]],Pay.Item.Listing[],2+2*(Units&lt;&gt;"Metric"),0),"{","&lt;"),"&lt;&lt; Pay Item not found &gt;&gt;")</f>
        <v>&lt;&lt; Pay Item not found &gt;&gt;</v>
      </c>
      <c r="G200" s="70" t="str">
        <f>IFERROR(VLOOKUP(Items[[#This Row],[Item]],Pay.Item.Listing[],3+2*(Units&lt;&gt;"Metric"),0),"–")</f>
        <v>–</v>
      </c>
      <c r="H200" s="70" t="str">
        <f>IFERROR(VLOOKUP(Items[[#This Row],[Item]],Pay.Item.Listing[],6,0),"–")</f>
        <v>–</v>
      </c>
      <c r="I200" s="70" t="str">
        <f>IFERROR(VLOOKUP(Items[[#This Row],[Item]],Pay.Item.Listing[],7,0),"–")</f>
        <v>–</v>
      </c>
      <c r="J200" s="71"/>
      <c r="K200" s="69"/>
      <c r="L200" s="69"/>
      <c r="M200" s="69"/>
      <c r="N200" s="69"/>
      <c r="O200" s="69"/>
      <c r="P200" s="69"/>
      <c r="Q200" s="69"/>
      <c r="R200" s="69"/>
      <c r="S200" s="69"/>
      <c r="T200" s="69"/>
      <c r="U200" s="69"/>
      <c r="V200" s="69"/>
      <c r="W200" s="69"/>
      <c r="X200" s="72">
        <f>IF(LEN(Items[[#This Row],[Item]])&gt;0,IF(Items[[#This Row],[Unit]]="LPSM",1,SUM(Items[[#This Row],[Col_1]:[Col_13]])),0)</f>
        <v>0</v>
      </c>
      <c r="Y200" s="190">
        <f>MAX(Items[[#This Row],[Quantity]]-SUM(Items[[#This Row],[Account2]]:Items[[#This Row],[Account7]]),0)</f>
        <v>0</v>
      </c>
      <c r="Z200" s="61"/>
      <c r="AA200" s="61"/>
      <c r="AB200" s="61"/>
      <c r="AC200" s="61"/>
      <c r="AD200" s="61"/>
      <c r="AE200" s="61"/>
      <c r="AF200" s="73"/>
      <c r="AG200" s="71"/>
      <c r="AH200" s="74"/>
      <c r="AI200" s="59"/>
      <c r="AJ200" s="190" t="str">
        <f ca="1">IFERROR(RANK(Items[[#This Row],[EstSort]],OFFSET(Items[EstSort],0,0,ROW(Proposed[])-ROW(Items[])+ROWS(Proposed[]),1),1),"")</f>
        <v/>
      </c>
      <c r="AK200" s="190" t="str">
        <f ca="1">IF(CHOOSE(MATCH(Account,Accounts,0),Items[[#This Row],[Count]],Items[[#This Row],[Account1]],Items[[#This Row],[Account2]],Items[[#This Row],[Account3]],Items[[#This Row],[Account7]])&gt;0,Items[[#This Row],[Sort]],"")</f>
        <v/>
      </c>
      <c r="AL200" s="70" t="str">
        <f ca="1">IF(LEN(Items[[#This Row],[Count]])&gt;0,IFERROR(INDEX(Calcs[Counter],MATCH(Items[[#This Row],[Line]],Calcs[Line],0)),""),"")</f>
        <v/>
      </c>
      <c r="AM200" s="156" t="str">
        <f ca="1">IFERROR(Letter&amp;TEXT((Items[[#This Row],[Count]]-1)*Incr+BeginLine,"0000"),"")</f>
        <v/>
      </c>
      <c r="AN200" s="7" t="str">
        <f>IF(ISNA(MATCH(LEFT(Items[[#This Row],[Raw Item]],5)&amp;"-"&amp;RIGHT(Items[[#This Row],[Raw Item]],4),Pay.Item.Listing[Pay Item],0)),"",LEFT(Items[[#This Row],[Raw Item]],5)&amp;"-"&amp;RIGHT(Items[[#This Row],[Raw Item]],4))</f>
        <v/>
      </c>
    </row>
    <row r="201" spans="1:40" x14ac:dyDescent="0.15">
      <c r="A201" s="7" t="str">
        <f ca="1">IFERROR(RANK(Items[[#This Row],[Sort]],OFFSET(Items[Sort],0,0,ROW(Proposed[])-ROW(Items[])+ROWS(Proposed[]),1),1),"")</f>
        <v/>
      </c>
      <c r="B201" s="7" t="str">
        <f>IF(LEN(Items[[#This Row],[Item]])&gt;0,Items[[#This Row],[Raw Item]]+COUNTIF(AN$4:AN201,AN201)/100,"")</f>
        <v/>
      </c>
      <c r="C201" s="7">
        <f>IFERROR(VALUE(LEFT(VALUE(SUBSTITUTE(Items[[#This Row],[Pay Item]],"-",""))*100000000,9)),0)</f>
        <v>0</v>
      </c>
      <c r="D201" s="8"/>
      <c r="E201" s="127"/>
      <c r="F201" s="123" t="str">
        <f>IFERROR(SUBSTITUTE(VLOOKUP(Items[[#This Row],[Item]],Pay.Item.Listing[],2+2*(Units&lt;&gt;"Metric"),0),"{","&lt;"),"&lt;&lt; Pay Item not found &gt;&gt;")</f>
        <v>&lt;&lt; Pay Item not found &gt;&gt;</v>
      </c>
      <c r="G201" s="70" t="str">
        <f>IFERROR(VLOOKUP(Items[[#This Row],[Item]],Pay.Item.Listing[],3+2*(Units&lt;&gt;"Metric"),0),"–")</f>
        <v>–</v>
      </c>
      <c r="H201" s="70" t="str">
        <f>IFERROR(VLOOKUP(Items[[#This Row],[Item]],Pay.Item.Listing[],6,0),"–")</f>
        <v>–</v>
      </c>
      <c r="I201" s="70" t="str">
        <f>IFERROR(VLOOKUP(Items[[#This Row],[Item]],Pay.Item.Listing[],7,0),"–")</f>
        <v>–</v>
      </c>
      <c r="J201" s="71"/>
      <c r="K201" s="69"/>
      <c r="L201" s="69"/>
      <c r="M201" s="69"/>
      <c r="N201" s="69"/>
      <c r="O201" s="69"/>
      <c r="P201" s="69"/>
      <c r="Q201" s="69"/>
      <c r="R201" s="69"/>
      <c r="S201" s="69"/>
      <c r="T201" s="69"/>
      <c r="U201" s="69"/>
      <c r="V201" s="69"/>
      <c r="W201" s="69"/>
      <c r="X201" s="72">
        <f>IF(LEN(Items[[#This Row],[Item]])&gt;0,IF(Items[[#This Row],[Unit]]="LPSM",1,SUM(Items[[#This Row],[Col_1]:[Col_13]])),0)</f>
        <v>0</v>
      </c>
      <c r="Y201" s="190">
        <f>MAX(Items[[#This Row],[Quantity]]-SUM(Items[[#This Row],[Account2]]:Items[[#This Row],[Account7]]),0)</f>
        <v>0</v>
      </c>
      <c r="Z201" s="61"/>
      <c r="AA201" s="61"/>
      <c r="AB201" s="61"/>
      <c r="AC201" s="61"/>
      <c r="AD201" s="61"/>
      <c r="AE201" s="61"/>
      <c r="AF201" s="73"/>
      <c r="AG201" s="71"/>
      <c r="AH201" s="74"/>
      <c r="AI201" s="59"/>
      <c r="AJ201" s="190" t="str">
        <f ca="1">IFERROR(RANK(Items[[#This Row],[EstSort]],OFFSET(Items[EstSort],0,0,ROW(Proposed[])-ROW(Items[])+ROWS(Proposed[]),1),1),"")</f>
        <v/>
      </c>
      <c r="AK201" s="190" t="str">
        <f ca="1">IF(CHOOSE(MATCH(Account,Accounts,0),Items[[#This Row],[Count]],Items[[#This Row],[Account1]],Items[[#This Row],[Account2]],Items[[#This Row],[Account3]],Items[[#This Row],[Account7]])&gt;0,Items[[#This Row],[Sort]],"")</f>
        <v/>
      </c>
      <c r="AL201" s="70" t="str">
        <f ca="1">IF(LEN(Items[[#This Row],[Count]])&gt;0,IFERROR(INDEX(Calcs[Counter],MATCH(Items[[#This Row],[Line]],Calcs[Line],0)),""),"")</f>
        <v/>
      </c>
      <c r="AM201" s="156" t="str">
        <f ca="1">IFERROR(Letter&amp;TEXT((Items[[#This Row],[Count]]-1)*Incr+BeginLine,"0000"),"")</f>
        <v/>
      </c>
      <c r="AN201" s="7" t="str">
        <f>IF(ISNA(MATCH(LEFT(Items[[#This Row],[Raw Item]],5)&amp;"-"&amp;RIGHT(Items[[#This Row],[Raw Item]],4),Pay.Item.Listing[Pay Item],0)),"",LEFT(Items[[#This Row],[Raw Item]],5)&amp;"-"&amp;RIGHT(Items[[#This Row],[Raw Item]],4))</f>
        <v/>
      </c>
    </row>
    <row r="202" spans="1:40" x14ac:dyDescent="0.15">
      <c r="A202" s="7" t="str">
        <f ca="1">IFERROR(RANK(Items[[#This Row],[Sort]],OFFSET(Items[Sort],0,0,ROW(Proposed[])-ROW(Items[])+ROWS(Proposed[]),1),1),"")</f>
        <v/>
      </c>
      <c r="B202" s="7" t="str">
        <f>IF(LEN(Items[[#This Row],[Item]])&gt;0,Items[[#This Row],[Raw Item]]+COUNTIF(AN$4:AN202,AN202)/100,"")</f>
        <v/>
      </c>
      <c r="C202" s="7">
        <f>IFERROR(VALUE(LEFT(VALUE(SUBSTITUTE(Items[[#This Row],[Pay Item]],"-",""))*100000000,9)),0)</f>
        <v>0</v>
      </c>
      <c r="D202" s="8"/>
      <c r="E202" s="127"/>
      <c r="F202" s="123" t="str">
        <f>IFERROR(SUBSTITUTE(VLOOKUP(Items[[#This Row],[Item]],Pay.Item.Listing[],2+2*(Units&lt;&gt;"Metric"),0),"{","&lt;"),"&lt;&lt; Pay Item not found &gt;&gt;")</f>
        <v>&lt;&lt; Pay Item not found &gt;&gt;</v>
      </c>
      <c r="G202" s="70" t="str">
        <f>IFERROR(VLOOKUP(Items[[#This Row],[Item]],Pay.Item.Listing[],3+2*(Units&lt;&gt;"Metric"),0),"–")</f>
        <v>–</v>
      </c>
      <c r="H202" s="70" t="str">
        <f>IFERROR(VLOOKUP(Items[[#This Row],[Item]],Pay.Item.Listing[],6,0),"–")</f>
        <v>–</v>
      </c>
      <c r="I202" s="70" t="str">
        <f>IFERROR(VLOOKUP(Items[[#This Row],[Item]],Pay.Item.Listing[],7,0),"–")</f>
        <v>–</v>
      </c>
      <c r="J202" s="71"/>
      <c r="K202" s="69"/>
      <c r="L202" s="69"/>
      <c r="M202" s="69"/>
      <c r="N202" s="69"/>
      <c r="O202" s="69"/>
      <c r="P202" s="69"/>
      <c r="Q202" s="69"/>
      <c r="R202" s="69"/>
      <c r="S202" s="69"/>
      <c r="T202" s="69"/>
      <c r="U202" s="69"/>
      <c r="V202" s="69"/>
      <c r="W202" s="69"/>
      <c r="X202" s="72">
        <f>IF(LEN(Items[[#This Row],[Item]])&gt;0,IF(Items[[#This Row],[Unit]]="LPSM",1,SUM(Items[[#This Row],[Col_1]:[Col_13]])),0)</f>
        <v>0</v>
      </c>
      <c r="Y202" s="190">
        <f>MAX(Items[[#This Row],[Quantity]]-SUM(Items[[#This Row],[Account2]]:Items[[#This Row],[Account7]]),0)</f>
        <v>0</v>
      </c>
      <c r="Z202" s="61"/>
      <c r="AA202" s="61"/>
      <c r="AB202" s="61"/>
      <c r="AC202" s="61"/>
      <c r="AD202" s="61"/>
      <c r="AE202" s="61"/>
      <c r="AF202" s="73"/>
      <c r="AG202" s="71"/>
      <c r="AH202" s="74"/>
      <c r="AI202" s="59"/>
      <c r="AJ202" s="190" t="str">
        <f ca="1">IFERROR(RANK(Items[[#This Row],[EstSort]],OFFSET(Items[EstSort],0,0,ROW(Proposed[])-ROW(Items[])+ROWS(Proposed[]),1),1),"")</f>
        <v/>
      </c>
      <c r="AK202" s="190" t="str">
        <f ca="1">IF(CHOOSE(MATCH(Account,Accounts,0),Items[[#This Row],[Count]],Items[[#This Row],[Account1]],Items[[#This Row],[Account2]],Items[[#This Row],[Account3]],Items[[#This Row],[Account7]])&gt;0,Items[[#This Row],[Sort]],"")</f>
        <v/>
      </c>
      <c r="AL202" s="70" t="str">
        <f ca="1">IF(LEN(Items[[#This Row],[Count]])&gt;0,IFERROR(INDEX(Calcs[Counter],MATCH(Items[[#This Row],[Line]],Calcs[Line],0)),""),"")</f>
        <v/>
      </c>
      <c r="AM202" s="156" t="str">
        <f ca="1">IFERROR(Letter&amp;TEXT((Items[[#This Row],[Count]]-1)*Incr+BeginLine,"0000"),"")</f>
        <v/>
      </c>
      <c r="AN202" s="7" t="str">
        <f>IF(ISNA(MATCH(LEFT(Items[[#This Row],[Raw Item]],5)&amp;"-"&amp;RIGHT(Items[[#This Row],[Raw Item]],4),Pay.Item.Listing[Pay Item],0)),"",LEFT(Items[[#This Row],[Raw Item]],5)&amp;"-"&amp;RIGHT(Items[[#This Row],[Raw Item]],4))</f>
        <v/>
      </c>
    </row>
    <row r="203" spans="1:40" x14ac:dyDescent="0.15">
      <c r="A203" s="7" t="str">
        <f ca="1">IFERROR(RANK(Items[[#This Row],[Sort]],OFFSET(Items[Sort],0,0,ROW(Proposed[])-ROW(Items[])+ROWS(Proposed[]),1),1),"")</f>
        <v/>
      </c>
      <c r="B203" s="7" t="str">
        <f>IF(LEN(Items[[#This Row],[Item]])&gt;0,Items[[#This Row],[Raw Item]]+COUNTIF(AN$4:AN203,AN203)/100,"")</f>
        <v/>
      </c>
      <c r="C203" s="7">
        <f>IFERROR(VALUE(LEFT(VALUE(SUBSTITUTE(Items[[#This Row],[Pay Item]],"-",""))*100000000,9)),0)</f>
        <v>0</v>
      </c>
      <c r="D203" s="8"/>
      <c r="E203" s="127"/>
      <c r="F203" s="123" t="str">
        <f>IFERROR(SUBSTITUTE(VLOOKUP(Items[[#This Row],[Item]],Pay.Item.Listing[],2+2*(Units&lt;&gt;"Metric"),0),"{","&lt;"),"&lt;&lt; Pay Item not found &gt;&gt;")</f>
        <v>&lt;&lt; Pay Item not found &gt;&gt;</v>
      </c>
      <c r="G203" s="70" t="str">
        <f>IFERROR(VLOOKUP(Items[[#This Row],[Item]],Pay.Item.Listing[],3+2*(Units&lt;&gt;"Metric"),0),"–")</f>
        <v>–</v>
      </c>
      <c r="H203" s="70" t="str">
        <f>IFERROR(VLOOKUP(Items[[#This Row],[Item]],Pay.Item.Listing[],6,0),"–")</f>
        <v>–</v>
      </c>
      <c r="I203" s="70" t="str">
        <f>IFERROR(VLOOKUP(Items[[#This Row],[Item]],Pay.Item.Listing[],7,0),"–")</f>
        <v>–</v>
      </c>
      <c r="J203" s="71"/>
      <c r="K203" s="69"/>
      <c r="L203" s="69"/>
      <c r="M203" s="69"/>
      <c r="N203" s="69"/>
      <c r="O203" s="69"/>
      <c r="P203" s="69"/>
      <c r="Q203" s="69"/>
      <c r="R203" s="69"/>
      <c r="S203" s="69"/>
      <c r="T203" s="69"/>
      <c r="U203" s="69"/>
      <c r="V203" s="69"/>
      <c r="W203" s="69"/>
      <c r="X203" s="72">
        <f>IF(LEN(Items[[#This Row],[Item]])&gt;0,IF(Items[[#This Row],[Unit]]="LPSM",1,SUM(Items[[#This Row],[Col_1]:[Col_13]])),0)</f>
        <v>0</v>
      </c>
      <c r="Y203" s="190">
        <f>MAX(Items[[#This Row],[Quantity]]-SUM(Items[[#This Row],[Account2]]:Items[[#This Row],[Account7]]),0)</f>
        <v>0</v>
      </c>
      <c r="Z203" s="61"/>
      <c r="AA203" s="61"/>
      <c r="AB203" s="61"/>
      <c r="AC203" s="61"/>
      <c r="AD203" s="61"/>
      <c r="AE203" s="61"/>
      <c r="AF203" s="73"/>
      <c r="AG203" s="71"/>
      <c r="AH203" s="74"/>
      <c r="AI203" s="59"/>
      <c r="AJ203" s="190" t="str">
        <f ca="1">IFERROR(RANK(Items[[#This Row],[EstSort]],OFFSET(Items[EstSort],0,0,ROW(Proposed[])-ROW(Items[])+ROWS(Proposed[]),1),1),"")</f>
        <v/>
      </c>
      <c r="AK203" s="190" t="str">
        <f ca="1">IF(CHOOSE(MATCH(Account,Accounts,0),Items[[#This Row],[Count]],Items[[#This Row],[Account1]],Items[[#This Row],[Account2]],Items[[#This Row],[Account3]],Items[[#This Row],[Account7]])&gt;0,Items[[#This Row],[Sort]],"")</f>
        <v/>
      </c>
      <c r="AL203" s="70" t="str">
        <f ca="1">IF(LEN(Items[[#This Row],[Count]])&gt;0,IFERROR(INDEX(Calcs[Counter],MATCH(Items[[#This Row],[Line]],Calcs[Line],0)),""),"")</f>
        <v/>
      </c>
      <c r="AM203" s="156" t="str">
        <f ca="1">IFERROR(Letter&amp;TEXT((Items[[#This Row],[Count]]-1)*Incr+BeginLine,"0000"),"")</f>
        <v/>
      </c>
      <c r="AN203" s="7" t="str">
        <f>IF(ISNA(MATCH(LEFT(Items[[#This Row],[Raw Item]],5)&amp;"-"&amp;RIGHT(Items[[#This Row],[Raw Item]],4),Pay.Item.Listing[Pay Item],0)),"",LEFT(Items[[#This Row],[Raw Item]],5)&amp;"-"&amp;RIGHT(Items[[#This Row],[Raw Item]],4))</f>
        <v/>
      </c>
    </row>
    <row r="204" spans="1:40" x14ac:dyDescent="0.15">
      <c r="A204" s="7" t="str">
        <f ca="1">IFERROR(RANK(Items[[#This Row],[Sort]],OFFSET(Items[Sort],0,0,ROW(Proposed[])-ROW(Items[])+ROWS(Proposed[]),1),1),"")</f>
        <v/>
      </c>
      <c r="B204" s="7" t="str">
        <f>IF(LEN(Items[[#This Row],[Item]])&gt;0,Items[[#This Row],[Raw Item]]+COUNTIF(AN$4:AN204,AN204)/100,"")</f>
        <v/>
      </c>
      <c r="C204" s="7">
        <f>IFERROR(VALUE(LEFT(VALUE(SUBSTITUTE(Items[[#This Row],[Pay Item]],"-",""))*100000000,9)),0)</f>
        <v>0</v>
      </c>
      <c r="D204" s="8"/>
      <c r="E204" s="127"/>
      <c r="F204" s="123" t="str">
        <f>IFERROR(SUBSTITUTE(VLOOKUP(Items[[#This Row],[Item]],Pay.Item.Listing[],2+2*(Units&lt;&gt;"Metric"),0),"{","&lt;"),"&lt;&lt; Pay Item not found &gt;&gt;")</f>
        <v>&lt;&lt; Pay Item not found &gt;&gt;</v>
      </c>
      <c r="G204" s="70" t="str">
        <f>IFERROR(VLOOKUP(Items[[#This Row],[Item]],Pay.Item.Listing[],3+2*(Units&lt;&gt;"Metric"),0),"–")</f>
        <v>–</v>
      </c>
      <c r="H204" s="70" t="str">
        <f>IFERROR(VLOOKUP(Items[[#This Row],[Item]],Pay.Item.Listing[],6,0),"–")</f>
        <v>–</v>
      </c>
      <c r="I204" s="70" t="str">
        <f>IFERROR(VLOOKUP(Items[[#This Row],[Item]],Pay.Item.Listing[],7,0),"–")</f>
        <v>–</v>
      </c>
      <c r="J204" s="71"/>
      <c r="K204" s="69"/>
      <c r="L204" s="69"/>
      <c r="M204" s="69"/>
      <c r="N204" s="69"/>
      <c r="O204" s="69"/>
      <c r="P204" s="69"/>
      <c r="Q204" s="69"/>
      <c r="R204" s="69"/>
      <c r="S204" s="69"/>
      <c r="T204" s="69"/>
      <c r="U204" s="69"/>
      <c r="V204" s="69"/>
      <c r="W204" s="69"/>
      <c r="X204" s="72">
        <f>IF(LEN(Items[[#This Row],[Item]])&gt;0,IF(Items[[#This Row],[Unit]]="LPSM",1,SUM(Items[[#This Row],[Col_1]:[Col_13]])),0)</f>
        <v>0</v>
      </c>
      <c r="Y204" s="190">
        <f>MAX(Items[[#This Row],[Quantity]]-SUM(Items[[#This Row],[Account2]]:Items[[#This Row],[Account7]]),0)</f>
        <v>0</v>
      </c>
      <c r="Z204" s="61"/>
      <c r="AA204" s="61"/>
      <c r="AB204" s="61"/>
      <c r="AC204" s="61"/>
      <c r="AD204" s="61"/>
      <c r="AE204" s="61"/>
      <c r="AF204" s="73"/>
      <c r="AG204" s="71"/>
      <c r="AH204" s="74"/>
      <c r="AI204" s="59"/>
      <c r="AJ204" s="190" t="str">
        <f ca="1">IFERROR(RANK(Items[[#This Row],[EstSort]],OFFSET(Items[EstSort],0,0,ROW(Proposed[])-ROW(Items[])+ROWS(Proposed[]),1),1),"")</f>
        <v/>
      </c>
      <c r="AK204" s="190" t="str">
        <f ca="1">IF(CHOOSE(MATCH(Account,Accounts,0),Items[[#This Row],[Count]],Items[[#This Row],[Account1]],Items[[#This Row],[Account2]],Items[[#This Row],[Account3]],Items[[#This Row],[Account7]])&gt;0,Items[[#This Row],[Sort]],"")</f>
        <v/>
      </c>
      <c r="AL204" s="70" t="str">
        <f ca="1">IF(LEN(Items[[#This Row],[Count]])&gt;0,IFERROR(INDEX(Calcs[Counter],MATCH(Items[[#This Row],[Line]],Calcs[Line],0)),""),"")</f>
        <v/>
      </c>
      <c r="AM204" s="156" t="str">
        <f ca="1">IFERROR(Letter&amp;TEXT((Items[[#This Row],[Count]]-1)*Incr+BeginLine,"0000"),"")</f>
        <v/>
      </c>
      <c r="AN204" s="7" t="str">
        <f>IF(ISNA(MATCH(LEFT(Items[[#This Row],[Raw Item]],5)&amp;"-"&amp;RIGHT(Items[[#This Row],[Raw Item]],4),Pay.Item.Listing[Pay Item],0)),"",LEFT(Items[[#This Row],[Raw Item]],5)&amp;"-"&amp;RIGHT(Items[[#This Row],[Raw Item]],4))</f>
        <v/>
      </c>
    </row>
    <row r="205" spans="1:40" x14ac:dyDescent="0.15">
      <c r="A205" s="7" t="str">
        <f ca="1">IFERROR(RANK(Items[[#This Row],[Sort]],OFFSET(Items[Sort],0,0,ROW(Proposed[])-ROW(Items[])+ROWS(Proposed[]),1),1),"")</f>
        <v/>
      </c>
      <c r="B205" s="7" t="str">
        <f>IF(LEN(Items[[#This Row],[Item]])&gt;0,Items[[#This Row],[Raw Item]]+COUNTIF(AN$4:AN205,AN205)/100,"")</f>
        <v/>
      </c>
      <c r="C205" s="7">
        <f>IFERROR(VALUE(LEFT(VALUE(SUBSTITUTE(Items[[#This Row],[Pay Item]],"-",""))*100000000,9)),0)</f>
        <v>0</v>
      </c>
      <c r="D205" s="8"/>
      <c r="E205" s="127"/>
      <c r="F205" s="123" t="str">
        <f>IFERROR(SUBSTITUTE(VLOOKUP(Items[[#This Row],[Item]],Pay.Item.Listing[],2+2*(Units&lt;&gt;"Metric"),0),"{","&lt;"),"&lt;&lt; Pay Item not found &gt;&gt;")</f>
        <v>&lt;&lt; Pay Item not found &gt;&gt;</v>
      </c>
      <c r="G205" s="70" t="str">
        <f>IFERROR(VLOOKUP(Items[[#This Row],[Item]],Pay.Item.Listing[],3+2*(Units&lt;&gt;"Metric"),0),"–")</f>
        <v>–</v>
      </c>
      <c r="H205" s="70" t="str">
        <f>IFERROR(VLOOKUP(Items[[#This Row],[Item]],Pay.Item.Listing[],6,0),"–")</f>
        <v>–</v>
      </c>
      <c r="I205" s="70" t="str">
        <f>IFERROR(VLOOKUP(Items[[#This Row],[Item]],Pay.Item.Listing[],7,0),"–")</f>
        <v>–</v>
      </c>
      <c r="J205" s="71"/>
      <c r="K205" s="69"/>
      <c r="L205" s="69"/>
      <c r="M205" s="69"/>
      <c r="N205" s="69"/>
      <c r="O205" s="69"/>
      <c r="P205" s="69"/>
      <c r="Q205" s="69"/>
      <c r="R205" s="69"/>
      <c r="S205" s="69"/>
      <c r="T205" s="69"/>
      <c r="U205" s="69"/>
      <c r="V205" s="69"/>
      <c r="W205" s="69"/>
      <c r="X205" s="72">
        <f>IF(LEN(Items[[#This Row],[Item]])&gt;0,IF(Items[[#This Row],[Unit]]="LPSM",1,SUM(Items[[#This Row],[Col_1]:[Col_13]])),0)</f>
        <v>0</v>
      </c>
      <c r="Y205" s="190">
        <f>MAX(Items[[#This Row],[Quantity]]-SUM(Items[[#This Row],[Account2]]:Items[[#This Row],[Account7]]),0)</f>
        <v>0</v>
      </c>
      <c r="Z205" s="61"/>
      <c r="AA205" s="61"/>
      <c r="AB205" s="61"/>
      <c r="AC205" s="61"/>
      <c r="AD205" s="61"/>
      <c r="AE205" s="61"/>
      <c r="AF205" s="73"/>
      <c r="AG205" s="71"/>
      <c r="AH205" s="74"/>
      <c r="AI205" s="59"/>
      <c r="AJ205" s="190" t="str">
        <f ca="1">IFERROR(RANK(Items[[#This Row],[EstSort]],OFFSET(Items[EstSort],0,0,ROW(Proposed[])-ROW(Items[])+ROWS(Proposed[]),1),1),"")</f>
        <v/>
      </c>
      <c r="AK205" s="190" t="str">
        <f ca="1">IF(CHOOSE(MATCH(Account,Accounts,0),Items[[#This Row],[Count]],Items[[#This Row],[Account1]],Items[[#This Row],[Account2]],Items[[#This Row],[Account3]],Items[[#This Row],[Account7]])&gt;0,Items[[#This Row],[Sort]],"")</f>
        <v/>
      </c>
      <c r="AL205" s="70" t="str">
        <f ca="1">IF(LEN(Items[[#This Row],[Count]])&gt;0,IFERROR(INDEX(Calcs[Counter],MATCH(Items[[#This Row],[Line]],Calcs[Line],0)),""),"")</f>
        <v/>
      </c>
      <c r="AM205" s="156" t="str">
        <f ca="1">IFERROR(Letter&amp;TEXT((Items[[#This Row],[Count]]-1)*Incr+BeginLine,"0000"),"")</f>
        <v/>
      </c>
      <c r="AN205" s="7" t="str">
        <f>IF(ISNA(MATCH(LEFT(Items[[#This Row],[Raw Item]],5)&amp;"-"&amp;RIGHT(Items[[#This Row],[Raw Item]],4),Pay.Item.Listing[Pay Item],0)),"",LEFT(Items[[#This Row],[Raw Item]],5)&amp;"-"&amp;RIGHT(Items[[#This Row],[Raw Item]],4))</f>
        <v/>
      </c>
    </row>
    <row r="206" spans="1:40" x14ac:dyDescent="0.15">
      <c r="A206" s="7" t="str">
        <f ca="1">IFERROR(RANK(Items[[#This Row],[Sort]],OFFSET(Items[Sort],0,0,ROW(Proposed[])-ROW(Items[])+ROWS(Proposed[]),1),1),"")</f>
        <v/>
      </c>
      <c r="B206" s="7" t="str">
        <f>IF(LEN(Items[[#This Row],[Item]])&gt;0,Items[[#This Row],[Raw Item]]+COUNTIF(AN$4:AN206,AN206)/100,"")</f>
        <v/>
      </c>
      <c r="C206" s="7">
        <f>IFERROR(VALUE(LEFT(VALUE(SUBSTITUTE(Items[[#This Row],[Pay Item]],"-",""))*100000000,9)),0)</f>
        <v>0</v>
      </c>
      <c r="D206" s="8"/>
      <c r="E206" s="127"/>
      <c r="F206" s="123" t="str">
        <f>IFERROR(SUBSTITUTE(VLOOKUP(Items[[#This Row],[Item]],Pay.Item.Listing[],2+2*(Units&lt;&gt;"Metric"),0),"{","&lt;"),"&lt;&lt; Pay Item not found &gt;&gt;")</f>
        <v>&lt;&lt; Pay Item not found &gt;&gt;</v>
      </c>
      <c r="G206" s="70" t="str">
        <f>IFERROR(VLOOKUP(Items[[#This Row],[Item]],Pay.Item.Listing[],3+2*(Units&lt;&gt;"Metric"),0),"–")</f>
        <v>–</v>
      </c>
      <c r="H206" s="70" t="str">
        <f>IFERROR(VLOOKUP(Items[[#This Row],[Item]],Pay.Item.Listing[],6,0),"–")</f>
        <v>–</v>
      </c>
      <c r="I206" s="70" t="str">
        <f>IFERROR(VLOOKUP(Items[[#This Row],[Item]],Pay.Item.Listing[],7,0),"–")</f>
        <v>–</v>
      </c>
      <c r="J206" s="71"/>
      <c r="K206" s="69"/>
      <c r="L206" s="69"/>
      <c r="M206" s="69"/>
      <c r="N206" s="69"/>
      <c r="O206" s="69"/>
      <c r="P206" s="69"/>
      <c r="Q206" s="69"/>
      <c r="R206" s="69"/>
      <c r="S206" s="69"/>
      <c r="T206" s="69"/>
      <c r="U206" s="69"/>
      <c r="V206" s="69"/>
      <c r="W206" s="69"/>
      <c r="X206" s="72">
        <f>IF(LEN(Items[[#This Row],[Item]])&gt;0,IF(Items[[#This Row],[Unit]]="LPSM",1,SUM(Items[[#This Row],[Col_1]:[Col_13]])),0)</f>
        <v>0</v>
      </c>
      <c r="Y206" s="190">
        <f>MAX(Items[[#This Row],[Quantity]]-SUM(Items[[#This Row],[Account2]]:Items[[#This Row],[Account7]]),0)</f>
        <v>0</v>
      </c>
      <c r="Z206" s="61"/>
      <c r="AA206" s="61"/>
      <c r="AB206" s="61"/>
      <c r="AC206" s="61"/>
      <c r="AD206" s="61"/>
      <c r="AE206" s="61"/>
      <c r="AF206" s="73"/>
      <c r="AG206" s="71"/>
      <c r="AH206" s="74"/>
      <c r="AI206" s="59"/>
      <c r="AJ206" s="190" t="str">
        <f ca="1">IFERROR(RANK(Items[[#This Row],[EstSort]],OFFSET(Items[EstSort],0,0,ROW(Proposed[])-ROW(Items[])+ROWS(Proposed[]),1),1),"")</f>
        <v/>
      </c>
      <c r="AK206" s="190" t="str">
        <f ca="1">IF(CHOOSE(MATCH(Account,Accounts,0),Items[[#This Row],[Count]],Items[[#This Row],[Account1]],Items[[#This Row],[Account2]],Items[[#This Row],[Account3]],Items[[#This Row],[Account7]])&gt;0,Items[[#This Row],[Sort]],"")</f>
        <v/>
      </c>
      <c r="AL206" s="70" t="str">
        <f ca="1">IF(LEN(Items[[#This Row],[Count]])&gt;0,IFERROR(INDEX(Calcs[Counter],MATCH(Items[[#This Row],[Line]],Calcs[Line],0)),""),"")</f>
        <v/>
      </c>
      <c r="AM206" s="156" t="str">
        <f ca="1">IFERROR(Letter&amp;TEXT((Items[[#This Row],[Count]]-1)*Incr+BeginLine,"0000"),"")</f>
        <v/>
      </c>
      <c r="AN206" s="7" t="str">
        <f>IF(ISNA(MATCH(LEFT(Items[[#This Row],[Raw Item]],5)&amp;"-"&amp;RIGHT(Items[[#This Row],[Raw Item]],4),Pay.Item.Listing[Pay Item],0)),"",LEFT(Items[[#This Row],[Raw Item]],5)&amp;"-"&amp;RIGHT(Items[[#This Row],[Raw Item]],4))</f>
        <v/>
      </c>
    </row>
    <row r="207" spans="1:40" x14ac:dyDescent="0.15">
      <c r="A207" s="7" t="str">
        <f ca="1">IFERROR(RANK(Items[[#This Row],[Sort]],OFFSET(Items[Sort],0,0,ROW(Proposed[])-ROW(Items[])+ROWS(Proposed[]),1),1),"")</f>
        <v/>
      </c>
      <c r="B207" s="7" t="str">
        <f>IF(LEN(Items[[#This Row],[Item]])&gt;0,Items[[#This Row],[Raw Item]]+COUNTIF(AN$4:AN207,AN207)/100,"")</f>
        <v/>
      </c>
      <c r="C207" s="7">
        <f>IFERROR(VALUE(LEFT(VALUE(SUBSTITUTE(Items[[#This Row],[Pay Item]],"-",""))*100000000,9)),0)</f>
        <v>0</v>
      </c>
      <c r="D207" s="8"/>
      <c r="E207" s="127"/>
      <c r="F207" s="123" t="str">
        <f>IFERROR(SUBSTITUTE(VLOOKUP(Items[[#This Row],[Item]],Pay.Item.Listing[],2+2*(Units&lt;&gt;"Metric"),0),"{","&lt;"),"&lt;&lt; Pay Item not found &gt;&gt;")</f>
        <v>&lt;&lt; Pay Item not found &gt;&gt;</v>
      </c>
      <c r="G207" s="70" t="str">
        <f>IFERROR(VLOOKUP(Items[[#This Row],[Item]],Pay.Item.Listing[],3+2*(Units&lt;&gt;"Metric"),0),"–")</f>
        <v>–</v>
      </c>
      <c r="H207" s="70" t="str">
        <f>IFERROR(VLOOKUP(Items[[#This Row],[Item]],Pay.Item.Listing[],6,0),"–")</f>
        <v>–</v>
      </c>
      <c r="I207" s="70" t="str">
        <f>IFERROR(VLOOKUP(Items[[#This Row],[Item]],Pay.Item.Listing[],7,0),"–")</f>
        <v>–</v>
      </c>
      <c r="J207" s="71"/>
      <c r="K207" s="69"/>
      <c r="L207" s="69"/>
      <c r="M207" s="69"/>
      <c r="N207" s="69"/>
      <c r="O207" s="69"/>
      <c r="P207" s="69"/>
      <c r="Q207" s="69"/>
      <c r="R207" s="69"/>
      <c r="S207" s="69"/>
      <c r="T207" s="69"/>
      <c r="U207" s="69"/>
      <c r="V207" s="69"/>
      <c r="W207" s="69"/>
      <c r="X207" s="72">
        <f>IF(LEN(Items[[#This Row],[Item]])&gt;0,IF(Items[[#This Row],[Unit]]="LPSM",1,SUM(Items[[#This Row],[Col_1]:[Col_13]])),0)</f>
        <v>0</v>
      </c>
      <c r="Y207" s="190">
        <f>MAX(Items[[#This Row],[Quantity]]-SUM(Items[[#This Row],[Account2]]:Items[[#This Row],[Account7]]),0)</f>
        <v>0</v>
      </c>
      <c r="Z207" s="61"/>
      <c r="AA207" s="61"/>
      <c r="AB207" s="61"/>
      <c r="AC207" s="61"/>
      <c r="AD207" s="61"/>
      <c r="AE207" s="61"/>
      <c r="AF207" s="73"/>
      <c r="AG207" s="71"/>
      <c r="AH207" s="74"/>
      <c r="AI207" s="59"/>
      <c r="AJ207" s="190" t="str">
        <f ca="1">IFERROR(RANK(Items[[#This Row],[EstSort]],OFFSET(Items[EstSort],0,0,ROW(Proposed[])-ROW(Items[])+ROWS(Proposed[]),1),1),"")</f>
        <v/>
      </c>
      <c r="AK207" s="190" t="str">
        <f ca="1">IF(CHOOSE(MATCH(Account,Accounts,0),Items[[#This Row],[Count]],Items[[#This Row],[Account1]],Items[[#This Row],[Account2]],Items[[#This Row],[Account3]],Items[[#This Row],[Account7]])&gt;0,Items[[#This Row],[Sort]],"")</f>
        <v/>
      </c>
      <c r="AL207" s="70" t="str">
        <f ca="1">IF(LEN(Items[[#This Row],[Count]])&gt;0,IFERROR(INDEX(Calcs[Counter],MATCH(Items[[#This Row],[Line]],Calcs[Line],0)),""),"")</f>
        <v/>
      </c>
      <c r="AM207" s="156" t="str">
        <f ca="1">IFERROR(Letter&amp;TEXT((Items[[#This Row],[Count]]-1)*Incr+BeginLine,"0000"),"")</f>
        <v/>
      </c>
      <c r="AN207" s="7" t="str">
        <f>IF(ISNA(MATCH(LEFT(Items[[#This Row],[Raw Item]],5)&amp;"-"&amp;RIGHT(Items[[#This Row],[Raw Item]],4),Pay.Item.Listing[Pay Item],0)),"",LEFT(Items[[#This Row],[Raw Item]],5)&amp;"-"&amp;RIGHT(Items[[#This Row],[Raw Item]],4))</f>
        <v/>
      </c>
    </row>
    <row r="208" spans="1:40" x14ac:dyDescent="0.15">
      <c r="A208" s="7" t="str">
        <f ca="1">IFERROR(RANK(Items[[#This Row],[Sort]],OFFSET(Items[Sort],0,0,ROW(Proposed[])-ROW(Items[])+ROWS(Proposed[]),1),1),"")</f>
        <v/>
      </c>
      <c r="B208" s="7" t="str">
        <f>IF(LEN(Items[[#This Row],[Item]])&gt;0,Items[[#This Row],[Raw Item]]+COUNTIF(AN$4:AN208,AN208)/100,"")</f>
        <v/>
      </c>
      <c r="C208" s="7">
        <f>IFERROR(VALUE(LEFT(VALUE(SUBSTITUTE(Items[[#This Row],[Pay Item]],"-",""))*100000000,9)),0)</f>
        <v>0</v>
      </c>
      <c r="D208" s="8"/>
      <c r="E208" s="127"/>
      <c r="F208" s="123" t="str">
        <f>IFERROR(SUBSTITUTE(VLOOKUP(Items[[#This Row],[Item]],Pay.Item.Listing[],2+2*(Units&lt;&gt;"Metric"),0),"{","&lt;"),"&lt;&lt; Pay Item not found &gt;&gt;")</f>
        <v>&lt;&lt; Pay Item not found &gt;&gt;</v>
      </c>
      <c r="G208" s="70" t="str">
        <f>IFERROR(VLOOKUP(Items[[#This Row],[Item]],Pay.Item.Listing[],3+2*(Units&lt;&gt;"Metric"),0),"–")</f>
        <v>–</v>
      </c>
      <c r="H208" s="70" t="str">
        <f>IFERROR(VLOOKUP(Items[[#This Row],[Item]],Pay.Item.Listing[],6,0),"–")</f>
        <v>–</v>
      </c>
      <c r="I208" s="70" t="str">
        <f>IFERROR(VLOOKUP(Items[[#This Row],[Item]],Pay.Item.Listing[],7,0),"–")</f>
        <v>–</v>
      </c>
      <c r="J208" s="71"/>
      <c r="K208" s="69"/>
      <c r="L208" s="69"/>
      <c r="M208" s="69"/>
      <c r="N208" s="69"/>
      <c r="O208" s="69"/>
      <c r="P208" s="69"/>
      <c r="Q208" s="69"/>
      <c r="R208" s="69"/>
      <c r="S208" s="69"/>
      <c r="T208" s="69"/>
      <c r="U208" s="69"/>
      <c r="V208" s="69"/>
      <c r="W208" s="69"/>
      <c r="X208" s="72">
        <f>IF(LEN(Items[[#This Row],[Item]])&gt;0,IF(Items[[#This Row],[Unit]]="LPSM",1,SUM(Items[[#This Row],[Col_1]:[Col_13]])),0)</f>
        <v>0</v>
      </c>
      <c r="Y208" s="190">
        <f>MAX(Items[[#This Row],[Quantity]]-SUM(Items[[#This Row],[Account2]]:Items[[#This Row],[Account7]]),0)</f>
        <v>0</v>
      </c>
      <c r="Z208" s="61"/>
      <c r="AA208" s="61"/>
      <c r="AB208" s="61"/>
      <c r="AC208" s="61"/>
      <c r="AD208" s="61"/>
      <c r="AE208" s="61"/>
      <c r="AF208" s="73"/>
      <c r="AG208" s="71"/>
      <c r="AH208" s="74"/>
      <c r="AI208" s="59"/>
      <c r="AJ208" s="190" t="str">
        <f ca="1">IFERROR(RANK(Items[[#This Row],[EstSort]],OFFSET(Items[EstSort],0,0,ROW(Proposed[])-ROW(Items[])+ROWS(Proposed[]),1),1),"")</f>
        <v/>
      </c>
      <c r="AK208" s="190" t="str">
        <f ca="1">IF(CHOOSE(MATCH(Account,Accounts,0),Items[[#This Row],[Count]],Items[[#This Row],[Account1]],Items[[#This Row],[Account2]],Items[[#This Row],[Account3]],Items[[#This Row],[Account7]])&gt;0,Items[[#This Row],[Sort]],"")</f>
        <v/>
      </c>
      <c r="AL208" s="70" t="str">
        <f ca="1">IF(LEN(Items[[#This Row],[Count]])&gt;0,IFERROR(INDEX(Calcs[Counter],MATCH(Items[[#This Row],[Line]],Calcs[Line],0)),""),"")</f>
        <v/>
      </c>
      <c r="AM208" s="156" t="str">
        <f ca="1">IFERROR(Letter&amp;TEXT((Items[[#This Row],[Count]]-1)*Incr+BeginLine,"0000"),"")</f>
        <v/>
      </c>
      <c r="AN208" s="7" t="str">
        <f>IF(ISNA(MATCH(LEFT(Items[[#This Row],[Raw Item]],5)&amp;"-"&amp;RIGHT(Items[[#This Row],[Raw Item]],4),Pay.Item.Listing[Pay Item],0)),"",LEFT(Items[[#This Row],[Raw Item]],5)&amp;"-"&amp;RIGHT(Items[[#This Row],[Raw Item]],4))</f>
        <v/>
      </c>
    </row>
    <row r="209" spans="1:40" x14ac:dyDescent="0.15">
      <c r="A209" s="7" t="str">
        <f ca="1">IFERROR(RANK(Items[[#This Row],[Sort]],OFFSET(Items[Sort],0,0,ROW(Proposed[])-ROW(Items[])+ROWS(Proposed[]),1),1),"")</f>
        <v/>
      </c>
      <c r="B209" s="7" t="str">
        <f>IF(LEN(Items[[#This Row],[Item]])&gt;0,Items[[#This Row],[Raw Item]]+COUNTIF(AN$4:AN209,AN209)/100,"")</f>
        <v/>
      </c>
      <c r="C209" s="7">
        <f>IFERROR(VALUE(LEFT(VALUE(SUBSTITUTE(Items[[#This Row],[Pay Item]],"-",""))*100000000,9)),0)</f>
        <v>0</v>
      </c>
      <c r="D209" s="8"/>
      <c r="E209" s="127"/>
      <c r="F209" s="123" t="str">
        <f>IFERROR(SUBSTITUTE(VLOOKUP(Items[[#This Row],[Item]],Pay.Item.Listing[],2+2*(Units&lt;&gt;"Metric"),0),"{","&lt;"),"&lt;&lt; Pay Item not found &gt;&gt;")</f>
        <v>&lt;&lt; Pay Item not found &gt;&gt;</v>
      </c>
      <c r="G209" s="70" t="str">
        <f>IFERROR(VLOOKUP(Items[[#This Row],[Item]],Pay.Item.Listing[],3+2*(Units&lt;&gt;"Metric"),0),"–")</f>
        <v>–</v>
      </c>
      <c r="H209" s="70" t="str">
        <f>IFERROR(VLOOKUP(Items[[#This Row],[Item]],Pay.Item.Listing[],6,0),"–")</f>
        <v>–</v>
      </c>
      <c r="I209" s="70" t="str">
        <f>IFERROR(VLOOKUP(Items[[#This Row],[Item]],Pay.Item.Listing[],7,0),"–")</f>
        <v>–</v>
      </c>
      <c r="J209" s="71"/>
      <c r="K209" s="69"/>
      <c r="L209" s="69"/>
      <c r="M209" s="69"/>
      <c r="N209" s="69"/>
      <c r="O209" s="69"/>
      <c r="P209" s="69"/>
      <c r="Q209" s="69"/>
      <c r="R209" s="69"/>
      <c r="S209" s="69"/>
      <c r="T209" s="69"/>
      <c r="U209" s="69"/>
      <c r="V209" s="69"/>
      <c r="W209" s="69"/>
      <c r="X209" s="72">
        <f>IF(LEN(Items[[#This Row],[Item]])&gt;0,IF(Items[[#This Row],[Unit]]="LPSM",1,SUM(Items[[#This Row],[Col_1]:[Col_13]])),0)</f>
        <v>0</v>
      </c>
      <c r="Y209" s="190">
        <f>MAX(Items[[#This Row],[Quantity]]-SUM(Items[[#This Row],[Account2]]:Items[[#This Row],[Account7]]),0)</f>
        <v>0</v>
      </c>
      <c r="Z209" s="61"/>
      <c r="AA209" s="61"/>
      <c r="AB209" s="61"/>
      <c r="AC209" s="61"/>
      <c r="AD209" s="61"/>
      <c r="AE209" s="61"/>
      <c r="AF209" s="73"/>
      <c r="AG209" s="71"/>
      <c r="AH209" s="74"/>
      <c r="AI209" s="59"/>
      <c r="AJ209" s="190" t="str">
        <f ca="1">IFERROR(RANK(Items[[#This Row],[EstSort]],OFFSET(Items[EstSort],0,0,ROW(Proposed[])-ROW(Items[])+ROWS(Proposed[]),1),1),"")</f>
        <v/>
      </c>
      <c r="AK209" s="190" t="str">
        <f ca="1">IF(CHOOSE(MATCH(Account,Accounts,0),Items[[#This Row],[Count]],Items[[#This Row],[Account1]],Items[[#This Row],[Account2]],Items[[#This Row],[Account3]],Items[[#This Row],[Account7]])&gt;0,Items[[#This Row],[Sort]],"")</f>
        <v/>
      </c>
      <c r="AL209" s="70" t="str">
        <f ca="1">IF(LEN(Items[[#This Row],[Count]])&gt;0,IFERROR(INDEX(Calcs[Counter],MATCH(Items[[#This Row],[Line]],Calcs[Line],0)),""),"")</f>
        <v/>
      </c>
      <c r="AM209" s="156" t="str">
        <f ca="1">IFERROR(Letter&amp;TEXT((Items[[#This Row],[Count]]-1)*Incr+BeginLine,"0000"),"")</f>
        <v/>
      </c>
      <c r="AN209" s="7" t="str">
        <f>IF(ISNA(MATCH(LEFT(Items[[#This Row],[Raw Item]],5)&amp;"-"&amp;RIGHT(Items[[#This Row],[Raw Item]],4),Pay.Item.Listing[Pay Item],0)),"",LEFT(Items[[#This Row],[Raw Item]],5)&amp;"-"&amp;RIGHT(Items[[#This Row],[Raw Item]],4))</f>
        <v/>
      </c>
    </row>
    <row r="210" spans="1:40" x14ac:dyDescent="0.15">
      <c r="A210" s="7" t="str">
        <f ca="1">IFERROR(RANK(Items[[#This Row],[Sort]],OFFSET(Items[Sort],0,0,ROW(Proposed[])-ROW(Items[])+ROWS(Proposed[]),1),1),"")</f>
        <v/>
      </c>
      <c r="B210" s="7" t="str">
        <f>IF(LEN(Items[[#This Row],[Item]])&gt;0,Items[[#This Row],[Raw Item]]+COUNTIF(AN$4:AN210,AN210)/100,"")</f>
        <v/>
      </c>
      <c r="C210" s="7">
        <f>IFERROR(VALUE(LEFT(VALUE(SUBSTITUTE(Items[[#This Row],[Pay Item]],"-",""))*100000000,9)),0)</f>
        <v>0</v>
      </c>
      <c r="D210" s="8"/>
      <c r="E210" s="127"/>
      <c r="F210" s="123" t="str">
        <f>IFERROR(SUBSTITUTE(VLOOKUP(Items[[#This Row],[Item]],Pay.Item.Listing[],2+2*(Units&lt;&gt;"Metric"),0),"{","&lt;"),"&lt;&lt; Pay Item not found &gt;&gt;")</f>
        <v>&lt;&lt; Pay Item not found &gt;&gt;</v>
      </c>
      <c r="G210" s="70" t="str">
        <f>IFERROR(VLOOKUP(Items[[#This Row],[Item]],Pay.Item.Listing[],3+2*(Units&lt;&gt;"Metric"),0),"–")</f>
        <v>–</v>
      </c>
      <c r="H210" s="70" t="str">
        <f>IFERROR(VLOOKUP(Items[[#This Row],[Item]],Pay.Item.Listing[],6,0),"–")</f>
        <v>–</v>
      </c>
      <c r="I210" s="70" t="str">
        <f>IFERROR(VLOOKUP(Items[[#This Row],[Item]],Pay.Item.Listing[],7,0),"–")</f>
        <v>–</v>
      </c>
      <c r="J210" s="71"/>
      <c r="K210" s="69"/>
      <c r="L210" s="69"/>
      <c r="M210" s="69"/>
      <c r="N210" s="69"/>
      <c r="O210" s="69"/>
      <c r="P210" s="69"/>
      <c r="Q210" s="69"/>
      <c r="R210" s="69"/>
      <c r="S210" s="69"/>
      <c r="T210" s="69"/>
      <c r="U210" s="69"/>
      <c r="V210" s="69"/>
      <c r="W210" s="69"/>
      <c r="X210" s="72">
        <f>IF(LEN(Items[[#This Row],[Item]])&gt;0,IF(Items[[#This Row],[Unit]]="LPSM",1,SUM(Items[[#This Row],[Col_1]:[Col_13]])),0)</f>
        <v>0</v>
      </c>
      <c r="Y210" s="190">
        <f>MAX(Items[[#This Row],[Quantity]]-SUM(Items[[#This Row],[Account2]]:Items[[#This Row],[Account7]]),0)</f>
        <v>0</v>
      </c>
      <c r="Z210" s="61"/>
      <c r="AA210" s="61"/>
      <c r="AB210" s="61"/>
      <c r="AC210" s="61"/>
      <c r="AD210" s="61"/>
      <c r="AE210" s="61"/>
      <c r="AF210" s="73"/>
      <c r="AG210" s="71"/>
      <c r="AH210" s="74"/>
      <c r="AI210" s="59"/>
      <c r="AJ210" s="190" t="str">
        <f ca="1">IFERROR(RANK(Items[[#This Row],[EstSort]],OFFSET(Items[EstSort],0,0,ROW(Proposed[])-ROW(Items[])+ROWS(Proposed[]),1),1),"")</f>
        <v/>
      </c>
      <c r="AK210" s="190" t="str">
        <f ca="1">IF(CHOOSE(MATCH(Account,Accounts,0),Items[[#This Row],[Count]],Items[[#This Row],[Account1]],Items[[#This Row],[Account2]],Items[[#This Row],[Account3]],Items[[#This Row],[Account7]])&gt;0,Items[[#This Row],[Sort]],"")</f>
        <v/>
      </c>
      <c r="AL210" s="70" t="str">
        <f ca="1">IF(LEN(Items[[#This Row],[Count]])&gt;0,IFERROR(INDEX(Calcs[Counter],MATCH(Items[[#This Row],[Line]],Calcs[Line],0)),""),"")</f>
        <v/>
      </c>
      <c r="AM210" s="156" t="str">
        <f ca="1">IFERROR(Letter&amp;TEXT((Items[[#This Row],[Count]]-1)*Incr+BeginLine,"0000"),"")</f>
        <v/>
      </c>
      <c r="AN210" s="7" t="str">
        <f>IF(ISNA(MATCH(LEFT(Items[[#This Row],[Raw Item]],5)&amp;"-"&amp;RIGHT(Items[[#This Row],[Raw Item]],4),Pay.Item.Listing[Pay Item],0)),"",LEFT(Items[[#This Row],[Raw Item]],5)&amp;"-"&amp;RIGHT(Items[[#This Row],[Raw Item]],4))</f>
        <v/>
      </c>
    </row>
    <row r="211" spans="1:40" x14ac:dyDescent="0.15">
      <c r="A211" s="7" t="str">
        <f ca="1">IFERROR(RANK(Items[[#This Row],[Sort]],OFFSET(Items[Sort],0,0,ROW(Proposed[])-ROW(Items[])+ROWS(Proposed[]),1),1),"")</f>
        <v/>
      </c>
      <c r="B211" s="7" t="str">
        <f>IF(LEN(Items[[#This Row],[Item]])&gt;0,Items[[#This Row],[Raw Item]]+COUNTIF(AN$4:AN211,AN211)/100,"")</f>
        <v/>
      </c>
      <c r="C211" s="7">
        <f>IFERROR(VALUE(LEFT(VALUE(SUBSTITUTE(Items[[#This Row],[Pay Item]],"-",""))*100000000,9)),0)</f>
        <v>0</v>
      </c>
      <c r="D211" s="8"/>
      <c r="E211" s="127"/>
      <c r="F211" s="123" t="str">
        <f>IFERROR(SUBSTITUTE(VLOOKUP(Items[[#This Row],[Item]],Pay.Item.Listing[],2+2*(Units&lt;&gt;"Metric"),0),"{","&lt;"),"&lt;&lt; Pay Item not found &gt;&gt;")</f>
        <v>&lt;&lt; Pay Item not found &gt;&gt;</v>
      </c>
      <c r="G211" s="70" t="str">
        <f>IFERROR(VLOOKUP(Items[[#This Row],[Item]],Pay.Item.Listing[],3+2*(Units&lt;&gt;"Metric"),0),"–")</f>
        <v>–</v>
      </c>
      <c r="H211" s="70" t="str">
        <f>IFERROR(VLOOKUP(Items[[#This Row],[Item]],Pay.Item.Listing[],6,0),"–")</f>
        <v>–</v>
      </c>
      <c r="I211" s="70" t="str">
        <f>IFERROR(VLOOKUP(Items[[#This Row],[Item]],Pay.Item.Listing[],7,0),"–")</f>
        <v>–</v>
      </c>
      <c r="J211" s="71"/>
      <c r="K211" s="69"/>
      <c r="L211" s="69"/>
      <c r="M211" s="69"/>
      <c r="N211" s="69"/>
      <c r="O211" s="69"/>
      <c r="P211" s="69"/>
      <c r="Q211" s="69"/>
      <c r="R211" s="69"/>
      <c r="S211" s="69"/>
      <c r="T211" s="69"/>
      <c r="U211" s="69"/>
      <c r="V211" s="69"/>
      <c r="W211" s="69"/>
      <c r="X211" s="72">
        <f>IF(LEN(Items[[#This Row],[Item]])&gt;0,IF(Items[[#This Row],[Unit]]="LPSM",1,SUM(Items[[#This Row],[Col_1]:[Col_13]])),0)</f>
        <v>0</v>
      </c>
      <c r="Y211" s="190">
        <f>MAX(Items[[#This Row],[Quantity]]-SUM(Items[[#This Row],[Account2]]:Items[[#This Row],[Account7]]),0)</f>
        <v>0</v>
      </c>
      <c r="Z211" s="61"/>
      <c r="AA211" s="61"/>
      <c r="AB211" s="61"/>
      <c r="AC211" s="61"/>
      <c r="AD211" s="61"/>
      <c r="AE211" s="61"/>
      <c r="AF211" s="73"/>
      <c r="AG211" s="71"/>
      <c r="AH211" s="74"/>
      <c r="AI211" s="59"/>
      <c r="AJ211" s="190" t="str">
        <f ca="1">IFERROR(RANK(Items[[#This Row],[EstSort]],OFFSET(Items[EstSort],0,0,ROW(Proposed[])-ROW(Items[])+ROWS(Proposed[]),1),1),"")</f>
        <v/>
      </c>
      <c r="AK211" s="190" t="str">
        <f ca="1">IF(CHOOSE(MATCH(Account,Accounts,0),Items[[#This Row],[Count]],Items[[#This Row],[Account1]],Items[[#This Row],[Account2]],Items[[#This Row],[Account3]],Items[[#This Row],[Account7]])&gt;0,Items[[#This Row],[Sort]],"")</f>
        <v/>
      </c>
      <c r="AL211" s="70" t="str">
        <f ca="1">IF(LEN(Items[[#This Row],[Count]])&gt;0,IFERROR(INDEX(Calcs[Counter],MATCH(Items[[#This Row],[Line]],Calcs[Line],0)),""),"")</f>
        <v/>
      </c>
      <c r="AM211" s="156" t="str">
        <f ca="1">IFERROR(Letter&amp;TEXT((Items[[#This Row],[Count]]-1)*Incr+BeginLine,"0000"),"")</f>
        <v/>
      </c>
      <c r="AN211" s="7" t="str">
        <f>IF(ISNA(MATCH(LEFT(Items[[#This Row],[Raw Item]],5)&amp;"-"&amp;RIGHT(Items[[#This Row],[Raw Item]],4),Pay.Item.Listing[Pay Item],0)),"",LEFT(Items[[#This Row],[Raw Item]],5)&amp;"-"&amp;RIGHT(Items[[#This Row],[Raw Item]],4))</f>
        <v/>
      </c>
    </row>
    <row r="212" spans="1:40" x14ac:dyDescent="0.15">
      <c r="A212" s="7" t="str">
        <f ca="1">IFERROR(RANK(Items[[#This Row],[Sort]],OFFSET(Items[Sort],0,0,ROW(Proposed[])-ROW(Items[])+ROWS(Proposed[]),1),1),"")</f>
        <v/>
      </c>
      <c r="B212" s="7" t="str">
        <f>IF(LEN(Items[[#This Row],[Item]])&gt;0,Items[[#This Row],[Raw Item]]+COUNTIF(AN$4:AN212,AN212)/100,"")</f>
        <v/>
      </c>
      <c r="C212" s="7">
        <f>IFERROR(VALUE(LEFT(VALUE(SUBSTITUTE(Items[[#This Row],[Pay Item]],"-",""))*100000000,9)),0)</f>
        <v>0</v>
      </c>
      <c r="D212" s="8"/>
      <c r="E212" s="127"/>
      <c r="F212" s="123" t="str">
        <f>IFERROR(SUBSTITUTE(VLOOKUP(Items[[#This Row],[Item]],Pay.Item.Listing[],2+2*(Units&lt;&gt;"Metric"),0),"{","&lt;"),"&lt;&lt; Pay Item not found &gt;&gt;")</f>
        <v>&lt;&lt; Pay Item not found &gt;&gt;</v>
      </c>
      <c r="G212" s="70" t="str">
        <f>IFERROR(VLOOKUP(Items[[#This Row],[Item]],Pay.Item.Listing[],3+2*(Units&lt;&gt;"Metric"),0),"–")</f>
        <v>–</v>
      </c>
      <c r="H212" s="70" t="str">
        <f>IFERROR(VLOOKUP(Items[[#This Row],[Item]],Pay.Item.Listing[],6,0),"–")</f>
        <v>–</v>
      </c>
      <c r="I212" s="70" t="str">
        <f>IFERROR(VLOOKUP(Items[[#This Row],[Item]],Pay.Item.Listing[],7,0),"–")</f>
        <v>–</v>
      </c>
      <c r="J212" s="71"/>
      <c r="K212" s="69"/>
      <c r="L212" s="69"/>
      <c r="M212" s="69"/>
      <c r="N212" s="69"/>
      <c r="O212" s="69"/>
      <c r="P212" s="69"/>
      <c r="Q212" s="69"/>
      <c r="R212" s="69"/>
      <c r="S212" s="69"/>
      <c r="T212" s="69"/>
      <c r="U212" s="69"/>
      <c r="V212" s="69"/>
      <c r="W212" s="69"/>
      <c r="X212" s="72">
        <f>IF(LEN(Items[[#This Row],[Item]])&gt;0,IF(Items[[#This Row],[Unit]]="LPSM",1,SUM(Items[[#This Row],[Col_1]:[Col_13]])),0)</f>
        <v>0</v>
      </c>
      <c r="Y212" s="190">
        <f>MAX(Items[[#This Row],[Quantity]]-SUM(Items[[#This Row],[Account2]]:Items[[#This Row],[Account7]]),0)</f>
        <v>0</v>
      </c>
      <c r="Z212" s="61"/>
      <c r="AA212" s="61"/>
      <c r="AB212" s="61"/>
      <c r="AC212" s="61"/>
      <c r="AD212" s="61"/>
      <c r="AE212" s="61"/>
      <c r="AF212" s="73"/>
      <c r="AG212" s="71"/>
      <c r="AH212" s="74"/>
      <c r="AI212" s="59"/>
      <c r="AJ212" s="190" t="str">
        <f ca="1">IFERROR(RANK(Items[[#This Row],[EstSort]],OFFSET(Items[EstSort],0,0,ROW(Proposed[])-ROW(Items[])+ROWS(Proposed[]),1),1),"")</f>
        <v/>
      </c>
      <c r="AK212" s="190" t="str">
        <f ca="1">IF(CHOOSE(MATCH(Account,Accounts,0),Items[[#This Row],[Count]],Items[[#This Row],[Account1]],Items[[#This Row],[Account2]],Items[[#This Row],[Account3]],Items[[#This Row],[Account7]])&gt;0,Items[[#This Row],[Sort]],"")</f>
        <v/>
      </c>
      <c r="AL212" s="70" t="str">
        <f ca="1">IF(LEN(Items[[#This Row],[Count]])&gt;0,IFERROR(INDEX(Calcs[Counter],MATCH(Items[[#This Row],[Line]],Calcs[Line],0)),""),"")</f>
        <v/>
      </c>
      <c r="AM212" s="156" t="str">
        <f ca="1">IFERROR(Letter&amp;TEXT((Items[[#This Row],[Count]]-1)*Incr+BeginLine,"0000"),"")</f>
        <v/>
      </c>
      <c r="AN212" s="7" t="str">
        <f>IF(ISNA(MATCH(LEFT(Items[[#This Row],[Raw Item]],5)&amp;"-"&amp;RIGHT(Items[[#This Row],[Raw Item]],4),Pay.Item.Listing[Pay Item],0)),"",LEFT(Items[[#This Row],[Raw Item]],5)&amp;"-"&amp;RIGHT(Items[[#This Row],[Raw Item]],4))</f>
        <v/>
      </c>
    </row>
    <row r="213" spans="1:40" x14ac:dyDescent="0.15">
      <c r="A213" s="7" t="str">
        <f ca="1">IFERROR(RANK(Items[[#This Row],[Sort]],OFFSET(Items[Sort],0,0,ROW(Proposed[])-ROW(Items[])+ROWS(Proposed[]),1),1),"")</f>
        <v/>
      </c>
      <c r="B213" s="7" t="str">
        <f>IF(LEN(Items[[#This Row],[Item]])&gt;0,Items[[#This Row],[Raw Item]]+COUNTIF(AN$4:AN213,AN213)/100,"")</f>
        <v/>
      </c>
      <c r="C213" s="7">
        <f>IFERROR(VALUE(LEFT(VALUE(SUBSTITUTE(Items[[#This Row],[Pay Item]],"-",""))*100000000,9)),0)</f>
        <v>0</v>
      </c>
      <c r="D213" s="8"/>
      <c r="E213" s="127"/>
      <c r="F213" s="123" t="str">
        <f>IFERROR(SUBSTITUTE(VLOOKUP(Items[[#This Row],[Item]],Pay.Item.Listing[],2+2*(Units&lt;&gt;"Metric"),0),"{","&lt;"),"&lt;&lt; Pay Item not found &gt;&gt;")</f>
        <v>&lt;&lt; Pay Item not found &gt;&gt;</v>
      </c>
      <c r="G213" s="70" t="str">
        <f>IFERROR(VLOOKUP(Items[[#This Row],[Item]],Pay.Item.Listing[],3+2*(Units&lt;&gt;"Metric"),0),"–")</f>
        <v>–</v>
      </c>
      <c r="H213" s="70" t="str">
        <f>IFERROR(VLOOKUP(Items[[#This Row],[Item]],Pay.Item.Listing[],6,0),"–")</f>
        <v>–</v>
      </c>
      <c r="I213" s="70" t="str">
        <f>IFERROR(VLOOKUP(Items[[#This Row],[Item]],Pay.Item.Listing[],7,0),"–")</f>
        <v>–</v>
      </c>
      <c r="J213" s="71"/>
      <c r="K213" s="69"/>
      <c r="L213" s="69"/>
      <c r="M213" s="69"/>
      <c r="N213" s="69"/>
      <c r="O213" s="69"/>
      <c r="P213" s="69"/>
      <c r="Q213" s="69"/>
      <c r="R213" s="69"/>
      <c r="S213" s="69"/>
      <c r="T213" s="69"/>
      <c r="U213" s="69"/>
      <c r="V213" s="69"/>
      <c r="W213" s="69"/>
      <c r="X213" s="72">
        <f>IF(LEN(Items[[#This Row],[Item]])&gt;0,IF(Items[[#This Row],[Unit]]="LPSM",1,SUM(Items[[#This Row],[Col_1]:[Col_13]])),0)</f>
        <v>0</v>
      </c>
      <c r="Y213" s="190">
        <f>MAX(Items[[#This Row],[Quantity]]-SUM(Items[[#This Row],[Account2]]:Items[[#This Row],[Account7]]),0)</f>
        <v>0</v>
      </c>
      <c r="Z213" s="61"/>
      <c r="AA213" s="61"/>
      <c r="AB213" s="61"/>
      <c r="AC213" s="61"/>
      <c r="AD213" s="61"/>
      <c r="AE213" s="61"/>
      <c r="AF213" s="73"/>
      <c r="AG213" s="71"/>
      <c r="AH213" s="74"/>
      <c r="AI213" s="59"/>
      <c r="AJ213" s="190" t="str">
        <f ca="1">IFERROR(RANK(Items[[#This Row],[EstSort]],OFFSET(Items[EstSort],0,0,ROW(Proposed[])-ROW(Items[])+ROWS(Proposed[]),1),1),"")</f>
        <v/>
      </c>
      <c r="AK213" s="190" t="str">
        <f ca="1">IF(CHOOSE(MATCH(Account,Accounts,0),Items[[#This Row],[Count]],Items[[#This Row],[Account1]],Items[[#This Row],[Account2]],Items[[#This Row],[Account3]],Items[[#This Row],[Account7]])&gt;0,Items[[#This Row],[Sort]],"")</f>
        <v/>
      </c>
      <c r="AL213" s="70" t="str">
        <f ca="1">IF(LEN(Items[[#This Row],[Count]])&gt;0,IFERROR(INDEX(Calcs[Counter],MATCH(Items[[#This Row],[Line]],Calcs[Line],0)),""),"")</f>
        <v/>
      </c>
      <c r="AM213" s="156" t="str">
        <f ca="1">IFERROR(Letter&amp;TEXT((Items[[#This Row],[Count]]-1)*Incr+BeginLine,"0000"),"")</f>
        <v/>
      </c>
      <c r="AN213" s="7" t="str">
        <f>IF(ISNA(MATCH(LEFT(Items[[#This Row],[Raw Item]],5)&amp;"-"&amp;RIGHT(Items[[#This Row],[Raw Item]],4),Pay.Item.Listing[Pay Item],0)),"",LEFT(Items[[#This Row],[Raw Item]],5)&amp;"-"&amp;RIGHT(Items[[#This Row],[Raw Item]],4))</f>
        <v/>
      </c>
    </row>
    <row r="214" spans="1:40" x14ac:dyDescent="0.15">
      <c r="A214" s="7" t="str">
        <f ca="1">IFERROR(RANK(Items[[#This Row],[Sort]],OFFSET(Items[Sort],0,0,ROW(Proposed[])-ROW(Items[])+ROWS(Proposed[]),1),1),"")</f>
        <v/>
      </c>
      <c r="B214" s="7" t="str">
        <f>IF(LEN(Items[[#This Row],[Item]])&gt;0,Items[[#This Row],[Raw Item]]+COUNTIF(AN$4:AN214,AN214)/100,"")</f>
        <v/>
      </c>
      <c r="C214" s="7">
        <f>IFERROR(VALUE(LEFT(VALUE(SUBSTITUTE(Items[[#This Row],[Pay Item]],"-",""))*100000000,9)),0)</f>
        <v>0</v>
      </c>
      <c r="D214" s="8"/>
      <c r="E214" s="127"/>
      <c r="F214" s="123" t="str">
        <f>IFERROR(SUBSTITUTE(VLOOKUP(Items[[#This Row],[Item]],Pay.Item.Listing[],2+2*(Units&lt;&gt;"Metric"),0),"{","&lt;"),"&lt;&lt; Pay Item not found &gt;&gt;")</f>
        <v>&lt;&lt; Pay Item not found &gt;&gt;</v>
      </c>
      <c r="G214" s="70" t="str">
        <f>IFERROR(VLOOKUP(Items[[#This Row],[Item]],Pay.Item.Listing[],3+2*(Units&lt;&gt;"Metric"),0),"–")</f>
        <v>–</v>
      </c>
      <c r="H214" s="70" t="str">
        <f>IFERROR(VLOOKUP(Items[[#This Row],[Item]],Pay.Item.Listing[],6,0),"–")</f>
        <v>–</v>
      </c>
      <c r="I214" s="70" t="str">
        <f>IFERROR(VLOOKUP(Items[[#This Row],[Item]],Pay.Item.Listing[],7,0),"–")</f>
        <v>–</v>
      </c>
      <c r="J214" s="71"/>
      <c r="K214" s="69"/>
      <c r="L214" s="69"/>
      <c r="M214" s="69"/>
      <c r="N214" s="69"/>
      <c r="O214" s="69"/>
      <c r="P214" s="69"/>
      <c r="Q214" s="69"/>
      <c r="R214" s="69"/>
      <c r="S214" s="69"/>
      <c r="T214" s="69"/>
      <c r="U214" s="69"/>
      <c r="V214" s="69"/>
      <c r="W214" s="69"/>
      <c r="X214" s="72">
        <f>IF(LEN(Items[[#This Row],[Item]])&gt;0,IF(Items[[#This Row],[Unit]]="LPSM",1,SUM(Items[[#This Row],[Col_1]:[Col_13]])),0)</f>
        <v>0</v>
      </c>
      <c r="Y214" s="190">
        <f>MAX(Items[[#This Row],[Quantity]]-SUM(Items[[#This Row],[Account2]]:Items[[#This Row],[Account7]]),0)</f>
        <v>0</v>
      </c>
      <c r="Z214" s="61"/>
      <c r="AA214" s="61"/>
      <c r="AB214" s="61"/>
      <c r="AC214" s="61"/>
      <c r="AD214" s="61"/>
      <c r="AE214" s="61"/>
      <c r="AF214" s="73"/>
      <c r="AG214" s="71"/>
      <c r="AH214" s="74"/>
      <c r="AI214" s="59"/>
      <c r="AJ214" s="190" t="str">
        <f ca="1">IFERROR(RANK(Items[[#This Row],[EstSort]],OFFSET(Items[EstSort],0,0,ROW(Proposed[])-ROW(Items[])+ROWS(Proposed[]),1),1),"")</f>
        <v/>
      </c>
      <c r="AK214" s="190" t="str">
        <f ca="1">IF(CHOOSE(MATCH(Account,Accounts,0),Items[[#This Row],[Count]],Items[[#This Row],[Account1]],Items[[#This Row],[Account2]],Items[[#This Row],[Account3]],Items[[#This Row],[Account7]])&gt;0,Items[[#This Row],[Sort]],"")</f>
        <v/>
      </c>
      <c r="AL214" s="70" t="str">
        <f ca="1">IF(LEN(Items[[#This Row],[Count]])&gt;0,IFERROR(INDEX(Calcs[Counter],MATCH(Items[[#This Row],[Line]],Calcs[Line],0)),""),"")</f>
        <v/>
      </c>
      <c r="AM214" s="156" t="str">
        <f ca="1">IFERROR(Letter&amp;TEXT((Items[[#This Row],[Count]]-1)*Incr+BeginLine,"0000"),"")</f>
        <v/>
      </c>
      <c r="AN214" s="7" t="str">
        <f>IF(ISNA(MATCH(LEFT(Items[[#This Row],[Raw Item]],5)&amp;"-"&amp;RIGHT(Items[[#This Row],[Raw Item]],4),Pay.Item.Listing[Pay Item],0)),"",LEFT(Items[[#This Row],[Raw Item]],5)&amp;"-"&amp;RIGHT(Items[[#This Row],[Raw Item]],4))</f>
        <v/>
      </c>
    </row>
    <row r="215" spans="1:40" x14ac:dyDescent="0.15">
      <c r="A215" s="7" t="str">
        <f ca="1">IFERROR(RANK(Items[[#This Row],[Sort]],OFFSET(Items[Sort],0,0,ROW(Proposed[])-ROW(Items[])+ROWS(Proposed[]),1),1),"")</f>
        <v/>
      </c>
      <c r="B215" s="7" t="str">
        <f>IF(LEN(Items[[#This Row],[Item]])&gt;0,Items[[#This Row],[Raw Item]]+COUNTIF(AN$4:AN215,AN215)/100,"")</f>
        <v/>
      </c>
      <c r="C215" s="7">
        <f>IFERROR(VALUE(LEFT(VALUE(SUBSTITUTE(Items[[#This Row],[Pay Item]],"-",""))*100000000,9)),0)</f>
        <v>0</v>
      </c>
      <c r="D215" s="8"/>
      <c r="E215" s="127"/>
      <c r="F215" s="123" t="str">
        <f>IFERROR(SUBSTITUTE(VLOOKUP(Items[[#This Row],[Item]],Pay.Item.Listing[],2+2*(Units&lt;&gt;"Metric"),0),"{","&lt;"),"&lt;&lt; Pay Item not found &gt;&gt;")</f>
        <v>&lt;&lt; Pay Item not found &gt;&gt;</v>
      </c>
      <c r="G215" s="70" t="str">
        <f>IFERROR(VLOOKUP(Items[[#This Row],[Item]],Pay.Item.Listing[],3+2*(Units&lt;&gt;"Metric"),0),"–")</f>
        <v>–</v>
      </c>
      <c r="H215" s="70" t="str">
        <f>IFERROR(VLOOKUP(Items[[#This Row],[Item]],Pay.Item.Listing[],6,0),"–")</f>
        <v>–</v>
      </c>
      <c r="I215" s="70" t="str">
        <f>IFERROR(VLOOKUP(Items[[#This Row],[Item]],Pay.Item.Listing[],7,0),"–")</f>
        <v>–</v>
      </c>
      <c r="J215" s="71"/>
      <c r="K215" s="69"/>
      <c r="L215" s="69"/>
      <c r="M215" s="69"/>
      <c r="N215" s="69"/>
      <c r="O215" s="69"/>
      <c r="P215" s="69"/>
      <c r="Q215" s="69"/>
      <c r="R215" s="69"/>
      <c r="S215" s="69"/>
      <c r="T215" s="69"/>
      <c r="U215" s="69"/>
      <c r="V215" s="69"/>
      <c r="W215" s="69"/>
      <c r="X215" s="72">
        <f>IF(LEN(Items[[#This Row],[Item]])&gt;0,IF(Items[[#This Row],[Unit]]="LPSM",1,SUM(Items[[#This Row],[Col_1]:[Col_13]])),0)</f>
        <v>0</v>
      </c>
      <c r="Y215" s="190">
        <f>MAX(Items[[#This Row],[Quantity]]-SUM(Items[[#This Row],[Account2]]:Items[[#This Row],[Account7]]),0)</f>
        <v>0</v>
      </c>
      <c r="Z215" s="61"/>
      <c r="AA215" s="61"/>
      <c r="AB215" s="61"/>
      <c r="AC215" s="61"/>
      <c r="AD215" s="61"/>
      <c r="AE215" s="61"/>
      <c r="AF215" s="73"/>
      <c r="AG215" s="71"/>
      <c r="AH215" s="74"/>
      <c r="AI215" s="59"/>
      <c r="AJ215" s="190" t="str">
        <f ca="1">IFERROR(RANK(Items[[#This Row],[EstSort]],OFFSET(Items[EstSort],0,0,ROW(Proposed[])-ROW(Items[])+ROWS(Proposed[]),1),1),"")</f>
        <v/>
      </c>
      <c r="AK215" s="190" t="str">
        <f ca="1">IF(CHOOSE(MATCH(Account,Accounts,0),Items[[#This Row],[Count]],Items[[#This Row],[Account1]],Items[[#This Row],[Account2]],Items[[#This Row],[Account3]],Items[[#This Row],[Account7]])&gt;0,Items[[#This Row],[Sort]],"")</f>
        <v/>
      </c>
      <c r="AL215" s="70" t="str">
        <f ca="1">IF(LEN(Items[[#This Row],[Count]])&gt;0,IFERROR(INDEX(Calcs[Counter],MATCH(Items[[#This Row],[Line]],Calcs[Line],0)),""),"")</f>
        <v/>
      </c>
      <c r="AM215" s="156" t="str">
        <f ca="1">IFERROR(Letter&amp;TEXT((Items[[#This Row],[Count]]-1)*Incr+BeginLine,"0000"),"")</f>
        <v/>
      </c>
      <c r="AN215" s="7" t="str">
        <f>IF(ISNA(MATCH(LEFT(Items[[#This Row],[Raw Item]],5)&amp;"-"&amp;RIGHT(Items[[#This Row],[Raw Item]],4),Pay.Item.Listing[Pay Item],0)),"",LEFT(Items[[#This Row],[Raw Item]],5)&amp;"-"&amp;RIGHT(Items[[#This Row],[Raw Item]],4))</f>
        <v/>
      </c>
    </row>
    <row r="216" spans="1:40" x14ac:dyDescent="0.15">
      <c r="A216" s="7" t="str">
        <f ca="1">IFERROR(RANK(Items[[#This Row],[Sort]],OFFSET(Items[Sort],0,0,ROW(Proposed[])-ROW(Items[])+ROWS(Proposed[]),1),1),"")</f>
        <v/>
      </c>
      <c r="B216" s="7" t="str">
        <f>IF(LEN(Items[[#This Row],[Item]])&gt;0,Items[[#This Row],[Raw Item]]+COUNTIF(AN$4:AN216,AN216)/100,"")</f>
        <v/>
      </c>
      <c r="C216" s="7">
        <f>IFERROR(VALUE(LEFT(VALUE(SUBSTITUTE(Items[[#This Row],[Pay Item]],"-",""))*100000000,9)),0)</f>
        <v>0</v>
      </c>
      <c r="D216" s="8"/>
      <c r="E216" s="127"/>
      <c r="F216" s="123" t="str">
        <f>IFERROR(SUBSTITUTE(VLOOKUP(Items[[#This Row],[Item]],Pay.Item.Listing[],2+2*(Units&lt;&gt;"Metric"),0),"{","&lt;"),"&lt;&lt; Pay Item not found &gt;&gt;")</f>
        <v>&lt;&lt; Pay Item not found &gt;&gt;</v>
      </c>
      <c r="G216" s="70" t="str">
        <f>IFERROR(VLOOKUP(Items[[#This Row],[Item]],Pay.Item.Listing[],3+2*(Units&lt;&gt;"Metric"),0),"–")</f>
        <v>–</v>
      </c>
      <c r="H216" s="70" t="str">
        <f>IFERROR(VLOOKUP(Items[[#This Row],[Item]],Pay.Item.Listing[],6,0),"–")</f>
        <v>–</v>
      </c>
      <c r="I216" s="70" t="str">
        <f>IFERROR(VLOOKUP(Items[[#This Row],[Item]],Pay.Item.Listing[],7,0),"–")</f>
        <v>–</v>
      </c>
      <c r="J216" s="71"/>
      <c r="K216" s="69"/>
      <c r="L216" s="69"/>
      <c r="M216" s="69"/>
      <c r="N216" s="69"/>
      <c r="O216" s="69"/>
      <c r="P216" s="69"/>
      <c r="Q216" s="69"/>
      <c r="R216" s="69"/>
      <c r="S216" s="69"/>
      <c r="T216" s="69"/>
      <c r="U216" s="69"/>
      <c r="V216" s="69"/>
      <c r="W216" s="69"/>
      <c r="X216" s="72">
        <f>IF(LEN(Items[[#This Row],[Item]])&gt;0,IF(Items[[#This Row],[Unit]]="LPSM",1,SUM(Items[[#This Row],[Col_1]:[Col_13]])),0)</f>
        <v>0</v>
      </c>
      <c r="Y216" s="190">
        <f>MAX(Items[[#This Row],[Quantity]]-SUM(Items[[#This Row],[Account2]]:Items[[#This Row],[Account7]]),0)</f>
        <v>0</v>
      </c>
      <c r="Z216" s="61"/>
      <c r="AA216" s="61"/>
      <c r="AB216" s="61"/>
      <c r="AC216" s="61"/>
      <c r="AD216" s="61"/>
      <c r="AE216" s="61"/>
      <c r="AF216" s="73"/>
      <c r="AG216" s="71"/>
      <c r="AH216" s="74"/>
      <c r="AI216" s="59"/>
      <c r="AJ216" s="190" t="str">
        <f ca="1">IFERROR(RANK(Items[[#This Row],[EstSort]],OFFSET(Items[EstSort],0,0,ROW(Proposed[])-ROW(Items[])+ROWS(Proposed[]),1),1),"")</f>
        <v/>
      </c>
      <c r="AK216" s="190" t="str">
        <f ca="1">IF(CHOOSE(MATCH(Account,Accounts,0),Items[[#This Row],[Count]],Items[[#This Row],[Account1]],Items[[#This Row],[Account2]],Items[[#This Row],[Account3]],Items[[#This Row],[Account7]])&gt;0,Items[[#This Row],[Sort]],"")</f>
        <v/>
      </c>
      <c r="AL216" s="70" t="str">
        <f ca="1">IF(LEN(Items[[#This Row],[Count]])&gt;0,IFERROR(INDEX(Calcs[Counter],MATCH(Items[[#This Row],[Line]],Calcs[Line],0)),""),"")</f>
        <v/>
      </c>
      <c r="AM216" s="156" t="str">
        <f ca="1">IFERROR(Letter&amp;TEXT((Items[[#This Row],[Count]]-1)*Incr+BeginLine,"0000"),"")</f>
        <v/>
      </c>
      <c r="AN216" s="7" t="str">
        <f>IF(ISNA(MATCH(LEFT(Items[[#This Row],[Raw Item]],5)&amp;"-"&amp;RIGHT(Items[[#This Row],[Raw Item]],4),Pay.Item.Listing[Pay Item],0)),"",LEFT(Items[[#This Row],[Raw Item]],5)&amp;"-"&amp;RIGHT(Items[[#This Row],[Raw Item]],4))</f>
        <v/>
      </c>
    </row>
    <row r="217" spans="1:40" x14ac:dyDescent="0.15">
      <c r="A217" s="7" t="str">
        <f ca="1">IFERROR(RANK(Items[[#This Row],[Sort]],OFFSET(Items[Sort],0,0,ROW(Proposed[])-ROW(Items[])+ROWS(Proposed[]),1),1),"")</f>
        <v/>
      </c>
      <c r="B217" s="7" t="str">
        <f>IF(LEN(Items[[#This Row],[Item]])&gt;0,Items[[#This Row],[Raw Item]]+COUNTIF(AN$4:AN217,AN217)/100,"")</f>
        <v/>
      </c>
      <c r="C217" s="7">
        <f>IFERROR(VALUE(LEFT(VALUE(SUBSTITUTE(Items[[#This Row],[Pay Item]],"-",""))*100000000,9)),0)</f>
        <v>0</v>
      </c>
      <c r="D217" s="8"/>
      <c r="E217" s="127"/>
      <c r="F217" s="123" t="str">
        <f>IFERROR(SUBSTITUTE(VLOOKUP(Items[[#This Row],[Item]],Pay.Item.Listing[],2+2*(Units&lt;&gt;"Metric"),0),"{","&lt;"),"&lt;&lt; Pay Item not found &gt;&gt;")</f>
        <v>&lt;&lt; Pay Item not found &gt;&gt;</v>
      </c>
      <c r="G217" s="70" t="str">
        <f>IFERROR(VLOOKUP(Items[[#This Row],[Item]],Pay.Item.Listing[],3+2*(Units&lt;&gt;"Metric"),0),"–")</f>
        <v>–</v>
      </c>
      <c r="H217" s="70" t="str">
        <f>IFERROR(VLOOKUP(Items[[#This Row],[Item]],Pay.Item.Listing[],6,0),"–")</f>
        <v>–</v>
      </c>
      <c r="I217" s="70" t="str">
        <f>IFERROR(VLOOKUP(Items[[#This Row],[Item]],Pay.Item.Listing[],7,0),"–")</f>
        <v>–</v>
      </c>
      <c r="J217" s="71"/>
      <c r="K217" s="69"/>
      <c r="L217" s="69"/>
      <c r="M217" s="69"/>
      <c r="N217" s="69"/>
      <c r="O217" s="69"/>
      <c r="P217" s="69"/>
      <c r="Q217" s="69"/>
      <c r="R217" s="69"/>
      <c r="S217" s="69"/>
      <c r="T217" s="69"/>
      <c r="U217" s="69"/>
      <c r="V217" s="69"/>
      <c r="W217" s="69"/>
      <c r="X217" s="72">
        <f>IF(LEN(Items[[#This Row],[Item]])&gt;0,IF(Items[[#This Row],[Unit]]="LPSM",1,SUM(Items[[#This Row],[Col_1]:[Col_13]])),0)</f>
        <v>0</v>
      </c>
      <c r="Y217" s="190">
        <f>MAX(Items[[#This Row],[Quantity]]-SUM(Items[[#This Row],[Account2]]:Items[[#This Row],[Account7]]),0)</f>
        <v>0</v>
      </c>
      <c r="Z217" s="61"/>
      <c r="AA217" s="61"/>
      <c r="AB217" s="61"/>
      <c r="AC217" s="61"/>
      <c r="AD217" s="61"/>
      <c r="AE217" s="61"/>
      <c r="AF217" s="73"/>
      <c r="AG217" s="71"/>
      <c r="AH217" s="74"/>
      <c r="AI217" s="59"/>
      <c r="AJ217" s="190" t="str">
        <f ca="1">IFERROR(RANK(Items[[#This Row],[EstSort]],OFFSET(Items[EstSort],0,0,ROW(Proposed[])-ROW(Items[])+ROWS(Proposed[]),1),1),"")</f>
        <v/>
      </c>
      <c r="AK217" s="190" t="str">
        <f ca="1">IF(CHOOSE(MATCH(Account,Accounts,0),Items[[#This Row],[Count]],Items[[#This Row],[Account1]],Items[[#This Row],[Account2]],Items[[#This Row],[Account3]],Items[[#This Row],[Account7]])&gt;0,Items[[#This Row],[Sort]],"")</f>
        <v/>
      </c>
      <c r="AL217" s="70" t="str">
        <f ca="1">IF(LEN(Items[[#This Row],[Count]])&gt;0,IFERROR(INDEX(Calcs[Counter],MATCH(Items[[#This Row],[Line]],Calcs[Line],0)),""),"")</f>
        <v/>
      </c>
      <c r="AM217" s="156" t="str">
        <f ca="1">IFERROR(Letter&amp;TEXT((Items[[#This Row],[Count]]-1)*Incr+BeginLine,"0000"),"")</f>
        <v/>
      </c>
      <c r="AN217" s="7" t="str">
        <f>IF(ISNA(MATCH(LEFT(Items[[#This Row],[Raw Item]],5)&amp;"-"&amp;RIGHT(Items[[#This Row],[Raw Item]],4),Pay.Item.Listing[Pay Item],0)),"",LEFT(Items[[#This Row],[Raw Item]],5)&amp;"-"&amp;RIGHT(Items[[#This Row],[Raw Item]],4))</f>
        <v/>
      </c>
    </row>
    <row r="218" spans="1:40" x14ac:dyDescent="0.15">
      <c r="A218" s="7" t="str">
        <f ca="1">IFERROR(RANK(Items[[#This Row],[Sort]],OFFSET(Items[Sort],0,0,ROW(Proposed[])-ROW(Items[])+ROWS(Proposed[]),1),1),"")</f>
        <v/>
      </c>
      <c r="B218" s="7" t="str">
        <f>IF(LEN(Items[[#This Row],[Item]])&gt;0,Items[[#This Row],[Raw Item]]+COUNTIF(AN$4:AN218,AN218)/100,"")</f>
        <v/>
      </c>
      <c r="C218" s="7">
        <f>IFERROR(VALUE(LEFT(VALUE(SUBSTITUTE(Items[[#This Row],[Pay Item]],"-",""))*100000000,9)),0)</f>
        <v>0</v>
      </c>
      <c r="D218" s="8"/>
      <c r="E218" s="127"/>
      <c r="F218" s="123" t="str">
        <f>IFERROR(SUBSTITUTE(VLOOKUP(Items[[#This Row],[Item]],Pay.Item.Listing[],2+2*(Units&lt;&gt;"Metric"),0),"{","&lt;"),"&lt;&lt; Pay Item not found &gt;&gt;")</f>
        <v>&lt;&lt; Pay Item not found &gt;&gt;</v>
      </c>
      <c r="G218" s="70" t="str">
        <f>IFERROR(VLOOKUP(Items[[#This Row],[Item]],Pay.Item.Listing[],3+2*(Units&lt;&gt;"Metric"),0),"–")</f>
        <v>–</v>
      </c>
      <c r="H218" s="70" t="str">
        <f>IFERROR(VLOOKUP(Items[[#This Row],[Item]],Pay.Item.Listing[],6,0),"–")</f>
        <v>–</v>
      </c>
      <c r="I218" s="70" t="str">
        <f>IFERROR(VLOOKUP(Items[[#This Row],[Item]],Pay.Item.Listing[],7,0),"–")</f>
        <v>–</v>
      </c>
      <c r="J218" s="71"/>
      <c r="K218" s="69"/>
      <c r="L218" s="69"/>
      <c r="M218" s="69"/>
      <c r="N218" s="69"/>
      <c r="O218" s="69"/>
      <c r="P218" s="69"/>
      <c r="Q218" s="69"/>
      <c r="R218" s="69"/>
      <c r="S218" s="69"/>
      <c r="T218" s="69"/>
      <c r="U218" s="69"/>
      <c r="V218" s="69"/>
      <c r="W218" s="69"/>
      <c r="X218" s="72">
        <f>IF(LEN(Items[[#This Row],[Item]])&gt;0,IF(Items[[#This Row],[Unit]]="LPSM",1,SUM(Items[[#This Row],[Col_1]:[Col_13]])),0)</f>
        <v>0</v>
      </c>
      <c r="Y218" s="190">
        <f>MAX(Items[[#This Row],[Quantity]]-SUM(Items[[#This Row],[Account2]]:Items[[#This Row],[Account7]]),0)</f>
        <v>0</v>
      </c>
      <c r="Z218" s="61"/>
      <c r="AA218" s="61"/>
      <c r="AB218" s="61"/>
      <c r="AC218" s="61"/>
      <c r="AD218" s="61"/>
      <c r="AE218" s="61"/>
      <c r="AF218" s="73"/>
      <c r="AG218" s="71"/>
      <c r="AH218" s="74"/>
      <c r="AI218" s="59"/>
      <c r="AJ218" s="190" t="str">
        <f ca="1">IFERROR(RANK(Items[[#This Row],[EstSort]],OFFSET(Items[EstSort],0,0,ROW(Proposed[])-ROW(Items[])+ROWS(Proposed[]),1),1),"")</f>
        <v/>
      </c>
      <c r="AK218" s="190" t="str">
        <f ca="1">IF(CHOOSE(MATCH(Account,Accounts,0),Items[[#This Row],[Count]],Items[[#This Row],[Account1]],Items[[#This Row],[Account2]],Items[[#This Row],[Account3]],Items[[#This Row],[Account7]])&gt;0,Items[[#This Row],[Sort]],"")</f>
        <v/>
      </c>
      <c r="AL218" s="70" t="str">
        <f ca="1">IF(LEN(Items[[#This Row],[Count]])&gt;0,IFERROR(INDEX(Calcs[Counter],MATCH(Items[[#This Row],[Line]],Calcs[Line],0)),""),"")</f>
        <v/>
      </c>
      <c r="AM218" s="156" t="str">
        <f ca="1">IFERROR(Letter&amp;TEXT((Items[[#This Row],[Count]]-1)*Incr+BeginLine,"0000"),"")</f>
        <v/>
      </c>
      <c r="AN218" s="7" t="str">
        <f>IF(ISNA(MATCH(LEFT(Items[[#This Row],[Raw Item]],5)&amp;"-"&amp;RIGHT(Items[[#This Row],[Raw Item]],4),Pay.Item.Listing[Pay Item],0)),"",LEFT(Items[[#This Row],[Raw Item]],5)&amp;"-"&amp;RIGHT(Items[[#This Row],[Raw Item]],4))</f>
        <v/>
      </c>
    </row>
    <row r="219" spans="1:40" x14ac:dyDescent="0.15">
      <c r="A219" s="7" t="str">
        <f ca="1">IFERROR(RANK(Items[[#This Row],[Sort]],OFFSET(Items[Sort],0,0,ROW(Proposed[])-ROW(Items[])+ROWS(Proposed[]),1),1),"")</f>
        <v/>
      </c>
      <c r="B219" s="7" t="str">
        <f>IF(LEN(Items[[#This Row],[Item]])&gt;0,Items[[#This Row],[Raw Item]]+COUNTIF(AN$4:AN219,AN219)/100,"")</f>
        <v/>
      </c>
      <c r="C219" s="7">
        <f>IFERROR(VALUE(LEFT(VALUE(SUBSTITUTE(Items[[#This Row],[Pay Item]],"-",""))*100000000,9)),0)</f>
        <v>0</v>
      </c>
      <c r="D219" s="8"/>
      <c r="E219" s="127"/>
      <c r="F219" s="123" t="str">
        <f>IFERROR(SUBSTITUTE(VLOOKUP(Items[[#This Row],[Item]],Pay.Item.Listing[],2+2*(Units&lt;&gt;"Metric"),0),"{","&lt;"),"&lt;&lt; Pay Item not found &gt;&gt;")</f>
        <v>&lt;&lt; Pay Item not found &gt;&gt;</v>
      </c>
      <c r="G219" s="70" t="str">
        <f>IFERROR(VLOOKUP(Items[[#This Row],[Item]],Pay.Item.Listing[],3+2*(Units&lt;&gt;"Metric"),0),"–")</f>
        <v>–</v>
      </c>
      <c r="H219" s="70" t="str">
        <f>IFERROR(VLOOKUP(Items[[#This Row],[Item]],Pay.Item.Listing[],6,0),"–")</f>
        <v>–</v>
      </c>
      <c r="I219" s="70" t="str">
        <f>IFERROR(VLOOKUP(Items[[#This Row],[Item]],Pay.Item.Listing[],7,0),"–")</f>
        <v>–</v>
      </c>
      <c r="J219" s="71"/>
      <c r="K219" s="69"/>
      <c r="L219" s="69"/>
      <c r="M219" s="69"/>
      <c r="N219" s="69"/>
      <c r="O219" s="69"/>
      <c r="P219" s="69"/>
      <c r="Q219" s="69"/>
      <c r="R219" s="69"/>
      <c r="S219" s="69"/>
      <c r="T219" s="69"/>
      <c r="U219" s="69"/>
      <c r="V219" s="69"/>
      <c r="W219" s="69"/>
      <c r="X219" s="72">
        <f>IF(LEN(Items[[#This Row],[Item]])&gt;0,IF(Items[[#This Row],[Unit]]="LPSM",1,SUM(Items[[#This Row],[Col_1]:[Col_13]])),0)</f>
        <v>0</v>
      </c>
      <c r="Y219" s="190">
        <f>MAX(Items[[#This Row],[Quantity]]-SUM(Items[[#This Row],[Account2]]:Items[[#This Row],[Account7]]),0)</f>
        <v>0</v>
      </c>
      <c r="Z219" s="61"/>
      <c r="AA219" s="61"/>
      <c r="AB219" s="61"/>
      <c r="AC219" s="61"/>
      <c r="AD219" s="61"/>
      <c r="AE219" s="61"/>
      <c r="AF219" s="73"/>
      <c r="AG219" s="71"/>
      <c r="AH219" s="74"/>
      <c r="AI219" s="59"/>
      <c r="AJ219" s="190" t="str">
        <f ca="1">IFERROR(RANK(Items[[#This Row],[EstSort]],OFFSET(Items[EstSort],0,0,ROW(Proposed[])-ROW(Items[])+ROWS(Proposed[]),1),1),"")</f>
        <v/>
      </c>
      <c r="AK219" s="190" t="str">
        <f ca="1">IF(CHOOSE(MATCH(Account,Accounts,0),Items[[#This Row],[Count]],Items[[#This Row],[Account1]],Items[[#This Row],[Account2]],Items[[#This Row],[Account3]],Items[[#This Row],[Account7]])&gt;0,Items[[#This Row],[Sort]],"")</f>
        <v/>
      </c>
      <c r="AL219" s="70" t="str">
        <f ca="1">IF(LEN(Items[[#This Row],[Count]])&gt;0,IFERROR(INDEX(Calcs[Counter],MATCH(Items[[#This Row],[Line]],Calcs[Line],0)),""),"")</f>
        <v/>
      </c>
      <c r="AM219" s="156" t="str">
        <f ca="1">IFERROR(Letter&amp;TEXT((Items[[#This Row],[Count]]-1)*Incr+BeginLine,"0000"),"")</f>
        <v/>
      </c>
      <c r="AN219" s="7" t="str">
        <f>IF(ISNA(MATCH(LEFT(Items[[#This Row],[Raw Item]],5)&amp;"-"&amp;RIGHT(Items[[#This Row],[Raw Item]],4),Pay.Item.Listing[Pay Item],0)),"",LEFT(Items[[#This Row],[Raw Item]],5)&amp;"-"&amp;RIGHT(Items[[#This Row],[Raw Item]],4))</f>
        <v/>
      </c>
    </row>
    <row r="220" spans="1:40" x14ac:dyDescent="0.15">
      <c r="A220" s="7" t="str">
        <f ca="1">IFERROR(RANK(Items[[#This Row],[Sort]],OFFSET(Items[Sort],0,0,ROW(Proposed[])-ROW(Items[])+ROWS(Proposed[]),1),1),"")</f>
        <v/>
      </c>
      <c r="B220" s="7" t="str">
        <f>IF(LEN(Items[[#This Row],[Item]])&gt;0,Items[[#This Row],[Raw Item]]+COUNTIF(AN$4:AN220,AN220)/100,"")</f>
        <v/>
      </c>
      <c r="C220" s="7">
        <f>IFERROR(VALUE(LEFT(VALUE(SUBSTITUTE(Items[[#This Row],[Pay Item]],"-",""))*100000000,9)),0)</f>
        <v>0</v>
      </c>
      <c r="D220" s="8"/>
      <c r="E220" s="127"/>
      <c r="F220" s="123" t="str">
        <f>IFERROR(SUBSTITUTE(VLOOKUP(Items[[#This Row],[Item]],Pay.Item.Listing[],2+2*(Units&lt;&gt;"Metric"),0),"{","&lt;"),"&lt;&lt; Pay Item not found &gt;&gt;")</f>
        <v>&lt;&lt; Pay Item not found &gt;&gt;</v>
      </c>
      <c r="G220" s="70" t="str">
        <f>IFERROR(VLOOKUP(Items[[#This Row],[Item]],Pay.Item.Listing[],3+2*(Units&lt;&gt;"Metric"),0),"–")</f>
        <v>–</v>
      </c>
      <c r="H220" s="70" t="str">
        <f>IFERROR(VLOOKUP(Items[[#This Row],[Item]],Pay.Item.Listing[],6,0),"–")</f>
        <v>–</v>
      </c>
      <c r="I220" s="70" t="str">
        <f>IFERROR(VLOOKUP(Items[[#This Row],[Item]],Pay.Item.Listing[],7,0),"–")</f>
        <v>–</v>
      </c>
      <c r="J220" s="71"/>
      <c r="K220" s="69"/>
      <c r="L220" s="69"/>
      <c r="M220" s="69"/>
      <c r="N220" s="69"/>
      <c r="O220" s="69"/>
      <c r="P220" s="69"/>
      <c r="Q220" s="69"/>
      <c r="R220" s="69"/>
      <c r="S220" s="69"/>
      <c r="T220" s="69"/>
      <c r="U220" s="69"/>
      <c r="V220" s="69"/>
      <c r="W220" s="69"/>
      <c r="X220" s="72">
        <f>IF(LEN(Items[[#This Row],[Item]])&gt;0,IF(Items[[#This Row],[Unit]]="LPSM",1,SUM(Items[[#This Row],[Col_1]:[Col_13]])),0)</f>
        <v>0</v>
      </c>
      <c r="Y220" s="190">
        <f>MAX(Items[[#This Row],[Quantity]]-SUM(Items[[#This Row],[Account2]]:Items[[#This Row],[Account7]]),0)</f>
        <v>0</v>
      </c>
      <c r="Z220" s="61"/>
      <c r="AA220" s="61"/>
      <c r="AB220" s="61"/>
      <c r="AC220" s="61"/>
      <c r="AD220" s="61"/>
      <c r="AE220" s="61"/>
      <c r="AF220" s="73"/>
      <c r="AG220" s="71"/>
      <c r="AH220" s="74"/>
      <c r="AI220" s="59"/>
      <c r="AJ220" s="190" t="str">
        <f ca="1">IFERROR(RANK(Items[[#This Row],[EstSort]],OFFSET(Items[EstSort],0,0,ROW(Proposed[])-ROW(Items[])+ROWS(Proposed[]),1),1),"")</f>
        <v/>
      </c>
      <c r="AK220" s="190" t="str">
        <f ca="1">IF(CHOOSE(MATCH(Account,Accounts,0),Items[[#This Row],[Count]],Items[[#This Row],[Account1]],Items[[#This Row],[Account2]],Items[[#This Row],[Account3]],Items[[#This Row],[Account7]])&gt;0,Items[[#This Row],[Sort]],"")</f>
        <v/>
      </c>
      <c r="AL220" s="70" t="str">
        <f ca="1">IF(LEN(Items[[#This Row],[Count]])&gt;0,IFERROR(INDEX(Calcs[Counter],MATCH(Items[[#This Row],[Line]],Calcs[Line],0)),""),"")</f>
        <v/>
      </c>
      <c r="AM220" s="156" t="str">
        <f ca="1">IFERROR(Letter&amp;TEXT((Items[[#This Row],[Count]]-1)*Incr+BeginLine,"0000"),"")</f>
        <v/>
      </c>
      <c r="AN220" s="7" t="str">
        <f>IF(ISNA(MATCH(LEFT(Items[[#This Row],[Raw Item]],5)&amp;"-"&amp;RIGHT(Items[[#This Row],[Raw Item]],4),Pay.Item.Listing[Pay Item],0)),"",LEFT(Items[[#This Row],[Raw Item]],5)&amp;"-"&amp;RIGHT(Items[[#This Row],[Raw Item]],4))</f>
        <v/>
      </c>
    </row>
    <row r="221" spans="1:40" x14ac:dyDescent="0.15">
      <c r="A221" s="7" t="str">
        <f ca="1">IFERROR(RANK(Items[[#This Row],[Sort]],OFFSET(Items[Sort],0,0,ROW(Proposed[])-ROW(Items[])+ROWS(Proposed[]),1),1),"")</f>
        <v/>
      </c>
      <c r="B221" s="7" t="str">
        <f>IF(LEN(Items[[#This Row],[Item]])&gt;0,Items[[#This Row],[Raw Item]]+COUNTIF(AN$4:AN221,AN221)/100,"")</f>
        <v/>
      </c>
      <c r="C221" s="7">
        <f>IFERROR(VALUE(LEFT(VALUE(SUBSTITUTE(Items[[#This Row],[Pay Item]],"-",""))*100000000,9)),0)</f>
        <v>0</v>
      </c>
      <c r="D221" s="8"/>
      <c r="E221" s="127"/>
      <c r="F221" s="123" t="str">
        <f>IFERROR(SUBSTITUTE(VLOOKUP(Items[[#This Row],[Item]],Pay.Item.Listing[],2+2*(Units&lt;&gt;"Metric"),0),"{","&lt;"),"&lt;&lt; Pay Item not found &gt;&gt;")</f>
        <v>&lt;&lt; Pay Item not found &gt;&gt;</v>
      </c>
      <c r="G221" s="70" t="str">
        <f>IFERROR(VLOOKUP(Items[[#This Row],[Item]],Pay.Item.Listing[],3+2*(Units&lt;&gt;"Metric"),0),"–")</f>
        <v>–</v>
      </c>
      <c r="H221" s="70" t="str">
        <f>IFERROR(VLOOKUP(Items[[#This Row],[Item]],Pay.Item.Listing[],6,0),"–")</f>
        <v>–</v>
      </c>
      <c r="I221" s="70" t="str">
        <f>IFERROR(VLOOKUP(Items[[#This Row],[Item]],Pay.Item.Listing[],7,0),"–")</f>
        <v>–</v>
      </c>
      <c r="J221" s="71"/>
      <c r="K221" s="69"/>
      <c r="L221" s="69"/>
      <c r="M221" s="69"/>
      <c r="N221" s="69"/>
      <c r="O221" s="69"/>
      <c r="P221" s="69"/>
      <c r="Q221" s="69"/>
      <c r="R221" s="69"/>
      <c r="S221" s="69"/>
      <c r="T221" s="69"/>
      <c r="U221" s="69"/>
      <c r="V221" s="69"/>
      <c r="W221" s="69"/>
      <c r="X221" s="72">
        <f>IF(LEN(Items[[#This Row],[Item]])&gt;0,IF(Items[[#This Row],[Unit]]="LPSM",1,SUM(Items[[#This Row],[Col_1]:[Col_13]])),0)</f>
        <v>0</v>
      </c>
      <c r="Y221" s="190">
        <f>MAX(Items[[#This Row],[Quantity]]-SUM(Items[[#This Row],[Account2]]:Items[[#This Row],[Account7]]),0)</f>
        <v>0</v>
      </c>
      <c r="Z221" s="61"/>
      <c r="AA221" s="61"/>
      <c r="AB221" s="61"/>
      <c r="AC221" s="61"/>
      <c r="AD221" s="61"/>
      <c r="AE221" s="61"/>
      <c r="AF221" s="73"/>
      <c r="AG221" s="71"/>
      <c r="AH221" s="74"/>
      <c r="AI221" s="59"/>
      <c r="AJ221" s="190" t="str">
        <f ca="1">IFERROR(RANK(Items[[#This Row],[EstSort]],OFFSET(Items[EstSort],0,0,ROW(Proposed[])-ROW(Items[])+ROWS(Proposed[]),1),1),"")</f>
        <v/>
      </c>
      <c r="AK221" s="190" t="str">
        <f ca="1">IF(CHOOSE(MATCH(Account,Accounts,0),Items[[#This Row],[Count]],Items[[#This Row],[Account1]],Items[[#This Row],[Account2]],Items[[#This Row],[Account3]],Items[[#This Row],[Account7]])&gt;0,Items[[#This Row],[Sort]],"")</f>
        <v/>
      </c>
      <c r="AL221" s="70" t="str">
        <f ca="1">IF(LEN(Items[[#This Row],[Count]])&gt;0,IFERROR(INDEX(Calcs[Counter],MATCH(Items[[#This Row],[Line]],Calcs[Line],0)),""),"")</f>
        <v/>
      </c>
      <c r="AM221" s="156" t="str">
        <f ca="1">IFERROR(Letter&amp;TEXT((Items[[#This Row],[Count]]-1)*Incr+BeginLine,"0000"),"")</f>
        <v/>
      </c>
      <c r="AN221" s="7" t="str">
        <f>IF(ISNA(MATCH(LEFT(Items[[#This Row],[Raw Item]],5)&amp;"-"&amp;RIGHT(Items[[#This Row],[Raw Item]],4),Pay.Item.Listing[Pay Item],0)),"",LEFT(Items[[#This Row],[Raw Item]],5)&amp;"-"&amp;RIGHT(Items[[#This Row],[Raw Item]],4))</f>
        <v/>
      </c>
    </row>
    <row r="222" spans="1:40" x14ac:dyDescent="0.15">
      <c r="A222" s="7" t="str">
        <f ca="1">IFERROR(RANK(Items[[#This Row],[Sort]],OFFSET(Items[Sort],0,0,ROW(Proposed[])-ROW(Items[])+ROWS(Proposed[]),1),1),"")</f>
        <v/>
      </c>
      <c r="B222" s="7" t="str">
        <f>IF(LEN(Items[[#This Row],[Item]])&gt;0,Items[[#This Row],[Raw Item]]+COUNTIF(AN$4:AN222,AN222)/100,"")</f>
        <v/>
      </c>
      <c r="C222" s="7">
        <f>IFERROR(VALUE(LEFT(VALUE(SUBSTITUTE(Items[[#This Row],[Pay Item]],"-",""))*100000000,9)),0)</f>
        <v>0</v>
      </c>
      <c r="D222" s="8"/>
      <c r="E222" s="127"/>
      <c r="F222" s="123" t="str">
        <f>IFERROR(SUBSTITUTE(VLOOKUP(Items[[#This Row],[Item]],Pay.Item.Listing[],2+2*(Units&lt;&gt;"Metric"),0),"{","&lt;"),"&lt;&lt; Pay Item not found &gt;&gt;")</f>
        <v>&lt;&lt; Pay Item not found &gt;&gt;</v>
      </c>
      <c r="G222" s="70" t="str">
        <f>IFERROR(VLOOKUP(Items[[#This Row],[Item]],Pay.Item.Listing[],3+2*(Units&lt;&gt;"Metric"),0),"–")</f>
        <v>–</v>
      </c>
      <c r="H222" s="70" t="str">
        <f>IFERROR(VLOOKUP(Items[[#This Row],[Item]],Pay.Item.Listing[],6,0),"–")</f>
        <v>–</v>
      </c>
      <c r="I222" s="70" t="str">
        <f>IFERROR(VLOOKUP(Items[[#This Row],[Item]],Pay.Item.Listing[],7,0),"–")</f>
        <v>–</v>
      </c>
      <c r="J222" s="71"/>
      <c r="K222" s="69"/>
      <c r="L222" s="69"/>
      <c r="M222" s="69"/>
      <c r="N222" s="69"/>
      <c r="O222" s="69"/>
      <c r="P222" s="69"/>
      <c r="Q222" s="69"/>
      <c r="R222" s="69"/>
      <c r="S222" s="69"/>
      <c r="T222" s="69"/>
      <c r="U222" s="69"/>
      <c r="V222" s="69"/>
      <c r="W222" s="69"/>
      <c r="X222" s="72">
        <f>IF(LEN(Items[[#This Row],[Item]])&gt;0,IF(Items[[#This Row],[Unit]]="LPSM",1,SUM(Items[[#This Row],[Col_1]:[Col_13]])),0)</f>
        <v>0</v>
      </c>
      <c r="Y222" s="190">
        <f>MAX(Items[[#This Row],[Quantity]]-SUM(Items[[#This Row],[Account2]]:Items[[#This Row],[Account7]]),0)</f>
        <v>0</v>
      </c>
      <c r="Z222" s="61"/>
      <c r="AA222" s="61"/>
      <c r="AB222" s="61"/>
      <c r="AC222" s="61"/>
      <c r="AD222" s="61"/>
      <c r="AE222" s="61"/>
      <c r="AF222" s="73"/>
      <c r="AG222" s="71"/>
      <c r="AH222" s="74"/>
      <c r="AI222" s="59"/>
      <c r="AJ222" s="190" t="str">
        <f ca="1">IFERROR(RANK(Items[[#This Row],[EstSort]],OFFSET(Items[EstSort],0,0,ROW(Proposed[])-ROW(Items[])+ROWS(Proposed[]),1),1),"")</f>
        <v/>
      </c>
      <c r="AK222" s="190" t="str">
        <f ca="1">IF(CHOOSE(MATCH(Account,Accounts,0),Items[[#This Row],[Count]],Items[[#This Row],[Account1]],Items[[#This Row],[Account2]],Items[[#This Row],[Account3]],Items[[#This Row],[Account7]])&gt;0,Items[[#This Row],[Sort]],"")</f>
        <v/>
      </c>
      <c r="AL222" s="70" t="str">
        <f ca="1">IF(LEN(Items[[#This Row],[Count]])&gt;0,IFERROR(INDEX(Calcs[Counter],MATCH(Items[[#This Row],[Line]],Calcs[Line],0)),""),"")</f>
        <v/>
      </c>
      <c r="AM222" s="156" t="str">
        <f ca="1">IFERROR(Letter&amp;TEXT((Items[[#This Row],[Count]]-1)*Incr+BeginLine,"0000"),"")</f>
        <v/>
      </c>
      <c r="AN222" s="7" t="str">
        <f>IF(ISNA(MATCH(LEFT(Items[[#This Row],[Raw Item]],5)&amp;"-"&amp;RIGHT(Items[[#This Row],[Raw Item]],4),Pay.Item.Listing[Pay Item],0)),"",LEFT(Items[[#This Row],[Raw Item]],5)&amp;"-"&amp;RIGHT(Items[[#This Row],[Raw Item]],4))</f>
        <v/>
      </c>
    </row>
    <row r="223" spans="1:40" x14ac:dyDescent="0.15">
      <c r="A223" s="7" t="str">
        <f ca="1">IFERROR(RANK(Items[[#This Row],[Sort]],OFFSET(Items[Sort],0,0,ROW(Proposed[])-ROW(Items[])+ROWS(Proposed[]),1),1),"")</f>
        <v/>
      </c>
      <c r="B223" s="7" t="str">
        <f>IF(LEN(Items[[#This Row],[Item]])&gt;0,Items[[#This Row],[Raw Item]]+COUNTIF(AN$4:AN223,AN223)/100,"")</f>
        <v/>
      </c>
      <c r="C223" s="7">
        <f>IFERROR(VALUE(LEFT(VALUE(SUBSTITUTE(Items[[#This Row],[Pay Item]],"-",""))*100000000,9)),0)</f>
        <v>0</v>
      </c>
      <c r="D223" s="8"/>
      <c r="E223" s="127"/>
      <c r="F223" s="123" t="str">
        <f>IFERROR(SUBSTITUTE(VLOOKUP(Items[[#This Row],[Item]],Pay.Item.Listing[],2+2*(Units&lt;&gt;"Metric"),0),"{","&lt;"),"&lt;&lt; Pay Item not found &gt;&gt;")</f>
        <v>&lt;&lt; Pay Item not found &gt;&gt;</v>
      </c>
      <c r="G223" s="70" t="str">
        <f>IFERROR(VLOOKUP(Items[[#This Row],[Item]],Pay.Item.Listing[],3+2*(Units&lt;&gt;"Metric"),0),"–")</f>
        <v>–</v>
      </c>
      <c r="H223" s="70" t="str">
        <f>IFERROR(VLOOKUP(Items[[#This Row],[Item]],Pay.Item.Listing[],6,0),"–")</f>
        <v>–</v>
      </c>
      <c r="I223" s="70" t="str">
        <f>IFERROR(VLOOKUP(Items[[#This Row],[Item]],Pay.Item.Listing[],7,0),"–")</f>
        <v>–</v>
      </c>
      <c r="J223" s="71"/>
      <c r="K223" s="69"/>
      <c r="L223" s="69"/>
      <c r="M223" s="69"/>
      <c r="N223" s="69"/>
      <c r="O223" s="69"/>
      <c r="P223" s="69"/>
      <c r="Q223" s="69"/>
      <c r="R223" s="69"/>
      <c r="S223" s="69"/>
      <c r="T223" s="69"/>
      <c r="U223" s="69"/>
      <c r="V223" s="69"/>
      <c r="W223" s="69"/>
      <c r="X223" s="72">
        <f>IF(LEN(Items[[#This Row],[Item]])&gt;0,IF(Items[[#This Row],[Unit]]="LPSM",1,SUM(Items[[#This Row],[Col_1]:[Col_13]])),0)</f>
        <v>0</v>
      </c>
      <c r="Y223" s="190">
        <f>MAX(Items[[#This Row],[Quantity]]-SUM(Items[[#This Row],[Account2]]:Items[[#This Row],[Account7]]),0)</f>
        <v>0</v>
      </c>
      <c r="Z223" s="61"/>
      <c r="AA223" s="61"/>
      <c r="AB223" s="61"/>
      <c r="AC223" s="61"/>
      <c r="AD223" s="61"/>
      <c r="AE223" s="61"/>
      <c r="AF223" s="73"/>
      <c r="AG223" s="71"/>
      <c r="AH223" s="74"/>
      <c r="AI223" s="59"/>
      <c r="AJ223" s="190" t="str">
        <f ca="1">IFERROR(RANK(Items[[#This Row],[EstSort]],OFFSET(Items[EstSort],0,0,ROW(Proposed[])-ROW(Items[])+ROWS(Proposed[]),1),1),"")</f>
        <v/>
      </c>
      <c r="AK223" s="190" t="str">
        <f ca="1">IF(CHOOSE(MATCH(Account,Accounts,0),Items[[#This Row],[Count]],Items[[#This Row],[Account1]],Items[[#This Row],[Account2]],Items[[#This Row],[Account3]],Items[[#This Row],[Account7]])&gt;0,Items[[#This Row],[Sort]],"")</f>
        <v/>
      </c>
      <c r="AL223" s="70" t="str">
        <f ca="1">IF(LEN(Items[[#This Row],[Count]])&gt;0,IFERROR(INDEX(Calcs[Counter],MATCH(Items[[#This Row],[Line]],Calcs[Line],0)),""),"")</f>
        <v/>
      </c>
      <c r="AM223" s="156" t="str">
        <f ca="1">IFERROR(Letter&amp;TEXT((Items[[#This Row],[Count]]-1)*Incr+BeginLine,"0000"),"")</f>
        <v/>
      </c>
      <c r="AN223" s="7" t="str">
        <f>IF(ISNA(MATCH(LEFT(Items[[#This Row],[Raw Item]],5)&amp;"-"&amp;RIGHT(Items[[#This Row],[Raw Item]],4),Pay.Item.Listing[Pay Item],0)),"",LEFT(Items[[#This Row],[Raw Item]],5)&amp;"-"&amp;RIGHT(Items[[#This Row],[Raw Item]],4))</f>
        <v/>
      </c>
    </row>
    <row r="224" spans="1:40" x14ac:dyDescent="0.15">
      <c r="A224" s="7" t="str">
        <f ca="1">IFERROR(RANK(Items[[#This Row],[Sort]],OFFSET(Items[Sort],0,0,ROW(Proposed[])-ROW(Items[])+ROWS(Proposed[]),1),1),"")</f>
        <v/>
      </c>
      <c r="B224" s="7" t="str">
        <f>IF(LEN(Items[[#This Row],[Item]])&gt;0,Items[[#This Row],[Raw Item]]+COUNTIF(AN$4:AN224,AN224)/100,"")</f>
        <v/>
      </c>
      <c r="C224" s="7">
        <f>IFERROR(VALUE(LEFT(VALUE(SUBSTITUTE(Items[[#This Row],[Pay Item]],"-",""))*100000000,9)),0)</f>
        <v>0</v>
      </c>
      <c r="D224" s="8"/>
      <c r="E224" s="127"/>
      <c r="F224" s="123" t="str">
        <f>IFERROR(SUBSTITUTE(VLOOKUP(Items[[#This Row],[Item]],Pay.Item.Listing[],2+2*(Units&lt;&gt;"Metric"),0),"{","&lt;"),"&lt;&lt; Pay Item not found &gt;&gt;")</f>
        <v>&lt;&lt; Pay Item not found &gt;&gt;</v>
      </c>
      <c r="G224" s="70" t="str">
        <f>IFERROR(VLOOKUP(Items[[#This Row],[Item]],Pay.Item.Listing[],3+2*(Units&lt;&gt;"Metric"),0),"–")</f>
        <v>–</v>
      </c>
      <c r="H224" s="70" t="str">
        <f>IFERROR(VLOOKUP(Items[[#This Row],[Item]],Pay.Item.Listing[],6,0),"–")</f>
        <v>–</v>
      </c>
      <c r="I224" s="70" t="str">
        <f>IFERROR(VLOOKUP(Items[[#This Row],[Item]],Pay.Item.Listing[],7,0),"–")</f>
        <v>–</v>
      </c>
      <c r="J224" s="71"/>
      <c r="K224" s="69"/>
      <c r="L224" s="69"/>
      <c r="M224" s="69"/>
      <c r="N224" s="69"/>
      <c r="O224" s="69"/>
      <c r="P224" s="69"/>
      <c r="Q224" s="69"/>
      <c r="R224" s="69"/>
      <c r="S224" s="69"/>
      <c r="T224" s="69"/>
      <c r="U224" s="69"/>
      <c r="V224" s="69"/>
      <c r="W224" s="69"/>
      <c r="X224" s="72">
        <f>IF(LEN(Items[[#This Row],[Item]])&gt;0,IF(Items[[#This Row],[Unit]]="LPSM",1,SUM(Items[[#This Row],[Col_1]:[Col_13]])),0)</f>
        <v>0</v>
      </c>
      <c r="Y224" s="190">
        <f>MAX(Items[[#This Row],[Quantity]]-SUM(Items[[#This Row],[Account2]]:Items[[#This Row],[Account7]]),0)</f>
        <v>0</v>
      </c>
      <c r="Z224" s="61"/>
      <c r="AA224" s="61"/>
      <c r="AB224" s="61"/>
      <c r="AC224" s="61"/>
      <c r="AD224" s="61"/>
      <c r="AE224" s="61"/>
      <c r="AF224" s="73"/>
      <c r="AG224" s="71"/>
      <c r="AH224" s="74"/>
      <c r="AI224" s="59"/>
      <c r="AJ224" s="190" t="str">
        <f ca="1">IFERROR(RANK(Items[[#This Row],[EstSort]],OFFSET(Items[EstSort],0,0,ROW(Proposed[])-ROW(Items[])+ROWS(Proposed[]),1),1),"")</f>
        <v/>
      </c>
      <c r="AK224" s="190" t="str">
        <f ca="1">IF(CHOOSE(MATCH(Account,Accounts,0),Items[[#This Row],[Count]],Items[[#This Row],[Account1]],Items[[#This Row],[Account2]],Items[[#This Row],[Account3]],Items[[#This Row],[Account7]])&gt;0,Items[[#This Row],[Sort]],"")</f>
        <v/>
      </c>
      <c r="AL224" s="70" t="str">
        <f ca="1">IF(LEN(Items[[#This Row],[Count]])&gt;0,IFERROR(INDEX(Calcs[Counter],MATCH(Items[[#This Row],[Line]],Calcs[Line],0)),""),"")</f>
        <v/>
      </c>
      <c r="AM224" s="156" t="str">
        <f ca="1">IFERROR(Letter&amp;TEXT((Items[[#This Row],[Count]]-1)*Incr+BeginLine,"0000"),"")</f>
        <v/>
      </c>
      <c r="AN224" s="7" t="str">
        <f>IF(ISNA(MATCH(LEFT(Items[[#This Row],[Raw Item]],5)&amp;"-"&amp;RIGHT(Items[[#This Row],[Raw Item]],4),Pay.Item.Listing[Pay Item],0)),"",LEFT(Items[[#This Row],[Raw Item]],5)&amp;"-"&amp;RIGHT(Items[[#This Row],[Raw Item]],4))</f>
        <v/>
      </c>
    </row>
    <row r="225" spans="1:40" x14ac:dyDescent="0.15">
      <c r="A225" s="7" t="str">
        <f ca="1">IFERROR(RANK(Items[[#This Row],[Sort]],OFFSET(Items[Sort],0,0,ROW(Proposed[])-ROW(Items[])+ROWS(Proposed[]),1),1),"")</f>
        <v/>
      </c>
      <c r="B225" s="7" t="str">
        <f>IF(LEN(Items[[#This Row],[Item]])&gt;0,Items[[#This Row],[Raw Item]]+COUNTIF(AN$4:AN225,AN225)/100,"")</f>
        <v/>
      </c>
      <c r="C225" s="7">
        <f>IFERROR(VALUE(LEFT(VALUE(SUBSTITUTE(Items[[#This Row],[Pay Item]],"-",""))*100000000,9)),0)</f>
        <v>0</v>
      </c>
      <c r="D225" s="8"/>
      <c r="E225" s="127"/>
      <c r="F225" s="123" t="str">
        <f>IFERROR(SUBSTITUTE(VLOOKUP(Items[[#This Row],[Item]],Pay.Item.Listing[],2+2*(Units&lt;&gt;"Metric"),0),"{","&lt;"),"&lt;&lt; Pay Item not found &gt;&gt;")</f>
        <v>&lt;&lt; Pay Item not found &gt;&gt;</v>
      </c>
      <c r="G225" s="70" t="str">
        <f>IFERROR(VLOOKUP(Items[[#This Row],[Item]],Pay.Item.Listing[],3+2*(Units&lt;&gt;"Metric"),0),"–")</f>
        <v>–</v>
      </c>
      <c r="H225" s="70" t="str">
        <f>IFERROR(VLOOKUP(Items[[#This Row],[Item]],Pay.Item.Listing[],6,0),"–")</f>
        <v>–</v>
      </c>
      <c r="I225" s="70" t="str">
        <f>IFERROR(VLOOKUP(Items[[#This Row],[Item]],Pay.Item.Listing[],7,0),"–")</f>
        <v>–</v>
      </c>
      <c r="J225" s="71"/>
      <c r="K225" s="69"/>
      <c r="L225" s="69"/>
      <c r="M225" s="69"/>
      <c r="N225" s="69"/>
      <c r="O225" s="69"/>
      <c r="P225" s="69"/>
      <c r="Q225" s="69"/>
      <c r="R225" s="69"/>
      <c r="S225" s="69"/>
      <c r="T225" s="69"/>
      <c r="U225" s="69"/>
      <c r="V225" s="69"/>
      <c r="W225" s="69"/>
      <c r="X225" s="72">
        <f>IF(LEN(Items[[#This Row],[Item]])&gt;0,IF(Items[[#This Row],[Unit]]="LPSM",1,SUM(Items[[#This Row],[Col_1]:[Col_13]])),0)</f>
        <v>0</v>
      </c>
      <c r="Y225" s="190">
        <f>MAX(Items[[#This Row],[Quantity]]-SUM(Items[[#This Row],[Account2]]:Items[[#This Row],[Account7]]),0)</f>
        <v>0</v>
      </c>
      <c r="Z225" s="61"/>
      <c r="AA225" s="61"/>
      <c r="AB225" s="61"/>
      <c r="AC225" s="61"/>
      <c r="AD225" s="61"/>
      <c r="AE225" s="61"/>
      <c r="AF225" s="73"/>
      <c r="AG225" s="71"/>
      <c r="AH225" s="74"/>
      <c r="AI225" s="59"/>
      <c r="AJ225" s="190" t="str">
        <f ca="1">IFERROR(RANK(Items[[#This Row],[EstSort]],OFFSET(Items[EstSort],0,0,ROW(Proposed[])-ROW(Items[])+ROWS(Proposed[]),1),1),"")</f>
        <v/>
      </c>
      <c r="AK225" s="190" t="str">
        <f ca="1">IF(CHOOSE(MATCH(Account,Accounts,0),Items[[#This Row],[Count]],Items[[#This Row],[Account1]],Items[[#This Row],[Account2]],Items[[#This Row],[Account3]],Items[[#This Row],[Account7]])&gt;0,Items[[#This Row],[Sort]],"")</f>
        <v/>
      </c>
      <c r="AL225" s="70" t="str">
        <f ca="1">IF(LEN(Items[[#This Row],[Count]])&gt;0,IFERROR(INDEX(Calcs[Counter],MATCH(Items[[#This Row],[Line]],Calcs[Line],0)),""),"")</f>
        <v/>
      </c>
      <c r="AM225" s="156" t="str">
        <f ca="1">IFERROR(Letter&amp;TEXT((Items[[#This Row],[Count]]-1)*Incr+BeginLine,"0000"),"")</f>
        <v/>
      </c>
      <c r="AN225" s="7" t="str">
        <f>IF(ISNA(MATCH(LEFT(Items[[#This Row],[Raw Item]],5)&amp;"-"&amp;RIGHT(Items[[#This Row],[Raw Item]],4),Pay.Item.Listing[Pay Item],0)),"",LEFT(Items[[#This Row],[Raw Item]],5)&amp;"-"&amp;RIGHT(Items[[#This Row],[Raw Item]],4))</f>
        <v/>
      </c>
    </row>
    <row r="226" spans="1:40" x14ac:dyDescent="0.15">
      <c r="A226" s="7" t="str">
        <f ca="1">IFERROR(RANK(Items[[#This Row],[Sort]],OFFSET(Items[Sort],0,0,ROW(Proposed[])-ROW(Items[])+ROWS(Proposed[]),1),1),"")</f>
        <v/>
      </c>
      <c r="B226" s="7" t="str">
        <f>IF(LEN(Items[[#This Row],[Item]])&gt;0,Items[[#This Row],[Raw Item]]+COUNTIF(AN$4:AN226,AN226)/100,"")</f>
        <v/>
      </c>
      <c r="C226" s="7">
        <f>IFERROR(VALUE(LEFT(VALUE(SUBSTITUTE(Items[[#This Row],[Pay Item]],"-",""))*100000000,9)),0)</f>
        <v>0</v>
      </c>
      <c r="D226" s="8"/>
      <c r="E226" s="127"/>
      <c r="F226" s="123" t="str">
        <f>IFERROR(SUBSTITUTE(VLOOKUP(Items[[#This Row],[Item]],Pay.Item.Listing[],2+2*(Units&lt;&gt;"Metric"),0),"{","&lt;"),"&lt;&lt; Pay Item not found &gt;&gt;")</f>
        <v>&lt;&lt; Pay Item not found &gt;&gt;</v>
      </c>
      <c r="G226" s="70" t="str">
        <f>IFERROR(VLOOKUP(Items[[#This Row],[Item]],Pay.Item.Listing[],3+2*(Units&lt;&gt;"Metric"),0),"–")</f>
        <v>–</v>
      </c>
      <c r="H226" s="70" t="str">
        <f>IFERROR(VLOOKUP(Items[[#This Row],[Item]],Pay.Item.Listing[],6,0),"–")</f>
        <v>–</v>
      </c>
      <c r="I226" s="70" t="str">
        <f>IFERROR(VLOOKUP(Items[[#This Row],[Item]],Pay.Item.Listing[],7,0),"–")</f>
        <v>–</v>
      </c>
      <c r="J226" s="71"/>
      <c r="K226" s="69"/>
      <c r="L226" s="69"/>
      <c r="M226" s="69"/>
      <c r="N226" s="69"/>
      <c r="O226" s="69"/>
      <c r="P226" s="69"/>
      <c r="Q226" s="69"/>
      <c r="R226" s="69"/>
      <c r="S226" s="69"/>
      <c r="T226" s="69"/>
      <c r="U226" s="69"/>
      <c r="V226" s="69"/>
      <c r="W226" s="69"/>
      <c r="X226" s="72">
        <f>IF(LEN(Items[[#This Row],[Item]])&gt;0,IF(Items[[#This Row],[Unit]]="LPSM",1,SUM(Items[[#This Row],[Col_1]:[Col_13]])),0)</f>
        <v>0</v>
      </c>
      <c r="Y226" s="190">
        <f>MAX(Items[[#This Row],[Quantity]]-SUM(Items[[#This Row],[Account2]]:Items[[#This Row],[Account7]]),0)</f>
        <v>0</v>
      </c>
      <c r="Z226" s="61"/>
      <c r="AA226" s="61"/>
      <c r="AB226" s="61"/>
      <c r="AC226" s="61"/>
      <c r="AD226" s="61"/>
      <c r="AE226" s="61"/>
      <c r="AF226" s="73"/>
      <c r="AG226" s="71"/>
      <c r="AH226" s="74"/>
      <c r="AI226" s="59"/>
      <c r="AJ226" s="190" t="str">
        <f ca="1">IFERROR(RANK(Items[[#This Row],[EstSort]],OFFSET(Items[EstSort],0,0,ROW(Proposed[])-ROW(Items[])+ROWS(Proposed[]),1),1),"")</f>
        <v/>
      </c>
      <c r="AK226" s="190" t="str">
        <f ca="1">IF(CHOOSE(MATCH(Account,Accounts,0),Items[[#This Row],[Count]],Items[[#This Row],[Account1]],Items[[#This Row],[Account2]],Items[[#This Row],[Account3]],Items[[#This Row],[Account7]])&gt;0,Items[[#This Row],[Sort]],"")</f>
        <v/>
      </c>
      <c r="AL226" s="70" t="str">
        <f ca="1">IF(LEN(Items[[#This Row],[Count]])&gt;0,IFERROR(INDEX(Calcs[Counter],MATCH(Items[[#This Row],[Line]],Calcs[Line],0)),""),"")</f>
        <v/>
      </c>
      <c r="AM226" s="156" t="str">
        <f ca="1">IFERROR(Letter&amp;TEXT((Items[[#This Row],[Count]]-1)*Incr+BeginLine,"0000"),"")</f>
        <v/>
      </c>
      <c r="AN226" s="7" t="str">
        <f>IF(ISNA(MATCH(LEFT(Items[[#This Row],[Raw Item]],5)&amp;"-"&amp;RIGHT(Items[[#This Row],[Raw Item]],4),Pay.Item.Listing[Pay Item],0)),"",LEFT(Items[[#This Row],[Raw Item]],5)&amp;"-"&amp;RIGHT(Items[[#This Row],[Raw Item]],4))</f>
        <v/>
      </c>
    </row>
    <row r="227" spans="1:40" x14ac:dyDescent="0.15">
      <c r="A227" s="7" t="str">
        <f ca="1">IFERROR(RANK(Items[[#This Row],[Sort]],OFFSET(Items[Sort],0,0,ROW(Proposed[])-ROW(Items[])+ROWS(Proposed[]),1),1),"")</f>
        <v/>
      </c>
      <c r="B227" s="7" t="str">
        <f>IF(LEN(Items[[#This Row],[Item]])&gt;0,Items[[#This Row],[Raw Item]]+COUNTIF(AN$4:AN227,AN227)/100,"")</f>
        <v/>
      </c>
      <c r="C227" s="7">
        <f>IFERROR(VALUE(LEFT(VALUE(SUBSTITUTE(Items[[#This Row],[Pay Item]],"-",""))*100000000,9)),0)</f>
        <v>0</v>
      </c>
      <c r="D227" s="8"/>
      <c r="E227" s="127"/>
      <c r="F227" s="123" t="str">
        <f>IFERROR(SUBSTITUTE(VLOOKUP(Items[[#This Row],[Item]],Pay.Item.Listing[],2+2*(Units&lt;&gt;"Metric"),0),"{","&lt;"),"&lt;&lt; Pay Item not found &gt;&gt;")</f>
        <v>&lt;&lt; Pay Item not found &gt;&gt;</v>
      </c>
      <c r="G227" s="70" t="str">
        <f>IFERROR(VLOOKUP(Items[[#This Row],[Item]],Pay.Item.Listing[],3+2*(Units&lt;&gt;"Metric"),0),"–")</f>
        <v>–</v>
      </c>
      <c r="H227" s="70" t="str">
        <f>IFERROR(VLOOKUP(Items[[#This Row],[Item]],Pay.Item.Listing[],6,0),"–")</f>
        <v>–</v>
      </c>
      <c r="I227" s="70" t="str">
        <f>IFERROR(VLOOKUP(Items[[#This Row],[Item]],Pay.Item.Listing[],7,0),"–")</f>
        <v>–</v>
      </c>
      <c r="J227" s="71"/>
      <c r="K227" s="69"/>
      <c r="L227" s="69"/>
      <c r="M227" s="69"/>
      <c r="N227" s="69"/>
      <c r="O227" s="69"/>
      <c r="P227" s="69"/>
      <c r="Q227" s="69"/>
      <c r="R227" s="69"/>
      <c r="S227" s="69"/>
      <c r="T227" s="69"/>
      <c r="U227" s="69"/>
      <c r="V227" s="69"/>
      <c r="W227" s="69"/>
      <c r="X227" s="72">
        <f>IF(LEN(Items[[#This Row],[Item]])&gt;0,IF(Items[[#This Row],[Unit]]="LPSM",1,SUM(Items[[#This Row],[Col_1]:[Col_13]])),0)</f>
        <v>0</v>
      </c>
      <c r="Y227" s="190">
        <f>MAX(Items[[#This Row],[Quantity]]-SUM(Items[[#This Row],[Account2]]:Items[[#This Row],[Account7]]),0)</f>
        <v>0</v>
      </c>
      <c r="Z227" s="61"/>
      <c r="AA227" s="61"/>
      <c r="AB227" s="61"/>
      <c r="AC227" s="61"/>
      <c r="AD227" s="61"/>
      <c r="AE227" s="61"/>
      <c r="AF227" s="73"/>
      <c r="AG227" s="71"/>
      <c r="AH227" s="74"/>
      <c r="AI227" s="59"/>
      <c r="AJ227" s="190" t="str">
        <f ca="1">IFERROR(RANK(Items[[#This Row],[EstSort]],OFFSET(Items[EstSort],0,0,ROW(Proposed[])-ROW(Items[])+ROWS(Proposed[]),1),1),"")</f>
        <v/>
      </c>
      <c r="AK227" s="190" t="str">
        <f ca="1">IF(CHOOSE(MATCH(Account,Accounts,0),Items[[#This Row],[Count]],Items[[#This Row],[Account1]],Items[[#This Row],[Account2]],Items[[#This Row],[Account3]],Items[[#This Row],[Account7]])&gt;0,Items[[#This Row],[Sort]],"")</f>
        <v/>
      </c>
      <c r="AL227" s="70" t="str">
        <f ca="1">IF(LEN(Items[[#This Row],[Count]])&gt;0,IFERROR(INDEX(Calcs[Counter],MATCH(Items[[#This Row],[Line]],Calcs[Line],0)),""),"")</f>
        <v/>
      </c>
      <c r="AM227" s="156" t="str">
        <f ca="1">IFERROR(Letter&amp;TEXT((Items[[#This Row],[Count]]-1)*Incr+BeginLine,"0000"),"")</f>
        <v/>
      </c>
      <c r="AN227" s="7" t="str">
        <f>IF(ISNA(MATCH(LEFT(Items[[#This Row],[Raw Item]],5)&amp;"-"&amp;RIGHT(Items[[#This Row],[Raw Item]],4),Pay.Item.Listing[Pay Item],0)),"",LEFT(Items[[#This Row],[Raw Item]],5)&amp;"-"&amp;RIGHT(Items[[#This Row],[Raw Item]],4))</f>
        <v/>
      </c>
    </row>
    <row r="228" spans="1:40" x14ac:dyDescent="0.15">
      <c r="A228" s="7" t="str">
        <f ca="1">IFERROR(RANK(Items[[#This Row],[Sort]],OFFSET(Items[Sort],0,0,ROW(Proposed[])-ROW(Items[])+ROWS(Proposed[]),1),1),"")</f>
        <v/>
      </c>
      <c r="B228" s="7" t="str">
        <f>IF(LEN(Items[[#This Row],[Item]])&gt;0,Items[[#This Row],[Raw Item]]+COUNTIF(AN$4:AN228,AN228)/100,"")</f>
        <v/>
      </c>
      <c r="C228" s="7">
        <f>IFERROR(VALUE(LEFT(VALUE(SUBSTITUTE(Items[[#This Row],[Pay Item]],"-",""))*100000000,9)),0)</f>
        <v>0</v>
      </c>
      <c r="D228" s="8"/>
      <c r="E228" s="127"/>
      <c r="F228" s="123" t="str">
        <f>IFERROR(SUBSTITUTE(VLOOKUP(Items[[#This Row],[Item]],Pay.Item.Listing[],2+2*(Units&lt;&gt;"Metric"),0),"{","&lt;"),"&lt;&lt; Pay Item not found &gt;&gt;")</f>
        <v>&lt;&lt; Pay Item not found &gt;&gt;</v>
      </c>
      <c r="G228" s="70" t="str">
        <f>IFERROR(VLOOKUP(Items[[#This Row],[Item]],Pay.Item.Listing[],3+2*(Units&lt;&gt;"Metric"),0),"–")</f>
        <v>–</v>
      </c>
      <c r="H228" s="70" t="str">
        <f>IFERROR(VLOOKUP(Items[[#This Row],[Item]],Pay.Item.Listing[],6,0),"–")</f>
        <v>–</v>
      </c>
      <c r="I228" s="70" t="str">
        <f>IFERROR(VLOOKUP(Items[[#This Row],[Item]],Pay.Item.Listing[],7,0),"–")</f>
        <v>–</v>
      </c>
      <c r="J228" s="71"/>
      <c r="K228" s="69"/>
      <c r="L228" s="69"/>
      <c r="M228" s="69"/>
      <c r="N228" s="69"/>
      <c r="O228" s="69"/>
      <c r="P228" s="69"/>
      <c r="Q228" s="69"/>
      <c r="R228" s="69"/>
      <c r="S228" s="69"/>
      <c r="T228" s="69"/>
      <c r="U228" s="69"/>
      <c r="V228" s="69"/>
      <c r="W228" s="69"/>
      <c r="X228" s="72">
        <f>IF(LEN(Items[[#This Row],[Item]])&gt;0,IF(Items[[#This Row],[Unit]]="LPSM",1,SUM(Items[[#This Row],[Col_1]:[Col_13]])),0)</f>
        <v>0</v>
      </c>
      <c r="Y228" s="190">
        <f>MAX(Items[[#This Row],[Quantity]]-SUM(Items[[#This Row],[Account2]]:Items[[#This Row],[Account7]]),0)</f>
        <v>0</v>
      </c>
      <c r="Z228" s="61"/>
      <c r="AA228" s="61"/>
      <c r="AB228" s="61"/>
      <c r="AC228" s="61"/>
      <c r="AD228" s="61"/>
      <c r="AE228" s="61"/>
      <c r="AF228" s="73"/>
      <c r="AG228" s="71"/>
      <c r="AH228" s="74"/>
      <c r="AI228" s="59"/>
      <c r="AJ228" s="190" t="str">
        <f ca="1">IFERROR(RANK(Items[[#This Row],[EstSort]],OFFSET(Items[EstSort],0,0,ROW(Proposed[])-ROW(Items[])+ROWS(Proposed[]),1),1),"")</f>
        <v/>
      </c>
      <c r="AK228" s="190" t="str">
        <f ca="1">IF(CHOOSE(MATCH(Account,Accounts,0),Items[[#This Row],[Count]],Items[[#This Row],[Account1]],Items[[#This Row],[Account2]],Items[[#This Row],[Account3]],Items[[#This Row],[Account7]])&gt;0,Items[[#This Row],[Sort]],"")</f>
        <v/>
      </c>
      <c r="AL228" s="70" t="str">
        <f ca="1">IF(LEN(Items[[#This Row],[Count]])&gt;0,IFERROR(INDEX(Calcs[Counter],MATCH(Items[[#This Row],[Line]],Calcs[Line],0)),""),"")</f>
        <v/>
      </c>
      <c r="AM228" s="156" t="str">
        <f ca="1">IFERROR(Letter&amp;TEXT((Items[[#This Row],[Count]]-1)*Incr+BeginLine,"0000"),"")</f>
        <v/>
      </c>
      <c r="AN228" s="7" t="str">
        <f>IF(ISNA(MATCH(LEFT(Items[[#This Row],[Raw Item]],5)&amp;"-"&amp;RIGHT(Items[[#This Row],[Raw Item]],4),Pay.Item.Listing[Pay Item],0)),"",LEFT(Items[[#This Row],[Raw Item]],5)&amp;"-"&amp;RIGHT(Items[[#This Row],[Raw Item]],4))</f>
        <v/>
      </c>
    </row>
    <row r="229" spans="1:40" x14ac:dyDescent="0.15">
      <c r="A229" s="7" t="str">
        <f ca="1">IFERROR(RANK(Items[[#This Row],[Sort]],OFFSET(Items[Sort],0,0,ROW(Proposed[])-ROW(Items[])+ROWS(Proposed[]),1),1),"")</f>
        <v/>
      </c>
      <c r="B229" s="7" t="str">
        <f>IF(LEN(Items[[#This Row],[Item]])&gt;0,Items[[#This Row],[Raw Item]]+COUNTIF(AN$4:AN229,AN229)/100,"")</f>
        <v/>
      </c>
      <c r="C229" s="7">
        <f>IFERROR(VALUE(LEFT(VALUE(SUBSTITUTE(Items[[#This Row],[Pay Item]],"-",""))*100000000,9)),0)</f>
        <v>0</v>
      </c>
      <c r="D229" s="8"/>
      <c r="E229" s="127"/>
      <c r="F229" s="123" t="str">
        <f>IFERROR(SUBSTITUTE(VLOOKUP(Items[[#This Row],[Item]],Pay.Item.Listing[],2+2*(Units&lt;&gt;"Metric"),0),"{","&lt;"),"&lt;&lt; Pay Item not found &gt;&gt;")</f>
        <v>&lt;&lt; Pay Item not found &gt;&gt;</v>
      </c>
      <c r="G229" s="70" t="str">
        <f>IFERROR(VLOOKUP(Items[[#This Row],[Item]],Pay.Item.Listing[],3+2*(Units&lt;&gt;"Metric"),0),"–")</f>
        <v>–</v>
      </c>
      <c r="H229" s="70" t="str">
        <f>IFERROR(VLOOKUP(Items[[#This Row],[Item]],Pay.Item.Listing[],6,0),"–")</f>
        <v>–</v>
      </c>
      <c r="I229" s="70" t="str">
        <f>IFERROR(VLOOKUP(Items[[#This Row],[Item]],Pay.Item.Listing[],7,0),"–")</f>
        <v>–</v>
      </c>
      <c r="J229" s="71"/>
      <c r="K229" s="69"/>
      <c r="L229" s="69"/>
      <c r="M229" s="69"/>
      <c r="N229" s="69"/>
      <c r="O229" s="69"/>
      <c r="P229" s="69"/>
      <c r="Q229" s="69"/>
      <c r="R229" s="69"/>
      <c r="S229" s="69"/>
      <c r="T229" s="69"/>
      <c r="U229" s="69"/>
      <c r="V229" s="69"/>
      <c r="W229" s="69"/>
      <c r="X229" s="72">
        <f>IF(LEN(Items[[#This Row],[Item]])&gt;0,IF(Items[[#This Row],[Unit]]="LPSM",1,SUM(Items[[#This Row],[Col_1]:[Col_13]])),0)</f>
        <v>0</v>
      </c>
      <c r="Y229" s="190">
        <f>MAX(Items[[#This Row],[Quantity]]-SUM(Items[[#This Row],[Account2]]:Items[[#This Row],[Account7]]),0)</f>
        <v>0</v>
      </c>
      <c r="Z229" s="61"/>
      <c r="AA229" s="61"/>
      <c r="AB229" s="61"/>
      <c r="AC229" s="61"/>
      <c r="AD229" s="61"/>
      <c r="AE229" s="61"/>
      <c r="AF229" s="73"/>
      <c r="AG229" s="71"/>
      <c r="AH229" s="74"/>
      <c r="AI229" s="59"/>
      <c r="AJ229" s="190" t="str">
        <f ca="1">IFERROR(RANK(Items[[#This Row],[EstSort]],OFFSET(Items[EstSort],0,0,ROW(Proposed[])-ROW(Items[])+ROWS(Proposed[]),1),1),"")</f>
        <v/>
      </c>
      <c r="AK229" s="190" t="str">
        <f ca="1">IF(CHOOSE(MATCH(Account,Accounts,0),Items[[#This Row],[Count]],Items[[#This Row],[Account1]],Items[[#This Row],[Account2]],Items[[#This Row],[Account3]],Items[[#This Row],[Account7]])&gt;0,Items[[#This Row],[Sort]],"")</f>
        <v/>
      </c>
      <c r="AL229" s="70" t="str">
        <f ca="1">IF(LEN(Items[[#This Row],[Count]])&gt;0,IFERROR(INDEX(Calcs[Counter],MATCH(Items[[#This Row],[Line]],Calcs[Line],0)),""),"")</f>
        <v/>
      </c>
      <c r="AM229" s="156" t="str">
        <f ca="1">IFERROR(Letter&amp;TEXT((Items[[#This Row],[Count]]-1)*Incr+BeginLine,"0000"),"")</f>
        <v/>
      </c>
      <c r="AN229" s="7" t="str">
        <f>IF(ISNA(MATCH(LEFT(Items[[#This Row],[Raw Item]],5)&amp;"-"&amp;RIGHT(Items[[#This Row],[Raw Item]],4),Pay.Item.Listing[Pay Item],0)),"",LEFT(Items[[#This Row],[Raw Item]],5)&amp;"-"&amp;RIGHT(Items[[#This Row],[Raw Item]],4))</f>
        <v/>
      </c>
    </row>
    <row r="230" spans="1:40" x14ac:dyDescent="0.15">
      <c r="A230" s="7" t="str">
        <f ca="1">IFERROR(RANK(Items[[#This Row],[Sort]],OFFSET(Items[Sort],0,0,ROW(Proposed[])-ROW(Items[])+ROWS(Proposed[]),1),1),"")</f>
        <v/>
      </c>
      <c r="B230" s="7" t="str">
        <f>IF(LEN(Items[[#This Row],[Item]])&gt;0,Items[[#This Row],[Raw Item]]+COUNTIF(AN$4:AN230,AN230)/100,"")</f>
        <v/>
      </c>
      <c r="C230" s="7">
        <f>IFERROR(VALUE(LEFT(VALUE(SUBSTITUTE(Items[[#This Row],[Pay Item]],"-",""))*100000000,9)),0)</f>
        <v>0</v>
      </c>
      <c r="D230" s="8"/>
      <c r="E230" s="127"/>
      <c r="F230" s="123" t="str">
        <f>IFERROR(SUBSTITUTE(VLOOKUP(Items[[#This Row],[Item]],Pay.Item.Listing[],2+2*(Units&lt;&gt;"Metric"),0),"{","&lt;"),"&lt;&lt; Pay Item not found &gt;&gt;")</f>
        <v>&lt;&lt; Pay Item not found &gt;&gt;</v>
      </c>
      <c r="G230" s="70" t="str">
        <f>IFERROR(VLOOKUP(Items[[#This Row],[Item]],Pay.Item.Listing[],3+2*(Units&lt;&gt;"Metric"),0),"–")</f>
        <v>–</v>
      </c>
      <c r="H230" s="70" t="str">
        <f>IFERROR(VLOOKUP(Items[[#This Row],[Item]],Pay.Item.Listing[],6,0),"–")</f>
        <v>–</v>
      </c>
      <c r="I230" s="70" t="str">
        <f>IFERROR(VLOOKUP(Items[[#This Row],[Item]],Pay.Item.Listing[],7,0),"–")</f>
        <v>–</v>
      </c>
      <c r="J230" s="71"/>
      <c r="K230" s="69"/>
      <c r="L230" s="69"/>
      <c r="M230" s="69"/>
      <c r="N230" s="69"/>
      <c r="O230" s="69"/>
      <c r="P230" s="69"/>
      <c r="Q230" s="69"/>
      <c r="R230" s="69"/>
      <c r="S230" s="69"/>
      <c r="T230" s="69"/>
      <c r="U230" s="69"/>
      <c r="V230" s="69"/>
      <c r="W230" s="69"/>
      <c r="X230" s="72">
        <f>IF(LEN(Items[[#This Row],[Item]])&gt;0,IF(Items[[#This Row],[Unit]]="LPSM",1,SUM(Items[[#This Row],[Col_1]:[Col_13]])),0)</f>
        <v>0</v>
      </c>
      <c r="Y230" s="190">
        <f>MAX(Items[[#This Row],[Quantity]]-SUM(Items[[#This Row],[Account2]]:Items[[#This Row],[Account7]]),0)</f>
        <v>0</v>
      </c>
      <c r="Z230" s="61"/>
      <c r="AA230" s="61"/>
      <c r="AB230" s="61"/>
      <c r="AC230" s="61"/>
      <c r="AD230" s="61"/>
      <c r="AE230" s="61"/>
      <c r="AF230" s="73"/>
      <c r="AG230" s="71"/>
      <c r="AH230" s="74"/>
      <c r="AI230" s="59"/>
      <c r="AJ230" s="190" t="str">
        <f ca="1">IFERROR(RANK(Items[[#This Row],[EstSort]],OFFSET(Items[EstSort],0,0,ROW(Proposed[])-ROW(Items[])+ROWS(Proposed[]),1),1),"")</f>
        <v/>
      </c>
      <c r="AK230" s="190" t="str">
        <f ca="1">IF(CHOOSE(MATCH(Account,Accounts,0),Items[[#This Row],[Count]],Items[[#This Row],[Account1]],Items[[#This Row],[Account2]],Items[[#This Row],[Account3]],Items[[#This Row],[Account7]])&gt;0,Items[[#This Row],[Sort]],"")</f>
        <v/>
      </c>
      <c r="AL230" s="70" t="str">
        <f ca="1">IF(LEN(Items[[#This Row],[Count]])&gt;0,IFERROR(INDEX(Calcs[Counter],MATCH(Items[[#This Row],[Line]],Calcs[Line],0)),""),"")</f>
        <v/>
      </c>
      <c r="AM230" s="156" t="str">
        <f ca="1">IFERROR(Letter&amp;TEXT((Items[[#This Row],[Count]]-1)*Incr+BeginLine,"0000"),"")</f>
        <v/>
      </c>
      <c r="AN230" s="7" t="str">
        <f>IF(ISNA(MATCH(LEFT(Items[[#This Row],[Raw Item]],5)&amp;"-"&amp;RIGHT(Items[[#This Row],[Raw Item]],4),Pay.Item.Listing[Pay Item],0)),"",LEFT(Items[[#This Row],[Raw Item]],5)&amp;"-"&amp;RIGHT(Items[[#This Row],[Raw Item]],4))</f>
        <v/>
      </c>
    </row>
    <row r="231" spans="1:40" x14ac:dyDescent="0.15">
      <c r="A231" s="7" t="str">
        <f ca="1">IFERROR(RANK(Items[[#This Row],[Sort]],OFFSET(Items[Sort],0,0,ROW(Proposed[])-ROW(Items[])+ROWS(Proposed[]),1),1),"")</f>
        <v/>
      </c>
      <c r="B231" s="7" t="str">
        <f>IF(LEN(Items[[#This Row],[Item]])&gt;0,Items[[#This Row],[Raw Item]]+COUNTIF(AN$4:AN231,AN231)/100,"")</f>
        <v/>
      </c>
      <c r="C231" s="7">
        <f>IFERROR(VALUE(LEFT(VALUE(SUBSTITUTE(Items[[#This Row],[Pay Item]],"-",""))*100000000,9)),0)</f>
        <v>0</v>
      </c>
      <c r="D231" s="8"/>
      <c r="E231" s="127"/>
      <c r="F231" s="123" t="str">
        <f>IFERROR(SUBSTITUTE(VLOOKUP(Items[[#This Row],[Item]],Pay.Item.Listing[],2+2*(Units&lt;&gt;"Metric"),0),"{","&lt;"),"&lt;&lt; Pay Item not found &gt;&gt;")</f>
        <v>&lt;&lt; Pay Item not found &gt;&gt;</v>
      </c>
      <c r="G231" s="70" t="str">
        <f>IFERROR(VLOOKUP(Items[[#This Row],[Item]],Pay.Item.Listing[],3+2*(Units&lt;&gt;"Metric"),0),"–")</f>
        <v>–</v>
      </c>
      <c r="H231" s="70" t="str">
        <f>IFERROR(VLOOKUP(Items[[#This Row],[Item]],Pay.Item.Listing[],6,0),"–")</f>
        <v>–</v>
      </c>
      <c r="I231" s="70" t="str">
        <f>IFERROR(VLOOKUP(Items[[#This Row],[Item]],Pay.Item.Listing[],7,0),"–")</f>
        <v>–</v>
      </c>
      <c r="J231" s="71"/>
      <c r="K231" s="69"/>
      <c r="L231" s="69"/>
      <c r="M231" s="69"/>
      <c r="N231" s="69"/>
      <c r="O231" s="69"/>
      <c r="P231" s="69"/>
      <c r="Q231" s="69"/>
      <c r="R231" s="69"/>
      <c r="S231" s="69"/>
      <c r="T231" s="69"/>
      <c r="U231" s="69"/>
      <c r="V231" s="69"/>
      <c r="W231" s="69"/>
      <c r="X231" s="72">
        <f>IF(LEN(Items[[#This Row],[Item]])&gt;0,IF(Items[[#This Row],[Unit]]="LPSM",1,SUM(Items[[#This Row],[Col_1]:[Col_13]])),0)</f>
        <v>0</v>
      </c>
      <c r="Y231" s="190">
        <f>MAX(Items[[#This Row],[Quantity]]-SUM(Items[[#This Row],[Account2]]:Items[[#This Row],[Account7]]),0)</f>
        <v>0</v>
      </c>
      <c r="Z231" s="61"/>
      <c r="AA231" s="61"/>
      <c r="AB231" s="61"/>
      <c r="AC231" s="61"/>
      <c r="AD231" s="61"/>
      <c r="AE231" s="61"/>
      <c r="AF231" s="73"/>
      <c r="AG231" s="71"/>
      <c r="AH231" s="74"/>
      <c r="AI231" s="59"/>
      <c r="AJ231" s="190" t="str">
        <f ca="1">IFERROR(RANK(Items[[#This Row],[EstSort]],OFFSET(Items[EstSort],0,0,ROW(Proposed[])-ROW(Items[])+ROWS(Proposed[]),1),1),"")</f>
        <v/>
      </c>
      <c r="AK231" s="190" t="str">
        <f ca="1">IF(CHOOSE(MATCH(Account,Accounts,0),Items[[#This Row],[Count]],Items[[#This Row],[Account1]],Items[[#This Row],[Account2]],Items[[#This Row],[Account3]],Items[[#This Row],[Account7]])&gt;0,Items[[#This Row],[Sort]],"")</f>
        <v/>
      </c>
      <c r="AL231" s="70" t="str">
        <f ca="1">IF(LEN(Items[[#This Row],[Count]])&gt;0,IFERROR(INDEX(Calcs[Counter],MATCH(Items[[#This Row],[Line]],Calcs[Line],0)),""),"")</f>
        <v/>
      </c>
      <c r="AM231" s="156" t="str">
        <f ca="1">IFERROR(Letter&amp;TEXT((Items[[#This Row],[Count]]-1)*Incr+BeginLine,"0000"),"")</f>
        <v/>
      </c>
      <c r="AN231" s="7" t="str">
        <f>IF(ISNA(MATCH(LEFT(Items[[#This Row],[Raw Item]],5)&amp;"-"&amp;RIGHT(Items[[#This Row],[Raw Item]],4),Pay.Item.Listing[Pay Item],0)),"",LEFT(Items[[#This Row],[Raw Item]],5)&amp;"-"&amp;RIGHT(Items[[#This Row],[Raw Item]],4))</f>
        <v/>
      </c>
    </row>
    <row r="232" spans="1:40" x14ac:dyDescent="0.15">
      <c r="A232" s="7" t="str">
        <f ca="1">IFERROR(RANK(Items[[#This Row],[Sort]],OFFSET(Items[Sort],0,0,ROW(Proposed[])-ROW(Items[])+ROWS(Proposed[]),1),1),"")</f>
        <v/>
      </c>
      <c r="B232" s="7" t="str">
        <f>IF(LEN(Items[[#This Row],[Item]])&gt;0,Items[[#This Row],[Raw Item]]+COUNTIF(AN$4:AN232,AN232)/100,"")</f>
        <v/>
      </c>
      <c r="C232" s="7">
        <f>IFERROR(VALUE(LEFT(VALUE(SUBSTITUTE(Items[[#This Row],[Pay Item]],"-",""))*100000000,9)),0)</f>
        <v>0</v>
      </c>
      <c r="D232" s="8"/>
      <c r="E232" s="127"/>
      <c r="F232" s="123" t="str">
        <f>IFERROR(SUBSTITUTE(VLOOKUP(Items[[#This Row],[Item]],Pay.Item.Listing[],2+2*(Units&lt;&gt;"Metric"),0),"{","&lt;"),"&lt;&lt; Pay Item not found &gt;&gt;")</f>
        <v>&lt;&lt; Pay Item not found &gt;&gt;</v>
      </c>
      <c r="G232" s="70" t="str">
        <f>IFERROR(VLOOKUP(Items[[#This Row],[Item]],Pay.Item.Listing[],3+2*(Units&lt;&gt;"Metric"),0),"–")</f>
        <v>–</v>
      </c>
      <c r="H232" s="70" t="str">
        <f>IFERROR(VLOOKUP(Items[[#This Row],[Item]],Pay.Item.Listing[],6,0),"–")</f>
        <v>–</v>
      </c>
      <c r="I232" s="70" t="str">
        <f>IFERROR(VLOOKUP(Items[[#This Row],[Item]],Pay.Item.Listing[],7,0),"–")</f>
        <v>–</v>
      </c>
      <c r="J232" s="71"/>
      <c r="K232" s="69"/>
      <c r="L232" s="69"/>
      <c r="M232" s="69"/>
      <c r="N232" s="69"/>
      <c r="O232" s="69"/>
      <c r="P232" s="69"/>
      <c r="Q232" s="69"/>
      <c r="R232" s="69"/>
      <c r="S232" s="69"/>
      <c r="T232" s="69"/>
      <c r="U232" s="69"/>
      <c r="V232" s="69"/>
      <c r="W232" s="69"/>
      <c r="X232" s="72">
        <f>IF(LEN(Items[[#This Row],[Item]])&gt;0,IF(Items[[#This Row],[Unit]]="LPSM",1,SUM(Items[[#This Row],[Col_1]:[Col_13]])),0)</f>
        <v>0</v>
      </c>
      <c r="Y232" s="190">
        <f>MAX(Items[[#This Row],[Quantity]]-SUM(Items[[#This Row],[Account2]]:Items[[#This Row],[Account7]]),0)</f>
        <v>0</v>
      </c>
      <c r="Z232" s="61"/>
      <c r="AA232" s="61"/>
      <c r="AB232" s="61"/>
      <c r="AC232" s="61"/>
      <c r="AD232" s="61"/>
      <c r="AE232" s="61"/>
      <c r="AF232" s="73"/>
      <c r="AG232" s="71"/>
      <c r="AH232" s="74"/>
      <c r="AI232" s="59"/>
      <c r="AJ232" s="190" t="str">
        <f ca="1">IFERROR(RANK(Items[[#This Row],[EstSort]],OFFSET(Items[EstSort],0,0,ROW(Proposed[])-ROW(Items[])+ROWS(Proposed[]),1),1),"")</f>
        <v/>
      </c>
      <c r="AK232" s="190" t="str">
        <f ca="1">IF(CHOOSE(MATCH(Account,Accounts,0),Items[[#This Row],[Count]],Items[[#This Row],[Account1]],Items[[#This Row],[Account2]],Items[[#This Row],[Account3]],Items[[#This Row],[Account7]])&gt;0,Items[[#This Row],[Sort]],"")</f>
        <v/>
      </c>
      <c r="AL232" s="70" t="str">
        <f ca="1">IF(LEN(Items[[#This Row],[Count]])&gt;0,IFERROR(INDEX(Calcs[Counter],MATCH(Items[[#This Row],[Line]],Calcs[Line],0)),""),"")</f>
        <v/>
      </c>
      <c r="AM232" s="156" t="str">
        <f ca="1">IFERROR(Letter&amp;TEXT((Items[[#This Row],[Count]]-1)*Incr+BeginLine,"0000"),"")</f>
        <v/>
      </c>
      <c r="AN232" s="7" t="str">
        <f>IF(ISNA(MATCH(LEFT(Items[[#This Row],[Raw Item]],5)&amp;"-"&amp;RIGHT(Items[[#This Row],[Raw Item]],4),Pay.Item.Listing[Pay Item],0)),"",LEFT(Items[[#This Row],[Raw Item]],5)&amp;"-"&amp;RIGHT(Items[[#This Row],[Raw Item]],4))</f>
        <v/>
      </c>
    </row>
    <row r="233" spans="1:40" x14ac:dyDescent="0.15">
      <c r="A233" s="7" t="str">
        <f ca="1">IFERROR(RANK(Items[[#This Row],[Sort]],OFFSET(Items[Sort],0,0,ROW(Proposed[])-ROW(Items[])+ROWS(Proposed[]),1),1),"")</f>
        <v/>
      </c>
      <c r="B233" s="7" t="str">
        <f>IF(LEN(Items[[#This Row],[Item]])&gt;0,Items[[#This Row],[Raw Item]]+COUNTIF(AN$4:AN233,AN233)/100,"")</f>
        <v/>
      </c>
      <c r="C233" s="7">
        <f>IFERROR(VALUE(LEFT(VALUE(SUBSTITUTE(Items[[#This Row],[Pay Item]],"-",""))*100000000,9)),0)</f>
        <v>0</v>
      </c>
      <c r="D233" s="8"/>
      <c r="E233" s="127"/>
      <c r="F233" s="123" t="str">
        <f>IFERROR(SUBSTITUTE(VLOOKUP(Items[[#This Row],[Item]],Pay.Item.Listing[],2+2*(Units&lt;&gt;"Metric"),0),"{","&lt;"),"&lt;&lt; Pay Item not found &gt;&gt;")</f>
        <v>&lt;&lt; Pay Item not found &gt;&gt;</v>
      </c>
      <c r="G233" s="70" t="str">
        <f>IFERROR(VLOOKUP(Items[[#This Row],[Item]],Pay.Item.Listing[],3+2*(Units&lt;&gt;"Metric"),0),"–")</f>
        <v>–</v>
      </c>
      <c r="H233" s="70" t="str">
        <f>IFERROR(VLOOKUP(Items[[#This Row],[Item]],Pay.Item.Listing[],6,0),"–")</f>
        <v>–</v>
      </c>
      <c r="I233" s="70" t="str">
        <f>IFERROR(VLOOKUP(Items[[#This Row],[Item]],Pay.Item.Listing[],7,0),"–")</f>
        <v>–</v>
      </c>
      <c r="J233" s="71"/>
      <c r="K233" s="69"/>
      <c r="L233" s="69"/>
      <c r="M233" s="69"/>
      <c r="N233" s="69"/>
      <c r="O233" s="69"/>
      <c r="P233" s="69"/>
      <c r="Q233" s="69"/>
      <c r="R233" s="69"/>
      <c r="S233" s="69"/>
      <c r="T233" s="69"/>
      <c r="U233" s="69"/>
      <c r="V233" s="69"/>
      <c r="W233" s="69"/>
      <c r="X233" s="72">
        <f>IF(LEN(Items[[#This Row],[Item]])&gt;0,IF(Items[[#This Row],[Unit]]="LPSM",1,SUM(Items[[#This Row],[Col_1]:[Col_13]])),0)</f>
        <v>0</v>
      </c>
      <c r="Y233" s="190">
        <f>MAX(Items[[#This Row],[Quantity]]-SUM(Items[[#This Row],[Account2]]:Items[[#This Row],[Account7]]),0)</f>
        <v>0</v>
      </c>
      <c r="Z233" s="61"/>
      <c r="AA233" s="61"/>
      <c r="AB233" s="61"/>
      <c r="AC233" s="61"/>
      <c r="AD233" s="61"/>
      <c r="AE233" s="61"/>
      <c r="AF233" s="73"/>
      <c r="AG233" s="71"/>
      <c r="AH233" s="74"/>
      <c r="AI233" s="59"/>
      <c r="AJ233" s="190" t="str">
        <f ca="1">IFERROR(RANK(Items[[#This Row],[EstSort]],OFFSET(Items[EstSort],0,0,ROW(Proposed[])-ROW(Items[])+ROWS(Proposed[]),1),1),"")</f>
        <v/>
      </c>
      <c r="AK233" s="190" t="str">
        <f ca="1">IF(CHOOSE(MATCH(Account,Accounts,0),Items[[#This Row],[Count]],Items[[#This Row],[Account1]],Items[[#This Row],[Account2]],Items[[#This Row],[Account3]],Items[[#This Row],[Account7]])&gt;0,Items[[#This Row],[Sort]],"")</f>
        <v/>
      </c>
      <c r="AL233" s="70" t="str">
        <f ca="1">IF(LEN(Items[[#This Row],[Count]])&gt;0,IFERROR(INDEX(Calcs[Counter],MATCH(Items[[#This Row],[Line]],Calcs[Line],0)),""),"")</f>
        <v/>
      </c>
      <c r="AM233" s="156" t="str">
        <f ca="1">IFERROR(Letter&amp;TEXT((Items[[#This Row],[Count]]-1)*Incr+BeginLine,"0000"),"")</f>
        <v/>
      </c>
      <c r="AN233" s="7" t="str">
        <f>IF(ISNA(MATCH(LEFT(Items[[#This Row],[Raw Item]],5)&amp;"-"&amp;RIGHT(Items[[#This Row],[Raw Item]],4),Pay.Item.Listing[Pay Item],0)),"",LEFT(Items[[#This Row],[Raw Item]],5)&amp;"-"&amp;RIGHT(Items[[#This Row],[Raw Item]],4))</f>
        <v/>
      </c>
    </row>
    <row r="234" spans="1:40" x14ac:dyDescent="0.15">
      <c r="A234" s="7" t="str">
        <f ca="1">IFERROR(RANK(Items[[#This Row],[Sort]],OFFSET(Items[Sort],0,0,ROW(Proposed[])-ROW(Items[])+ROWS(Proposed[]),1),1),"")</f>
        <v/>
      </c>
      <c r="B234" s="7" t="str">
        <f>IF(LEN(Items[[#This Row],[Item]])&gt;0,Items[[#This Row],[Raw Item]]+COUNTIF(AN$4:AN234,AN234)/100,"")</f>
        <v/>
      </c>
      <c r="C234" s="7">
        <f>IFERROR(VALUE(LEFT(VALUE(SUBSTITUTE(Items[[#This Row],[Pay Item]],"-",""))*100000000,9)),0)</f>
        <v>0</v>
      </c>
      <c r="D234" s="8"/>
      <c r="E234" s="127"/>
      <c r="F234" s="123" t="str">
        <f>IFERROR(SUBSTITUTE(VLOOKUP(Items[[#This Row],[Item]],Pay.Item.Listing[],2+2*(Units&lt;&gt;"Metric"),0),"{","&lt;"),"&lt;&lt; Pay Item not found &gt;&gt;")</f>
        <v>&lt;&lt; Pay Item not found &gt;&gt;</v>
      </c>
      <c r="G234" s="70" t="str">
        <f>IFERROR(VLOOKUP(Items[[#This Row],[Item]],Pay.Item.Listing[],3+2*(Units&lt;&gt;"Metric"),0),"–")</f>
        <v>–</v>
      </c>
      <c r="H234" s="70" t="str">
        <f>IFERROR(VLOOKUP(Items[[#This Row],[Item]],Pay.Item.Listing[],6,0),"–")</f>
        <v>–</v>
      </c>
      <c r="I234" s="70" t="str">
        <f>IFERROR(VLOOKUP(Items[[#This Row],[Item]],Pay.Item.Listing[],7,0),"–")</f>
        <v>–</v>
      </c>
      <c r="J234" s="71"/>
      <c r="K234" s="69"/>
      <c r="L234" s="69"/>
      <c r="M234" s="69"/>
      <c r="N234" s="69"/>
      <c r="O234" s="69"/>
      <c r="P234" s="69"/>
      <c r="Q234" s="69"/>
      <c r="R234" s="69"/>
      <c r="S234" s="69"/>
      <c r="T234" s="69"/>
      <c r="U234" s="69"/>
      <c r="V234" s="69"/>
      <c r="W234" s="69"/>
      <c r="X234" s="72">
        <f>IF(LEN(Items[[#This Row],[Item]])&gt;0,IF(Items[[#This Row],[Unit]]="LPSM",1,SUM(Items[[#This Row],[Col_1]:[Col_13]])),0)</f>
        <v>0</v>
      </c>
      <c r="Y234" s="190">
        <f>MAX(Items[[#This Row],[Quantity]]-SUM(Items[[#This Row],[Account2]]:Items[[#This Row],[Account7]]),0)</f>
        <v>0</v>
      </c>
      <c r="Z234" s="61"/>
      <c r="AA234" s="61"/>
      <c r="AB234" s="61"/>
      <c r="AC234" s="61"/>
      <c r="AD234" s="61"/>
      <c r="AE234" s="61"/>
      <c r="AF234" s="73"/>
      <c r="AG234" s="71"/>
      <c r="AH234" s="74"/>
      <c r="AI234" s="59"/>
      <c r="AJ234" s="190" t="str">
        <f ca="1">IFERROR(RANK(Items[[#This Row],[EstSort]],OFFSET(Items[EstSort],0,0,ROW(Proposed[])-ROW(Items[])+ROWS(Proposed[]),1),1),"")</f>
        <v/>
      </c>
      <c r="AK234" s="190" t="str">
        <f ca="1">IF(CHOOSE(MATCH(Account,Accounts,0),Items[[#This Row],[Count]],Items[[#This Row],[Account1]],Items[[#This Row],[Account2]],Items[[#This Row],[Account3]],Items[[#This Row],[Account7]])&gt;0,Items[[#This Row],[Sort]],"")</f>
        <v/>
      </c>
      <c r="AL234" s="70" t="str">
        <f ca="1">IF(LEN(Items[[#This Row],[Count]])&gt;0,IFERROR(INDEX(Calcs[Counter],MATCH(Items[[#This Row],[Line]],Calcs[Line],0)),""),"")</f>
        <v/>
      </c>
      <c r="AM234" s="156" t="str">
        <f ca="1">IFERROR(Letter&amp;TEXT((Items[[#This Row],[Count]]-1)*Incr+BeginLine,"0000"),"")</f>
        <v/>
      </c>
      <c r="AN234" s="7" t="str">
        <f>IF(ISNA(MATCH(LEFT(Items[[#This Row],[Raw Item]],5)&amp;"-"&amp;RIGHT(Items[[#This Row],[Raw Item]],4),Pay.Item.Listing[Pay Item],0)),"",LEFT(Items[[#This Row],[Raw Item]],5)&amp;"-"&amp;RIGHT(Items[[#This Row],[Raw Item]],4))</f>
        <v/>
      </c>
    </row>
    <row r="235" spans="1:40" x14ac:dyDescent="0.15">
      <c r="A235" s="7" t="str">
        <f ca="1">IFERROR(RANK(Items[[#This Row],[Sort]],OFFSET(Items[Sort],0,0,ROW(Proposed[])-ROW(Items[])+ROWS(Proposed[]),1),1),"")</f>
        <v/>
      </c>
      <c r="B235" s="7" t="str">
        <f>IF(LEN(Items[[#This Row],[Item]])&gt;0,Items[[#This Row],[Raw Item]]+COUNTIF(AN$4:AN235,AN235)/100,"")</f>
        <v/>
      </c>
      <c r="C235" s="7">
        <f>IFERROR(VALUE(LEFT(VALUE(SUBSTITUTE(Items[[#This Row],[Pay Item]],"-",""))*100000000,9)),0)</f>
        <v>0</v>
      </c>
      <c r="D235" s="8"/>
      <c r="E235" s="127"/>
      <c r="F235" s="123" t="str">
        <f>IFERROR(SUBSTITUTE(VLOOKUP(Items[[#This Row],[Item]],Pay.Item.Listing[],2+2*(Units&lt;&gt;"Metric"),0),"{","&lt;"),"&lt;&lt; Pay Item not found &gt;&gt;")</f>
        <v>&lt;&lt; Pay Item not found &gt;&gt;</v>
      </c>
      <c r="G235" s="70" t="str">
        <f>IFERROR(VLOOKUP(Items[[#This Row],[Item]],Pay.Item.Listing[],3+2*(Units&lt;&gt;"Metric"),0),"–")</f>
        <v>–</v>
      </c>
      <c r="H235" s="70" t="str">
        <f>IFERROR(VLOOKUP(Items[[#This Row],[Item]],Pay.Item.Listing[],6,0),"–")</f>
        <v>–</v>
      </c>
      <c r="I235" s="70" t="str">
        <f>IFERROR(VLOOKUP(Items[[#This Row],[Item]],Pay.Item.Listing[],7,0),"–")</f>
        <v>–</v>
      </c>
      <c r="J235" s="71"/>
      <c r="K235" s="69"/>
      <c r="L235" s="69"/>
      <c r="M235" s="69"/>
      <c r="N235" s="69"/>
      <c r="O235" s="69"/>
      <c r="P235" s="69"/>
      <c r="Q235" s="69"/>
      <c r="R235" s="69"/>
      <c r="S235" s="69"/>
      <c r="T235" s="69"/>
      <c r="U235" s="69"/>
      <c r="V235" s="69"/>
      <c r="W235" s="69"/>
      <c r="X235" s="72">
        <f>IF(LEN(Items[[#This Row],[Item]])&gt;0,IF(Items[[#This Row],[Unit]]="LPSM",1,SUM(Items[[#This Row],[Col_1]:[Col_13]])),0)</f>
        <v>0</v>
      </c>
      <c r="Y235" s="190">
        <f>MAX(Items[[#This Row],[Quantity]]-SUM(Items[[#This Row],[Account2]]:Items[[#This Row],[Account7]]),0)</f>
        <v>0</v>
      </c>
      <c r="Z235" s="61"/>
      <c r="AA235" s="61"/>
      <c r="AB235" s="61"/>
      <c r="AC235" s="61"/>
      <c r="AD235" s="61"/>
      <c r="AE235" s="61"/>
      <c r="AF235" s="73"/>
      <c r="AG235" s="71"/>
      <c r="AH235" s="74"/>
      <c r="AI235" s="59"/>
      <c r="AJ235" s="190" t="str">
        <f ca="1">IFERROR(RANK(Items[[#This Row],[EstSort]],OFFSET(Items[EstSort],0,0,ROW(Proposed[])-ROW(Items[])+ROWS(Proposed[]),1),1),"")</f>
        <v/>
      </c>
      <c r="AK235" s="190" t="str">
        <f ca="1">IF(CHOOSE(MATCH(Account,Accounts,0),Items[[#This Row],[Count]],Items[[#This Row],[Account1]],Items[[#This Row],[Account2]],Items[[#This Row],[Account3]],Items[[#This Row],[Account7]])&gt;0,Items[[#This Row],[Sort]],"")</f>
        <v/>
      </c>
      <c r="AL235" s="70" t="str">
        <f ca="1">IF(LEN(Items[[#This Row],[Count]])&gt;0,IFERROR(INDEX(Calcs[Counter],MATCH(Items[[#This Row],[Line]],Calcs[Line],0)),""),"")</f>
        <v/>
      </c>
      <c r="AM235" s="156" t="str">
        <f ca="1">IFERROR(Letter&amp;TEXT((Items[[#This Row],[Count]]-1)*Incr+BeginLine,"0000"),"")</f>
        <v/>
      </c>
      <c r="AN235" s="7" t="str">
        <f>IF(ISNA(MATCH(LEFT(Items[[#This Row],[Raw Item]],5)&amp;"-"&amp;RIGHT(Items[[#This Row],[Raw Item]],4),Pay.Item.Listing[Pay Item],0)),"",LEFT(Items[[#This Row],[Raw Item]],5)&amp;"-"&amp;RIGHT(Items[[#This Row],[Raw Item]],4))</f>
        <v/>
      </c>
    </row>
    <row r="236" spans="1:40" x14ac:dyDescent="0.15">
      <c r="A236" s="7" t="str">
        <f ca="1">IFERROR(RANK(Items[[#This Row],[Sort]],OFFSET(Items[Sort],0,0,ROW(Proposed[])-ROW(Items[])+ROWS(Proposed[]),1),1),"")</f>
        <v/>
      </c>
      <c r="B236" s="7" t="str">
        <f>IF(LEN(Items[[#This Row],[Item]])&gt;0,Items[[#This Row],[Raw Item]]+COUNTIF(AN$4:AN236,AN236)/100,"")</f>
        <v/>
      </c>
      <c r="C236" s="7">
        <f>IFERROR(VALUE(LEFT(VALUE(SUBSTITUTE(Items[[#This Row],[Pay Item]],"-",""))*100000000,9)),0)</f>
        <v>0</v>
      </c>
      <c r="D236" s="8"/>
      <c r="E236" s="127"/>
      <c r="F236" s="123" t="str">
        <f>IFERROR(SUBSTITUTE(VLOOKUP(Items[[#This Row],[Item]],Pay.Item.Listing[],2+2*(Units&lt;&gt;"Metric"),0),"{","&lt;"),"&lt;&lt; Pay Item not found &gt;&gt;")</f>
        <v>&lt;&lt; Pay Item not found &gt;&gt;</v>
      </c>
      <c r="G236" s="70" t="str">
        <f>IFERROR(VLOOKUP(Items[[#This Row],[Item]],Pay.Item.Listing[],3+2*(Units&lt;&gt;"Metric"),0),"–")</f>
        <v>–</v>
      </c>
      <c r="H236" s="70" t="str">
        <f>IFERROR(VLOOKUP(Items[[#This Row],[Item]],Pay.Item.Listing[],6,0),"–")</f>
        <v>–</v>
      </c>
      <c r="I236" s="70" t="str">
        <f>IFERROR(VLOOKUP(Items[[#This Row],[Item]],Pay.Item.Listing[],7,0),"–")</f>
        <v>–</v>
      </c>
      <c r="J236" s="71"/>
      <c r="K236" s="69"/>
      <c r="L236" s="69"/>
      <c r="M236" s="69"/>
      <c r="N236" s="69"/>
      <c r="O236" s="69"/>
      <c r="P236" s="69"/>
      <c r="Q236" s="69"/>
      <c r="R236" s="69"/>
      <c r="S236" s="69"/>
      <c r="T236" s="69"/>
      <c r="U236" s="69"/>
      <c r="V236" s="69"/>
      <c r="W236" s="69"/>
      <c r="X236" s="72">
        <f>IF(LEN(Items[[#This Row],[Item]])&gt;0,IF(Items[[#This Row],[Unit]]="LPSM",1,SUM(Items[[#This Row],[Col_1]:[Col_13]])),0)</f>
        <v>0</v>
      </c>
      <c r="Y236" s="190">
        <f>MAX(Items[[#This Row],[Quantity]]-SUM(Items[[#This Row],[Account2]]:Items[[#This Row],[Account7]]),0)</f>
        <v>0</v>
      </c>
      <c r="Z236" s="61"/>
      <c r="AA236" s="61"/>
      <c r="AB236" s="61"/>
      <c r="AC236" s="61"/>
      <c r="AD236" s="61"/>
      <c r="AE236" s="61"/>
      <c r="AF236" s="73"/>
      <c r="AG236" s="71"/>
      <c r="AH236" s="74"/>
      <c r="AI236" s="59"/>
      <c r="AJ236" s="190" t="str">
        <f ca="1">IFERROR(RANK(Items[[#This Row],[EstSort]],OFFSET(Items[EstSort],0,0,ROW(Proposed[])-ROW(Items[])+ROWS(Proposed[]),1),1),"")</f>
        <v/>
      </c>
      <c r="AK236" s="190" t="str">
        <f ca="1">IF(CHOOSE(MATCH(Account,Accounts,0),Items[[#This Row],[Count]],Items[[#This Row],[Account1]],Items[[#This Row],[Account2]],Items[[#This Row],[Account3]],Items[[#This Row],[Account7]])&gt;0,Items[[#This Row],[Sort]],"")</f>
        <v/>
      </c>
      <c r="AL236" s="70" t="str">
        <f ca="1">IF(LEN(Items[[#This Row],[Count]])&gt;0,IFERROR(INDEX(Calcs[Counter],MATCH(Items[[#This Row],[Line]],Calcs[Line],0)),""),"")</f>
        <v/>
      </c>
      <c r="AM236" s="156" t="str">
        <f ca="1">IFERROR(Letter&amp;TEXT((Items[[#This Row],[Count]]-1)*Incr+BeginLine,"0000"),"")</f>
        <v/>
      </c>
      <c r="AN236" s="7" t="str">
        <f>IF(ISNA(MATCH(LEFT(Items[[#This Row],[Raw Item]],5)&amp;"-"&amp;RIGHT(Items[[#This Row],[Raw Item]],4),Pay.Item.Listing[Pay Item],0)),"",LEFT(Items[[#This Row],[Raw Item]],5)&amp;"-"&amp;RIGHT(Items[[#This Row],[Raw Item]],4))</f>
        <v/>
      </c>
    </row>
    <row r="237" spans="1:40" x14ac:dyDescent="0.15">
      <c r="A237" s="7" t="str">
        <f ca="1">IFERROR(RANK(Items[[#This Row],[Sort]],OFFSET(Items[Sort],0,0,ROW(Proposed[])-ROW(Items[])+ROWS(Proposed[]),1),1),"")</f>
        <v/>
      </c>
      <c r="B237" s="7" t="str">
        <f>IF(LEN(Items[[#This Row],[Item]])&gt;0,Items[[#This Row],[Raw Item]]+COUNTIF(AN$4:AN237,AN237)/100,"")</f>
        <v/>
      </c>
      <c r="C237" s="7">
        <f>IFERROR(VALUE(LEFT(VALUE(SUBSTITUTE(Items[[#This Row],[Pay Item]],"-",""))*100000000,9)),0)</f>
        <v>0</v>
      </c>
      <c r="D237" s="8"/>
      <c r="E237" s="127"/>
      <c r="F237" s="123" t="str">
        <f>IFERROR(SUBSTITUTE(VLOOKUP(Items[[#This Row],[Item]],Pay.Item.Listing[],2+2*(Units&lt;&gt;"Metric"),0),"{","&lt;"),"&lt;&lt; Pay Item not found &gt;&gt;")</f>
        <v>&lt;&lt; Pay Item not found &gt;&gt;</v>
      </c>
      <c r="G237" s="70" t="str">
        <f>IFERROR(VLOOKUP(Items[[#This Row],[Item]],Pay.Item.Listing[],3+2*(Units&lt;&gt;"Metric"),0),"–")</f>
        <v>–</v>
      </c>
      <c r="H237" s="70" t="str">
        <f>IFERROR(VLOOKUP(Items[[#This Row],[Item]],Pay.Item.Listing[],6,0),"–")</f>
        <v>–</v>
      </c>
      <c r="I237" s="70" t="str">
        <f>IFERROR(VLOOKUP(Items[[#This Row],[Item]],Pay.Item.Listing[],7,0),"–")</f>
        <v>–</v>
      </c>
      <c r="J237" s="71"/>
      <c r="K237" s="69"/>
      <c r="L237" s="69"/>
      <c r="M237" s="69"/>
      <c r="N237" s="69"/>
      <c r="O237" s="69"/>
      <c r="P237" s="69"/>
      <c r="Q237" s="69"/>
      <c r="R237" s="69"/>
      <c r="S237" s="69"/>
      <c r="T237" s="69"/>
      <c r="U237" s="69"/>
      <c r="V237" s="69"/>
      <c r="W237" s="69"/>
      <c r="X237" s="72">
        <f>IF(LEN(Items[[#This Row],[Item]])&gt;0,IF(Items[[#This Row],[Unit]]="LPSM",1,SUM(Items[[#This Row],[Col_1]:[Col_13]])),0)</f>
        <v>0</v>
      </c>
      <c r="Y237" s="190">
        <f>MAX(Items[[#This Row],[Quantity]]-SUM(Items[[#This Row],[Account2]]:Items[[#This Row],[Account7]]),0)</f>
        <v>0</v>
      </c>
      <c r="Z237" s="61"/>
      <c r="AA237" s="61"/>
      <c r="AB237" s="61"/>
      <c r="AC237" s="61"/>
      <c r="AD237" s="61"/>
      <c r="AE237" s="61"/>
      <c r="AF237" s="73"/>
      <c r="AG237" s="71"/>
      <c r="AH237" s="74"/>
      <c r="AI237" s="59"/>
      <c r="AJ237" s="190" t="str">
        <f ca="1">IFERROR(RANK(Items[[#This Row],[EstSort]],OFFSET(Items[EstSort],0,0,ROW(Proposed[])-ROW(Items[])+ROWS(Proposed[]),1),1),"")</f>
        <v/>
      </c>
      <c r="AK237" s="190" t="str">
        <f ca="1">IF(CHOOSE(MATCH(Account,Accounts,0),Items[[#This Row],[Count]],Items[[#This Row],[Account1]],Items[[#This Row],[Account2]],Items[[#This Row],[Account3]],Items[[#This Row],[Account7]])&gt;0,Items[[#This Row],[Sort]],"")</f>
        <v/>
      </c>
      <c r="AL237" s="70" t="str">
        <f ca="1">IF(LEN(Items[[#This Row],[Count]])&gt;0,IFERROR(INDEX(Calcs[Counter],MATCH(Items[[#This Row],[Line]],Calcs[Line],0)),""),"")</f>
        <v/>
      </c>
      <c r="AM237" s="156" t="str">
        <f ca="1">IFERROR(Letter&amp;TEXT((Items[[#This Row],[Count]]-1)*Incr+BeginLine,"0000"),"")</f>
        <v/>
      </c>
      <c r="AN237" s="7" t="str">
        <f>IF(ISNA(MATCH(LEFT(Items[[#This Row],[Raw Item]],5)&amp;"-"&amp;RIGHT(Items[[#This Row],[Raw Item]],4),Pay.Item.Listing[Pay Item],0)),"",LEFT(Items[[#This Row],[Raw Item]],5)&amp;"-"&amp;RIGHT(Items[[#This Row],[Raw Item]],4))</f>
        <v/>
      </c>
    </row>
    <row r="238" spans="1:40" x14ac:dyDescent="0.15">
      <c r="A238" s="7" t="str">
        <f ca="1">IFERROR(RANK(Items[[#This Row],[Sort]],OFFSET(Items[Sort],0,0,ROW(Proposed[])-ROW(Items[])+ROWS(Proposed[]),1),1),"")</f>
        <v/>
      </c>
      <c r="B238" s="7" t="str">
        <f>IF(LEN(Items[[#This Row],[Item]])&gt;0,Items[[#This Row],[Raw Item]]+COUNTIF(AN$4:AN238,AN238)/100,"")</f>
        <v/>
      </c>
      <c r="C238" s="7">
        <f>IFERROR(VALUE(LEFT(VALUE(SUBSTITUTE(Items[[#This Row],[Pay Item]],"-",""))*100000000,9)),0)</f>
        <v>0</v>
      </c>
      <c r="D238" s="8"/>
      <c r="E238" s="127"/>
      <c r="F238" s="123" t="str">
        <f>IFERROR(SUBSTITUTE(VLOOKUP(Items[[#This Row],[Item]],Pay.Item.Listing[],2+2*(Units&lt;&gt;"Metric"),0),"{","&lt;"),"&lt;&lt; Pay Item not found &gt;&gt;")</f>
        <v>&lt;&lt; Pay Item not found &gt;&gt;</v>
      </c>
      <c r="G238" s="70" t="str">
        <f>IFERROR(VLOOKUP(Items[[#This Row],[Item]],Pay.Item.Listing[],3+2*(Units&lt;&gt;"Metric"),0),"–")</f>
        <v>–</v>
      </c>
      <c r="H238" s="70" t="str">
        <f>IFERROR(VLOOKUP(Items[[#This Row],[Item]],Pay.Item.Listing[],6,0),"–")</f>
        <v>–</v>
      </c>
      <c r="I238" s="70" t="str">
        <f>IFERROR(VLOOKUP(Items[[#This Row],[Item]],Pay.Item.Listing[],7,0),"–")</f>
        <v>–</v>
      </c>
      <c r="J238" s="71"/>
      <c r="K238" s="69"/>
      <c r="L238" s="69"/>
      <c r="M238" s="69"/>
      <c r="N238" s="69"/>
      <c r="O238" s="69"/>
      <c r="P238" s="69"/>
      <c r="Q238" s="69"/>
      <c r="R238" s="69"/>
      <c r="S238" s="69"/>
      <c r="T238" s="69"/>
      <c r="U238" s="69"/>
      <c r="V238" s="69"/>
      <c r="W238" s="69"/>
      <c r="X238" s="72">
        <f>IF(LEN(Items[[#This Row],[Item]])&gt;0,IF(Items[[#This Row],[Unit]]="LPSM",1,SUM(Items[[#This Row],[Col_1]:[Col_13]])),0)</f>
        <v>0</v>
      </c>
      <c r="Y238" s="190">
        <f>MAX(Items[[#This Row],[Quantity]]-SUM(Items[[#This Row],[Account2]]:Items[[#This Row],[Account7]]),0)</f>
        <v>0</v>
      </c>
      <c r="Z238" s="61"/>
      <c r="AA238" s="61"/>
      <c r="AB238" s="61"/>
      <c r="AC238" s="61"/>
      <c r="AD238" s="61"/>
      <c r="AE238" s="61"/>
      <c r="AF238" s="73"/>
      <c r="AG238" s="71"/>
      <c r="AH238" s="74"/>
      <c r="AI238" s="59"/>
      <c r="AJ238" s="190" t="str">
        <f ca="1">IFERROR(RANK(Items[[#This Row],[EstSort]],OFFSET(Items[EstSort],0,0,ROW(Proposed[])-ROW(Items[])+ROWS(Proposed[]),1),1),"")</f>
        <v/>
      </c>
      <c r="AK238" s="190" t="str">
        <f ca="1">IF(CHOOSE(MATCH(Account,Accounts,0),Items[[#This Row],[Count]],Items[[#This Row],[Account1]],Items[[#This Row],[Account2]],Items[[#This Row],[Account3]],Items[[#This Row],[Account7]])&gt;0,Items[[#This Row],[Sort]],"")</f>
        <v/>
      </c>
      <c r="AL238" s="70" t="str">
        <f ca="1">IF(LEN(Items[[#This Row],[Count]])&gt;0,IFERROR(INDEX(Calcs[Counter],MATCH(Items[[#This Row],[Line]],Calcs[Line],0)),""),"")</f>
        <v/>
      </c>
      <c r="AM238" s="156" t="str">
        <f ca="1">IFERROR(Letter&amp;TEXT((Items[[#This Row],[Count]]-1)*Incr+BeginLine,"0000"),"")</f>
        <v/>
      </c>
      <c r="AN238" s="7" t="str">
        <f>IF(ISNA(MATCH(LEFT(Items[[#This Row],[Raw Item]],5)&amp;"-"&amp;RIGHT(Items[[#This Row],[Raw Item]],4),Pay.Item.Listing[Pay Item],0)),"",LEFT(Items[[#This Row],[Raw Item]],5)&amp;"-"&amp;RIGHT(Items[[#This Row],[Raw Item]],4))</f>
        <v/>
      </c>
    </row>
    <row r="239" spans="1:40" x14ac:dyDescent="0.15">
      <c r="A239" s="7" t="str">
        <f ca="1">IFERROR(RANK(Items[[#This Row],[Sort]],OFFSET(Items[Sort],0,0,ROW(Proposed[])-ROW(Items[])+ROWS(Proposed[]),1),1),"")</f>
        <v/>
      </c>
      <c r="B239" s="7" t="str">
        <f>IF(LEN(Items[[#This Row],[Item]])&gt;0,Items[[#This Row],[Raw Item]]+COUNTIF(AN$4:AN239,AN239)/100,"")</f>
        <v/>
      </c>
      <c r="C239" s="7">
        <f>IFERROR(VALUE(LEFT(VALUE(SUBSTITUTE(Items[[#This Row],[Pay Item]],"-",""))*100000000,9)),0)</f>
        <v>0</v>
      </c>
      <c r="D239" s="8"/>
      <c r="E239" s="127"/>
      <c r="F239" s="123" t="str">
        <f>IFERROR(SUBSTITUTE(VLOOKUP(Items[[#This Row],[Item]],Pay.Item.Listing[],2+2*(Units&lt;&gt;"Metric"),0),"{","&lt;"),"&lt;&lt; Pay Item not found &gt;&gt;")</f>
        <v>&lt;&lt; Pay Item not found &gt;&gt;</v>
      </c>
      <c r="G239" s="70" t="str">
        <f>IFERROR(VLOOKUP(Items[[#This Row],[Item]],Pay.Item.Listing[],3+2*(Units&lt;&gt;"Metric"),0),"–")</f>
        <v>–</v>
      </c>
      <c r="H239" s="70" t="str">
        <f>IFERROR(VLOOKUP(Items[[#This Row],[Item]],Pay.Item.Listing[],6,0),"–")</f>
        <v>–</v>
      </c>
      <c r="I239" s="70" t="str">
        <f>IFERROR(VLOOKUP(Items[[#This Row],[Item]],Pay.Item.Listing[],7,0),"–")</f>
        <v>–</v>
      </c>
      <c r="J239" s="71"/>
      <c r="K239" s="69"/>
      <c r="L239" s="69"/>
      <c r="M239" s="69"/>
      <c r="N239" s="69"/>
      <c r="O239" s="69"/>
      <c r="P239" s="69"/>
      <c r="Q239" s="69"/>
      <c r="R239" s="69"/>
      <c r="S239" s="69"/>
      <c r="T239" s="69"/>
      <c r="U239" s="69"/>
      <c r="V239" s="69"/>
      <c r="W239" s="69"/>
      <c r="X239" s="72">
        <f>IF(LEN(Items[[#This Row],[Item]])&gt;0,IF(Items[[#This Row],[Unit]]="LPSM",1,SUM(Items[[#This Row],[Col_1]:[Col_13]])),0)</f>
        <v>0</v>
      </c>
      <c r="Y239" s="190">
        <f>MAX(Items[[#This Row],[Quantity]]-SUM(Items[[#This Row],[Account2]]:Items[[#This Row],[Account7]]),0)</f>
        <v>0</v>
      </c>
      <c r="Z239" s="61"/>
      <c r="AA239" s="61"/>
      <c r="AB239" s="61"/>
      <c r="AC239" s="61"/>
      <c r="AD239" s="61"/>
      <c r="AE239" s="61"/>
      <c r="AF239" s="73"/>
      <c r="AG239" s="71"/>
      <c r="AH239" s="74"/>
      <c r="AI239" s="59"/>
      <c r="AJ239" s="190" t="str">
        <f ca="1">IFERROR(RANK(Items[[#This Row],[EstSort]],OFFSET(Items[EstSort],0,0,ROW(Proposed[])-ROW(Items[])+ROWS(Proposed[]),1),1),"")</f>
        <v/>
      </c>
      <c r="AK239" s="190" t="str">
        <f ca="1">IF(CHOOSE(MATCH(Account,Accounts,0),Items[[#This Row],[Count]],Items[[#This Row],[Account1]],Items[[#This Row],[Account2]],Items[[#This Row],[Account3]],Items[[#This Row],[Account7]])&gt;0,Items[[#This Row],[Sort]],"")</f>
        <v/>
      </c>
      <c r="AL239" s="70" t="str">
        <f ca="1">IF(LEN(Items[[#This Row],[Count]])&gt;0,IFERROR(INDEX(Calcs[Counter],MATCH(Items[[#This Row],[Line]],Calcs[Line],0)),""),"")</f>
        <v/>
      </c>
      <c r="AM239" s="156" t="str">
        <f ca="1">IFERROR(Letter&amp;TEXT((Items[[#This Row],[Count]]-1)*Incr+BeginLine,"0000"),"")</f>
        <v/>
      </c>
      <c r="AN239" s="7" t="str">
        <f>IF(ISNA(MATCH(LEFT(Items[[#This Row],[Raw Item]],5)&amp;"-"&amp;RIGHT(Items[[#This Row],[Raw Item]],4),Pay.Item.Listing[Pay Item],0)),"",LEFT(Items[[#This Row],[Raw Item]],5)&amp;"-"&amp;RIGHT(Items[[#This Row],[Raw Item]],4))</f>
        <v/>
      </c>
    </row>
    <row r="240" spans="1:40" x14ac:dyDescent="0.15">
      <c r="A240" s="7" t="str">
        <f ca="1">IFERROR(RANK(Items[[#This Row],[Sort]],OFFSET(Items[Sort],0,0,ROW(Proposed[])-ROW(Items[])+ROWS(Proposed[]),1),1),"")</f>
        <v/>
      </c>
      <c r="B240" s="7" t="str">
        <f>IF(LEN(Items[[#This Row],[Item]])&gt;0,Items[[#This Row],[Raw Item]]+COUNTIF(AN$4:AN240,AN240)/100,"")</f>
        <v/>
      </c>
      <c r="C240" s="7">
        <f>IFERROR(VALUE(LEFT(VALUE(SUBSTITUTE(Items[[#This Row],[Pay Item]],"-",""))*100000000,9)),0)</f>
        <v>0</v>
      </c>
      <c r="D240" s="8"/>
      <c r="E240" s="127"/>
      <c r="F240" s="123" t="str">
        <f>IFERROR(SUBSTITUTE(VLOOKUP(Items[[#This Row],[Item]],Pay.Item.Listing[],2+2*(Units&lt;&gt;"Metric"),0),"{","&lt;"),"&lt;&lt; Pay Item not found &gt;&gt;")</f>
        <v>&lt;&lt; Pay Item not found &gt;&gt;</v>
      </c>
      <c r="G240" s="70" t="str">
        <f>IFERROR(VLOOKUP(Items[[#This Row],[Item]],Pay.Item.Listing[],3+2*(Units&lt;&gt;"Metric"),0),"–")</f>
        <v>–</v>
      </c>
      <c r="H240" s="70" t="str">
        <f>IFERROR(VLOOKUP(Items[[#This Row],[Item]],Pay.Item.Listing[],6,0),"–")</f>
        <v>–</v>
      </c>
      <c r="I240" s="70" t="str">
        <f>IFERROR(VLOOKUP(Items[[#This Row],[Item]],Pay.Item.Listing[],7,0),"–")</f>
        <v>–</v>
      </c>
      <c r="J240" s="71"/>
      <c r="K240" s="69"/>
      <c r="L240" s="69"/>
      <c r="M240" s="69"/>
      <c r="N240" s="69"/>
      <c r="O240" s="69"/>
      <c r="P240" s="69"/>
      <c r="Q240" s="69"/>
      <c r="R240" s="69"/>
      <c r="S240" s="69"/>
      <c r="T240" s="69"/>
      <c r="U240" s="69"/>
      <c r="V240" s="69"/>
      <c r="W240" s="69"/>
      <c r="X240" s="72">
        <f>IF(LEN(Items[[#This Row],[Item]])&gt;0,IF(Items[[#This Row],[Unit]]="LPSM",1,SUM(Items[[#This Row],[Col_1]:[Col_13]])),0)</f>
        <v>0</v>
      </c>
      <c r="Y240" s="190">
        <f>MAX(Items[[#This Row],[Quantity]]-SUM(Items[[#This Row],[Account2]]:Items[[#This Row],[Account7]]),0)</f>
        <v>0</v>
      </c>
      <c r="Z240" s="61"/>
      <c r="AA240" s="61"/>
      <c r="AB240" s="61"/>
      <c r="AC240" s="61"/>
      <c r="AD240" s="61"/>
      <c r="AE240" s="61"/>
      <c r="AF240" s="73"/>
      <c r="AG240" s="71"/>
      <c r="AH240" s="74"/>
      <c r="AI240" s="59"/>
      <c r="AJ240" s="190" t="str">
        <f ca="1">IFERROR(RANK(Items[[#This Row],[EstSort]],OFFSET(Items[EstSort],0,0,ROW(Proposed[])-ROW(Items[])+ROWS(Proposed[]),1),1),"")</f>
        <v/>
      </c>
      <c r="AK240" s="190" t="str">
        <f ca="1">IF(CHOOSE(MATCH(Account,Accounts,0),Items[[#This Row],[Count]],Items[[#This Row],[Account1]],Items[[#This Row],[Account2]],Items[[#This Row],[Account3]],Items[[#This Row],[Account7]])&gt;0,Items[[#This Row],[Sort]],"")</f>
        <v/>
      </c>
      <c r="AL240" s="70" t="str">
        <f ca="1">IF(LEN(Items[[#This Row],[Count]])&gt;0,IFERROR(INDEX(Calcs[Counter],MATCH(Items[[#This Row],[Line]],Calcs[Line],0)),""),"")</f>
        <v/>
      </c>
      <c r="AM240" s="156" t="str">
        <f ca="1">IFERROR(Letter&amp;TEXT((Items[[#This Row],[Count]]-1)*Incr+BeginLine,"0000"),"")</f>
        <v/>
      </c>
      <c r="AN240" s="7" t="str">
        <f>IF(ISNA(MATCH(LEFT(Items[[#This Row],[Raw Item]],5)&amp;"-"&amp;RIGHT(Items[[#This Row],[Raw Item]],4),Pay.Item.Listing[Pay Item],0)),"",LEFT(Items[[#This Row],[Raw Item]],5)&amp;"-"&amp;RIGHT(Items[[#This Row],[Raw Item]],4))</f>
        <v/>
      </c>
    </row>
    <row r="241" spans="1:40" x14ac:dyDescent="0.15">
      <c r="A241" s="7" t="str">
        <f ca="1">IFERROR(RANK(Items[[#This Row],[Sort]],OFFSET(Items[Sort],0,0,ROW(Proposed[])-ROW(Items[])+ROWS(Proposed[]),1),1),"")</f>
        <v/>
      </c>
      <c r="B241" s="7" t="str">
        <f>IF(LEN(Items[[#This Row],[Item]])&gt;0,Items[[#This Row],[Raw Item]]+COUNTIF(AN$4:AN241,AN241)/100,"")</f>
        <v/>
      </c>
      <c r="C241" s="7">
        <f>IFERROR(VALUE(LEFT(VALUE(SUBSTITUTE(Items[[#This Row],[Pay Item]],"-",""))*100000000,9)),0)</f>
        <v>0</v>
      </c>
      <c r="D241" s="8"/>
      <c r="E241" s="127"/>
      <c r="F241" s="123" t="str">
        <f>IFERROR(SUBSTITUTE(VLOOKUP(Items[[#This Row],[Item]],Pay.Item.Listing[],2+2*(Units&lt;&gt;"Metric"),0),"{","&lt;"),"&lt;&lt; Pay Item not found &gt;&gt;")</f>
        <v>&lt;&lt; Pay Item not found &gt;&gt;</v>
      </c>
      <c r="G241" s="70" t="str">
        <f>IFERROR(VLOOKUP(Items[[#This Row],[Item]],Pay.Item.Listing[],3+2*(Units&lt;&gt;"Metric"),0),"–")</f>
        <v>–</v>
      </c>
      <c r="H241" s="70" t="str">
        <f>IFERROR(VLOOKUP(Items[[#This Row],[Item]],Pay.Item.Listing[],6,0),"–")</f>
        <v>–</v>
      </c>
      <c r="I241" s="70" t="str">
        <f>IFERROR(VLOOKUP(Items[[#This Row],[Item]],Pay.Item.Listing[],7,0),"–")</f>
        <v>–</v>
      </c>
      <c r="J241" s="71"/>
      <c r="K241" s="69"/>
      <c r="L241" s="69"/>
      <c r="M241" s="69"/>
      <c r="N241" s="69"/>
      <c r="O241" s="69"/>
      <c r="P241" s="69"/>
      <c r="Q241" s="69"/>
      <c r="R241" s="69"/>
      <c r="S241" s="69"/>
      <c r="T241" s="69"/>
      <c r="U241" s="69"/>
      <c r="V241" s="69"/>
      <c r="W241" s="69"/>
      <c r="X241" s="72">
        <f>IF(LEN(Items[[#This Row],[Item]])&gt;0,IF(Items[[#This Row],[Unit]]="LPSM",1,SUM(Items[[#This Row],[Col_1]:[Col_13]])),0)</f>
        <v>0</v>
      </c>
      <c r="Y241" s="190">
        <f>MAX(Items[[#This Row],[Quantity]]-SUM(Items[[#This Row],[Account2]]:Items[[#This Row],[Account7]]),0)</f>
        <v>0</v>
      </c>
      <c r="Z241" s="61"/>
      <c r="AA241" s="61"/>
      <c r="AB241" s="61"/>
      <c r="AC241" s="61"/>
      <c r="AD241" s="61"/>
      <c r="AE241" s="61"/>
      <c r="AF241" s="73"/>
      <c r="AG241" s="71"/>
      <c r="AH241" s="74"/>
      <c r="AI241" s="59"/>
      <c r="AJ241" s="190" t="str">
        <f ca="1">IFERROR(RANK(Items[[#This Row],[EstSort]],OFFSET(Items[EstSort],0,0,ROW(Proposed[])-ROW(Items[])+ROWS(Proposed[]),1),1),"")</f>
        <v/>
      </c>
      <c r="AK241" s="190" t="str">
        <f ca="1">IF(CHOOSE(MATCH(Account,Accounts,0),Items[[#This Row],[Count]],Items[[#This Row],[Account1]],Items[[#This Row],[Account2]],Items[[#This Row],[Account3]],Items[[#This Row],[Account7]])&gt;0,Items[[#This Row],[Sort]],"")</f>
        <v/>
      </c>
      <c r="AL241" s="70" t="str">
        <f ca="1">IF(LEN(Items[[#This Row],[Count]])&gt;0,IFERROR(INDEX(Calcs[Counter],MATCH(Items[[#This Row],[Line]],Calcs[Line],0)),""),"")</f>
        <v/>
      </c>
      <c r="AM241" s="156" t="str">
        <f ca="1">IFERROR(Letter&amp;TEXT((Items[[#This Row],[Count]]-1)*Incr+BeginLine,"0000"),"")</f>
        <v/>
      </c>
      <c r="AN241" s="7" t="str">
        <f>IF(ISNA(MATCH(LEFT(Items[[#This Row],[Raw Item]],5)&amp;"-"&amp;RIGHT(Items[[#This Row],[Raw Item]],4),Pay.Item.Listing[Pay Item],0)),"",LEFT(Items[[#This Row],[Raw Item]],5)&amp;"-"&amp;RIGHT(Items[[#This Row],[Raw Item]],4))</f>
        <v/>
      </c>
    </row>
    <row r="242" spans="1:40" x14ac:dyDescent="0.15">
      <c r="A242" s="7" t="str">
        <f ca="1">IFERROR(RANK(Items[[#This Row],[Sort]],OFFSET(Items[Sort],0,0,ROW(Proposed[])-ROW(Items[])+ROWS(Proposed[]),1),1),"")</f>
        <v/>
      </c>
      <c r="B242" s="7" t="str">
        <f>IF(LEN(Items[[#This Row],[Item]])&gt;0,Items[[#This Row],[Raw Item]]+COUNTIF(AN$4:AN242,AN242)/100,"")</f>
        <v/>
      </c>
      <c r="C242" s="7">
        <f>IFERROR(VALUE(LEFT(VALUE(SUBSTITUTE(Items[[#This Row],[Pay Item]],"-",""))*100000000,9)),0)</f>
        <v>0</v>
      </c>
      <c r="D242" s="8"/>
      <c r="E242" s="127"/>
      <c r="F242" s="123" t="str">
        <f>IFERROR(SUBSTITUTE(VLOOKUP(Items[[#This Row],[Item]],Pay.Item.Listing[],2+2*(Units&lt;&gt;"Metric"),0),"{","&lt;"),"&lt;&lt; Pay Item not found &gt;&gt;")</f>
        <v>&lt;&lt; Pay Item not found &gt;&gt;</v>
      </c>
      <c r="G242" s="70" t="str">
        <f>IFERROR(VLOOKUP(Items[[#This Row],[Item]],Pay.Item.Listing[],3+2*(Units&lt;&gt;"Metric"),0),"–")</f>
        <v>–</v>
      </c>
      <c r="H242" s="70" t="str">
        <f>IFERROR(VLOOKUP(Items[[#This Row],[Item]],Pay.Item.Listing[],6,0),"–")</f>
        <v>–</v>
      </c>
      <c r="I242" s="70" t="str">
        <f>IFERROR(VLOOKUP(Items[[#This Row],[Item]],Pay.Item.Listing[],7,0),"–")</f>
        <v>–</v>
      </c>
      <c r="J242" s="71"/>
      <c r="K242" s="69"/>
      <c r="L242" s="69"/>
      <c r="M242" s="69"/>
      <c r="N242" s="69"/>
      <c r="O242" s="69"/>
      <c r="P242" s="69"/>
      <c r="Q242" s="69"/>
      <c r="R242" s="69"/>
      <c r="S242" s="69"/>
      <c r="T242" s="69"/>
      <c r="U242" s="69"/>
      <c r="V242" s="69"/>
      <c r="W242" s="69"/>
      <c r="X242" s="72">
        <f>IF(LEN(Items[[#This Row],[Item]])&gt;0,IF(Items[[#This Row],[Unit]]="LPSM",1,SUM(Items[[#This Row],[Col_1]:[Col_13]])),0)</f>
        <v>0</v>
      </c>
      <c r="Y242" s="190">
        <f>MAX(Items[[#This Row],[Quantity]]-SUM(Items[[#This Row],[Account2]]:Items[[#This Row],[Account7]]),0)</f>
        <v>0</v>
      </c>
      <c r="Z242" s="61"/>
      <c r="AA242" s="61"/>
      <c r="AB242" s="61"/>
      <c r="AC242" s="61"/>
      <c r="AD242" s="61"/>
      <c r="AE242" s="61"/>
      <c r="AF242" s="73"/>
      <c r="AG242" s="71"/>
      <c r="AH242" s="74"/>
      <c r="AI242" s="59"/>
      <c r="AJ242" s="190" t="str">
        <f ca="1">IFERROR(RANK(Items[[#This Row],[EstSort]],OFFSET(Items[EstSort],0,0,ROW(Proposed[])-ROW(Items[])+ROWS(Proposed[]),1),1),"")</f>
        <v/>
      </c>
      <c r="AK242" s="190" t="str">
        <f ca="1">IF(CHOOSE(MATCH(Account,Accounts,0),Items[[#This Row],[Count]],Items[[#This Row],[Account1]],Items[[#This Row],[Account2]],Items[[#This Row],[Account3]],Items[[#This Row],[Account7]])&gt;0,Items[[#This Row],[Sort]],"")</f>
        <v/>
      </c>
      <c r="AL242" s="70" t="str">
        <f ca="1">IF(LEN(Items[[#This Row],[Count]])&gt;0,IFERROR(INDEX(Calcs[Counter],MATCH(Items[[#This Row],[Line]],Calcs[Line],0)),""),"")</f>
        <v/>
      </c>
      <c r="AM242" s="156" t="str">
        <f ca="1">IFERROR(Letter&amp;TEXT((Items[[#This Row],[Count]]-1)*Incr+BeginLine,"0000"),"")</f>
        <v/>
      </c>
      <c r="AN242" s="7" t="str">
        <f>IF(ISNA(MATCH(LEFT(Items[[#This Row],[Raw Item]],5)&amp;"-"&amp;RIGHT(Items[[#This Row],[Raw Item]],4),Pay.Item.Listing[Pay Item],0)),"",LEFT(Items[[#This Row],[Raw Item]],5)&amp;"-"&amp;RIGHT(Items[[#This Row],[Raw Item]],4))</f>
        <v/>
      </c>
    </row>
    <row r="243" spans="1:40" x14ac:dyDescent="0.15">
      <c r="A243" s="7" t="str">
        <f ca="1">IFERROR(RANK(Items[[#This Row],[Sort]],OFFSET(Items[Sort],0,0,ROW(Proposed[])-ROW(Items[])+ROWS(Proposed[]),1),1),"")</f>
        <v/>
      </c>
      <c r="B243" s="7" t="str">
        <f>IF(LEN(Items[[#This Row],[Item]])&gt;0,Items[[#This Row],[Raw Item]]+COUNTIF(AN$4:AN243,AN243)/100,"")</f>
        <v/>
      </c>
      <c r="C243" s="7">
        <f>IFERROR(VALUE(LEFT(VALUE(SUBSTITUTE(Items[[#This Row],[Pay Item]],"-",""))*100000000,9)),0)</f>
        <v>0</v>
      </c>
      <c r="D243" s="8"/>
      <c r="E243" s="127"/>
      <c r="F243" s="123" t="str">
        <f>IFERROR(SUBSTITUTE(VLOOKUP(Items[[#This Row],[Item]],Pay.Item.Listing[],2+2*(Units&lt;&gt;"Metric"),0),"{","&lt;"),"&lt;&lt; Pay Item not found &gt;&gt;")</f>
        <v>&lt;&lt; Pay Item not found &gt;&gt;</v>
      </c>
      <c r="G243" s="70" t="str">
        <f>IFERROR(VLOOKUP(Items[[#This Row],[Item]],Pay.Item.Listing[],3+2*(Units&lt;&gt;"Metric"),0),"–")</f>
        <v>–</v>
      </c>
      <c r="H243" s="70" t="str">
        <f>IFERROR(VLOOKUP(Items[[#This Row],[Item]],Pay.Item.Listing[],6,0),"–")</f>
        <v>–</v>
      </c>
      <c r="I243" s="70" t="str">
        <f>IFERROR(VLOOKUP(Items[[#This Row],[Item]],Pay.Item.Listing[],7,0),"–")</f>
        <v>–</v>
      </c>
      <c r="J243" s="71"/>
      <c r="K243" s="69"/>
      <c r="L243" s="69"/>
      <c r="M243" s="69"/>
      <c r="N243" s="69"/>
      <c r="O243" s="69"/>
      <c r="P243" s="69"/>
      <c r="Q243" s="69"/>
      <c r="R243" s="69"/>
      <c r="S243" s="69"/>
      <c r="T243" s="69"/>
      <c r="U243" s="69"/>
      <c r="V243" s="69"/>
      <c r="W243" s="69"/>
      <c r="X243" s="72">
        <f>IF(LEN(Items[[#This Row],[Item]])&gt;0,IF(Items[[#This Row],[Unit]]="LPSM",1,SUM(Items[[#This Row],[Col_1]:[Col_13]])),0)</f>
        <v>0</v>
      </c>
      <c r="Y243" s="190">
        <f>MAX(Items[[#This Row],[Quantity]]-SUM(Items[[#This Row],[Account2]]:Items[[#This Row],[Account7]]),0)</f>
        <v>0</v>
      </c>
      <c r="Z243" s="61"/>
      <c r="AA243" s="61"/>
      <c r="AB243" s="61"/>
      <c r="AC243" s="61"/>
      <c r="AD243" s="61"/>
      <c r="AE243" s="61"/>
      <c r="AF243" s="73"/>
      <c r="AG243" s="71"/>
      <c r="AH243" s="74"/>
      <c r="AI243" s="59"/>
      <c r="AJ243" s="190" t="str">
        <f ca="1">IFERROR(RANK(Items[[#This Row],[EstSort]],OFFSET(Items[EstSort],0,0,ROW(Proposed[])-ROW(Items[])+ROWS(Proposed[]),1),1),"")</f>
        <v/>
      </c>
      <c r="AK243" s="190" t="str">
        <f ca="1">IF(CHOOSE(MATCH(Account,Accounts,0),Items[[#This Row],[Count]],Items[[#This Row],[Account1]],Items[[#This Row],[Account2]],Items[[#This Row],[Account3]],Items[[#This Row],[Account7]])&gt;0,Items[[#This Row],[Sort]],"")</f>
        <v/>
      </c>
      <c r="AL243" s="70" t="str">
        <f ca="1">IF(LEN(Items[[#This Row],[Count]])&gt;0,IFERROR(INDEX(Calcs[Counter],MATCH(Items[[#This Row],[Line]],Calcs[Line],0)),""),"")</f>
        <v/>
      </c>
      <c r="AM243" s="156" t="str">
        <f ca="1">IFERROR(Letter&amp;TEXT((Items[[#This Row],[Count]]-1)*Incr+BeginLine,"0000"),"")</f>
        <v/>
      </c>
      <c r="AN243" s="7" t="str">
        <f>IF(ISNA(MATCH(LEFT(Items[[#This Row],[Raw Item]],5)&amp;"-"&amp;RIGHT(Items[[#This Row],[Raw Item]],4),Pay.Item.Listing[Pay Item],0)),"",LEFT(Items[[#This Row],[Raw Item]],5)&amp;"-"&amp;RIGHT(Items[[#This Row],[Raw Item]],4))</f>
        <v/>
      </c>
    </row>
    <row r="244" spans="1:40" x14ac:dyDescent="0.15">
      <c r="A244" s="7" t="str">
        <f ca="1">IFERROR(RANK(Items[[#This Row],[Sort]],OFFSET(Items[Sort],0,0,ROW(Proposed[])-ROW(Items[])+ROWS(Proposed[]),1),1),"")</f>
        <v/>
      </c>
      <c r="B244" s="7" t="str">
        <f>IF(LEN(Items[[#This Row],[Item]])&gt;0,Items[[#This Row],[Raw Item]]+COUNTIF(AN$4:AN244,AN244)/100,"")</f>
        <v/>
      </c>
      <c r="C244" s="7">
        <f>IFERROR(VALUE(LEFT(VALUE(SUBSTITUTE(Items[[#This Row],[Pay Item]],"-",""))*100000000,9)),0)</f>
        <v>0</v>
      </c>
      <c r="D244" s="8"/>
      <c r="E244" s="127"/>
      <c r="F244" s="123" t="str">
        <f>IFERROR(SUBSTITUTE(VLOOKUP(Items[[#This Row],[Item]],Pay.Item.Listing[],2+2*(Units&lt;&gt;"Metric"),0),"{","&lt;"),"&lt;&lt; Pay Item not found &gt;&gt;")</f>
        <v>&lt;&lt; Pay Item not found &gt;&gt;</v>
      </c>
      <c r="G244" s="70" t="str">
        <f>IFERROR(VLOOKUP(Items[[#This Row],[Item]],Pay.Item.Listing[],3+2*(Units&lt;&gt;"Metric"),0),"–")</f>
        <v>–</v>
      </c>
      <c r="H244" s="70" t="str">
        <f>IFERROR(VLOOKUP(Items[[#This Row],[Item]],Pay.Item.Listing[],6,0),"–")</f>
        <v>–</v>
      </c>
      <c r="I244" s="70" t="str">
        <f>IFERROR(VLOOKUP(Items[[#This Row],[Item]],Pay.Item.Listing[],7,0),"–")</f>
        <v>–</v>
      </c>
      <c r="J244" s="71"/>
      <c r="K244" s="69"/>
      <c r="L244" s="69"/>
      <c r="M244" s="69"/>
      <c r="N244" s="69"/>
      <c r="O244" s="69"/>
      <c r="P244" s="69"/>
      <c r="Q244" s="69"/>
      <c r="R244" s="69"/>
      <c r="S244" s="69"/>
      <c r="T244" s="69"/>
      <c r="U244" s="69"/>
      <c r="V244" s="69"/>
      <c r="W244" s="69"/>
      <c r="X244" s="72">
        <f>IF(LEN(Items[[#This Row],[Item]])&gt;0,IF(Items[[#This Row],[Unit]]="LPSM",1,SUM(Items[[#This Row],[Col_1]:[Col_13]])),0)</f>
        <v>0</v>
      </c>
      <c r="Y244" s="190">
        <f>MAX(Items[[#This Row],[Quantity]]-SUM(Items[[#This Row],[Account2]]:Items[[#This Row],[Account7]]),0)</f>
        <v>0</v>
      </c>
      <c r="Z244" s="61"/>
      <c r="AA244" s="61"/>
      <c r="AB244" s="61"/>
      <c r="AC244" s="61"/>
      <c r="AD244" s="61"/>
      <c r="AE244" s="61"/>
      <c r="AF244" s="73"/>
      <c r="AG244" s="71"/>
      <c r="AH244" s="74"/>
      <c r="AI244" s="59"/>
      <c r="AJ244" s="190" t="str">
        <f ca="1">IFERROR(RANK(Items[[#This Row],[EstSort]],OFFSET(Items[EstSort],0,0,ROW(Proposed[])-ROW(Items[])+ROWS(Proposed[]),1),1),"")</f>
        <v/>
      </c>
      <c r="AK244" s="190" t="str">
        <f ca="1">IF(CHOOSE(MATCH(Account,Accounts,0),Items[[#This Row],[Count]],Items[[#This Row],[Account1]],Items[[#This Row],[Account2]],Items[[#This Row],[Account3]],Items[[#This Row],[Account7]])&gt;0,Items[[#This Row],[Sort]],"")</f>
        <v/>
      </c>
      <c r="AL244" s="70" t="str">
        <f ca="1">IF(LEN(Items[[#This Row],[Count]])&gt;0,IFERROR(INDEX(Calcs[Counter],MATCH(Items[[#This Row],[Line]],Calcs[Line],0)),""),"")</f>
        <v/>
      </c>
      <c r="AM244" s="156" t="str">
        <f ca="1">IFERROR(Letter&amp;TEXT((Items[[#This Row],[Count]]-1)*Incr+BeginLine,"0000"),"")</f>
        <v/>
      </c>
      <c r="AN244" s="7" t="str">
        <f>IF(ISNA(MATCH(LEFT(Items[[#This Row],[Raw Item]],5)&amp;"-"&amp;RIGHT(Items[[#This Row],[Raw Item]],4),Pay.Item.Listing[Pay Item],0)),"",LEFT(Items[[#This Row],[Raw Item]],5)&amp;"-"&amp;RIGHT(Items[[#This Row],[Raw Item]],4))</f>
        <v/>
      </c>
    </row>
    <row r="245" spans="1:40" x14ac:dyDescent="0.15">
      <c r="A245" s="7" t="str">
        <f ca="1">IFERROR(RANK(Items[[#This Row],[Sort]],OFFSET(Items[Sort],0,0,ROW(Proposed[])-ROW(Items[])+ROWS(Proposed[]),1),1),"")</f>
        <v/>
      </c>
      <c r="B245" s="7" t="str">
        <f>IF(LEN(Items[[#This Row],[Item]])&gt;0,Items[[#This Row],[Raw Item]]+COUNTIF(AN$4:AN245,AN245)/100,"")</f>
        <v/>
      </c>
      <c r="C245" s="7">
        <f>IFERROR(VALUE(LEFT(VALUE(SUBSTITUTE(Items[[#This Row],[Pay Item]],"-",""))*100000000,9)),0)</f>
        <v>0</v>
      </c>
      <c r="D245" s="8"/>
      <c r="E245" s="127"/>
      <c r="F245" s="123" t="str">
        <f>IFERROR(SUBSTITUTE(VLOOKUP(Items[[#This Row],[Item]],Pay.Item.Listing[],2+2*(Units&lt;&gt;"Metric"),0),"{","&lt;"),"&lt;&lt; Pay Item not found &gt;&gt;")</f>
        <v>&lt;&lt; Pay Item not found &gt;&gt;</v>
      </c>
      <c r="G245" s="70" t="str">
        <f>IFERROR(VLOOKUP(Items[[#This Row],[Item]],Pay.Item.Listing[],3+2*(Units&lt;&gt;"Metric"),0),"–")</f>
        <v>–</v>
      </c>
      <c r="H245" s="70" t="str">
        <f>IFERROR(VLOOKUP(Items[[#This Row],[Item]],Pay.Item.Listing[],6,0),"–")</f>
        <v>–</v>
      </c>
      <c r="I245" s="70" t="str">
        <f>IFERROR(VLOOKUP(Items[[#This Row],[Item]],Pay.Item.Listing[],7,0),"–")</f>
        <v>–</v>
      </c>
      <c r="J245" s="71"/>
      <c r="K245" s="69"/>
      <c r="L245" s="69"/>
      <c r="M245" s="69"/>
      <c r="N245" s="69"/>
      <c r="O245" s="69"/>
      <c r="P245" s="69"/>
      <c r="Q245" s="69"/>
      <c r="R245" s="69"/>
      <c r="S245" s="69"/>
      <c r="T245" s="69"/>
      <c r="U245" s="69"/>
      <c r="V245" s="69"/>
      <c r="W245" s="69"/>
      <c r="X245" s="72">
        <f>IF(LEN(Items[[#This Row],[Item]])&gt;0,IF(Items[[#This Row],[Unit]]="LPSM",1,SUM(Items[[#This Row],[Col_1]:[Col_13]])),0)</f>
        <v>0</v>
      </c>
      <c r="Y245" s="190">
        <f>MAX(Items[[#This Row],[Quantity]]-SUM(Items[[#This Row],[Account2]]:Items[[#This Row],[Account7]]),0)</f>
        <v>0</v>
      </c>
      <c r="Z245" s="61"/>
      <c r="AA245" s="61"/>
      <c r="AB245" s="61"/>
      <c r="AC245" s="61"/>
      <c r="AD245" s="61"/>
      <c r="AE245" s="61"/>
      <c r="AF245" s="73"/>
      <c r="AG245" s="71"/>
      <c r="AH245" s="74"/>
      <c r="AI245" s="59"/>
      <c r="AJ245" s="190" t="str">
        <f ca="1">IFERROR(RANK(Items[[#This Row],[EstSort]],OFFSET(Items[EstSort],0,0,ROW(Proposed[])-ROW(Items[])+ROWS(Proposed[]),1),1),"")</f>
        <v/>
      </c>
      <c r="AK245" s="190" t="str">
        <f ca="1">IF(CHOOSE(MATCH(Account,Accounts,0),Items[[#This Row],[Count]],Items[[#This Row],[Account1]],Items[[#This Row],[Account2]],Items[[#This Row],[Account3]],Items[[#This Row],[Account7]])&gt;0,Items[[#This Row],[Sort]],"")</f>
        <v/>
      </c>
      <c r="AL245" s="70" t="str">
        <f ca="1">IF(LEN(Items[[#This Row],[Count]])&gt;0,IFERROR(INDEX(Calcs[Counter],MATCH(Items[[#This Row],[Line]],Calcs[Line],0)),""),"")</f>
        <v/>
      </c>
      <c r="AM245" s="156" t="str">
        <f ca="1">IFERROR(Letter&amp;TEXT((Items[[#This Row],[Count]]-1)*Incr+BeginLine,"0000"),"")</f>
        <v/>
      </c>
      <c r="AN245" s="7" t="str">
        <f>IF(ISNA(MATCH(LEFT(Items[[#This Row],[Raw Item]],5)&amp;"-"&amp;RIGHT(Items[[#This Row],[Raw Item]],4),Pay.Item.Listing[Pay Item],0)),"",LEFT(Items[[#This Row],[Raw Item]],5)&amp;"-"&amp;RIGHT(Items[[#This Row],[Raw Item]],4))</f>
        <v/>
      </c>
    </row>
    <row r="246" spans="1:40" x14ac:dyDescent="0.15">
      <c r="A246" s="7" t="str">
        <f ca="1">IFERROR(RANK(Items[[#This Row],[Sort]],OFFSET(Items[Sort],0,0,ROW(Proposed[])-ROW(Items[])+ROWS(Proposed[]),1),1),"")</f>
        <v/>
      </c>
      <c r="B246" s="7" t="str">
        <f>IF(LEN(Items[[#This Row],[Item]])&gt;0,Items[[#This Row],[Raw Item]]+COUNTIF(AN$4:AN246,AN246)/100,"")</f>
        <v/>
      </c>
      <c r="C246" s="7">
        <f>IFERROR(VALUE(LEFT(VALUE(SUBSTITUTE(Items[[#This Row],[Pay Item]],"-",""))*100000000,9)),0)</f>
        <v>0</v>
      </c>
      <c r="D246" s="8"/>
      <c r="E246" s="127"/>
      <c r="F246" s="123" t="str">
        <f>IFERROR(SUBSTITUTE(VLOOKUP(Items[[#This Row],[Item]],Pay.Item.Listing[],2+2*(Units&lt;&gt;"Metric"),0),"{","&lt;"),"&lt;&lt; Pay Item not found &gt;&gt;")</f>
        <v>&lt;&lt; Pay Item not found &gt;&gt;</v>
      </c>
      <c r="G246" s="70" t="str">
        <f>IFERROR(VLOOKUP(Items[[#This Row],[Item]],Pay.Item.Listing[],3+2*(Units&lt;&gt;"Metric"),0),"–")</f>
        <v>–</v>
      </c>
      <c r="H246" s="70" t="str">
        <f>IFERROR(VLOOKUP(Items[[#This Row],[Item]],Pay.Item.Listing[],6,0),"–")</f>
        <v>–</v>
      </c>
      <c r="I246" s="70" t="str">
        <f>IFERROR(VLOOKUP(Items[[#This Row],[Item]],Pay.Item.Listing[],7,0),"–")</f>
        <v>–</v>
      </c>
      <c r="J246" s="71"/>
      <c r="K246" s="69"/>
      <c r="L246" s="69"/>
      <c r="M246" s="69"/>
      <c r="N246" s="69"/>
      <c r="O246" s="69"/>
      <c r="P246" s="69"/>
      <c r="Q246" s="69"/>
      <c r="R246" s="69"/>
      <c r="S246" s="69"/>
      <c r="T246" s="69"/>
      <c r="U246" s="69"/>
      <c r="V246" s="69"/>
      <c r="W246" s="69"/>
      <c r="X246" s="72">
        <f>IF(LEN(Items[[#This Row],[Item]])&gt;0,IF(Items[[#This Row],[Unit]]="LPSM",1,SUM(Items[[#This Row],[Col_1]:[Col_13]])),0)</f>
        <v>0</v>
      </c>
      <c r="Y246" s="190">
        <f>MAX(Items[[#This Row],[Quantity]]-SUM(Items[[#This Row],[Account2]]:Items[[#This Row],[Account7]]),0)</f>
        <v>0</v>
      </c>
      <c r="Z246" s="61"/>
      <c r="AA246" s="61"/>
      <c r="AB246" s="61"/>
      <c r="AC246" s="61"/>
      <c r="AD246" s="61"/>
      <c r="AE246" s="61"/>
      <c r="AF246" s="73"/>
      <c r="AG246" s="71"/>
      <c r="AH246" s="74"/>
      <c r="AI246" s="59"/>
      <c r="AJ246" s="190" t="str">
        <f ca="1">IFERROR(RANK(Items[[#This Row],[EstSort]],OFFSET(Items[EstSort],0,0,ROW(Proposed[])-ROW(Items[])+ROWS(Proposed[]),1),1),"")</f>
        <v/>
      </c>
      <c r="AK246" s="190" t="str">
        <f ca="1">IF(CHOOSE(MATCH(Account,Accounts,0),Items[[#This Row],[Count]],Items[[#This Row],[Account1]],Items[[#This Row],[Account2]],Items[[#This Row],[Account3]],Items[[#This Row],[Account7]])&gt;0,Items[[#This Row],[Sort]],"")</f>
        <v/>
      </c>
      <c r="AL246" s="70" t="str">
        <f ca="1">IF(LEN(Items[[#This Row],[Count]])&gt;0,IFERROR(INDEX(Calcs[Counter],MATCH(Items[[#This Row],[Line]],Calcs[Line],0)),""),"")</f>
        <v/>
      </c>
      <c r="AM246" s="156" t="str">
        <f ca="1">IFERROR(Letter&amp;TEXT((Items[[#This Row],[Count]]-1)*Incr+BeginLine,"0000"),"")</f>
        <v/>
      </c>
      <c r="AN246" s="7" t="str">
        <f>IF(ISNA(MATCH(LEFT(Items[[#This Row],[Raw Item]],5)&amp;"-"&amp;RIGHT(Items[[#This Row],[Raw Item]],4),Pay.Item.Listing[Pay Item],0)),"",LEFT(Items[[#This Row],[Raw Item]],5)&amp;"-"&amp;RIGHT(Items[[#This Row],[Raw Item]],4))</f>
        <v/>
      </c>
    </row>
    <row r="247" spans="1:40" x14ac:dyDescent="0.15">
      <c r="A247" s="7" t="str">
        <f ca="1">IFERROR(RANK(Items[[#This Row],[Sort]],OFFSET(Items[Sort],0,0,ROW(Proposed[])-ROW(Items[])+ROWS(Proposed[]),1),1),"")</f>
        <v/>
      </c>
      <c r="B247" s="7" t="str">
        <f>IF(LEN(Items[[#This Row],[Item]])&gt;0,Items[[#This Row],[Raw Item]]+COUNTIF(AN$4:AN247,AN247)/100,"")</f>
        <v/>
      </c>
      <c r="C247" s="7">
        <f>IFERROR(VALUE(LEFT(VALUE(SUBSTITUTE(Items[[#This Row],[Pay Item]],"-",""))*100000000,9)),0)</f>
        <v>0</v>
      </c>
      <c r="D247" s="8"/>
      <c r="E247" s="127"/>
      <c r="F247" s="123" t="str">
        <f>IFERROR(SUBSTITUTE(VLOOKUP(Items[[#This Row],[Item]],Pay.Item.Listing[],2+2*(Units&lt;&gt;"Metric"),0),"{","&lt;"),"&lt;&lt; Pay Item not found &gt;&gt;")</f>
        <v>&lt;&lt; Pay Item not found &gt;&gt;</v>
      </c>
      <c r="G247" s="70" t="str">
        <f>IFERROR(VLOOKUP(Items[[#This Row],[Item]],Pay.Item.Listing[],3+2*(Units&lt;&gt;"Metric"),0),"–")</f>
        <v>–</v>
      </c>
      <c r="H247" s="70" t="str">
        <f>IFERROR(VLOOKUP(Items[[#This Row],[Item]],Pay.Item.Listing[],6,0),"–")</f>
        <v>–</v>
      </c>
      <c r="I247" s="70" t="str">
        <f>IFERROR(VLOOKUP(Items[[#This Row],[Item]],Pay.Item.Listing[],7,0),"–")</f>
        <v>–</v>
      </c>
      <c r="J247" s="71"/>
      <c r="K247" s="69"/>
      <c r="L247" s="69"/>
      <c r="M247" s="69"/>
      <c r="N247" s="69"/>
      <c r="O247" s="69"/>
      <c r="P247" s="69"/>
      <c r="Q247" s="69"/>
      <c r="R247" s="69"/>
      <c r="S247" s="69"/>
      <c r="T247" s="69"/>
      <c r="U247" s="69"/>
      <c r="V247" s="69"/>
      <c r="W247" s="69"/>
      <c r="X247" s="72">
        <f>IF(LEN(Items[[#This Row],[Item]])&gt;0,IF(Items[[#This Row],[Unit]]="LPSM",1,SUM(Items[[#This Row],[Col_1]:[Col_13]])),0)</f>
        <v>0</v>
      </c>
      <c r="Y247" s="190">
        <f>MAX(Items[[#This Row],[Quantity]]-SUM(Items[[#This Row],[Account2]]:Items[[#This Row],[Account7]]),0)</f>
        <v>0</v>
      </c>
      <c r="Z247" s="61"/>
      <c r="AA247" s="61"/>
      <c r="AB247" s="61"/>
      <c r="AC247" s="61"/>
      <c r="AD247" s="61"/>
      <c r="AE247" s="61"/>
      <c r="AF247" s="73"/>
      <c r="AG247" s="71"/>
      <c r="AH247" s="74"/>
      <c r="AI247" s="59"/>
      <c r="AJ247" s="190" t="str">
        <f ca="1">IFERROR(RANK(Items[[#This Row],[EstSort]],OFFSET(Items[EstSort],0,0,ROW(Proposed[])-ROW(Items[])+ROWS(Proposed[]),1),1),"")</f>
        <v/>
      </c>
      <c r="AK247" s="190" t="str">
        <f ca="1">IF(CHOOSE(MATCH(Account,Accounts,0),Items[[#This Row],[Count]],Items[[#This Row],[Account1]],Items[[#This Row],[Account2]],Items[[#This Row],[Account3]],Items[[#This Row],[Account7]])&gt;0,Items[[#This Row],[Sort]],"")</f>
        <v/>
      </c>
      <c r="AL247" s="70" t="str">
        <f ca="1">IF(LEN(Items[[#This Row],[Count]])&gt;0,IFERROR(INDEX(Calcs[Counter],MATCH(Items[[#This Row],[Line]],Calcs[Line],0)),""),"")</f>
        <v/>
      </c>
      <c r="AM247" s="156" t="str">
        <f ca="1">IFERROR(Letter&amp;TEXT((Items[[#This Row],[Count]]-1)*Incr+BeginLine,"0000"),"")</f>
        <v/>
      </c>
      <c r="AN247" s="7" t="str">
        <f>IF(ISNA(MATCH(LEFT(Items[[#This Row],[Raw Item]],5)&amp;"-"&amp;RIGHT(Items[[#This Row],[Raw Item]],4),Pay.Item.Listing[Pay Item],0)),"",LEFT(Items[[#This Row],[Raw Item]],5)&amp;"-"&amp;RIGHT(Items[[#This Row],[Raw Item]],4))</f>
        <v/>
      </c>
    </row>
    <row r="248" spans="1:40" x14ac:dyDescent="0.15">
      <c r="A248" s="7" t="str">
        <f ca="1">IFERROR(RANK(Items[[#This Row],[Sort]],OFFSET(Items[Sort],0,0,ROW(Proposed[])-ROW(Items[])+ROWS(Proposed[]),1),1),"")</f>
        <v/>
      </c>
      <c r="B248" s="7" t="str">
        <f>IF(LEN(Items[[#This Row],[Item]])&gt;0,Items[[#This Row],[Raw Item]]+COUNTIF(AN$4:AN248,AN248)/100,"")</f>
        <v/>
      </c>
      <c r="C248" s="7">
        <f>IFERROR(VALUE(LEFT(VALUE(SUBSTITUTE(Items[[#This Row],[Pay Item]],"-",""))*100000000,9)),0)</f>
        <v>0</v>
      </c>
      <c r="D248" s="8"/>
      <c r="E248" s="127"/>
      <c r="F248" s="123" t="str">
        <f>IFERROR(SUBSTITUTE(VLOOKUP(Items[[#This Row],[Item]],Pay.Item.Listing[],2+2*(Units&lt;&gt;"Metric"),0),"{","&lt;"),"&lt;&lt; Pay Item not found &gt;&gt;")</f>
        <v>&lt;&lt; Pay Item not found &gt;&gt;</v>
      </c>
      <c r="G248" s="70" t="str">
        <f>IFERROR(VLOOKUP(Items[[#This Row],[Item]],Pay.Item.Listing[],3+2*(Units&lt;&gt;"Metric"),0),"–")</f>
        <v>–</v>
      </c>
      <c r="H248" s="70" t="str">
        <f>IFERROR(VLOOKUP(Items[[#This Row],[Item]],Pay.Item.Listing[],6,0),"–")</f>
        <v>–</v>
      </c>
      <c r="I248" s="70" t="str">
        <f>IFERROR(VLOOKUP(Items[[#This Row],[Item]],Pay.Item.Listing[],7,0),"–")</f>
        <v>–</v>
      </c>
      <c r="J248" s="71"/>
      <c r="K248" s="69"/>
      <c r="L248" s="69"/>
      <c r="M248" s="69"/>
      <c r="N248" s="69"/>
      <c r="O248" s="69"/>
      <c r="P248" s="69"/>
      <c r="Q248" s="69"/>
      <c r="R248" s="69"/>
      <c r="S248" s="69"/>
      <c r="T248" s="69"/>
      <c r="U248" s="69"/>
      <c r="V248" s="69"/>
      <c r="W248" s="69"/>
      <c r="X248" s="72">
        <f>IF(LEN(Items[[#This Row],[Item]])&gt;0,IF(Items[[#This Row],[Unit]]="LPSM",1,SUM(Items[[#This Row],[Col_1]:[Col_13]])),0)</f>
        <v>0</v>
      </c>
      <c r="Y248" s="190">
        <f>MAX(Items[[#This Row],[Quantity]]-SUM(Items[[#This Row],[Account2]]:Items[[#This Row],[Account7]]),0)</f>
        <v>0</v>
      </c>
      <c r="Z248" s="61"/>
      <c r="AA248" s="61"/>
      <c r="AB248" s="61"/>
      <c r="AC248" s="61"/>
      <c r="AD248" s="61"/>
      <c r="AE248" s="61"/>
      <c r="AF248" s="73"/>
      <c r="AG248" s="71"/>
      <c r="AH248" s="74"/>
      <c r="AI248" s="59"/>
      <c r="AJ248" s="190" t="str">
        <f ca="1">IFERROR(RANK(Items[[#This Row],[EstSort]],OFFSET(Items[EstSort],0,0,ROW(Proposed[])-ROW(Items[])+ROWS(Proposed[]),1),1),"")</f>
        <v/>
      </c>
      <c r="AK248" s="190" t="str">
        <f ca="1">IF(CHOOSE(MATCH(Account,Accounts,0),Items[[#This Row],[Count]],Items[[#This Row],[Account1]],Items[[#This Row],[Account2]],Items[[#This Row],[Account3]],Items[[#This Row],[Account7]])&gt;0,Items[[#This Row],[Sort]],"")</f>
        <v/>
      </c>
      <c r="AL248" s="70" t="str">
        <f ca="1">IF(LEN(Items[[#This Row],[Count]])&gt;0,IFERROR(INDEX(Calcs[Counter],MATCH(Items[[#This Row],[Line]],Calcs[Line],0)),""),"")</f>
        <v/>
      </c>
      <c r="AM248" s="156" t="str">
        <f ca="1">IFERROR(Letter&amp;TEXT((Items[[#This Row],[Count]]-1)*Incr+BeginLine,"0000"),"")</f>
        <v/>
      </c>
      <c r="AN248" s="7" t="str">
        <f>IF(ISNA(MATCH(LEFT(Items[[#This Row],[Raw Item]],5)&amp;"-"&amp;RIGHT(Items[[#This Row],[Raw Item]],4),Pay.Item.Listing[Pay Item],0)),"",LEFT(Items[[#This Row],[Raw Item]],5)&amp;"-"&amp;RIGHT(Items[[#This Row],[Raw Item]],4))</f>
        <v/>
      </c>
    </row>
    <row r="249" spans="1:40" x14ac:dyDescent="0.15">
      <c r="A249" s="7" t="str">
        <f ca="1">IFERROR(RANK(Items[[#This Row],[Sort]],OFFSET(Items[Sort],0,0,ROW(Proposed[])-ROW(Items[])+ROWS(Proposed[]),1),1),"")</f>
        <v/>
      </c>
      <c r="B249" s="7" t="str">
        <f>IF(LEN(Items[[#This Row],[Item]])&gt;0,Items[[#This Row],[Raw Item]]+COUNTIF(AN$4:AN249,AN249)/100,"")</f>
        <v/>
      </c>
      <c r="C249" s="7">
        <f>IFERROR(VALUE(LEFT(VALUE(SUBSTITUTE(Items[[#This Row],[Pay Item]],"-",""))*100000000,9)),0)</f>
        <v>0</v>
      </c>
      <c r="D249" s="8"/>
      <c r="E249" s="127"/>
      <c r="F249" s="123" t="str">
        <f>IFERROR(SUBSTITUTE(VLOOKUP(Items[[#This Row],[Item]],Pay.Item.Listing[],2+2*(Units&lt;&gt;"Metric"),0),"{","&lt;"),"&lt;&lt; Pay Item not found &gt;&gt;")</f>
        <v>&lt;&lt; Pay Item not found &gt;&gt;</v>
      </c>
      <c r="G249" s="70" t="str">
        <f>IFERROR(VLOOKUP(Items[[#This Row],[Item]],Pay.Item.Listing[],3+2*(Units&lt;&gt;"Metric"),0),"–")</f>
        <v>–</v>
      </c>
      <c r="H249" s="70" t="str">
        <f>IFERROR(VLOOKUP(Items[[#This Row],[Item]],Pay.Item.Listing[],6,0),"–")</f>
        <v>–</v>
      </c>
      <c r="I249" s="70" t="str">
        <f>IFERROR(VLOOKUP(Items[[#This Row],[Item]],Pay.Item.Listing[],7,0),"–")</f>
        <v>–</v>
      </c>
      <c r="J249" s="71"/>
      <c r="K249" s="69"/>
      <c r="L249" s="69"/>
      <c r="M249" s="69"/>
      <c r="N249" s="69"/>
      <c r="O249" s="69"/>
      <c r="P249" s="69"/>
      <c r="Q249" s="69"/>
      <c r="R249" s="69"/>
      <c r="S249" s="69"/>
      <c r="T249" s="69"/>
      <c r="U249" s="69"/>
      <c r="V249" s="69"/>
      <c r="W249" s="69"/>
      <c r="X249" s="72">
        <f>IF(LEN(Items[[#This Row],[Item]])&gt;0,IF(Items[[#This Row],[Unit]]="LPSM",1,SUM(Items[[#This Row],[Col_1]:[Col_13]])),0)</f>
        <v>0</v>
      </c>
      <c r="Y249" s="190">
        <f>MAX(Items[[#This Row],[Quantity]]-SUM(Items[[#This Row],[Account2]]:Items[[#This Row],[Account7]]),0)</f>
        <v>0</v>
      </c>
      <c r="Z249" s="61"/>
      <c r="AA249" s="61"/>
      <c r="AB249" s="61"/>
      <c r="AC249" s="61"/>
      <c r="AD249" s="61"/>
      <c r="AE249" s="61"/>
      <c r="AF249" s="73"/>
      <c r="AG249" s="71"/>
      <c r="AH249" s="74"/>
      <c r="AI249" s="59"/>
      <c r="AJ249" s="190" t="str">
        <f ca="1">IFERROR(RANK(Items[[#This Row],[EstSort]],OFFSET(Items[EstSort],0,0,ROW(Proposed[])-ROW(Items[])+ROWS(Proposed[]),1),1),"")</f>
        <v/>
      </c>
      <c r="AK249" s="190" t="str">
        <f ca="1">IF(CHOOSE(MATCH(Account,Accounts,0),Items[[#This Row],[Count]],Items[[#This Row],[Account1]],Items[[#This Row],[Account2]],Items[[#This Row],[Account3]],Items[[#This Row],[Account7]])&gt;0,Items[[#This Row],[Sort]],"")</f>
        <v/>
      </c>
      <c r="AL249" s="70" t="str">
        <f ca="1">IF(LEN(Items[[#This Row],[Count]])&gt;0,IFERROR(INDEX(Calcs[Counter],MATCH(Items[[#This Row],[Line]],Calcs[Line],0)),""),"")</f>
        <v/>
      </c>
      <c r="AM249" s="156" t="str">
        <f ca="1">IFERROR(Letter&amp;TEXT((Items[[#This Row],[Count]]-1)*Incr+BeginLine,"0000"),"")</f>
        <v/>
      </c>
      <c r="AN249" s="7" t="str">
        <f>IF(ISNA(MATCH(LEFT(Items[[#This Row],[Raw Item]],5)&amp;"-"&amp;RIGHT(Items[[#This Row],[Raw Item]],4),Pay.Item.Listing[Pay Item],0)),"",LEFT(Items[[#This Row],[Raw Item]],5)&amp;"-"&amp;RIGHT(Items[[#This Row],[Raw Item]],4))</f>
        <v/>
      </c>
    </row>
    <row r="250" spans="1:40" x14ac:dyDescent="0.15">
      <c r="A250" s="7" t="str">
        <f ca="1">IFERROR(RANK(Items[[#This Row],[Sort]],OFFSET(Items[Sort],0,0,ROW(Proposed[])-ROW(Items[])+ROWS(Proposed[]),1),1),"")</f>
        <v/>
      </c>
      <c r="B250" s="7" t="str">
        <f>IF(LEN(Items[[#This Row],[Item]])&gt;0,Items[[#This Row],[Raw Item]]+COUNTIF(AN$4:AN250,AN250)/100,"")</f>
        <v/>
      </c>
      <c r="C250" s="7">
        <f>IFERROR(VALUE(LEFT(VALUE(SUBSTITUTE(Items[[#This Row],[Pay Item]],"-",""))*100000000,9)),0)</f>
        <v>0</v>
      </c>
      <c r="D250" s="8"/>
      <c r="E250" s="127"/>
      <c r="F250" s="123" t="str">
        <f>IFERROR(SUBSTITUTE(VLOOKUP(Items[[#This Row],[Item]],Pay.Item.Listing[],2+2*(Units&lt;&gt;"Metric"),0),"{","&lt;"),"&lt;&lt; Pay Item not found &gt;&gt;")</f>
        <v>&lt;&lt; Pay Item not found &gt;&gt;</v>
      </c>
      <c r="G250" s="70" t="str">
        <f>IFERROR(VLOOKUP(Items[[#This Row],[Item]],Pay.Item.Listing[],3+2*(Units&lt;&gt;"Metric"),0),"–")</f>
        <v>–</v>
      </c>
      <c r="H250" s="70" t="str">
        <f>IFERROR(VLOOKUP(Items[[#This Row],[Item]],Pay.Item.Listing[],6,0),"–")</f>
        <v>–</v>
      </c>
      <c r="I250" s="70" t="str">
        <f>IFERROR(VLOOKUP(Items[[#This Row],[Item]],Pay.Item.Listing[],7,0),"–")</f>
        <v>–</v>
      </c>
      <c r="J250" s="71"/>
      <c r="K250" s="69"/>
      <c r="L250" s="69"/>
      <c r="M250" s="69"/>
      <c r="N250" s="69"/>
      <c r="O250" s="69"/>
      <c r="P250" s="69"/>
      <c r="Q250" s="69"/>
      <c r="R250" s="69"/>
      <c r="S250" s="69"/>
      <c r="T250" s="69"/>
      <c r="U250" s="69"/>
      <c r="V250" s="69"/>
      <c r="W250" s="69"/>
      <c r="X250" s="72">
        <f>IF(LEN(Items[[#This Row],[Item]])&gt;0,IF(Items[[#This Row],[Unit]]="LPSM",1,SUM(Items[[#This Row],[Col_1]:[Col_13]])),0)</f>
        <v>0</v>
      </c>
      <c r="Y250" s="190">
        <f>MAX(Items[[#This Row],[Quantity]]-SUM(Items[[#This Row],[Account2]]:Items[[#This Row],[Account7]]),0)</f>
        <v>0</v>
      </c>
      <c r="Z250" s="61"/>
      <c r="AA250" s="61"/>
      <c r="AB250" s="61"/>
      <c r="AC250" s="61"/>
      <c r="AD250" s="61"/>
      <c r="AE250" s="61"/>
      <c r="AF250" s="73"/>
      <c r="AG250" s="71"/>
      <c r="AH250" s="74"/>
      <c r="AI250" s="59"/>
      <c r="AJ250" s="190" t="str">
        <f ca="1">IFERROR(RANK(Items[[#This Row],[EstSort]],OFFSET(Items[EstSort],0,0,ROW(Proposed[])-ROW(Items[])+ROWS(Proposed[]),1),1),"")</f>
        <v/>
      </c>
      <c r="AK250" s="190" t="str">
        <f ca="1">IF(CHOOSE(MATCH(Account,Accounts,0),Items[[#This Row],[Count]],Items[[#This Row],[Account1]],Items[[#This Row],[Account2]],Items[[#This Row],[Account3]],Items[[#This Row],[Account7]])&gt;0,Items[[#This Row],[Sort]],"")</f>
        <v/>
      </c>
      <c r="AL250" s="70" t="str">
        <f ca="1">IF(LEN(Items[[#This Row],[Count]])&gt;0,IFERROR(INDEX(Calcs[Counter],MATCH(Items[[#This Row],[Line]],Calcs[Line],0)),""),"")</f>
        <v/>
      </c>
      <c r="AM250" s="156" t="str">
        <f ca="1">IFERROR(Letter&amp;TEXT((Items[[#This Row],[Count]]-1)*Incr+BeginLine,"0000"),"")</f>
        <v/>
      </c>
      <c r="AN250" s="7" t="str">
        <f>IF(ISNA(MATCH(LEFT(Items[[#This Row],[Raw Item]],5)&amp;"-"&amp;RIGHT(Items[[#This Row],[Raw Item]],4),Pay.Item.Listing[Pay Item],0)),"",LEFT(Items[[#This Row],[Raw Item]],5)&amp;"-"&amp;RIGHT(Items[[#This Row],[Raw Item]],4))</f>
        <v/>
      </c>
    </row>
    <row r="251" spans="1:40" x14ac:dyDescent="0.15">
      <c r="A251" s="7" t="str">
        <f ca="1">IFERROR(RANK(Items[[#This Row],[Sort]],OFFSET(Items[Sort],0,0,ROW(Proposed[])-ROW(Items[])+ROWS(Proposed[]),1),1),"")</f>
        <v/>
      </c>
      <c r="B251" s="7" t="str">
        <f>IF(LEN(Items[[#This Row],[Item]])&gt;0,Items[[#This Row],[Raw Item]]+COUNTIF(AN$4:AN251,AN251)/100,"")</f>
        <v/>
      </c>
      <c r="C251" s="7">
        <f>IFERROR(VALUE(LEFT(VALUE(SUBSTITUTE(Items[[#This Row],[Pay Item]],"-",""))*100000000,9)),0)</f>
        <v>0</v>
      </c>
      <c r="D251" s="8"/>
      <c r="E251" s="127"/>
      <c r="F251" s="123" t="str">
        <f>IFERROR(SUBSTITUTE(VLOOKUP(Items[[#This Row],[Item]],Pay.Item.Listing[],2+2*(Units&lt;&gt;"Metric"),0),"{","&lt;"),"&lt;&lt; Pay Item not found &gt;&gt;")</f>
        <v>&lt;&lt; Pay Item not found &gt;&gt;</v>
      </c>
      <c r="G251" s="70" t="str">
        <f>IFERROR(VLOOKUP(Items[[#This Row],[Item]],Pay.Item.Listing[],3+2*(Units&lt;&gt;"Metric"),0),"–")</f>
        <v>–</v>
      </c>
      <c r="H251" s="70" t="str">
        <f>IFERROR(VLOOKUP(Items[[#This Row],[Item]],Pay.Item.Listing[],6,0),"–")</f>
        <v>–</v>
      </c>
      <c r="I251" s="70" t="str">
        <f>IFERROR(VLOOKUP(Items[[#This Row],[Item]],Pay.Item.Listing[],7,0),"–")</f>
        <v>–</v>
      </c>
      <c r="J251" s="71"/>
      <c r="K251" s="69"/>
      <c r="L251" s="69"/>
      <c r="M251" s="69"/>
      <c r="N251" s="69"/>
      <c r="O251" s="69"/>
      <c r="P251" s="69"/>
      <c r="Q251" s="69"/>
      <c r="R251" s="69"/>
      <c r="S251" s="69"/>
      <c r="T251" s="69"/>
      <c r="U251" s="69"/>
      <c r="V251" s="69"/>
      <c r="W251" s="69"/>
      <c r="X251" s="72">
        <f>IF(LEN(Items[[#This Row],[Item]])&gt;0,IF(Items[[#This Row],[Unit]]="LPSM",1,SUM(Items[[#This Row],[Col_1]:[Col_13]])),0)</f>
        <v>0</v>
      </c>
      <c r="Y251" s="190">
        <f>MAX(Items[[#This Row],[Quantity]]-SUM(Items[[#This Row],[Account2]]:Items[[#This Row],[Account7]]),0)</f>
        <v>0</v>
      </c>
      <c r="Z251" s="61"/>
      <c r="AA251" s="61"/>
      <c r="AB251" s="61"/>
      <c r="AC251" s="61"/>
      <c r="AD251" s="61"/>
      <c r="AE251" s="61"/>
      <c r="AF251" s="73"/>
      <c r="AG251" s="71"/>
      <c r="AH251" s="74"/>
      <c r="AI251" s="59"/>
      <c r="AJ251" s="190" t="str">
        <f ca="1">IFERROR(RANK(Items[[#This Row],[EstSort]],OFFSET(Items[EstSort],0,0,ROW(Proposed[])-ROW(Items[])+ROWS(Proposed[]),1),1),"")</f>
        <v/>
      </c>
      <c r="AK251" s="190" t="str">
        <f ca="1">IF(CHOOSE(MATCH(Account,Accounts,0),Items[[#This Row],[Count]],Items[[#This Row],[Account1]],Items[[#This Row],[Account2]],Items[[#This Row],[Account3]],Items[[#This Row],[Account7]])&gt;0,Items[[#This Row],[Sort]],"")</f>
        <v/>
      </c>
      <c r="AL251" s="70" t="str">
        <f ca="1">IF(LEN(Items[[#This Row],[Count]])&gt;0,IFERROR(INDEX(Calcs[Counter],MATCH(Items[[#This Row],[Line]],Calcs[Line],0)),""),"")</f>
        <v/>
      </c>
      <c r="AM251" s="156" t="str">
        <f ca="1">IFERROR(Letter&amp;TEXT((Items[[#This Row],[Count]]-1)*Incr+BeginLine,"0000"),"")</f>
        <v/>
      </c>
      <c r="AN251" s="7" t="str">
        <f>IF(ISNA(MATCH(LEFT(Items[[#This Row],[Raw Item]],5)&amp;"-"&amp;RIGHT(Items[[#This Row],[Raw Item]],4),Pay.Item.Listing[Pay Item],0)),"",LEFT(Items[[#This Row],[Raw Item]],5)&amp;"-"&amp;RIGHT(Items[[#This Row],[Raw Item]],4))</f>
        <v/>
      </c>
    </row>
    <row r="252" spans="1:40" x14ac:dyDescent="0.15">
      <c r="A252" s="7" t="str">
        <f ca="1">IFERROR(RANK(Items[[#This Row],[Sort]],OFFSET(Items[Sort],0,0,ROW(Proposed[])-ROW(Items[])+ROWS(Proposed[]),1),1),"")</f>
        <v/>
      </c>
      <c r="B252" s="7" t="str">
        <f>IF(LEN(Items[[#This Row],[Item]])&gt;0,Items[[#This Row],[Raw Item]]+COUNTIF(AN$4:AN252,AN252)/100,"")</f>
        <v/>
      </c>
      <c r="C252" s="7">
        <f>IFERROR(VALUE(LEFT(VALUE(SUBSTITUTE(Items[[#This Row],[Pay Item]],"-",""))*100000000,9)),0)</f>
        <v>0</v>
      </c>
      <c r="D252" s="8"/>
      <c r="E252" s="127"/>
      <c r="F252" s="123" t="str">
        <f>IFERROR(SUBSTITUTE(VLOOKUP(Items[[#This Row],[Item]],Pay.Item.Listing[],2+2*(Units&lt;&gt;"Metric"),0),"{","&lt;"),"&lt;&lt; Pay Item not found &gt;&gt;")</f>
        <v>&lt;&lt; Pay Item not found &gt;&gt;</v>
      </c>
      <c r="G252" s="70" t="str">
        <f>IFERROR(VLOOKUP(Items[[#This Row],[Item]],Pay.Item.Listing[],3+2*(Units&lt;&gt;"Metric"),0),"–")</f>
        <v>–</v>
      </c>
      <c r="H252" s="70" t="str">
        <f>IFERROR(VLOOKUP(Items[[#This Row],[Item]],Pay.Item.Listing[],6,0),"–")</f>
        <v>–</v>
      </c>
      <c r="I252" s="70" t="str">
        <f>IFERROR(VLOOKUP(Items[[#This Row],[Item]],Pay.Item.Listing[],7,0),"–")</f>
        <v>–</v>
      </c>
      <c r="J252" s="71"/>
      <c r="K252" s="69"/>
      <c r="L252" s="69"/>
      <c r="M252" s="69"/>
      <c r="N252" s="69"/>
      <c r="O252" s="69"/>
      <c r="P252" s="69"/>
      <c r="Q252" s="69"/>
      <c r="R252" s="69"/>
      <c r="S252" s="69"/>
      <c r="T252" s="69"/>
      <c r="U252" s="69"/>
      <c r="V252" s="69"/>
      <c r="W252" s="69"/>
      <c r="X252" s="72">
        <f>IF(LEN(Items[[#This Row],[Item]])&gt;0,IF(Items[[#This Row],[Unit]]="LPSM",1,SUM(Items[[#This Row],[Col_1]:[Col_13]])),0)</f>
        <v>0</v>
      </c>
      <c r="Y252" s="190">
        <f>MAX(Items[[#This Row],[Quantity]]-SUM(Items[[#This Row],[Account2]]:Items[[#This Row],[Account7]]),0)</f>
        <v>0</v>
      </c>
      <c r="Z252" s="61"/>
      <c r="AA252" s="61"/>
      <c r="AB252" s="61"/>
      <c r="AC252" s="61"/>
      <c r="AD252" s="61"/>
      <c r="AE252" s="61"/>
      <c r="AF252" s="73"/>
      <c r="AG252" s="71"/>
      <c r="AH252" s="74"/>
      <c r="AI252" s="59"/>
      <c r="AJ252" s="190" t="str">
        <f ca="1">IFERROR(RANK(Items[[#This Row],[EstSort]],OFFSET(Items[EstSort],0,0,ROW(Proposed[])-ROW(Items[])+ROWS(Proposed[]),1),1),"")</f>
        <v/>
      </c>
      <c r="AK252" s="190" t="str">
        <f ca="1">IF(CHOOSE(MATCH(Account,Accounts,0),Items[[#This Row],[Count]],Items[[#This Row],[Account1]],Items[[#This Row],[Account2]],Items[[#This Row],[Account3]],Items[[#This Row],[Account7]])&gt;0,Items[[#This Row],[Sort]],"")</f>
        <v/>
      </c>
      <c r="AL252" s="70" t="str">
        <f ca="1">IF(LEN(Items[[#This Row],[Count]])&gt;0,IFERROR(INDEX(Calcs[Counter],MATCH(Items[[#This Row],[Line]],Calcs[Line],0)),""),"")</f>
        <v/>
      </c>
      <c r="AM252" s="156" t="str">
        <f ca="1">IFERROR(Letter&amp;TEXT((Items[[#This Row],[Count]]-1)*Incr+BeginLine,"0000"),"")</f>
        <v/>
      </c>
      <c r="AN252" s="7" t="str">
        <f>IF(ISNA(MATCH(LEFT(Items[[#This Row],[Raw Item]],5)&amp;"-"&amp;RIGHT(Items[[#This Row],[Raw Item]],4),Pay.Item.Listing[Pay Item],0)),"",LEFT(Items[[#This Row],[Raw Item]],5)&amp;"-"&amp;RIGHT(Items[[#This Row],[Raw Item]],4))</f>
        <v/>
      </c>
    </row>
    <row r="253" spans="1:40" x14ac:dyDescent="0.15">
      <c r="A253" s="7" t="str">
        <f ca="1">IFERROR(RANK(Items[[#This Row],[Sort]],OFFSET(Items[Sort],0,0,ROW(Proposed[])-ROW(Items[])+ROWS(Proposed[]),1),1),"")</f>
        <v/>
      </c>
      <c r="B253" s="7" t="str">
        <f>IF(LEN(Items[[#This Row],[Item]])&gt;0,Items[[#This Row],[Raw Item]]+COUNTIF(AN$4:AN253,AN253)/100,"")</f>
        <v/>
      </c>
      <c r="C253" s="7">
        <f>IFERROR(VALUE(LEFT(VALUE(SUBSTITUTE(Items[[#This Row],[Pay Item]],"-",""))*100000000,9)),0)</f>
        <v>0</v>
      </c>
      <c r="D253" s="8"/>
      <c r="E253" s="127"/>
      <c r="F253" s="123" t="str">
        <f>IFERROR(SUBSTITUTE(VLOOKUP(Items[[#This Row],[Item]],Pay.Item.Listing[],2+2*(Units&lt;&gt;"Metric"),0),"{","&lt;"),"&lt;&lt; Pay Item not found &gt;&gt;")</f>
        <v>&lt;&lt; Pay Item not found &gt;&gt;</v>
      </c>
      <c r="G253" s="70" t="str">
        <f>IFERROR(VLOOKUP(Items[[#This Row],[Item]],Pay.Item.Listing[],3+2*(Units&lt;&gt;"Metric"),0),"–")</f>
        <v>–</v>
      </c>
      <c r="H253" s="70" t="str">
        <f>IFERROR(VLOOKUP(Items[[#This Row],[Item]],Pay.Item.Listing[],6,0),"–")</f>
        <v>–</v>
      </c>
      <c r="I253" s="70" t="str">
        <f>IFERROR(VLOOKUP(Items[[#This Row],[Item]],Pay.Item.Listing[],7,0),"–")</f>
        <v>–</v>
      </c>
      <c r="J253" s="71"/>
      <c r="K253" s="69"/>
      <c r="L253" s="69"/>
      <c r="M253" s="69"/>
      <c r="N253" s="69"/>
      <c r="O253" s="69"/>
      <c r="P253" s="69"/>
      <c r="Q253" s="69"/>
      <c r="R253" s="69"/>
      <c r="S253" s="69"/>
      <c r="T253" s="69"/>
      <c r="U253" s="69"/>
      <c r="V253" s="69"/>
      <c r="W253" s="69"/>
      <c r="X253" s="72">
        <f>IF(LEN(Items[[#This Row],[Item]])&gt;0,IF(Items[[#This Row],[Unit]]="LPSM",1,SUM(Items[[#This Row],[Col_1]:[Col_13]])),0)</f>
        <v>0</v>
      </c>
      <c r="Y253" s="190">
        <f>MAX(Items[[#This Row],[Quantity]]-SUM(Items[[#This Row],[Account2]]:Items[[#This Row],[Account7]]),0)</f>
        <v>0</v>
      </c>
      <c r="Z253" s="61"/>
      <c r="AA253" s="61"/>
      <c r="AB253" s="61"/>
      <c r="AC253" s="61"/>
      <c r="AD253" s="61"/>
      <c r="AE253" s="61"/>
      <c r="AF253" s="73"/>
      <c r="AG253" s="71"/>
      <c r="AH253" s="74"/>
      <c r="AI253" s="59"/>
      <c r="AJ253" s="190" t="str">
        <f ca="1">IFERROR(RANK(Items[[#This Row],[EstSort]],OFFSET(Items[EstSort],0,0,ROW(Proposed[])-ROW(Items[])+ROWS(Proposed[]),1),1),"")</f>
        <v/>
      </c>
      <c r="AK253" s="190" t="str">
        <f ca="1">IF(CHOOSE(MATCH(Account,Accounts,0),Items[[#This Row],[Count]],Items[[#This Row],[Account1]],Items[[#This Row],[Account2]],Items[[#This Row],[Account3]],Items[[#This Row],[Account7]])&gt;0,Items[[#This Row],[Sort]],"")</f>
        <v/>
      </c>
      <c r="AL253" s="70" t="str">
        <f ca="1">IF(LEN(Items[[#This Row],[Count]])&gt;0,IFERROR(INDEX(Calcs[Counter],MATCH(Items[[#This Row],[Line]],Calcs[Line],0)),""),"")</f>
        <v/>
      </c>
      <c r="AM253" s="156" t="str">
        <f ca="1">IFERROR(Letter&amp;TEXT((Items[[#This Row],[Count]]-1)*Incr+BeginLine,"0000"),"")</f>
        <v/>
      </c>
      <c r="AN253" s="7" t="str">
        <f>IF(ISNA(MATCH(LEFT(Items[[#This Row],[Raw Item]],5)&amp;"-"&amp;RIGHT(Items[[#This Row],[Raw Item]],4),Pay.Item.Listing[Pay Item],0)),"",LEFT(Items[[#This Row],[Raw Item]],5)&amp;"-"&amp;RIGHT(Items[[#This Row],[Raw Item]],4))</f>
        <v/>
      </c>
    </row>
    <row r="254" spans="1:40" x14ac:dyDescent="0.15">
      <c r="A254" s="7" t="str">
        <f ca="1">IFERROR(RANK(Items[[#This Row],[Sort]],OFFSET(Items[Sort],0,0,ROW(Proposed[])-ROW(Items[])+ROWS(Proposed[]),1),1),"")</f>
        <v/>
      </c>
      <c r="B254" s="7" t="str">
        <f>IF(LEN(Items[[#This Row],[Item]])&gt;0,Items[[#This Row],[Raw Item]]+COUNTIF(AN$4:AN254,AN254)/100,"")</f>
        <v/>
      </c>
      <c r="C254" s="7">
        <f>IFERROR(VALUE(LEFT(VALUE(SUBSTITUTE(Items[[#This Row],[Pay Item]],"-",""))*100000000,9)),0)</f>
        <v>0</v>
      </c>
      <c r="D254" s="8"/>
      <c r="E254" s="127"/>
      <c r="F254" s="123" t="str">
        <f>IFERROR(SUBSTITUTE(VLOOKUP(Items[[#This Row],[Item]],Pay.Item.Listing[],2+2*(Units&lt;&gt;"Metric"),0),"{","&lt;"),"&lt;&lt; Pay Item not found &gt;&gt;")</f>
        <v>&lt;&lt; Pay Item not found &gt;&gt;</v>
      </c>
      <c r="G254" s="70" t="str">
        <f>IFERROR(VLOOKUP(Items[[#This Row],[Item]],Pay.Item.Listing[],3+2*(Units&lt;&gt;"Metric"),0),"–")</f>
        <v>–</v>
      </c>
      <c r="H254" s="70" t="str">
        <f>IFERROR(VLOOKUP(Items[[#This Row],[Item]],Pay.Item.Listing[],6,0),"–")</f>
        <v>–</v>
      </c>
      <c r="I254" s="70" t="str">
        <f>IFERROR(VLOOKUP(Items[[#This Row],[Item]],Pay.Item.Listing[],7,0),"–")</f>
        <v>–</v>
      </c>
      <c r="J254" s="71"/>
      <c r="K254" s="69"/>
      <c r="L254" s="69"/>
      <c r="M254" s="69"/>
      <c r="N254" s="69"/>
      <c r="O254" s="69"/>
      <c r="P254" s="69"/>
      <c r="Q254" s="69"/>
      <c r="R254" s="69"/>
      <c r="S254" s="69"/>
      <c r="T254" s="69"/>
      <c r="U254" s="69"/>
      <c r="V254" s="69"/>
      <c r="W254" s="69"/>
      <c r="X254" s="72">
        <f>IF(LEN(Items[[#This Row],[Item]])&gt;0,IF(Items[[#This Row],[Unit]]="LPSM",1,SUM(Items[[#This Row],[Col_1]:[Col_13]])),0)</f>
        <v>0</v>
      </c>
      <c r="Y254" s="190">
        <f>MAX(Items[[#This Row],[Quantity]]-SUM(Items[[#This Row],[Account2]]:Items[[#This Row],[Account7]]),0)</f>
        <v>0</v>
      </c>
      <c r="Z254" s="61"/>
      <c r="AA254" s="61"/>
      <c r="AB254" s="61"/>
      <c r="AC254" s="61"/>
      <c r="AD254" s="61"/>
      <c r="AE254" s="61"/>
      <c r="AF254" s="73"/>
      <c r="AG254" s="71"/>
      <c r="AH254" s="74"/>
      <c r="AI254" s="59"/>
      <c r="AJ254" s="190" t="str">
        <f ca="1">IFERROR(RANK(Items[[#This Row],[EstSort]],OFFSET(Items[EstSort],0,0,ROW(Proposed[])-ROW(Items[])+ROWS(Proposed[]),1),1),"")</f>
        <v/>
      </c>
      <c r="AK254" s="190" t="str">
        <f ca="1">IF(CHOOSE(MATCH(Account,Accounts,0),Items[[#This Row],[Count]],Items[[#This Row],[Account1]],Items[[#This Row],[Account2]],Items[[#This Row],[Account3]],Items[[#This Row],[Account7]])&gt;0,Items[[#This Row],[Sort]],"")</f>
        <v/>
      </c>
      <c r="AL254" s="70" t="str">
        <f ca="1">IF(LEN(Items[[#This Row],[Count]])&gt;0,IFERROR(INDEX(Calcs[Counter],MATCH(Items[[#This Row],[Line]],Calcs[Line],0)),""),"")</f>
        <v/>
      </c>
      <c r="AM254" s="156" t="str">
        <f ca="1">IFERROR(Letter&amp;TEXT((Items[[#This Row],[Count]]-1)*Incr+BeginLine,"0000"),"")</f>
        <v/>
      </c>
      <c r="AN254" s="7" t="str">
        <f>IF(ISNA(MATCH(LEFT(Items[[#This Row],[Raw Item]],5)&amp;"-"&amp;RIGHT(Items[[#This Row],[Raw Item]],4),Pay.Item.Listing[Pay Item],0)),"",LEFT(Items[[#This Row],[Raw Item]],5)&amp;"-"&amp;RIGHT(Items[[#This Row],[Raw Item]],4))</f>
        <v/>
      </c>
    </row>
    <row r="255" spans="1:40" x14ac:dyDescent="0.15">
      <c r="A255" s="7" t="str">
        <f ca="1">IFERROR(RANK(Items[[#This Row],[Sort]],OFFSET(Items[Sort],0,0,ROW(Proposed[])-ROW(Items[])+ROWS(Proposed[]),1),1),"")</f>
        <v/>
      </c>
      <c r="B255" s="7" t="str">
        <f>IF(LEN(Items[[#This Row],[Item]])&gt;0,Items[[#This Row],[Raw Item]]+COUNTIF(AN$4:AN255,AN255)/100,"")</f>
        <v/>
      </c>
      <c r="C255" s="7">
        <f>IFERROR(VALUE(LEFT(VALUE(SUBSTITUTE(Items[[#This Row],[Pay Item]],"-",""))*100000000,9)),0)</f>
        <v>0</v>
      </c>
      <c r="D255" s="8"/>
      <c r="E255" s="127"/>
      <c r="F255" s="123" t="str">
        <f>IFERROR(SUBSTITUTE(VLOOKUP(Items[[#This Row],[Item]],Pay.Item.Listing[],2+2*(Units&lt;&gt;"Metric"),0),"{","&lt;"),"&lt;&lt; Pay Item not found &gt;&gt;")</f>
        <v>&lt;&lt; Pay Item not found &gt;&gt;</v>
      </c>
      <c r="G255" s="70" t="str">
        <f>IFERROR(VLOOKUP(Items[[#This Row],[Item]],Pay.Item.Listing[],3+2*(Units&lt;&gt;"Metric"),0),"–")</f>
        <v>–</v>
      </c>
      <c r="H255" s="70" t="str">
        <f>IFERROR(VLOOKUP(Items[[#This Row],[Item]],Pay.Item.Listing[],6,0),"–")</f>
        <v>–</v>
      </c>
      <c r="I255" s="70" t="str">
        <f>IFERROR(VLOOKUP(Items[[#This Row],[Item]],Pay.Item.Listing[],7,0),"–")</f>
        <v>–</v>
      </c>
      <c r="J255" s="71"/>
      <c r="K255" s="69"/>
      <c r="L255" s="69"/>
      <c r="M255" s="69"/>
      <c r="N255" s="69"/>
      <c r="O255" s="69"/>
      <c r="P255" s="69"/>
      <c r="Q255" s="69"/>
      <c r="R255" s="69"/>
      <c r="S255" s="69"/>
      <c r="T255" s="69"/>
      <c r="U255" s="69"/>
      <c r="V255" s="69"/>
      <c r="W255" s="69"/>
      <c r="X255" s="72">
        <f>IF(LEN(Items[[#This Row],[Item]])&gt;0,IF(Items[[#This Row],[Unit]]="LPSM",1,SUM(Items[[#This Row],[Col_1]:[Col_13]])),0)</f>
        <v>0</v>
      </c>
      <c r="Y255" s="190">
        <f>MAX(Items[[#This Row],[Quantity]]-SUM(Items[[#This Row],[Account2]]:Items[[#This Row],[Account7]]),0)</f>
        <v>0</v>
      </c>
      <c r="Z255" s="61"/>
      <c r="AA255" s="61"/>
      <c r="AB255" s="61"/>
      <c r="AC255" s="61"/>
      <c r="AD255" s="61"/>
      <c r="AE255" s="61"/>
      <c r="AF255" s="73"/>
      <c r="AG255" s="71"/>
      <c r="AH255" s="74"/>
      <c r="AI255" s="59"/>
      <c r="AJ255" s="190" t="str">
        <f ca="1">IFERROR(RANK(Items[[#This Row],[EstSort]],OFFSET(Items[EstSort],0,0,ROW(Proposed[])-ROW(Items[])+ROWS(Proposed[]),1),1),"")</f>
        <v/>
      </c>
      <c r="AK255" s="190" t="str">
        <f ca="1">IF(CHOOSE(MATCH(Account,Accounts,0),Items[[#This Row],[Count]],Items[[#This Row],[Account1]],Items[[#This Row],[Account2]],Items[[#This Row],[Account3]],Items[[#This Row],[Account7]])&gt;0,Items[[#This Row],[Sort]],"")</f>
        <v/>
      </c>
      <c r="AL255" s="70" t="str">
        <f ca="1">IF(LEN(Items[[#This Row],[Count]])&gt;0,IFERROR(INDEX(Calcs[Counter],MATCH(Items[[#This Row],[Line]],Calcs[Line],0)),""),"")</f>
        <v/>
      </c>
      <c r="AM255" s="156" t="str">
        <f ca="1">IFERROR(Letter&amp;TEXT((Items[[#This Row],[Count]]-1)*Incr+BeginLine,"0000"),"")</f>
        <v/>
      </c>
      <c r="AN255" s="7" t="str">
        <f>IF(ISNA(MATCH(LEFT(Items[[#This Row],[Raw Item]],5)&amp;"-"&amp;RIGHT(Items[[#This Row],[Raw Item]],4),Pay.Item.Listing[Pay Item],0)),"",LEFT(Items[[#This Row],[Raw Item]],5)&amp;"-"&amp;RIGHT(Items[[#This Row],[Raw Item]],4))</f>
        <v/>
      </c>
    </row>
    <row r="256" spans="1:40" x14ac:dyDescent="0.15">
      <c r="A256" s="7" t="str">
        <f ca="1">IFERROR(RANK(Items[[#This Row],[Sort]],OFFSET(Items[Sort],0,0,ROW(Proposed[])-ROW(Items[])+ROWS(Proposed[]),1),1),"")</f>
        <v/>
      </c>
      <c r="B256" s="7" t="str">
        <f>IF(LEN(Items[[#This Row],[Item]])&gt;0,Items[[#This Row],[Raw Item]]+COUNTIF(AN$4:AN256,AN256)/100,"")</f>
        <v/>
      </c>
      <c r="C256" s="7">
        <f>IFERROR(VALUE(LEFT(VALUE(SUBSTITUTE(Items[[#This Row],[Pay Item]],"-",""))*100000000,9)),0)</f>
        <v>0</v>
      </c>
      <c r="D256" s="8"/>
      <c r="E256" s="127"/>
      <c r="F256" s="123" t="str">
        <f>IFERROR(SUBSTITUTE(VLOOKUP(Items[[#This Row],[Item]],Pay.Item.Listing[],2+2*(Units&lt;&gt;"Metric"),0),"{","&lt;"),"&lt;&lt; Pay Item not found &gt;&gt;")</f>
        <v>&lt;&lt; Pay Item not found &gt;&gt;</v>
      </c>
      <c r="G256" s="70" t="str">
        <f>IFERROR(VLOOKUP(Items[[#This Row],[Item]],Pay.Item.Listing[],3+2*(Units&lt;&gt;"Metric"),0),"–")</f>
        <v>–</v>
      </c>
      <c r="H256" s="70" t="str">
        <f>IFERROR(VLOOKUP(Items[[#This Row],[Item]],Pay.Item.Listing[],6,0),"–")</f>
        <v>–</v>
      </c>
      <c r="I256" s="70" t="str">
        <f>IFERROR(VLOOKUP(Items[[#This Row],[Item]],Pay.Item.Listing[],7,0),"–")</f>
        <v>–</v>
      </c>
      <c r="J256" s="71"/>
      <c r="K256" s="69"/>
      <c r="L256" s="69"/>
      <c r="M256" s="69"/>
      <c r="N256" s="69"/>
      <c r="O256" s="69"/>
      <c r="P256" s="69"/>
      <c r="Q256" s="69"/>
      <c r="R256" s="69"/>
      <c r="S256" s="69"/>
      <c r="T256" s="69"/>
      <c r="U256" s="69"/>
      <c r="V256" s="69"/>
      <c r="W256" s="69"/>
      <c r="X256" s="72">
        <f>IF(LEN(Items[[#This Row],[Item]])&gt;0,IF(Items[[#This Row],[Unit]]="LPSM",1,SUM(Items[[#This Row],[Col_1]:[Col_13]])),0)</f>
        <v>0</v>
      </c>
      <c r="Y256" s="190">
        <f>MAX(Items[[#This Row],[Quantity]]-SUM(Items[[#This Row],[Account2]]:Items[[#This Row],[Account7]]),0)</f>
        <v>0</v>
      </c>
      <c r="Z256" s="61"/>
      <c r="AA256" s="61"/>
      <c r="AB256" s="61"/>
      <c r="AC256" s="61"/>
      <c r="AD256" s="61"/>
      <c r="AE256" s="61"/>
      <c r="AF256" s="73"/>
      <c r="AG256" s="71"/>
      <c r="AH256" s="74"/>
      <c r="AI256" s="59"/>
      <c r="AJ256" s="190" t="str">
        <f ca="1">IFERROR(RANK(Items[[#This Row],[EstSort]],OFFSET(Items[EstSort],0,0,ROW(Proposed[])-ROW(Items[])+ROWS(Proposed[]),1),1),"")</f>
        <v/>
      </c>
      <c r="AK256" s="190" t="str">
        <f ca="1">IF(CHOOSE(MATCH(Account,Accounts,0),Items[[#This Row],[Count]],Items[[#This Row],[Account1]],Items[[#This Row],[Account2]],Items[[#This Row],[Account3]],Items[[#This Row],[Account7]])&gt;0,Items[[#This Row],[Sort]],"")</f>
        <v/>
      </c>
      <c r="AL256" s="70" t="str">
        <f ca="1">IF(LEN(Items[[#This Row],[Count]])&gt;0,IFERROR(INDEX(Calcs[Counter],MATCH(Items[[#This Row],[Line]],Calcs[Line],0)),""),"")</f>
        <v/>
      </c>
      <c r="AM256" s="156" t="str">
        <f ca="1">IFERROR(Letter&amp;TEXT((Items[[#This Row],[Count]]-1)*Incr+BeginLine,"0000"),"")</f>
        <v/>
      </c>
      <c r="AN256" s="7" t="str">
        <f>IF(ISNA(MATCH(LEFT(Items[[#This Row],[Raw Item]],5)&amp;"-"&amp;RIGHT(Items[[#This Row],[Raw Item]],4),Pay.Item.Listing[Pay Item],0)),"",LEFT(Items[[#This Row],[Raw Item]],5)&amp;"-"&amp;RIGHT(Items[[#This Row],[Raw Item]],4))</f>
        <v/>
      </c>
    </row>
    <row r="257" spans="1:40" x14ac:dyDescent="0.15">
      <c r="A257" s="7" t="str">
        <f ca="1">IFERROR(RANK(Items[[#This Row],[Sort]],OFFSET(Items[Sort],0,0,ROW(Proposed[])-ROW(Items[])+ROWS(Proposed[]),1),1),"")</f>
        <v/>
      </c>
      <c r="B257" s="7" t="str">
        <f>IF(LEN(Items[[#This Row],[Item]])&gt;0,Items[[#This Row],[Raw Item]]+COUNTIF(AN$4:AN257,AN257)/100,"")</f>
        <v/>
      </c>
      <c r="C257" s="7">
        <f>IFERROR(VALUE(LEFT(VALUE(SUBSTITUTE(Items[[#This Row],[Pay Item]],"-",""))*100000000,9)),0)</f>
        <v>0</v>
      </c>
      <c r="D257" s="8"/>
      <c r="E257" s="127"/>
      <c r="F257" s="123" t="str">
        <f>IFERROR(SUBSTITUTE(VLOOKUP(Items[[#This Row],[Item]],Pay.Item.Listing[],2+2*(Units&lt;&gt;"Metric"),0),"{","&lt;"),"&lt;&lt; Pay Item not found &gt;&gt;")</f>
        <v>&lt;&lt; Pay Item not found &gt;&gt;</v>
      </c>
      <c r="G257" s="70" t="str">
        <f>IFERROR(VLOOKUP(Items[[#This Row],[Item]],Pay.Item.Listing[],3+2*(Units&lt;&gt;"Metric"),0),"–")</f>
        <v>–</v>
      </c>
      <c r="H257" s="70" t="str">
        <f>IFERROR(VLOOKUP(Items[[#This Row],[Item]],Pay.Item.Listing[],6,0),"–")</f>
        <v>–</v>
      </c>
      <c r="I257" s="70" t="str">
        <f>IFERROR(VLOOKUP(Items[[#This Row],[Item]],Pay.Item.Listing[],7,0),"–")</f>
        <v>–</v>
      </c>
      <c r="J257" s="71"/>
      <c r="K257" s="69"/>
      <c r="L257" s="69"/>
      <c r="M257" s="69"/>
      <c r="N257" s="69"/>
      <c r="O257" s="69"/>
      <c r="P257" s="69"/>
      <c r="Q257" s="69"/>
      <c r="R257" s="69"/>
      <c r="S257" s="69"/>
      <c r="T257" s="69"/>
      <c r="U257" s="69"/>
      <c r="V257" s="69"/>
      <c r="W257" s="69"/>
      <c r="X257" s="72">
        <f>IF(LEN(Items[[#This Row],[Item]])&gt;0,IF(Items[[#This Row],[Unit]]="LPSM",1,SUM(Items[[#This Row],[Col_1]:[Col_13]])),0)</f>
        <v>0</v>
      </c>
      <c r="Y257" s="190">
        <f>MAX(Items[[#This Row],[Quantity]]-SUM(Items[[#This Row],[Account2]]:Items[[#This Row],[Account7]]),0)</f>
        <v>0</v>
      </c>
      <c r="Z257" s="61"/>
      <c r="AA257" s="61"/>
      <c r="AB257" s="61"/>
      <c r="AC257" s="61"/>
      <c r="AD257" s="61"/>
      <c r="AE257" s="61"/>
      <c r="AF257" s="73"/>
      <c r="AG257" s="71"/>
      <c r="AH257" s="74"/>
      <c r="AI257" s="59"/>
      <c r="AJ257" s="190" t="str">
        <f ca="1">IFERROR(RANK(Items[[#This Row],[EstSort]],OFFSET(Items[EstSort],0,0,ROW(Proposed[])-ROW(Items[])+ROWS(Proposed[]),1),1),"")</f>
        <v/>
      </c>
      <c r="AK257" s="190" t="str">
        <f ca="1">IF(CHOOSE(MATCH(Account,Accounts,0),Items[[#This Row],[Count]],Items[[#This Row],[Account1]],Items[[#This Row],[Account2]],Items[[#This Row],[Account3]],Items[[#This Row],[Account7]])&gt;0,Items[[#This Row],[Sort]],"")</f>
        <v/>
      </c>
      <c r="AL257" s="70" t="str">
        <f ca="1">IF(LEN(Items[[#This Row],[Count]])&gt;0,IFERROR(INDEX(Calcs[Counter],MATCH(Items[[#This Row],[Line]],Calcs[Line],0)),""),"")</f>
        <v/>
      </c>
      <c r="AM257" s="156" t="str">
        <f ca="1">IFERROR(Letter&amp;TEXT((Items[[#This Row],[Count]]-1)*Incr+BeginLine,"0000"),"")</f>
        <v/>
      </c>
      <c r="AN257" s="7" t="str">
        <f>IF(ISNA(MATCH(LEFT(Items[[#This Row],[Raw Item]],5)&amp;"-"&amp;RIGHT(Items[[#This Row],[Raw Item]],4),Pay.Item.Listing[Pay Item],0)),"",LEFT(Items[[#This Row],[Raw Item]],5)&amp;"-"&amp;RIGHT(Items[[#This Row],[Raw Item]],4))</f>
        <v/>
      </c>
    </row>
    <row r="258" spans="1:40" x14ac:dyDescent="0.15">
      <c r="A258" s="7" t="str">
        <f ca="1">IFERROR(RANK(Items[[#This Row],[Sort]],OFFSET(Items[Sort],0,0,ROW(Proposed[])-ROW(Items[])+ROWS(Proposed[]),1),1),"")</f>
        <v/>
      </c>
      <c r="B258" s="7" t="str">
        <f>IF(LEN(Items[[#This Row],[Item]])&gt;0,Items[[#This Row],[Raw Item]]+COUNTIF(AN$4:AN258,AN258)/100,"")</f>
        <v/>
      </c>
      <c r="C258" s="7">
        <f>IFERROR(VALUE(LEFT(VALUE(SUBSTITUTE(Items[[#This Row],[Pay Item]],"-",""))*100000000,9)),0)</f>
        <v>0</v>
      </c>
      <c r="D258" s="8"/>
      <c r="E258" s="127"/>
      <c r="F258" s="123" t="str">
        <f>IFERROR(SUBSTITUTE(VLOOKUP(Items[[#This Row],[Item]],Pay.Item.Listing[],2+2*(Units&lt;&gt;"Metric"),0),"{","&lt;"),"&lt;&lt; Pay Item not found &gt;&gt;")</f>
        <v>&lt;&lt; Pay Item not found &gt;&gt;</v>
      </c>
      <c r="G258" s="70" t="str">
        <f>IFERROR(VLOOKUP(Items[[#This Row],[Item]],Pay.Item.Listing[],3+2*(Units&lt;&gt;"Metric"),0),"–")</f>
        <v>–</v>
      </c>
      <c r="H258" s="70" t="str">
        <f>IFERROR(VLOOKUP(Items[[#This Row],[Item]],Pay.Item.Listing[],6,0),"–")</f>
        <v>–</v>
      </c>
      <c r="I258" s="70" t="str">
        <f>IFERROR(VLOOKUP(Items[[#This Row],[Item]],Pay.Item.Listing[],7,0),"–")</f>
        <v>–</v>
      </c>
      <c r="J258" s="71"/>
      <c r="K258" s="69"/>
      <c r="L258" s="69"/>
      <c r="M258" s="69"/>
      <c r="N258" s="69"/>
      <c r="O258" s="69"/>
      <c r="P258" s="69"/>
      <c r="Q258" s="69"/>
      <c r="R258" s="69"/>
      <c r="S258" s="69"/>
      <c r="T258" s="69"/>
      <c r="U258" s="69"/>
      <c r="V258" s="69"/>
      <c r="W258" s="69"/>
      <c r="X258" s="72">
        <f>IF(LEN(Items[[#This Row],[Item]])&gt;0,IF(Items[[#This Row],[Unit]]="LPSM",1,SUM(Items[[#This Row],[Col_1]:[Col_13]])),0)</f>
        <v>0</v>
      </c>
      <c r="Y258" s="190">
        <f>MAX(Items[[#This Row],[Quantity]]-SUM(Items[[#This Row],[Account2]]:Items[[#This Row],[Account7]]),0)</f>
        <v>0</v>
      </c>
      <c r="Z258" s="61"/>
      <c r="AA258" s="61"/>
      <c r="AB258" s="61"/>
      <c r="AC258" s="61"/>
      <c r="AD258" s="61"/>
      <c r="AE258" s="61"/>
      <c r="AF258" s="73"/>
      <c r="AG258" s="71"/>
      <c r="AH258" s="74"/>
      <c r="AI258" s="59"/>
      <c r="AJ258" s="190" t="str">
        <f ca="1">IFERROR(RANK(Items[[#This Row],[EstSort]],OFFSET(Items[EstSort],0,0,ROW(Proposed[])-ROW(Items[])+ROWS(Proposed[]),1),1),"")</f>
        <v/>
      </c>
      <c r="AK258" s="190" t="str">
        <f ca="1">IF(CHOOSE(MATCH(Account,Accounts,0),Items[[#This Row],[Count]],Items[[#This Row],[Account1]],Items[[#This Row],[Account2]],Items[[#This Row],[Account3]],Items[[#This Row],[Account7]])&gt;0,Items[[#This Row],[Sort]],"")</f>
        <v/>
      </c>
      <c r="AL258" s="70" t="str">
        <f ca="1">IF(LEN(Items[[#This Row],[Count]])&gt;0,IFERROR(INDEX(Calcs[Counter],MATCH(Items[[#This Row],[Line]],Calcs[Line],0)),""),"")</f>
        <v/>
      </c>
      <c r="AM258" s="156" t="str">
        <f ca="1">IFERROR(Letter&amp;TEXT((Items[[#This Row],[Count]]-1)*Incr+BeginLine,"0000"),"")</f>
        <v/>
      </c>
      <c r="AN258" s="7" t="str">
        <f>IF(ISNA(MATCH(LEFT(Items[[#This Row],[Raw Item]],5)&amp;"-"&amp;RIGHT(Items[[#This Row],[Raw Item]],4),Pay.Item.Listing[Pay Item],0)),"",LEFT(Items[[#This Row],[Raw Item]],5)&amp;"-"&amp;RIGHT(Items[[#This Row],[Raw Item]],4))</f>
        <v/>
      </c>
    </row>
    <row r="259" spans="1:40" x14ac:dyDescent="0.15">
      <c r="A259" s="7" t="str">
        <f ca="1">IFERROR(RANK(Items[[#This Row],[Sort]],OFFSET(Items[Sort],0,0,ROW(Proposed[])-ROW(Items[])+ROWS(Proposed[]),1),1),"")</f>
        <v/>
      </c>
      <c r="B259" s="7" t="str">
        <f>IF(LEN(Items[[#This Row],[Item]])&gt;0,Items[[#This Row],[Raw Item]]+COUNTIF(AN$4:AN259,AN259)/100,"")</f>
        <v/>
      </c>
      <c r="C259" s="7">
        <f>IFERROR(VALUE(LEFT(VALUE(SUBSTITUTE(Items[[#This Row],[Pay Item]],"-",""))*100000000,9)),0)</f>
        <v>0</v>
      </c>
      <c r="D259" s="8"/>
      <c r="E259" s="127"/>
      <c r="F259" s="123" t="str">
        <f>IFERROR(SUBSTITUTE(VLOOKUP(Items[[#This Row],[Item]],Pay.Item.Listing[],2+2*(Units&lt;&gt;"Metric"),0),"{","&lt;"),"&lt;&lt; Pay Item not found &gt;&gt;")</f>
        <v>&lt;&lt; Pay Item not found &gt;&gt;</v>
      </c>
      <c r="G259" s="70" t="str">
        <f>IFERROR(VLOOKUP(Items[[#This Row],[Item]],Pay.Item.Listing[],3+2*(Units&lt;&gt;"Metric"),0),"–")</f>
        <v>–</v>
      </c>
      <c r="H259" s="70" t="str">
        <f>IFERROR(VLOOKUP(Items[[#This Row],[Item]],Pay.Item.Listing[],6,0),"–")</f>
        <v>–</v>
      </c>
      <c r="I259" s="70" t="str">
        <f>IFERROR(VLOOKUP(Items[[#This Row],[Item]],Pay.Item.Listing[],7,0),"–")</f>
        <v>–</v>
      </c>
      <c r="J259" s="71"/>
      <c r="K259" s="69"/>
      <c r="L259" s="69"/>
      <c r="M259" s="69"/>
      <c r="N259" s="69"/>
      <c r="O259" s="69"/>
      <c r="P259" s="69"/>
      <c r="Q259" s="69"/>
      <c r="R259" s="69"/>
      <c r="S259" s="69"/>
      <c r="T259" s="69"/>
      <c r="U259" s="69"/>
      <c r="V259" s="69"/>
      <c r="W259" s="69"/>
      <c r="X259" s="72">
        <f>IF(LEN(Items[[#This Row],[Item]])&gt;0,IF(Items[[#This Row],[Unit]]="LPSM",1,SUM(Items[[#This Row],[Col_1]:[Col_13]])),0)</f>
        <v>0</v>
      </c>
      <c r="Y259" s="190">
        <f>MAX(Items[[#This Row],[Quantity]]-SUM(Items[[#This Row],[Account2]]:Items[[#This Row],[Account7]]),0)</f>
        <v>0</v>
      </c>
      <c r="Z259" s="61"/>
      <c r="AA259" s="61"/>
      <c r="AB259" s="61"/>
      <c r="AC259" s="61"/>
      <c r="AD259" s="61"/>
      <c r="AE259" s="61"/>
      <c r="AF259" s="73"/>
      <c r="AG259" s="71"/>
      <c r="AH259" s="74"/>
      <c r="AI259" s="59"/>
      <c r="AJ259" s="190" t="str">
        <f ca="1">IFERROR(RANK(Items[[#This Row],[EstSort]],OFFSET(Items[EstSort],0,0,ROW(Proposed[])-ROW(Items[])+ROWS(Proposed[]),1),1),"")</f>
        <v/>
      </c>
      <c r="AK259" s="190" t="str">
        <f ca="1">IF(CHOOSE(MATCH(Account,Accounts,0),Items[[#This Row],[Count]],Items[[#This Row],[Account1]],Items[[#This Row],[Account2]],Items[[#This Row],[Account3]],Items[[#This Row],[Account7]])&gt;0,Items[[#This Row],[Sort]],"")</f>
        <v/>
      </c>
      <c r="AL259" s="70" t="str">
        <f ca="1">IF(LEN(Items[[#This Row],[Count]])&gt;0,IFERROR(INDEX(Calcs[Counter],MATCH(Items[[#This Row],[Line]],Calcs[Line],0)),""),"")</f>
        <v/>
      </c>
      <c r="AM259" s="156" t="str">
        <f ca="1">IFERROR(Letter&amp;TEXT((Items[[#This Row],[Count]]-1)*Incr+BeginLine,"0000"),"")</f>
        <v/>
      </c>
      <c r="AN259" s="7" t="str">
        <f>IF(ISNA(MATCH(LEFT(Items[[#This Row],[Raw Item]],5)&amp;"-"&amp;RIGHT(Items[[#This Row],[Raw Item]],4),Pay.Item.Listing[Pay Item],0)),"",LEFT(Items[[#This Row],[Raw Item]],5)&amp;"-"&amp;RIGHT(Items[[#This Row],[Raw Item]],4))</f>
        <v/>
      </c>
    </row>
    <row r="260" spans="1:40" x14ac:dyDescent="0.15">
      <c r="A260" s="7" t="str">
        <f ca="1">IFERROR(RANK(Items[[#This Row],[Sort]],OFFSET(Items[Sort],0,0,ROW(Proposed[])-ROW(Items[])+ROWS(Proposed[]),1),1),"")</f>
        <v/>
      </c>
      <c r="B260" s="7" t="str">
        <f>IF(LEN(Items[[#This Row],[Item]])&gt;0,Items[[#This Row],[Raw Item]]+COUNTIF(AN$4:AN260,AN260)/100,"")</f>
        <v/>
      </c>
      <c r="C260" s="7">
        <f>IFERROR(VALUE(LEFT(VALUE(SUBSTITUTE(Items[[#This Row],[Pay Item]],"-",""))*100000000,9)),0)</f>
        <v>0</v>
      </c>
      <c r="D260" s="8"/>
      <c r="E260" s="127"/>
      <c r="F260" s="123" t="str">
        <f>IFERROR(SUBSTITUTE(VLOOKUP(Items[[#This Row],[Item]],Pay.Item.Listing[],2+2*(Units&lt;&gt;"Metric"),0),"{","&lt;"),"&lt;&lt; Pay Item not found &gt;&gt;")</f>
        <v>&lt;&lt; Pay Item not found &gt;&gt;</v>
      </c>
      <c r="G260" s="70" t="str">
        <f>IFERROR(VLOOKUP(Items[[#This Row],[Item]],Pay.Item.Listing[],3+2*(Units&lt;&gt;"Metric"),0),"–")</f>
        <v>–</v>
      </c>
      <c r="H260" s="70" t="str">
        <f>IFERROR(VLOOKUP(Items[[#This Row],[Item]],Pay.Item.Listing[],6,0),"–")</f>
        <v>–</v>
      </c>
      <c r="I260" s="70" t="str">
        <f>IFERROR(VLOOKUP(Items[[#This Row],[Item]],Pay.Item.Listing[],7,0),"–")</f>
        <v>–</v>
      </c>
      <c r="J260" s="71"/>
      <c r="K260" s="69"/>
      <c r="L260" s="69"/>
      <c r="M260" s="69"/>
      <c r="N260" s="69"/>
      <c r="O260" s="69"/>
      <c r="P260" s="69"/>
      <c r="Q260" s="69"/>
      <c r="R260" s="69"/>
      <c r="S260" s="69"/>
      <c r="T260" s="69"/>
      <c r="U260" s="69"/>
      <c r="V260" s="69"/>
      <c r="W260" s="69"/>
      <c r="X260" s="72">
        <f>IF(LEN(Items[[#This Row],[Item]])&gt;0,IF(Items[[#This Row],[Unit]]="LPSM",1,SUM(Items[[#This Row],[Col_1]:[Col_13]])),0)</f>
        <v>0</v>
      </c>
      <c r="Y260" s="190">
        <f>MAX(Items[[#This Row],[Quantity]]-SUM(Items[[#This Row],[Account2]]:Items[[#This Row],[Account7]]),0)</f>
        <v>0</v>
      </c>
      <c r="Z260" s="61"/>
      <c r="AA260" s="61"/>
      <c r="AB260" s="61"/>
      <c r="AC260" s="61"/>
      <c r="AD260" s="61"/>
      <c r="AE260" s="61"/>
      <c r="AF260" s="73"/>
      <c r="AG260" s="71"/>
      <c r="AH260" s="74"/>
      <c r="AI260" s="59"/>
      <c r="AJ260" s="190" t="str">
        <f ca="1">IFERROR(RANK(Items[[#This Row],[EstSort]],OFFSET(Items[EstSort],0,0,ROW(Proposed[])-ROW(Items[])+ROWS(Proposed[]),1),1),"")</f>
        <v/>
      </c>
      <c r="AK260" s="190" t="str">
        <f ca="1">IF(CHOOSE(MATCH(Account,Accounts,0),Items[[#This Row],[Count]],Items[[#This Row],[Account1]],Items[[#This Row],[Account2]],Items[[#This Row],[Account3]],Items[[#This Row],[Account7]])&gt;0,Items[[#This Row],[Sort]],"")</f>
        <v/>
      </c>
      <c r="AL260" s="70" t="str">
        <f ca="1">IF(LEN(Items[[#This Row],[Count]])&gt;0,IFERROR(INDEX(Calcs[Counter],MATCH(Items[[#This Row],[Line]],Calcs[Line],0)),""),"")</f>
        <v/>
      </c>
      <c r="AM260" s="156" t="str">
        <f ca="1">IFERROR(Letter&amp;TEXT((Items[[#This Row],[Count]]-1)*Incr+BeginLine,"0000"),"")</f>
        <v/>
      </c>
      <c r="AN260" s="7" t="str">
        <f>IF(ISNA(MATCH(LEFT(Items[[#This Row],[Raw Item]],5)&amp;"-"&amp;RIGHT(Items[[#This Row],[Raw Item]],4),Pay.Item.Listing[Pay Item],0)),"",LEFT(Items[[#This Row],[Raw Item]],5)&amp;"-"&amp;RIGHT(Items[[#This Row],[Raw Item]],4))</f>
        <v/>
      </c>
    </row>
    <row r="261" spans="1:40" x14ac:dyDescent="0.15">
      <c r="A261" s="7" t="str">
        <f ca="1">IFERROR(RANK(Items[[#This Row],[Sort]],OFFSET(Items[Sort],0,0,ROW(Proposed[])-ROW(Items[])+ROWS(Proposed[]),1),1),"")</f>
        <v/>
      </c>
      <c r="B261" s="7" t="str">
        <f>IF(LEN(Items[[#This Row],[Item]])&gt;0,Items[[#This Row],[Raw Item]]+COUNTIF(AN$4:AN261,AN261)/100,"")</f>
        <v/>
      </c>
      <c r="C261" s="7">
        <f>IFERROR(VALUE(LEFT(VALUE(SUBSTITUTE(Items[[#This Row],[Pay Item]],"-",""))*100000000,9)),0)</f>
        <v>0</v>
      </c>
      <c r="D261" s="8"/>
      <c r="E261" s="127"/>
      <c r="F261" s="123" t="str">
        <f>IFERROR(SUBSTITUTE(VLOOKUP(Items[[#This Row],[Item]],Pay.Item.Listing[],2+2*(Units&lt;&gt;"Metric"),0),"{","&lt;"),"&lt;&lt; Pay Item not found &gt;&gt;")</f>
        <v>&lt;&lt; Pay Item not found &gt;&gt;</v>
      </c>
      <c r="G261" s="70" t="str">
        <f>IFERROR(VLOOKUP(Items[[#This Row],[Item]],Pay.Item.Listing[],3+2*(Units&lt;&gt;"Metric"),0),"–")</f>
        <v>–</v>
      </c>
      <c r="H261" s="70" t="str">
        <f>IFERROR(VLOOKUP(Items[[#This Row],[Item]],Pay.Item.Listing[],6,0),"–")</f>
        <v>–</v>
      </c>
      <c r="I261" s="70" t="str">
        <f>IFERROR(VLOOKUP(Items[[#This Row],[Item]],Pay.Item.Listing[],7,0),"–")</f>
        <v>–</v>
      </c>
      <c r="J261" s="71"/>
      <c r="K261" s="69"/>
      <c r="L261" s="69"/>
      <c r="M261" s="69"/>
      <c r="N261" s="69"/>
      <c r="O261" s="69"/>
      <c r="P261" s="69"/>
      <c r="Q261" s="69"/>
      <c r="R261" s="69"/>
      <c r="S261" s="69"/>
      <c r="T261" s="69"/>
      <c r="U261" s="69"/>
      <c r="V261" s="69"/>
      <c r="W261" s="69"/>
      <c r="X261" s="72">
        <f>IF(LEN(Items[[#This Row],[Item]])&gt;0,IF(Items[[#This Row],[Unit]]="LPSM",1,SUM(Items[[#This Row],[Col_1]:[Col_13]])),0)</f>
        <v>0</v>
      </c>
      <c r="Y261" s="190">
        <f>MAX(Items[[#This Row],[Quantity]]-SUM(Items[[#This Row],[Account2]]:Items[[#This Row],[Account7]]),0)</f>
        <v>0</v>
      </c>
      <c r="Z261" s="61"/>
      <c r="AA261" s="61"/>
      <c r="AB261" s="61"/>
      <c r="AC261" s="61"/>
      <c r="AD261" s="61"/>
      <c r="AE261" s="61"/>
      <c r="AF261" s="73"/>
      <c r="AG261" s="71"/>
      <c r="AH261" s="74"/>
      <c r="AI261" s="59"/>
      <c r="AJ261" s="190" t="str">
        <f ca="1">IFERROR(RANK(Items[[#This Row],[EstSort]],OFFSET(Items[EstSort],0,0,ROW(Proposed[])-ROW(Items[])+ROWS(Proposed[]),1),1),"")</f>
        <v/>
      </c>
      <c r="AK261" s="190" t="str">
        <f ca="1">IF(CHOOSE(MATCH(Account,Accounts,0),Items[[#This Row],[Count]],Items[[#This Row],[Account1]],Items[[#This Row],[Account2]],Items[[#This Row],[Account3]],Items[[#This Row],[Account7]])&gt;0,Items[[#This Row],[Sort]],"")</f>
        <v/>
      </c>
      <c r="AL261" s="70" t="str">
        <f ca="1">IF(LEN(Items[[#This Row],[Count]])&gt;0,IFERROR(INDEX(Calcs[Counter],MATCH(Items[[#This Row],[Line]],Calcs[Line],0)),""),"")</f>
        <v/>
      </c>
      <c r="AM261" s="156" t="str">
        <f ca="1">IFERROR(Letter&amp;TEXT((Items[[#This Row],[Count]]-1)*Incr+BeginLine,"0000"),"")</f>
        <v/>
      </c>
      <c r="AN261" s="7" t="str">
        <f>IF(ISNA(MATCH(LEFT(Items[[#This Row],[Raw Item]],5)&amp;"-"&amp;RIGHT(Items[[#This Row],[Raw Item]],4),Pay.Item.Listing[Pay Item],0)),"",LEFT(Items[[#This Row],[Raw Item]],5)&amp;"-"&amp;RIGHT(Items[[#This Row],[Raw Item]],4))</f>
        <v/>
      </c>
    </row>
    <row r="262" spans="1:40" x14ac:dyDescent="0.15">
      <c r="A262" s="7" t="str">
        <f ca="1">IFERROR(RANK(Items[[#This Row],[Sort]],OFFSET(Items[Sort],0,0,ROW(Proposed[])-ROW(Items[])+ROWS(Proposed[]),1),1),"")</f>
        <v/>
      </c>
      <c r="B262" s="7" t="str">
        <f>IF(LEN(Items[[#This Row],[Item]])&gt;0,Items[[#This Row],[Raw Item]]+COUNTIF(AN$4:AN262,AN262)/100,"")</f>
        <v/>
      </c>
      <c r="C262" s="7">
        <f>IFERROR(VALUE(LEFT(VALUE(SUBSTITUTE(Items[[#This Row],[Pay Item]],"-",""))*100000000,9)),0)</f>
        <v>0</v>
      </c>
      <c r="D262" s="8"/>
      <c r="E262" s="127"/>
      <c r="F262" s="123" t="str">
        <f>IFERROR(SUBSTITUTE(VLOOKUP(Items[[#This Row],[Item]],Pay.Item.Listing[],2+2*(Units&lt;&gt;"Metric"),0),"{","&lt;"),"&lt;&lt; Pay Item not found &gt;&gt;")</f>
        <v>&lt;&lt; Pay Item not found &gt;&gt;</v>
      </c>
      <c r="G262" s="70" t="str">
        <f>IFERROR(VLOOKUP(Items[[#This Row],[Item]],Pay.Item.Listing[],3+2*(Units&lt;&gt;"Metric"),0),"–")</f>
        <v>–</v>
      </c>
      <c r="H262" s="70" t="str">
        <f>IFERROR(VLOOKUP(Items[[#This Row],[Item]],Pay.Item.Listing[],6,0),"–")</f>
        <v>–</v>
      </c>
      <c r="I262" s="70" t="str">
        <f>IFERROR(VLOOKUP(Items[[#This Row],[Item]],Pay.Item.Listing[],7,0),"–")</f>
        <v>–</v>
      </c>
      <c r="J262" s="71"/>
      <c r="K262" s="69"/>
      <c r="L262" s="69"/>
      <c r="M262" s="69"/>
      <c r="N262" s="69"/>
      <c r="O262" s="69"/>
      <c r="P262" s="69"/>
      <c r="Q262" s="69"/>
      <c r="R262" s="69"/>
      <c r="S262" s="69"/>
      <c r="T262" s="69"/>
      <c r="U262" s="69"/>
      <c r="V262" s="69"/>
      <c r="W262" s="69"/>
      <c r="X262" s="72">
        <f>IF(LEN(Items[[#This Row],[Item]])&gt;0,IF(Items[[#This Row],[Unit]]="LPSM",1,SUM(Items[[#This Row],[Col_1]:[Col_13]])),0)</f>
        <v>0</v>
      </c>
      <c r="Y262" s="190">
        <f>MAX(Items[[#This Row],[Quantity]]-SUM(Items[[#This Row],[Account2]]:Items[[#This Row],[Account7]]),0)</f>
        <v>0</v>
      </c>
      <c r="Z262" s="61"/>
      <c r="AA262" s="61"/>
      <c r="AB262" s="61"/>
      <c r="AC262" s="61"/>
      <c r="AD262" s="61"/>
      <c r="AE262" s="61"/>
      <c r="AF262" s="73"/>
      <c r="AG262" s="71"/>
      <c r="AH262" s="74"/>
      <c r="AI262" s="59"/>
      <c r="AJ262" s="190" t="str">
        <f ca="1">IFERROR(RANK(Items[[#This Row],[EstSort]],OFFSET(Items[EstSort],0,0,ROW(Proposed[])-ROW(Items[])+ROWS(Proposed[]),1),1),"")</f>
        <v/>
      </c>
      <c r="AK262" s="190" t="str">
        <f ca="1">IF(CHOOSE(MATCH(Account,Accounts,0),Items[[#This Row],[Count]],Items[[#This Row],[Account1]],Items[[#This Row],[Account2]],Items[[#This Row],[Account3]],Items[[#This Row],[Account7]])&gt;0,Items[[#This Row],[Sort]],"")</f>
        <v/>
      </c>
      <c r="AL262" s="70" t="str">
        <f ca="1">IF(LEN(Items[[#This Row],[Count]])&gt;0,IFERROR(INDEX(Calcs[Counter],MATCH(Items[[#This Row],[Line]],Calcs[Line],0)),""),"")</f>
        <v/>
      </c>
      <c r="AM262" s="156" t="str">
        <f ca="1">IFERROR(Letter&amp;TEXT((Items[[#This Row],[Count]]-1)*Incr+BeginLine,"0000"),"")</f>
        <v/>
      </c>
      <c r="AN262" s="7" t="str">
        <f>IF(ISNA(MATCH(LEFT(Items[[#This Row],[Raw Item]],5)&amp;"-"&amp;RIGHT(Items[[#This Row],[Raw Item]],4),Pay.Item.Listing[Pay Item],0)),"",LEFT(Items[[#This Row],[Raw Item]],5)&amp;"-"&amp;RIGHT(Items[[#This Row],[Raw Item]],4))</f>
        <v/>
      </c>
    </row>
    <row r="263" spans="1:40" ht="11.25" thickBot="1" x14ac:dyDescent="0.2">
      <c r="A263" s="7" t="str">
        <f ca="1">IFERROR(RANK(Items[[#This Row],[Sort]],OFFSET(Items[Sort],0,0,ROW(Proposed[])-ROW(Items[])+ROWS(Proposed[]),1),1),"")</f>
        <v/>
      </c>
      <c r="B263" s="7" t="str">
        <f>IF(LEN(Items[[#This Row],[Item]])&gt;0,Items[[#This Row],[Raw Item]]+COUNTIF(AN$4:AN263,AN263)/100,"")</f>
        <v/>
      </c>
      <c r="C263" s="7">
        <f>IFERROR(VALUE(LEFT(VALUE(SUBSTITUTE(Items[[#This Row],[Pay Item]],"-",""))*100000000,9)),0)</f>
        <v>0</v>
      </c>
      <c r="D263" s="8"/>
      <c r="E263" s="127"/>
      <c r="F263" s="123" t="str">
        <f>IFERROR(SUBSTITUTE(VLOOKUP(Items[[#This Row],[Item]],Pay.Item.Listing[],2+2*(Units&lt;&gt;"Metric"),0),"{","&lt;"),"&lt;&lt; Pay Item not found &gt;&gt;")</f>
        <v>&lt;&lt; Pay Item not found &gt;&gt;</v>
      </c>
      <c r="G263" s="70" t="str">
        <f>IFERROR(VLOOKUP(Items[[#This Row],[Item]],Pay.Item.Listing[],3+2*(Units&lt;&gt;"Metric"),0),"–")</f>
        <v>–</v>
      </c>
      <c r="H263" s="70" t="str">
        <f>IFERROR(VLOOKUP(Items[[#This Row],[Item]],Pay.Item.Listing[],6,0),"–")</f>
        <v>–</v>
      </c>
      <c r="I263" s="70" t="str">
        <f>IFERROR(VLOOKUP(Items[[#This Row],[Item]],Pay.Item.Listing[],7,0),"–")</f>
        <v>–</v>
      </c>
      <c r="J263" s="71"/>
      <c r="K263" s="69"/>
      <c r="L263" s="69"/>
      <c r="M263" s="69"/>
      <c r="N263" s="69"/>
      <c r="O263" s="69"/>
      <c r="P263" s="69"/>
      <c r="Q263" s="69"/>
      <c r="R263" s="69"/>
      <c r="S263" s="69"/>
      <c r="T263" s="69"/>
      <c r="U263" s="69"/>
      <c r="V263" s="69"/>
      <c r="W263" s="69"/>
      <c r="X263" s="72">
        <f>IF(LEN(Items[[#This Row],[Item]])&gt;0,IF(Items[[#This Row],[Unit]]="LPSM",1,SUM(Items[[#This Row],[Col_1]:[Col_13]])),0)</f>
        <v>0</v>
      </c>
      <c r="Y263" s="190">
        <f>MAX(Items[[#This Row],[Quantity]]-SUM(Items[[#This Row],[Account2]]:Items[[#This Row],[Account7]]),0)</f>
        <v>0</v>
      </c>
      <c r="Z263" s="61"/>
      <c r="AA263" s="61"/>
      <c r="AB263" s="61"/>
      <c r="AC263" s="61"/>
      <c r="AD263" s="61"/>
      <c r="AE263" s="61"/>
      <c r="AF263" s="73"/>
      <c r="AG263" s="71"/>
      <c r="AH263" s="74"/>
      <c r="AI263" s="59"/>
      <c r="AJ263" s="190" t="str">
        <f ca="1">IFERROR(RANK(Items[[#This Row],[EstSort]],OFFSET(Items[EstSort],0,0,ROW(Proposed[])-ROW(Items[])+ROWS(Proposed[]),1),1),"")</f>
        <v/>
      </c>
      <c r="AK263" s="190" t="str">
        <f ca="1">IF(CHOOSE(MATCH(Account,Accounts,0),Items[[#This Row],[Count]],Items[[#This Row],[Account1]],Items[[#This Row],[Account2]],Items[[#This Row],[Account3]],Items[[#This Row],[Account7]])&gt;0,Items[[#This Row],[Sort]],"")</f>
        <v/>
      </c>
      <c r="AL263" s="70" t="str">
        <f ca="1">IF(LEN(Items[[#This Row],[Count]])&gt;0,IFERROR(INDEX(Calcs[Counter],MATCH(Items[[#This Row],[Line]],Calcs[Line],0)),""),"")</f>
        <v/>
      </c>
      <c r="AM263" s="156" t="str">
        <f ca="1">IFERROR(Letter&amp;TEXT((Items[[#This Row],[Count]]-1)*Incr+BeginLine,"0000"),"")</f>
        <v/>
      </c>
      <c r="AN263" s="7" t="str">
        <f>IF(ISNA(MATCH(LEFT(Items[[#This Row],[Raw Item]],5)&amp;"-"&amp;RIGHT(Items[[#This Row],[Raw Item]],4),Pay.Item.Listing[Pay Item],0)),"",LEFT(Items[[#This Row],[Raw Item]],5)&amp;"-"&amp;RIGHT(Items[[#This Row],[Raw Item]],4))</f>
        <v/>
      </c>
    </row>
    <row r="264" spans="1:40" ht="15.75" thickTop="1" thickBot="1" x14ac:dyDescent="0.25">
      <c r="A264" s="2" t="s">
        <v>114</v>
      </c>
      <c r="B264" s="2" t="s">
        <v>114</v>
      </c>
      <c r="C264" s="2" t="s">
        <v>114</v>
      </c>
      <c r="D264" s="76" t="s">
        <v>199</v>
      </c>
      <c r="E264" s="128"/>
      <c r="F264" s="124" t="s">
        <v>200</v>
      </c>
      <c r="G264" s="82"/>
      <c r="H264" s="82"/>
      <c r="I264" s="83"/>
      <c r="J264" s="108" t="s">
        <v>132</v>
      </c>
      <c r="K264" s="84" t="s">
        <v>201</v>
      </c>
      <c r="L264" s="82"/>
      <c r="M264" s="79"/>
      <c r="N264" s="80"/>
      <c r="O264" s="80"/>
      <c r="P264" s="80"/>
      <c r="Q264" s="80"/>
      <c r="R264" s="80"/>
      <c r="S264" s="80"/>
      <c r="T264" s="80"/>
      <c r="U264" s="80"/>
      <c r="V264" s="80"/>
      <c r="W264" s="81"/>
      <c r="X264" s="77" t="s">
        <v>146</v>
      </c>
      <c r="Y264" s="199" t="s">
        <v>147</v>
      </c>
      <c r="Z264" s="200" t="s">
        <v>148</v>
      </c>
      <c r="AA264" s="200"/>
      <c r="AB264" s="200"/>
      <c r="AC264" s="200"/>
      <c r="AD264" s="200"/>
      <c r="AE264" s="201" t="s">
        <v>149</v>
      </c>
      <c r="AF264" s="13" t="str">
        <f>IF(AA264,A264,"")</f>
        <v/>
      </c>
      <c r="AG264" s="78" t="s">
        <v>150</v>
      </c>
      <c r="AH264" s="13"/>
    </row>
    <row r="265" spans="1:40" ht="11.25" thickTop="1" x14ac:dyDescent="0.15">
      <c r="A265" s="27" t="s">
        <v>151</v>
      </c>
      <c r="B265" s="27" t="s">
        <v>152</v>
      </c>
      <c r="C265" s="27" t="s">
        <v>153</v>
      </c>
      <c r="D265" s="27" t="s">
        <v>202</v>
      </c>
      <c r="E265" s="129" t="s">
        <v>130</v>
      </c>
      <c r="F265" s="125" t="s">
        <v>155</v>
      </c>
      <c r="G265" s="27" t="s">
        <v>156</v>
      </c>
      <c r="H265" s="27" t="s">
        <v>37</v>
      </c>
      <c r="I265" s="27" t="s">
        <v>157</v>
      </c>
      <c r="J265" s="27" t="s">
        <v>158</v>
      </c>
      <c r="K265" s="27" t="s">
        <v>159</v>
      </c>
      <c r="L265" s="27" t="s">
        <v>160</v>
      </c>
      <c r="M265" s="27" t="s">
        <v>161</v>
      </c>
      <c r="N265" s="27" t="s">
        <v>162</v>
      </c>
      <c r="O265" s="27" t="s">
        <v>163</v>
      </c>
      <c r="P265" s="27" t="s">
        <v>164</v>
      </c>
      <c r="Q265" s="27" t="s">
        <v>165</v>
      </c>
      <c r="R265" s="27" t="s">
        <v>166</v>
      </c>
      <c r="S265" s="27" t="s">
        <v>167</v>
      </c>
      <c r="T265" s="27" t="s">
        <v>168</v>
      </c>
      <c r="U265" s="27" t="s">
        <v>169</v>
      </c>
      <c r="V265" s="27" t="s">
        <v>170</v>
      </c>
      <c r="W265" s="27" t="s">
        <v>171</v>
      </c>
      <c r="X265" s="65" t="s">
        <v>172</v>
      </c>
      <c r="Y265" t="s">
        <v>173</v>
      </c>
      <c r="Z265" t="s">
        <v>174</v>
      </c>
      <c r="AA265" t="s">
        <v>175</v>
      </c>
      <c r="AB265" t="s">
        <v>176</v>
      </c>
      <c r="AC265" t="s">
        <v>177</v>
      </c>
      <c r="AD265" t="s">
        <v>178</v>
      </c>
      <c r="AE265" t="s">
        <v>179</v>
      </c>
      <c r="AF265" s="65" t="s">
        <v>180</v>
      </c>
      <c r="AG265" s="65" t="s">
        <v>181</v>
      </c>
      <c r="AH265" s="65" t="s">
        <v>182</v>
      </c>
      <c r="AI265" t="s">
        <v>183</v>
      </c>
      <c r="AJ265" t="s">
        <v>184</v>
      </c>
      <c r="AK265" t="s">
        <v>185</v>
      </c>
      <c r="AL265" s="65" t="s">
        <v>186</v>
      </c>
      <c r="AM265" t="s">
        <v>187</v>
      </c>
      <c r="AN265" s="27" t="s">
        <v>188</v>
      </c>
    </row>
    <row r="266" spans="1:40" x14ac:dyDescent="0.15">
      <c r="A266" s="7" t="str">
        <f ca="1">IFERROR(RANK(Proposed[[#This Row],[Sort]],OFFSET(Items[Sort],0,0,ROW(Proposed[])-ROW(Items[])+ROWS(Proposed[]),1),1),"")</f>
        <v/>
      </c>
      <c r="B266" s="7" t="str">
        <f>IF(LEN(Proposed[[#This Row],[Item]])&gt;0,Proposed[[#This Row],[Raw Item]]+COUNTIF(AN$265:AN266,Proposed[[#This Row],[Item]])/100,"")</f>
        <v/>
      </c>
      <c r="C266" s="7">
        <f>IFERROR(VALUE(LEFT(VALUE(SUBSTITUTE(Proposed[[#This Row],[Pay Item]],"-",""))*100000000,9)),0)</f>
        <v>0</v>
      </c>
      <c r="D266" s="10" t="str">
        <f t="shared" ref="D266:D285" si="1">IF(C266&gt;0,IF(LEN(AN266)=0,"Item Exists","New Item"),"")</f>
        <v/>
      </c>
      <c r="E266" s="130"/>
      <c r="F266" s="126" t="s">
        <v>203</v>
      </c>
      <c r="G266" s="11" t="s">
        <v>94</v>
      </c>
      <c r="H266" s="11">
        <v>0</v>
      </c>
      <c r="I266" s="11">
        <v>0</v>
      </c>
      <c r="J266" s="85" t="str">
        <f>""</f>
        <v/>
      </c>
      <c r="K266" s="11"/>
      <c r="L266" s="11"/>
      <c r="M266" s="11"/>
      <c r="N266" s="11"/>
      <c r="O266" s="11"/>
      <c r="P266" s="11"/>
      <c r="Q266" s="11"/>
      <c r="R266" s="11"/>
      <c r="S266" s="11"/>
      <c r="T266" s="11"/>
      <c r="U266" s="11"/>
      <c r="V266" s="11"/>
      <c r="W266" s="11">
        <v>55</v>
      </c>
      <c r="X266" s="6">
        <f>IF(LEN(Proposed[[#This Row],[Item]])&gt;0,IF(Proposed[[#This Row],[Unit]]="LPSM",1,SUM(Proposed[[#This Row],[Col_1]:[Col_13]])),0)</f>
        <v>0</v>
      </c>
      <c r="Y266" s="72">
        <f>MAX(Proposed[[#This Row],[Quantity]]-SUM(Proposed[[#This Row],[Account2]]:Proposed[[#This Row],[Account7]]),0)</f>
        <v>0</v>
      </c>
      <c r="Z266" s="69"/>
      <c r="AA266" s="69"/>
      <c r="AB266" s="69"/>
      <c r="AC266" s="69"/>
      <c r="AD266" s="69"/>
      <c r="AE266" s="69"/>
      <c r="AF266" s="12"/>
      <c r="AG266" s="9"/>
      <c r="AH266" s="74"/>
      <c r="AI266" s="85" t="str">
        <f>""</f>
        <v/>
      </c>
      <c r="AJ266" s="72" t="str">
        <f ca="1">IFERROR(RANK(Proposed[[#This Row],[EstSort]],OFFSET(Items[EstSort],0,0,ROW(Proposed[])-ROW(Items[])+ROWS(Proposed[]),1),1),"")</f>
        <v/>
      </c>
      <c r="AK266" s="72" t="str">
        <f ca="1">IF(CHOOSE(MATCH(Account,Accounts,0),Proposed[[#This Row],[Count]],Proposed[[#This Row],[Account1]],Proposed[[#This Row],[Account2]],Proposed[[#This Row],[Account3]],Proposed[[#This Row],[Account7]])&gt;0,Proposed[[#This Row],[Sort]],"")</f>
        <v/>
      </c>
      <c r="AL266" s="6" t="str">
        <f ca="1">IF(LEN(Proposed[[#This Row],[Count]])&gt;0,IFERROR(INDEX(Calcs[Counter],MATCH(Proposed[[#This Row],[Line]],Calcs[Line],0)),""),"")</f>
        <v/>
      </c>
      <c r="AM266" s="1" t="str">
        <f ca="1">IFERROR(Letter&amp;TEXT((Proposed[[#This Row],[Count]]-1)*Incr+BeginLine,"0000"),"")</f>
        <v/>
      </c>
      <c r="AN266" s="7" t="str">
        <f>IF(ISNA(MATCH(LEFT(Proposed[[#This Row],[Raw Item]],5)&amp;"-"&amp;RIGHT(Proposed[[#This Row],[Raw Item]],4),Pay.Item.Listing[Pay Item],0)),"",LEFT(Proposed[[#This Row],[Raw Item]],5)&amp;"-"&amp;RIGHT(Proposed[[#This Row],[Raw Item]],4))</f>
        <v/>
      </c>
    </row>
    <row r="267" spans="1:40" x14ac:dyDescent="0.15">
      <c r="A267" s="7" t="str">
        <f ca="1">IFERROR(RANK(Proposed[[#This Row],[Sort]],OFFSET(Items[Sort],0,0,ROW(Proposed[])-ROW(Items[])+ROWS(Proposed[]),1),1),"")</f>
        <v/>
      </c>
      <c r="B267" s="7" t="str">
        <f>IF(LEN(Proposed[[#This Row],[Item]])&gt;0,Proposed[[#This Row],[Raw Item]]+COUNTIF(AN$265:AN267,Proposed[[#This Row],[Item]])/100,"")</f>
        <v/>
      </c>
      <c r="C267" s="7">
        <f>IFERROR(VALUE(LEFT(VALUE(SUBSTITUTE(Proposed[[#This Row],[Pay Item]],"-",""))*100000000,9)),0)</f>
        <v>0</v>
      </c>
      <c r="D267" s="10" t="str">
        <f t="shared" si="1"/>
        <v/>
      </c>
      <c r="E267" s="130"/>
      <c r="F267" s="126" t="s">
        <v>203</v>
      </c>
      <c r="G267" s="11" t="s">
        <v>94</v>
      </c>
      <c r="H267" s="11">
        <v>0</v>
      </c>
      <c r="I267" s="11">
        <v>0</v>
      </c>
      <c r="J267" s="86" t="str">
        <f>""</f>
        <v/>
      </c>
      <c r="K267" s="11"/>
      <c r="L267" s="11"/>
      <c r="M267" s="11"/>
      <c r="N267" s="11"/>
      <c r="O267" s="11"/>
      <c r="P267" s="11"/>
      <c r="Q267" s="11"/>
      <c r="R267" s="11"/>
      <c r="S267" s="11"/>
      <c r="T267" s="11"/>
      <c r="U267" s="11"/>
      <c r="V267" s="11"/>
      <c r="W267" s="11"/>
      <c r="X267" s="6">
        <f>IF(LEN(Proposed[[#This Row],[Item]])&gt;0,IF(Proposed[[#This Row],[Unit]]="LPSM",1,SUM(Proposed[[#This Row],[Col_1]:[Col_13]])),0)</f>
        <v>0</v>
      </c>
      <c r="Y267" s="72">
        <f>MAX(Proposed[[#This Row],[Quantity]]-SUM(Proposed[[#This Row],[Account2]]:Proposed[[#This Row],[Account7]]),0)</f>
        <v>0</v>
      </c>
      <c r="Z267" s="69"/>
      <c r="AA267" s="69"/>
      <c r="AB267" s="69"/>
      <c r="AC267" s="69"/>
      <c r="AD267" s="69"/>
      <c r="AE267" s="69"/>
      <c r="AF267" s="12"/>
      <c r="AG267" s="9"/>
      <c r="AH267" s="74"/>
      <c r="AI267" s="86" t="str">
        <f>""</f>
        <v/>
      </c>
      <c r="AJ267" s="72" t="str">
        <f ca="1">IFERROR(RANK(Proposed[[#This Row],[EstSort]],OFFSET(Items[EstSort],0,0,ROW(Proposed[])-ROW(Items[])+ROWS(Proposed[]),1),1),"")</f>
        <v/>
      </c>
      <c r="AK267" s="72" t="str">
        <f ca="1">IF(CHOOSE(MATCH(Account,Accounts,0),Proposed[[#This Row],[Count]],Proposed[[#This Row],[Account1]],Proposed[[#This Row],[Account2]],Proposed[[#This Row],[Account3]],Proposed[[#This Row],[Account7]])&gt;0,Proposed[[#This Row],[Sort]],"")</f>
        <v/>
      </c>
      <c r="AL267" s="6" t="str">
        <f ca="1">IF(LEN(Proposed[[#This Row],[Count]])&gt;0,IFERROR(INDEX(Calcs[Counter],MATCH(Proposed[[#This Row],[Line]],Calcs[Line],0)),""),"")</f>
        <v/>
      </c>
      <c r="AM267" s="1" t="str">
        <f ca="1">IFERROR(Letter&amp;TEXT((Proposed[[#This Row],[Count]]-1)*Incr+BeginLine,"0000"),"")</f>
        <v/>
      </c>
      <c r="AN267" s="7" t="str">
        <f>IF(ISNA(MATCH(LEFT(Proposed[[#This Row],[Raw Item]],5)&amp;"-"&amp;RIGHT(Proposed[[#This Row],[Raw Item]],4),Pay.Item.Listing[Pay Item],0)),"",LEFT(Proposed[[#This Row],[Raw Item]],5)&amp;"-"&amp;RIGHT(Proposed[[#This Row],[Raw Item]],4))</f>
        <v/>
      </c>
    </row>
    <row r="268" spans="1:40" x14ac:dyDescent="0.15">
      <c r="A268" s="7" t="str">
        <f ca="1">IFERROR(RANK(Proposed[[#This Row],[Sort]],OFFSET(Items[Sort],0,0,ROW(Proposed[])-ROW(Items[])+ROWS(Proposed[]),1),1),"")</f>
        <v/>
      </c>
      <c r="B268" s="7" t="str">
        <f>IF(LEN(Proposed[[#This Row],[Item]])&gt;0,Proposed[[#This Row],[Raw Item]]+COUNTIF(AN$265:AN268,Proposed[[#This Row],[Item]])/100,"")</f>
        <v/>
      </c>
      <c r="C268" s="7">
        <f>IFERROR(VALUE(LEFT(VALUE(SUBSTITUTE(Proposed[[#This Row],[Pay Item]],"-",""))*100000000,9)),0)</f>
        <v>0</v>
      </c>
      <c r="D268" s="10" t="str">
        <f t="shared" si="1"/>
        <v/>
      </c>
      <c r="E268" s="130"/>
      <c r="F268" s="126" t="s">
        <v>203</v>
      </c>
      <c r="G268" s="11" t="s">
        <v>94</v>
      </c>
      <c r="H268" s="11">
        <v>0</v>
      </c>
      <c r="I268" s="11">
        <v>0</v>
      </c>
      <c r="J268" s="86" t="str">
        <f>""</f>
        <v/>
      </c>
      <c r="K268" s="11"/>
      <c r="L268" s="11"/>
      <c r="M268" s="11"/>
      <c r="N268" s="11"/>
      <c r="O268" s="11"/>
      <c r="P268" s="11"/>
      <c r="Q268" s="11"/>
      <c r="R268" s="11"/>
      <c r="S268" s="11"/>
      <c r="T268" s="11"/>
      <c r="U268" s="11"/>
      <c r="V268" s="11"/>
      <c r="W268" s="11"/>
      <c r="X268" s="6">
        <f>IF(LEN(Proposed[[#This Row],[Item]])&gt;0,IF(Proposed[[#This Row],[Unit]]="LPSM",1,SUM(Proposed[[#This Row],[Col_1]:[Col_13]])),0)</f>
        <v>0</v>
      </c>
      <c r="Y268" s="72">
        <f>MAX(Proposed[[#This Row],[Quantity]]-SUM(Proposed[[#This Row],[Account2]]:Proposed[[#This Row],[Account7]]),0)</f>
        <v>0</v>
      </c>
      <c r="Z268" s="69"/>
      <c r="AA268" s="69"/>
      <c r="AB268" s="69"/>
      <c r="AC268" s="69"/>
      <c r="AD268" s="69"/>
      <c r="AE268" s="69"/>
      <c r="AF268" s="12"/>
      <c r="AG268" s="9"/>
      <c r="AH268" s="74"/>
      <c r="AI268" s="86" t="str">
        <f>""</f>
        <v/>
      </c>
      <c r="AJ268" s="72" t="str">
        <f ca="1">IFERROR(RANK(Proposed[[#This Row],[EstSort]],OFFSET(Items[EstSort],0,0,ROW(Proposed[])-ROW(Items[])+ROWS(Proposed[]),1),1),"")</f>
        <v/>
      </c>
      <c r="AK268" s="72" t="str">
        <f ca="1">IF(CHOOSE(MATCH(Account,Accounts,0),Proposed[[#This Row],[Count]],Proposed[[#This Row],[Account1]],Proposed[[#This Row],[Account2]],Proposed[[#This Row],[Account3]],Proposed[[#This Row],[Account7]])&gt;0,Proposed[[#This Row],[Sort]],"")</f>
        <v/>
      </c>
      <c r="AL268" s="6" t="str">
        <f ca="1">IF(LEN(Proposed[[#This Row],[Count]])&gt;0,IFERROR(INDEX(Calcs[Counter],MATCH(Proposed[[#This Row],[Line]],Calcs[Line],0)),""),"")</f>
        <v/>
      </c>
      <c r="AM268" s="1" t="str">
        <f ca="1">IFERROR(Letter&amp;TEXT((Proposed[[#This Row],[Count]]-1)*Incr+BeginLine,"0000"),"")</f>
        <v/>
      </c>
      <c r="AN268" s="7" t="str">
        <f>IF(ISNA(MATCH(LEFT(Proposed[[#This Row],[Raw Item]],5)&amp;"-"&amp;RIGHT(Proposed[[#This Row],[Raw Item]],4),Pay.Item.Listing[Pay Item],0)),"",LEFT(Proposed[[#This Row],[Raw Item]],5)&amp;"-"&amp;RIGHT(Proposed[[#This Row],[Raw Item]],4))</f>
        <v/>
      </c>
    </row>
    <row r="269" spans="1:40" x14ac:dyDescent="0.15">
      <c r="A269" s="7" t="str">
        <f ca="1">IFERROR(RANK(Proposed[[#This Row],[Sort]],OFFSET(Items[Sort],0,0,ROW(Proposed[])-ROW(Items[])+ROWS(Proposed[]),1),1),"")</f>
        <v/>
      </c>
      <c r="B269" s="7" t="str">
        <f>IF(LEN(Proposed[[#This Row],[Item]])&gt;0,Proposed[[#This Row],[Raw Item]]+COUNTIF(AN$265:AN269,Proposed[[#This Row],[Item]])/100,"")</f>
        <v/>
      </c>
      <c r="C269" s="7">
        <f>IFERROR(VALUE(LEFT(VALUE(SUBSTITUTE(Proposed[[#This Row],[Pay Item]],"-",""))*100000000,9)),0)</f>
        <v>0</v>
      </c>
      <c r="D269" s="10" t="str">
        <f t="shared" si="1"/>
        <v/>
      </c>
      <c r="E269" s="130"/>
      <c r="F269" s="126" t="s">
        <v>203</v>
      </c>
      <c r="G269" s="11" t="s">
        <v>94</v>
      </c>
      <c r="H269" s="11">
        <v>0</v>
      </c>
      <c r="I269" s="11">
        <v>0</v>
      </c>
      <c r="J269" s="86" t="str">
        <f>""</f>
        <v/>
      </c>
      <c r="K269" s="11"/>
      <c r="L269" s="11"/>
      <c r="M269" s="11"/>
      <c r="N269" s="11"/>
      <c r="O269" s="11"/>
      <c r="P269" s="11"/>
      <c r="Q269" s="11"/>
      <c r="R269" s="11"/>
      <c r="S269" s="11"/>
      <c r="T269" s="11"/>
      <c r="U269" s="11"/>
      <c r="V269" s="11"/>
      <c r="W269" s="11"/>
      <c r="X269" s="6">
        <f>IF(LEN(Proposed[[#This Row],[Item]])&gt;0,IF(Proposed[[#This Row],[Unit]]="LPSM",1,SUM(Proposed[[#This Row],[Col_1]:[Col_13]])),0)</f>
        <v>0</v>
      </c>
      <c r="Y269" s="72">
        <f>MAX(Proposed[[#This Row],[Quantity]]-SUM(Proposed[[#This Row],[Account2]]:Proposed[[#This Row],[Account7]]),0)</f>
        <v>0</v>
      </c>
      <c r="Z269" s="69"/>
      <c r="AA269" s="69"/>
      <c r="AB269" s="69"/>
      <c r="AC269" s="69"/>
      <c r="AD269" s="69"/>
      <c r="AE269" s="69"/>
      <c r="AF269" s="12"/>
      <c r="AG269" s="9"/>
      <c r="AH269" s="74"/>
      <c r="AI269" s="86" t="str">
        <f>""</f>
        <v/>
      </c>
      <c r="AJ269" s="72" t="str">
        <f ca="1">IFERROR(RANK(Proposed[[#This Row],[EstSort]],OFFSET(Items[EstSort],0,0,ROW(Proposed[])-ROW(Items[])+ROWS(Proposed[]),1),1),"")</f>
        <v/>
      </c>
      <c r="AK269" s="72" t="str">
        <f ca="1">IF(CHOOSE(MATCH(Account,Accounts,0),Proposed[[#This Row],[Count]],Proposed[[#This Row],[Account1]],Proposed[[#This Row],[Account2]],Proposed[[#This Row],[Account3]],Proposed[[#This Row],[Account7]])&gt;0,Proposed[[#This Row],[Sort]],"")</f>
        <v/>
      </c>
      <c r="AL269" s="6" t="str">
        <f ca="1">IF(LEN(Proposed[[#This Row],[Count]])&gt;0,IFERROR(INDEX(Calcs[Counter],MATCH(Proposed[[#This Row],[Line]],Calcs[Line],0)),""),"")</f>
        <v/>
      </c>
      <c r="AM269" s="1" t="str">
        <f ca="1">IFERROR(Letter&amp;TEXT((Proposed[[#This Row],[Count]]-1)*Incr+BeginLine,"0000"),"")</f>
        <v/>
      </c>
      <c r="AN269" s="7" t="str">
        <f>IF(ISNA(MATCH(LEFT(Proposed[[#This Row],[Raw Item]],5)&amp;"-"&amp;RIGHT(Proposed[[#This Row],[Raw Item]],4),Pay.Item.Listing[Pay Item],0)),"",LEFT(Proposed[[#This Row],[Raw Item]],5)&amp;"-"&amp;RIGHT(Proposed[[#This Row],[Raw Item]],4))</f>
        <v/>
      </c>
    </row>
    <row r="270" spans="1:40" x14ac:dyDescent="0.15">
      <c r="A270" s="7" t="str">
        <f ca="1">IFERROR(RANK(Proposed[[#This Row],[Sort]],OFFSET(Items[Sort],0,0,ROW(Proposed[])-ROW(Items[])+ROWS(Proposed[]),1),1),"")</f>
        <v/>
      </c>
      <c r="B270" s="7" t="str">
        <f>IF(LEN(Proposed[[#This Row],[Item]])&gt;0,Proposed[[#This Row],[Raw Item]]+COUNTIF(AN$265:AN270,Proposed[[#This Row],[Item]])/100,"")</f>
        <v/>
      </c>
      <c r="C270" s="7">
        <f>IFERROR(VALUE(LEFT(VALUE(SUBSTITUTE(Proposed[[#This Row],[Pay Item]],"-",""))*100000000,9)),0)</f>
        <v>0</v>
      </c>
      <c r="D270" s="10" t="str">
        <f t="shared" si="1"/>
        <v/>
      </c>
      <c r="E270" s="130"/>
      <c r="F270" s="126" t="s">
        <v>203</v>
      </c>
      <c r="G270" s="11" t="s">
        <v>94</v>
      </c>
      <c r="H270" s="11">
        <v>0</v>
      </c>
      <c r="I270" s="11">
        <v>0</v>
      </c>
      <c r="J270" s="86" t="str">
        <f>""</f>
        <v/>
      </c>
      <c r="K270" s="11"/>
      <c r="L270" s="11"/>
      <c r="M270" s="11"/>
      <c r="N270" s="11"/>
      <c r="O270" s="11"/>
      <c r="P270" s="11"/>
      <c r="Q270" s="11"/>
      <c r="R270" s="11"/>
      <c r="S270" s="11"/>
      <c r="T270" s="11"/>
      <c r="U270" s="11"/>
      <c r="V270" s="11"/>
      <c r="W270" s="11"/>
      <c r="X270" s="6">
        <f>IF(LEN(Proposed[[#This Row],[Item]])&gt;0,IF(Proposed[[#This Row],[Unit]]="LPSM",1,SUM(Proposed[[#This Row],[Col_1]:[Col_13]])),0)</f>
        <v>0</v>
      </c>
      <c r="Y270" s="72">
        <f>MAX(Proposed[[#This Row],[Quantity]]-SUM(Proposed[[#This Row],[Account2]]:Proposed[[#This Row],[Account7]]),0)</f>
        <v>0</v>
      </c>
      <c r="Z270" s="69"/>
      <c r="AA270" s="69"/>
      <c r="AB270" s="69"/>
      <c r="AC270" s="69"/>
      <c r="AD270" s="69"/>
      <c r="AE270" s="69"/>
      <c r="AF270" s="12"/>
      <c r="AG270" s="9"/>
      <c r="AH270" s="74"/>
      <c r="AI270" s="86" t="str">
        <f>""</f>
        <v/>
      </c>
      <c r="AJ270" s="72" t="str">
        <f ca="1">IFERROR(RANK(Proposed[[#This Row],[EstSort]],OFFSET(Items[EstSort],0,0,ROW(Proposed[])-ROW(Items[])+ROWS(Proposed[]),1),1),"")</f>
        <v/>
      </c>
      <c r="AK270" s="72" t="str">
        <f ca="1">IF(CHOOSE(MATCH(Account,Accounts,0),Proposed[[#This Row],[Count]],Proposed[[#This Row],[Account1]],Proposed[[#This Row],[Account2]],Proposed[[#This Row],[Account3]],Proposed[[#This Row],[Account7]])&gt;0,Proposed[[#This Row],[Sort]],"")</f>
        <v/>
      </c>
      <c r="AL270" s="6" t="str">
        <f ca="1">IF(LEN(Proposed[[#This Row],[Count]])&gt;0,IFERROR(INDEX(Calcs[Counter],MATCH(Proposed[[#This Row],[Line]],Calcs[Line],0)),""),"")</f>
        <v/>
      </c>
      <c r="AM270" s="1" t="str">
        <f ca="1">IFERROR(Letter&amp;TEXT((Proposed[[#This Row],[Count]]-1)*Incr+BeginLine,"0000"),"")</f>
        <v/>
      </c>
      <c r="AN270" s="7" t="str">
        <f>IF(ISNA(MATCH(LEFT(Proposed[[#This Row],[Raw Item]],5)&amp;"-"&amp;RIGHT(Proposed[[#This Row],[Raw Item]],4),Pay.Item.Listing[Pay Item],0)),"",LEFT(Proposed[[#This Row],[Raw Item]],5)&amp;"-"&amp;RIGHT(Proposed[[#This Row],[Raw Item]],4))</f>
        <v/>
      </c>
    </row>
    <row r="271" spans="1:40" x14ac:dyDescent="0.15">
      <c r="A271" s="7" t="str">
        <f ca="1">IFERROR(RANK(Proposed[[#This Row],[Sort]],OFFSET(Items[Sort],0,0,ROW(Proposed[])-ROW(Items[])+ROWS(Proposed[]),1),1),"")</f>
        <v/>
      </c>
      <c r="B271" s="7" t="str">
        <f>IF(LEN(Proposed[[#This Row],[Item]])&gt;0,Proposed[[#This Row],[Raw Item]]+COUNTIF(AN$265:AN271,Proposed[[#This Row],[Item]])/100,"")</f>
        <v/>
      </c>
      <c r="C271" s="7">
        <f>IFERROR(VALUE(LEFT(VALUE(SUBSTITUTE(Proposed[[#This Row],[Pay Item]],"-",""))*100000000,9)),0)</f>
        <v>0</v>
      </c>
      <c r="D271" s="10" t="str">
        <f t="shared" si="1"/>
        <v/>
      </c>
      <c r="E271" s="130"/>
      <c r="F271" s="126" t="s">
        <v>203</v>
      </c>
      <c r="G271" s="11" t="s">
        <v>94</v>
      </c>
      <c r="H271" s="11">
        <v>0</v>
      </c>
      <c r="I271" s="11">
        <v>0</v>
      </c>
      <c r="J271" s="86" t="str">
        <f>""</f>
        <v/>
      </c>
      <c r="K271" s="11"/>
      <c r="L271" s="11"/>
      <c r="M271" s="11"/>
      <c r="N271" s="11"/>
      <c r="O271" s="11"/>
      <c r="P271" s="11"/>
      <c r="Q271" s="11"/>
      <c r="R271" s="11"/>
      <c r="S271" s="11"/>
      <c r="T271" s="11"/>
      <c r="U271" s="11"/>
      <c r="V271" s="11"/>
      <c r="W271" s="11"/>
      <c r="X271" s="6">
        <f>IF(LEN(Proposed[[#This Row],[Item]])&gt;0,IF(Proposed[[#This Row],[Unit]]="LPSM",1,SUM(Proposed[[#This Row],[Col_1]:[Col_13]])),0)</f>
        <v>0</v>
      </c>
      <c r="Y271" s="72">
        <f>MAX(Proposed[[#This Row],[Quantity]]-SUM(Proposed[[#This Row],[Account2]]:Proposed[[#This Row],[Account7]]),0)</f>
        <v>0</v>
      </c>
      <c r="Z271" s="69"/>
      <c r="AA271" s="69"/>
      <c r="AB271" s="69"/>
      <c r="AC271" s="69"/>
      <c r="AD271" s="69"/>
      <c r="AE271" s="69"/>
      <c r="AF271" s="12"/>
      <c r="AG271" s="9"/>
      <c r="AH271" s="74"/>
      <c r="AI271" s="86" t="str">
        <f>""</f>
        <v/>
      </c>
      <c r="AJ271" s="72" t="str">
        <f ca="1">IFERROR(RANK(Proposed[[#This Row],[EstSort]],OFFSET(Items[EstSort],0,0,ROW(Proposed[])-ROW(Items[])+ROWS(Proposed[]),1),1),"")</f>
        <v/>
      </c>
      <c r="AK271" s="72" t="str">
        <f ca="1">IF(CHOOSE(MATCH(Account,Accounts,0),Proposed[[#This Row],[Count]],Proposed[[#This Row],[Account1]],Proposed[[#This Row],[Account2]],Proposed[[#This Row],[Account3]],Proposed[[#This Row],[Account7]])&gt;0,Proposed[[#This Row],[Sort]],"")</f>
        <v/>
      </c>
      <c r="AL271" s="6" t="str">
        <f ca="1">IF(LEN(Proposed[[#This Row],[Count]])&gt;0,IFERROR(INDEX(Calcs[Counter],MATCH(Proposed[[#This Row],[Line]],Calcs[Line],0)),""),"")</f>
        <v/>
      </c>
      <c r="AM271" s="1" t="str">
        <f ca="1">IFERROR(Letter&amp;TEXT((Proposed[[#This Row],[Count]]-1)*Incr+BeginLine,"0000"),"")</f>
        <v/>
      </c>
      <c r="AN271" s="7" t="str">
        <f>IF(ISNA(MATCH(LEFT(Proposed[[#This Row],[Raw Item]],5)&amp;"-"&amp;RIGHT(Proposed[[#This Row],[Raw Item]],4),Pay.Item.Listing[Pay Item],0)),"",LEFT(Proposed[[#This Row],[Raw Item]],5)&amp;"-"&amp;RIGHT(Proposed[[#This Row],[Raw Item]],4))</f>
        <v/>
      </c>
    </row>
    <row r="272" spans="1:40" x14ac:dyDescent="0.15">
      <c r="A272" s="7" t="str">
        <f ca="1">IFERROR(RANK(Proposed[[#This Row],[Sort]],OFFSET(Items[Sort],0,0,ROW(Proposed[])-ROW(Items[])+ROWS(Proposed[]),1),1),"")</f>
        <v/>
      </c>
      <c r="B272" s="7" t="str">
        <f>IF(LEN(Proposed[[#This Row],[Item]])&gt;0,Proposed[[#This Row],[Raw Item]]+COUNTIF(AN$265:AN272,Proposed[[#This Row],[Item]])/100,"")</f>
        <v/>
      </c>
      <c r="C272" s="7">
        <f>IFERROR(VALUE(LEFT(VALUE(SUBSTITUTE(Proposed[[#This Row],[Pay Item]],"-",""))*100000000,9)),0)</f>
        <v>0</v>
      </c>
      <c r="D272" s="10" t="str">
        <f t="shared" si="1"/>
        <v/>
      </c>
      <c r="E272" s="130"/>
      <c r="F272" s="126" t="s">
        <v>203</v>
      </c>
      <c r="G272" s="11" t="s">
        <v>94</v>
      </c>
      <c r="H272" s="11">
        <v>0</v>
      </c>
      <c r="I272" s="11">
        <v>0</v>
      </c>
      <c r="J272" s="86" t="str">
        <f>""</f>
        <v/>
      </c>
      <c r="K272" s="11"/>
      <c r="L272" s="11"/>
      <c r="M272" s="11"/>
      <c r="N272" s="11"/>
      <c r="O272" s="11"/>
      <c r="P272" s="11"/>
      <c r="Q272" s="11"/>
      <c r="R272" s="11"/>
      <c r="S272" s="11"/>
      <c r="T272" s="11"/>
      <c r="U272" s="11"/>
      <c r="V272" s="11"/>
      <c r="W272" s="11"/>
      <c r="X272" s="6">
        <f>IF(LEN(Proposed[[#This Row],[Item]])&gt;0,IF(Proposed[[#This Row],[Unit]]="LPSM",1,SUM(Proposed[[#This Row],[Col_1]:[Col_13]])),0)</f>
        <v>0</v>
      </c>
      <c r="Y272" s="72">
        <f>MAX(Proposed[[#This Row],[Quantity]]-SUM(Proposed[[#This Row],[Account2]]:Proposed[[#This Row],[Account7]]),0)</f>
        <v>0</v>
      </c>
      <c r="Z272" s="69"/>
      <c r="AA272" s="69"/>
      <c r="AB272" s="69"/>
      <c r="AC272" s="69"/>
      <c r="AD272" s="69"/>
      <c r="AE272" s="69"/>
      <c r="AF272" s="12"/>
      <c r="AG272" s="9"/>
      <c r="AH272" s="74"/>
      <c r="AI272" s="86" t="str">
        <f>""</f>
        <v/>
      </c>
      <c r="AJ272" s="72" t="str">
        <f ca="1">IFERROR(RANK(Proposed[[#This Row],[EstSort]],OFFSET(Items[EstSort],0,0,ROW(Proposed[])-ROW(Items[])+ROWS(Proposed[]),1),1),"")</f>
        <v/>
      </c>
      <c r="AK272" s="72" t="str">
        <f ca="1">IF(CHOOSE(MATCH(Account,Accounts,0),Proposed[[#This Row],[Count]],Proposed[[#This Row],[Account1]],Proposed[[#This Row],[Account2]],Proposed[[#This Row],[Account3]],Proposed[[#This Row],[Account7]])&gt;0,Proposed[[#This Row],[Sort]],"")</f>
        <v/>
      </c>
      <c r="AL272" s="6" t="str">
        <f ca="1">IF(LEN(Proposed[[#This Row],[Count]])&gt;0,IFERROR(INDEX(Calcs[Counter],MATCH(Proposed[[#This Row],[Line]],Calcs[Line],0)),""),"")</f>
        <v/>
      </c>
      <c r="AM272" s="1" t="str">
        <f ca="1">IFERROR(Letter&amp;TEXT((Proposed[[#This Row],[Count]]-1)*Incr+BeginLine,"0000"),"")</f>
        <v/>
      </c>
      <c r="AN272" s="7" t="str">
        <f>IF(ISNA(MATCH(LEFT(Proposed[[#This Row],[Raw Item]],5)&amp;"-"&amp;RIGHT(Proposed[[#This Row],[Raw Item]],4),Pay.Item.Listing[Pay Item],0)),"",LEFT(Proposed[[#This Row],[Raw Item]],5)&amp;"-"&amp;RIGHT(Proposed[[#This Row],[Raw Item]],4))</f>
        <v/>
      </c>
    </row>
    <row r="273" spans="1:40" x14ac:dyDescent="0.15">
      <c r="A273" s="7" t="str">
        <f ca="1">IFERROR(RANK(Proposed[[#This Row],[Sort]],OFFSET(Items[Sort],0,0,ROW(Proposed[])-ROW(Items[])+ROWS(Proposed[]),1),1),"")</f>
        <v/>
      </c>
      <c r="B273" s="7" t="str">
        <f>IF(LEN(Proposed[[#This Row],[Item]])&gt;0,Proposed[[#This Row],[Raw Item]]+COUNTIF(AN$265:AN273,Proposed[[#This Row],[Item]])/100,"")</f>
        <v/>
      </c>
      <c r="C273" s="7">
        <f>IFERROR(VALUE(LEFT(VALUE(SUBSTITUTE(Proposed[[#This Row],[Pay Item]],"-",""))*100000000,9)),0)</f>
        <v>0</v>
      </c>
      <c r="D273" s="10" t="str">
        <f t="shared" si="1"/>
        <v/>
      </c>
      <c r="E273" s="130"/>
      <c r="F273" s="126" t="s">
        <v>203</v>
      </c>
      <c r="G273" s="11" t="s">
        <v>94</v>
      </c>
      <c r="H273" s="11">
        <v>0</v>
      </c>
      <c r="I273" s="11">
        <v>0</v>
      </c>
      <c r="J273" s="86" t="str">
        <f>""</f>
        <v/>
      </c>
      <c r="K273" s="11"/>
      <c r="L273" s="11"/>
      <c r="M273" s="11"/>
      <c r="N273" s="11"/>
      <c r="O273" s="11"/>
      <c r="P273" s="11"/>
      <c r="Q273" s="11"/>
      <c r="R273" s="11"/>
      <c r="S273" s="11"/>
      <c r="T273" s="11"/>
      <c r="U273" s="11"/>
      <c r="V273" s="11"/>
      <c r="W273" s="11"/>
      <c r="X273" s="6">
        <f>IF(LEN(Proposed[[#This Row],[Item]])&gt;0,IF(Proposed[[#This Row],[Unit]]="LPSM",1,SUM(Proposed[[#This Row],[Col_1]:[Col_13]])),0)</f>
        <v>0</v>
      </c>
      <c r="Y273" s="72">
        <f>MAX(Proposed[[#This Row],[Quantity]]-SUM(Proposed[[#This Row],[Account2]]:Proposed[[#This Row],[Account7]]),0)</f>
        <v>0</v>
      </c>
      <c r="Z273" s="69"/>
      <c r="AA273" s="69"/>
      <c r="AB273" s="69"/>
      <c r="AC273" s="69"/>
      <c r="AD273" s="69"/>
      <c r="AE273" s="69"/>
      <c r="AF273" s="12"/>
      <c r="AG273" s="9"/>
      <c r="AH273" s="74"/>
      <c r="AI273" s="86" t="str">
        <f>""</f>
        <v/>
      </c>
      <c r="AJ273" s="72" t="str">
        <f ca="1">IFERROR(RANK(Proposed[[#This Row],[EstSort]],OFFSET(Items[EstSort],0,0,ROW(Proposed[])-ROW(Items[])+ROWS(Proposed[]),1),1),"")</f>
        <v/>
      </c>
      <c r="AK273" s="72" t="str">
        <f ca="1">IF(CHOOSE(MATCH(Account,Accounts,0),Proposed[[#This Row],[Count]],Proposed[[#This Row],[Account1]],Proposed[[#This Row],[Account2]],Proposed[[#This Row],[Account3]],Proposed[[#This Row],[Account7]])&gt;0,Proposed[[#This Row],[Sort]],"")</f>
        <v/>
      </c>
      <c r="AL273" s="6" t="str">
        <f ca="1">IF(LEN(Proposed[[#This Row],[Count]])&gt;0,IFERROR(INDEX(Calcs[Counter],MATCH(Proposed[[#This Row],[Line]],Calcs[Line],0)),""),"")</f>
        <v/>
      </c>
      <c r="AM273" s="1" t="str">
        <f ca="1">IFERROR(Letter&amp;TEXT((Proposed[[#This Row],[Count]]-1)*Incr+BeginLine,"0000"),"")</f>
        <v/>
      </c>
      <c r="AN273" s="7" t="str">
        <f>IF(ISNA(MATCH(LEFT(Proposed[[#This Row],[Raw Item]],5)&amp;"-"&amp;RIGHT(Proposed[[#This Row],[Raw Item]],4),Pay.Item.Listing[Pay Item],0)),"",LEFT(Proposed[[#This Row],[Raw Item]],5)&amp;"-"&amp;RIGHT(Proposed[[#This Row],[Raw Item]],4))</f>
        <v/>
      </c>
    </row>
    <row r="274" spans="1:40" x14ac:dyDescent="0.15">
      <c r="A274" s="7" t="str">
        <f ca="1">IFERROR(RANK(Proposed[[#This Row],[Sort]],OFFSET(Items[Sort],0,0,ROW(Proposed[])-ROW(Items[])+ROWS(Proposed[]),1),1),"")</f>
        <v/>
      </c>
      <c r="B274" s="7" t="str">
        <f>IF(LEN(Proposed[[#This Row],[Item]])&gt;0,Proposed[[#This Row],[Raw Item]]+COUNTIF(AN$265:AN274,Proposed[[#This Row],[Item]])/100,"")</f>
        <v/>
      </c>
      <c r="C274" s="7">
        <f>IFERROR(VALUE(LEFT(VALUE(SUBSTITUTE(Proposed[[#This Row],[Pay Item]],"-",""))*100000000,9)),0)</f>
        <v>0</v>
      </c>
      <c r="D274" s="10" t="str">
        <f t="shared" si="1"/>
        <v/>
      </c>
      <c r="E274" s="130"/>
      <c r="F274" s="126" t="s">
        <v>203</v>
      </c>
      <c r="G274" s="11" t="s">
        <v>94</v>
      </c>
      <c r="H274" s="11">
        <v>0</v>
      </c>
      <c r="I274" s="11">
        <v>0</v>
      </c>
      <c r="J274" s="86" t="str">
        <f>""</f>
        <v/>
      </c>
      <c r="K274" s="11"/>
      <c r="L274" s="11"/>
      <c r="M274" s="11"/>
      <c r="N274" s="11"/>
      <c r="O274" s="11"/>
      <c r="P274" s="11"/>
      <c r="Q274" s="11"/>
      <c r="R274" s="11"/>
      <c r="S274" s="11"/>
      <c r="T274" s="11"/>
      <c r="U274" s="11"/>
      <c r="V274" s="11"/>
      <c r="W274" s="11"/>
      <c r="X274" s="6">
        <f>IF(LEN(Proposed[[#This Row],[Item]])&gt;0,IF(Proposed[[#This Row],[Unit]]="LPSM",1,SUM(Proposed[[#This Row],[Col_1]:[Col_13]])),0)</f>
        <v>0</v>
      </c>
      <c r="Y274" s="72">
        <f>MAX(Proposed[[#This Row],[Quantity]]-SUM(Proposed[[#This Row],[Account2]]:Proposed[[#This Row],[Account7]]),0)</f>
        <v>0</v>
      </c>
      <c r="Z274" s="69"/>
      <c r="AA274" s="69"/>
      <c r="AB274" s="69"/>
      <c r="AC274" s="69"/>
      <c r="AD274" s="69"/>
      <c r="AE274" s="69"/>
      <c r="AF274" s="12"/>
      <c r="AG274" s="9"/>
      <c r="AH274" s="74"/>
      <c r="AI274" s="86" t="str">
        <f>""</f>
        <v/>
      </c>
      <c r="AJ274" s="72" t="str">
        <f ca="1">IFERROR(RANK(Proposed[[#This Row],[EstSort]],OFFSET(Items[EstSort],0,0,ROW(Proposed[])-ROW(Items[])+ROWS(Proposed[]),1),1),"")</f>
        <v/>
      </c>
      <c r="AK274" s="72" t="str">
        <f ca="1">IF(CHOOSE(MATCH(Account,Accounts,0),Proposed[[#This Row],[Count]],Proposed[[#This Row],[Account1]],Proposed[[#This Row],[Account2]],Proposed[[#This Row],[Account3]],Proposed[[#This Row],[Account7]])&gt;0,Proposed[[#This Row],[Sort]],"")</f>
        <v/>
      </c>
      <c r="AL274" s="6" t="str">
        <f ca="1">IF(LEN(Proposed[[#This Row],[Count]])&gt;0,IFERROR(INDEX(Calcs[Counter],MATCH(Proposed[[#This Row],[Line]],Calcs[Line],0)),""),"")</f>
        <v/>
      </c>
      <c r="AM274" s="1" t="str">
        <f ca="1">IFERROR(Letter&amp;TEXT((Proposed[[#This Row],[Count]]-1)*Incr+BeginLine,"0000"),"")</f>
        <v/>
      </c>
      <c r="AN274" s="7" t="str">
        <f>IF(ISNA(MATCH(LEFT(Proposed[[#This Row],[Raw Item]],5)&amp;"-"&amp;RIGHT(Proposed[[#This Row],[Raw Item]],4),Pay.Item.Listing[Pay Item],0)),"",LEFT(Proposed[[#This Row],[Raw Item]],5)&amp;"-"&amp;RIGHT(Proposed[[#This Row],[Raw Item]],4))</f>
        <v/>
      </c>
    </row>
    <row r="275" spans="1:40" x14ac:dyDescent="0.15">
      <c r="A275" s="7" t="str">
        <f ca="1">IFERROR(RANK(Proposed[[#This Row],[Sort]],OFFSET(Items[Sort],0,0,ROW(Proposed[])-ROW(Items[])+ROWS(Proposed[]),1),1),"")</f>
        <v/>
      </c>
      <c r="B275" s="7" t="str">
        <f>IF(LEN(Proposed[[#This Row],[Item]])&gt;0,Proposed[[#This Row],[Raw Item]]+COUNTIF(AN$265:AN275,Proposed[[#This Row],[Item]])/100,"")</f>
        <v/>
      </c>
      <c r="C275" s="7">
        <f>IFERROR(VALUE(LEFT(VALUE(SUBSTITUTE(Proposed[[#This Row],[Pay Item]],"-",""))*100000000,9)),0)</f>
        <v>0</v>
      </c>
      <c r="D275" s="10" t="str">
        <f t="shared" si="1"/>
        <v/>
      </c>
      <c r="E275" s="130"/>
      <c r="F275" s="126" t="s">
        <v>203</v>
      </c>
      <c r="G275" s="11" t="s">
        <v>94</v>
      </c>
      <c r="H275" s="11">
        <v>0</v>
      </c>
      <c r="I275" s="11">
        <v>0</v>
      </c>
      <c r="J275" s="86" t="str">
        <f>""</f>
        <v/>
      </c>
      <c r="K275" s="11"/>
      <c r="L275" s="11"/>
      <c r="M275" s="11"/>
      <c r="N275" s="11"/>
      <c r="O275" s="11"/>
      <c r="P275" s="11"/>
      <c r="Q275" s="11"/>
      <c r="R275" s="11"/>
      <c r="S275" s="11"/>
      <c r="T275" s="11"/>
      <c r="U275" s="11"/>
      <c r="V275" s="11"/>
      <c r="W275" s="11"/>
      <c r="X275" s="6">
        <f>IF(LEN(Proposed[[#This Row],[Item]])&gt;0,IF(Proposed[[#This Row],[Unit]]="LPSM",1,SUM(Proposed[[#This Row],[Col_1]:[Col_13]])),0)</f>
        <v>0</v>
      </c>
      <c r="Y275" s="72">
        <f>MAX(Proposed[[#This Row],[Quantity]]-SUM(Proposed[[#This Row],[Account2]]:Proposed[[#This Row],[Account7]]),0)</f>
        <v>0</v>
      </c>
      <c r="Z275" s="69"/>
      <c r="AA275" s="69"/>
      <c r="AB275" s="69"/>
      <c r="AC275" s="69"/>
      <c r="AD275" s="69"/>
      <c r="AE275" s="69"/>
      <c r="AF275" s="12"/>
      <c r="AG275" s="9"/>
      <c r="AH275" s="74"/>
      <c r="AI275" s="86" t="str">
        <f>""</f>
        <v/>
      </c>
      <c r="AJ275" s="72" t="str">
        <f ca="1">IFERROR(RANK(Proposed[[#This Row],[EstSort]],OFFSET(Items[EstSort],0,0,ROW(Proposed[])-ROW(Items[])+ROWS(Proposed[]),1),1),"")</f>
        <v/>
      </c>
      <c r="AK275" s="72" t="str">
        <f ca="1">IF(CHOOSE(MATCH(Account,Accounts,0),Proposed[[#This Row],[Count]],Proposed[[#This Row],[Account1]],Proposed[[#This Row],[Account2]],Proposed[[#This Row],[Account3]],Proposed[[#This Row],[Account7]])&gt;0,Proposed[[#This Row],[Sort]],"")</f>
        <v/>
      </c>
      <c r="AL275" s="6" t="str">
        <f ca="1">IF(LEN(Proposed[[#This Row],[Count]])&gt;0,IFERROR(INDEX(Calcs[Counter],MATCH(Proposed[[#This Row],[Line]],Calcs[Line],0)),""),"")</f>
        <v/>
      </c>
      <c r="AM275" s="1" t="str">
        <f ca="1">IFERROR(Letter&amp;TEXT((Proposed[[#This Row],[Count]]-1)*Incr+BeginLine,"0000"),"")</f>
        <v/>
      </c>
      <c r="AN275" s="7" t="str">
        <f>IF(ISNA(MATCH(LEFT(Proposed[[#This Row],[Raw Item]],5)&amp;"-"&amp;RIGHT(Proposed[[#This Row],[Raw Item]],4),Pay.Item.Listing[Pay Item],0)),"",LEFT(Proposed[[#This Row],[Raw Item]],5)&amp;"-"&amp;RIGHT(Proposed[[#This Row],[Raw Item]],4))</f>
        <v/>
      </c>
    </row>
    <row r="276" spans="1:40" x14ac:dyDescent="0.15">
      <c r="A276" s="7" t="str">
        <f ca="1">IFERROR(RANK(Proposed[[#This Row],[Sort]],OFFSET(Items[Sort],0,0,ROW(Proposed[])-ROW(Items[])+ROWS(Proposed[]),1),1),"")</f>
        <v/>
      </c>
      <c r="B276" s="7" t="str">
        <f>IF(LEN(Proposed[[#This Row],[Item]])&gt;0,Proposed[[#This Row],[Raw Item]]+COUNTIF(AN$265:AN276,Proposed[[#This Row],[Item]])/100,"")</f>
        <v/>
      </c>
      <c r="C276" s="7">
        <f>IFERROR(VALUE(LEFT(VALUE(SUBSTITUTE(Proposed[[#This Row],[Pay Item]],"-",""))*100000000,9)),0)</f>
        <v>0</v>
      </c>
      <c r="D276" s="10" t="str">
        <f t="shared" si="1"/>
        <v/>
      </c>
      <c r="E276" s="130"/>
      <c r="F276" s="126" t="s">
        <v>203</v>
      </c>
      <c r="G276" s="11" t="s">
        <v>94</v>
      </c>
      <c r="H276" s="11">
        <v>0</v>
      </c>
      <c r="I276" s="11">
        <v>0</v>
      </c>
      <c r="J276" s="86" t="str">
        <f>""</f>
        <v/>
      </c>
      <c r="K276" s="11"/>
      <c r="L276" s="11"/>
      <c r="M276" s="11"/>
      <c r="N276" s="11"/>
      <c r="O276" s="11"/>
      <c r="P276" s="11"/>
      <c r="Q276" s="11"/>
      <c r="R276" s="11"/>
      <c r="S276" s="11"/>
      <c r="T276" s="11"/>
      <c r="U276" s="11"/>
      <c r="V276" s="11"/>
      <c r="W276" s="11"/>
      <c r="X276" s="6">
        <f>IF(LEN(Proposed[[#This Row],[Item]])&gt;0,IF(Proposed[[#This Row],[Unit]]="LPSM",1,SUM(Proposed[[#This Row],[Col_1]:[Col_13]])),0)</f>
        <v>0</v>
      </c>
      <c r="Y276" s="72">
        <f>MAX(Proposed[[#This Row],[Quantity]]-SUM(Proposed[[#This Row],[Account2]]:Proposed[[#This Row],[Account7]]),0)</f>
        <v>0</v>
      </c>
      <c r="Z276" s="69"/>
      <c r="AA276" s="69"/>
      <c r="AB276" s="69"/>
      <c r="AC276" s="69"/>
      <c r="AD276" s="69"/>
      <c r="AE276" s="69"/>
      <c r="AF276" s="12"/>
      <c r="AG276" s="9"/>
      <c r="AH276" s="74"/>
      <c r="AI276" s="86" t="str">
        <f>""</f>
        <v/>
      </c>
      <c r="AJ276" s="72" t="str">
        <f ca="1">IFERROR(RANK(Proposed[[#This Row],[EstSort]],OFFSET(Items[EstSort],0,0,ROW(Proposed[])-ROW(Items[])+ROWS(Proposed[]),1),1),"")</f>
        <v/>
      </c>
      <c r="AK276" s="72" t="str">
        <f ca="1">IF(CHOOSE(MATCH(Account,Accounts,0),Proposed[[#This Row],[Count]],Proposed[[#This Row],[Account1]],Proposed[[#This Row],[Account2]],Proposed[[#This Row],[Account3]],Proposed[[#This Row],[Account7]])&gt;0,Proposed[[#This Row],[Sort]],"")</f>
        <v/>
      </c>
      <c r="AL276" s="6" t="str">
        <f ca="1">IF(LEN(Proposed[[#This Row],[Count]])&gt;0,IFERROR(INDEX(Calcs[Counter],MATCH(Proposed[[#This Row],[Line]],Calcs[Line],0)),""),"")</f>
        <v/>
      </c>
      <c r="AM276" s="1" t="str">
        <f ca="1">IFERROR(Letter&amp;TEXT((Proposed[[#This Row],[Count]]-1)*Incr+BeginLine,"0000"),"")</f>
        <v/>
      </c>
      <c r="AN276" s="7" t="str">
        <f>IF(ISNA(MATCH(LEFT(Proposed[[#This Row],[Raw Item]],5)&amp;"-"&amp;RIGHT(Proposed[[#This Row],[Raw Item]],4),Pay.Item.Listing[Pay Item],0)),"",LEFT(Proposed[[#This Row],[Raw Item]],5)&amp;"-"&amp;RIGHT(Proposed[[#This Row],[Raw Item]],4))</f>
        <v/>
      </c>
    </row>
    <row r="277" spans="1:40" x14ac:dyDescent="0.15">
      <c r="A277" s="7" t="str">
        <f ca="1">IFERROR(RANK(Proposed[[#This Row],[Sort]],OFFSET(Items[Sort],0,0,ROW(Proposed[])-ROW(Items[])+ROWS(Proposed[]),1),1),"")</f>
        <v/>
      </c>
      <c r="B277" s="7" t="str">
        <f>IF(LEN(Proposed[[#This Row],[Item]])&gt;0,Proposed[[#This Row],[Raw Item]]+COUNTIF(AN$265:AN277,Proposed[[#This Row],[Item]])/100,"")</f>
        <v/>
      </c>
      <c r="C277" s="7">
        <f>IFERROR(VALUE(LEFT(VALUE(SUBSTITUTE(Proposed[[#This Row],[Pay Item]],"-",""))*100000000,9)),0)</f>
        <v>0</v>
      </c>
      <c r="D277" s="10" t="str">
        <f t="shared" si="1"/>
        <v/>
      </c>
      <c r="E277" s="130"/>
      <c r="F277" s="126" t="s">
        <v>203</v>
      </c>
      <c r="G277" s="11" t="s">
        <v>94</v>
      </c>
      <c r="H277" s="11">
        <v>0</v>
      </c>
      <c r="I277" s="11">
        <v>0</v>
      </c>
      <c r="J277" s="86" t="str">
        <f>""</f>
        <v/>
      </c>
      <c r="K277" s="11"/>
      <c r="L277" s="11"/>
      <c r="M277" s="11"/>
      <c r="N277" s="11"/>
      <c r="O277" s="11"/>
      <c r="P277" s="11"/>
      <c r="Q277" s="11"/>
      <c r="R277" s="11"/>
      <c r="S277" s="11"/>
      <c r="T277" s="11"/>
      <c r="U277" s="11"/>
      <c r="V277" s="11"/>
      <c r="W277" s="11"/>
      <c r="X277" s="6">
        <f>IF(LEN(Proposed[[#This Row],[Item]])&gt;0,IF(Proposed[[#This Row],[Unit]]="LPSM",1,SUM(Proposed[[#This Row],[Col_1]:[Col_13]])),0)</f>
        <v>0</v>
      </c>
      <c r="Y277" s="72">
        <f>MAX(Proposed[[#This Row],[Quantity]]-SUM(Proposed[[#This Row],[Account2]]:Proposed[[#This Row],[Account7]]),0)</f>
        <v>0</v>
      </c>
      <c r="Z277" s="69"/>
      <c r="AA277" s="69"/>
      <c r="AB277" s="69"/>
      <c r="AC277" s="69"/>
      <c r="AD277" s="69"/>
      <c r="AE277" s="69"/>
      <c r="AF277" s="12"/>
      <c r="AG277" s="9"/>
      <c r="AH277" s="74"/>
      <c r="AI277" s="86" t="str">
        <f>""</f>
        <v/>
      </c>
      <c r="AJ277" s="72" t="str">
        <f ca="1">IFERROR(RANK(Proposed[[#This Row],[EstSort]],OFFSET(Items[EstSort],0,0,ROW(Proposed[])-ROW(Items[])+ROWS(Proposed[]),1),1),"")</f>
        <v/>
      </c>
      <c r="AK277" s="72" t="str">
        <f ca="1">IF(CHOOSE(MATCH(Account,Accounts,0),Proposed[[#This Row],[Count]],Proposed[[#This Row],[Account1]],Proposed[[#This Row],[Account2]],Proposed[[#This Row],[Account3]],Proposed[[#This Row],[Account7]])&gt;0,Proposed[[#This Row],[Sort]],"")</f>
        <v/>
      </c>
      <c r="AL277" s="6" t="str">
        <f ca="1">IF(LEN(Proposed[[#This Row],[Count]])&gt;0,IFERROR(INDEX(Calcs[Counter],MATCH(Proposed[[#This Row],[Line]],Calcs[Line],0)),""),"")</f>
        <v/>
      </c>
      <c r="AM277" s="1" t="str">
        <f ca="1">IFERROR(Letter&amp;TEXT((Proposed[[#This Row],[Count]]-1)*Incr+BeginLine,"0000"),"")</f>
        <v/>
      </c>
      <c r="AN277" s="7" t="str">
        <f>IF(ISNA(MATCH(LEFT(Proposed[[#This Row],[Raw Item]],5)&amp;"-"&amp;RIGHT(Proposed[[#This Row],[Raw Item]],4),Pay.Item.Listing[Pay Item],0)),"",LEFT(Proposed[[#This Row],[Raw Item]],5)&amp;"-"&amp;RIGHT(Proposed[[#This Row],[Raw Item]],4))</f>
        <v/>
      </c>
    </row>
    <row r="278" spans="1:40" x14ac:dyDescent="0.15">
      <c r="A278" s="7" t="str">
        <f ca="1">IFERROR(RANK(Proposed[[#This Row],[Sort]],OFFSET(Items[Sort],0,0,ROW(Proposed[])-ROW(Items[])+ROWS(Proposed[]),1),1),"")</f>
        <v/>
      </c>
      <c r="B278" s="7" t="str">
        <f>IF(LEN(Proposed[[#This Row],[Item]])&gt;0,Proposed[[#This Row],[Raw Item]]+COUNTIF(AN$265:AN278,Proposed[[#This Row],[Item]])/100,"")</f>
        <v/>
      </c>
      <c r="C278" s="7">
        <f>IFERROR(VALUE(LEFT(VALUE(SUBSTITUTE(Proposed[[#This Row],[Pay Item]],"-",""))*100000000,9)),0)</f>
        <v>0</v>
      </c>
      <c r="D278" s="10" t="str">
        <f t="shared" si="1"/>
        <v/>
      </c>
      <c r="E278" s="130"/>
      <c r="F278" s="126" t="s">
        <v>203</v>
      </c>
      <c r="G278" s="11" t="s">
        <v>94</v>
      </c>
      <c r="H278" s="11">
        <v>0</v>
      </c>
      <c r="I278" s="11">
        <v>0</v>
      </c>
      <c r="J278" s="86" t="str">
        <f>""</f>
        <v/>
      </c>
      <c r="K278" s="11"/>
      <c r="L278" s="11"/>
      <c r="M278" s="11"/>
      <c r="N278" s="11"/>
      <c r="O278" s="11"/>
      <c r="P278" s="11"/>
      <c r="Q278" s="11"/>
      <c r="R278" s="11"/>
      <c r="S278" s="11"/>
      <c r="T278" s="11"/>
      <c r="U278" s="11"/>
      <c r="V278" s="11"/>
      <c r="W278" s="11"/>
      <c r="X278" s="6">
        <f>IF(LEN(Proposed[[#This Row],[Item]])&gt;0,IF(Proposed[[#This Row],[Unit]]="LPSM",1,SUM(Proposed[[#This Row],[Col_1]:[Col_13]])),0)</f>
        <v>0</v>
      </c>
      <c r="Y278" s="72">
        <f>MAX(Proposed[[#This Row],[Quantity]]-SUM(Proposed[[#This Row],[Account2]]:Proposed[[#This Row],[Account7]]),0)</f>
        <v>0</v>
      </c>
      <c r="Z278" s="69"/>
      <c r="AA278" s="69"/>
      <c r="AB278" s="69"/>
      <c r="AC278" s="69"/>
      <c r="AD278" s="69"/>
      <c r="AE278" s="69"/>
      <c r="AF278" s="12"/>
      <c r="AG278" s="9"/>
      <c r="AH278" s="74"/>
      <c r="AI278" s="86" t="str">
        <f>""</f>
        <v/>
      </c>
      <c r="AJ278" s="72" t="str">
        <f ca="1">IFERROR(RANK(Proposed[[#This Row],[EstSort]],OFFSET(Items[EstSort],0,0,ROW(Proposed[])-ROW(Items[])+ROWS(Proposed[]),1),1),"")</f>
        <v/>
      </c>
      <c r="AK278" s="72" t="str">
        <f ca="1">IF(CHOOSE(MATCH(Account,Accounts,0),Proposed[[#This Row],[Count]],Proposed[[#This Row],[Account1]],Proposed[[#This Row],[Account2]],Proposed[[#This Row],[Account3]],Proposed[[#This Row],[Account7]])&gt;0,Proposed[[#This Row],[Sort]],"")</f>
        <v/>
      </c>
      <c r="AL278" s="6" t="str">
        <f ca="1">IF(LEN(Proposed[[#This Row],[Count]])&gt;0,IFERROR(INDEX(Calcs[Counter],MATCH(Proposed[[#This Row],[Line]],Calcs[Line],0)),""),"")</f>
        <v/>
      </c>
      <c r="AM278" s="1" t="str">
        <f ca="1">IFERROR(Letter&amp;TEXT((Proposed[[#This Row],[Count]]-1)*Incr+BeginLine,"0000"),"")</f>
        <v/>
      </c>
      <c r="AN278" s="7" t="str">
        <f>IF(ISNA(MATCH(LEFT(Proposed[[#This Row],[Raw Item]],5)&amp;"-"&amp;RIGHT(Proposed[[#This Row],[Raw Item]],4),Pay.Item.Listing[Pay Item],0)),"",LEFT(Proposed[[#This Row],[Raw Item]],5)&amp;"-"&amp;RIGHT(Proposed[[#This Row],[Raw Item]],4))</f>
        <v/>
      </c>
    </row>
    <row r="279" spans="1:40" x14ac:dyDescent="0.15">
      <c r="A279" s="7" t="str">
        <f ca="1">IFERROR(RANK(Proposed[[#This Row],[Sort]],OFFSET(Items[Sort],0,0,ROW(Proposed[])-ROW(Items[])+ROWS(Proposed[]),1),1),"")</f>
        <v/>
      </c>
      <c r="B279" s="7" t="str">
        <f>IF(LEN(Proposed[[#This Row],[Item]])&gt;0,Proposed[[#This Row],[Raw Item]]+COUNTIF(AN$265:AN279,Proposed[[#This Row],[Item]])/100,"")</f>
        <v/>
      </c>
      <c r="C279" s="7">
        <f>IFERROR(VALUE(LEFT(VALUE(SUBSTITUTE(Proposed[[#This Row],[Pay Item]],"-",""))*100000000,9)),0)</f>
        <v>0</v>
      </c>
      <c r="D279" s="10" t="str">
        <f t="shared" si="1"/>
        <v/>
      </c>
      <c r="E279" s="130"/>
      <c r="F279" s="126" t="s">
        <v>203</v>
      </c>
      <c r="G279" s="11" t="s">
        <v>94</v>
      </c>
      <c r="H279" s="11">
        <v>0</v>
      </c>
      <c r="I279" s="11">
        <v>0</v>
      </c>
      <c r="J279" s="86" t="str">
        <f>""</f>
        <v/>
      </c>
      <c r="K279" s="11"/>
      <c r="L279" s="11"/>
      <c r="M279" s="11"/>
      <c r="N279" s="11"/>
      <c r="O279" s="11"/>
      <c r="P279" s="11"/>
      <c r="Q279" s="11"/>
      <c r="R279" s="11"/>
      <c r="S279" s="11"/>
      <c r="T279" s="11"/>
      <c r="U279" s="11"/>
      <c r="V279" s="11"/>
      <c r="W279" s="11"/>
      <c r="X279" s="6">
        <f>IF(LEN(Proposed[[#This Row],[Item]])&gt;0,IF(Proposed[[#This Row],[Unit]]="LPSM",1,SUM(Proposed[[#This Row],[Col_1]:[Col_13]])),0)</f>
        <v>0</v>
      </c>
      <c r="Y279" s="72">
        <f>MAX(Proposed[[#This Row],[Quantity]]-SUM(Proposed[[#This Row],[Account2]]:Proposed[[#This Row],[Account7]]),0)</f>
        <v>0</v>
      </c>
      <c r="Z279" s="69"/>
      <c r="AA279" s="69"/>
      <c r="AB279" s="69"/>
      <c r="AC279" s="69"/>
      <c r="AD279" s="69"/>
      <c r="AE279" s="69"/>
      <c r="AF279" s="12"/>
      <c r="AG279" s="9"/>
      <c r="AH279" s="74"/>
      <c r="AI279" s="86" t="str">
        <f>""</f>
        <v/>
      </c>
      <c r="AJ279" s="72" t="str">
        <f ca="1">IFERROR(RANK(Proposed[[#This Row],[EstSort]],OFFSET(Items[EstSort],0,0,ROW(Proposed[])-ROW(Items[])+ROWS(Proposed[]),1),1),"")</f>
        <v/>
      </c>
      <c r="AK279" s="72" t="str">
        <f ca="1">IF(CHOOSE(MATCH(Account,Accounts,0),Proposed[[#This Row],[Count]],Proposed[[#This Row],[Account1]],Proposed[[#This Row],[Account2]],Proposed[[#This Row],[Account3]],Proposed[[#This Row],[Account7]])&gt;0,Proposed[[#This Row],[Sort]],"")</f>
        <v/>
      </c>
      <c r="AL279" s="6" t="str">
        <f ca="1">IF(LEN(Proposed[[#This Row],[Count]])&gt;0,IFERROR(INDEX(Calcs[Counter],MATCH(Proposed[[#This Row],[Line]],Calcs[Line],0)),""),"")</f>
        <v/>
      </c>
      <c r="AM279" s="1" t="str">
        <f ca="1">IFERROR(Letter&amp;TEXT((Proposed[[#This Row],[Count]]-1)*Incr+BeginLine,"0000"),"")</f>
        <v/>
      </c>
      <c r="AN279" s="7" t="str">
        <f>IF(ISNA(MATCH(LEFT(Proposed[[#This Row],[Raw Item]],5)&amp;"-"&amp;RIGHT(Proposed[[#This Row],[Raw Item]],4),Pay.Item.Listing[Pay Item],0)),"",LEFT(Proposed[[#This Row],[Raw Item]],5)&amp;"-"&amp;RIGHT(Proposed[[#This Row],[Raw Item]],4))</f>
        <v/>
      </c>
    </row>
    <row r="280" spans="1:40" x14ac:dyDescent="0.15">
      <c r="A280" s="7" t="str">
        <f ca="1">IFERROR(RANK(Proposed[[#This Row],[Sort]],OFFSET(Items[Sort],0,0,ROW(Proposed[])-ROW(Items[])+ROWS(Proposed[]),1),1),"")</f>
        <v/>
      </c>
      <c r="B280" s="7" t="str">
        <f>IF(LEN(Proposed[[#This Row],[Item]])&gt;0,Proposed[[#This Row],[Raw Item]]+COUNTIF(AN$265:AN280,Proposed[[#This Row],[Item]])/100,"")</f>
        <v/>
      </c>
      <c r="C280" s="7">
        <f>IFERROR(VALUE(LEFT(VALUE(SUBSTITUTE(Proposed[[#This Row],[Pay Item]],"-",""))*100000000,9)),0)</f>
        <v>0</v>
      </c>
      <c r="D280" s="10" t="str">
        <f t="shared" si="1"/>
        <v/>
      </c>
      <c r="E280" s="130"/>
      <c r="F280" s="126" t="s">
        <v>203</v>
      </c>
      <c r="G280" s="11" t="s">
        <v>94</v>
      </c>
      <c r="H280" s="11">
        <v>0</v>
      </c>
      <c r="I280" s="11">
        <v>0</v>
      </c>
      <c r="J280" s="86" t="str">
        <f>""</f>
        <v/>
      </c>
      <c r="K280" s="11"/>
      <c r="L280" s="11"/>
      <c r="M280" s="11"/>
      <c r="N280" s="11"/>
      <c r="O280" s="11"/>
      <c r="P280" s="11"/>
      <c r="Q280" s="11"/>
      <c r="R280" s="11"/>
      <c r="S280" s="11"/>
      <c r="T280" s="11"/>
      <c r="U280" s="11"/>
      <c r="V280" s="11"/>
      <c r="W280" s="11"/>
      <c r="X280" s="6">
        <f>IF(LEN(Proposed[[#This Row],[Item]])&gt;0,IF(Proposed[[#This Row],[Unit]]="LPSM",1,SUM(Proposed[[#This Row],[Col_1]:[Col_13]])),0)</f>
        <v>0</v>
      </c>
      <c r="Y280" s="72">
        <f>MAX(Proposed[[#This Row],[Quantity]]-SUM(Proposed[[#This Row],[Account2]]:Proposed[[#This Row],[Account7]]),0)</f>
        <v>0</v>
      </c>
      <c r="Z280" s="69"/>
      <c r="AA280" s="69"/>
      <c r="AB280" s="69"/>
      <c r="AC280" s="69"/>
      <c r="AD280" s="69"/>
      <c r="AE280" s="69"/>
      <c r="AF280" s="12"/>
      <c r="AG280" s="9"/>
      <c r="AH280" s="74"/>
      <c r="AI280" s="86" t="str">
        <f>""</f>
        <v/>
      </c>
      <c r="AJ280" s="72" t="str">
        <f ca="1">IFERROR(RANK(Proposed[[#This Row],[EstSort]],OFFSET(Items[EstSort],0,0,ROW(Proposed[])-ROW(Items[])+ROWS(Proposed[]),1),1),"")</f>
        <v/>
      </c>
      <c r="AK280" s="72" t="str">
        <f ca="1">IF(CHOOSE(MATCH(Account,Accounts,0),Proposed[[#This Row],[Count]],Proposed[[#This Row],[Account1]],Proposed[[#This Row],[Account2]],Proposed[[#This Row],[Account3]],Proposed[[#This Row],[Account7]])&gt;0,Proposed[[#This Row],[Sort]],"")</f>
        <v/>
      </c>
      <c r="AL280" s="6" t="str">
        <f ca="1">IF(LEN(Proposed[[#This Row],[Count]])&gt;0,IFERROR(INDEX(Calcs[Counter],MATCH(Proposed[[#This Row],[Line]],Calcs[Line],0)),""),"")</f>
        <v/>
      </c>
      <c r="AM280" s="1" t="str">
        <f ca="1">IFERROR(Letter&amp;TEXT((Proposed[[#This Row],[Count]]-1)*Incr+BeginLine,"0000"),"")</f>
        <v/>
      </c>
      <c r="AN280" s="7" t="str">
        <f>IF(ISNA(MATCH(LEFT(Proposed[[#This Row],[Raw Item]],5)&amp;"-"&amp;RIGHT(Proposed[[#This Row],[Raw Item]],4),Pay.Item.Listing[Pay Item],0)),"",LEFT(Proposed[[#This Row],[Raw Item]],5)&amp;"-"&amp;RIGHT(Proposed[[#This Row],[Raw Item]],4))</f>
        <v/>
      </c>
    </row>
    <row r="281" spans="1:40" x14ac:dyDescent="0.15">
      <c r="A281" s="7" t="str">
        <f ca="1">IFERROR(RANK(Proposed[[#This Row],[Sort]],OFFSET(Items[Sort],0,0,ROW(Proposed[])-ROW(Items[])+ROWS(Proposed[]),1),1),"")</f>
        <v/>
      </c>
      <c r="B281" s="7" t="str">
        <f>IF(LEN(Proposed[[#This Row],[Item]])&gt;0,Proposed[[#This Row],[Raw Item]]+COUNTIF(AN$265:AN281,Proposed[[#This Row],[Item]])/100,"")</f>
        <v/>
      </c>
      <c r="C281" s="7">
        <f>IFERROR(VALUE(LEFT(VALUE(SUBSTITUTE(Proposed[[#This Row],[Pay Item]],"-",""))*100000000,9)),0)</f>
        <v>0</v>
      </c>
      <c r="D281" s="10" t="str">
        <f t="shared" si="1"/>
        <v/>
      </c>
      <c r="E281" s="130"/>
      <c r="F281" s="126" t="s">
        <v>203</v>
      </c>
      <c r="G281" s="11" t="s">
        <v>94</v>
      </c>
      <c r="H281" s="11">
        <v>0</v>
      </c>
      <c r="I281" s="11">
        <v>0</v>
      </c>
      <c r="J281" s="86" t="str">
        <f>""</f>
        <v/>
      </c>
      <c r="K281" s="11"/>
      <c r="L281" s="11"/>
      <c r="M281" s="11"/>
      <c r="N281" s="11"/>
      <c r="O281" s="11"/>
      <c r="P281" s="11"/>
      <c r="Q281" s="11"/>
      <c r="R281" s="11"/>
      <c r="S281" s="11"/>
      <c r="T281" s="11"/>
      <c r="U281" s="11"/>
      <c r="V281" s="11"/>
      <c r="W281" s="11"/>
      <c r="X281" s="6">
        <f>IF(LEN(Proposed[[#This Row],[Item]])&gt;0,IF(Proposed[[#This Row],[Unit]]="LPSM",1,SUM(Proposed[[#This Row],[Col_1]:[Col_13]])),0)</f>
        <v>0</v>
      </c>
      <c r="Y281" s="72">
        <f>MAX(Proposed[[#This Row],[Quantity]]-SUM(Proposed[[#This Row],[Account2]]:Proposed[[#This Row],[Account7]]),0)</f>
        <v>0</v>
      </c>
      <c r="Z281" s="69"/>
      <c r="AA281" s="69"/>
      <c r="AB281" s="69"/>
      <c r="AC281" s="69"/>
      <c r="AD281" s="69"/>
      <c r="AE281" s="69"/>
      <c r="AF281" s="12"/>
      <c r="AG281" s="9"/>
      <c r="AH281" s="74"/>
      <c r="AI281" s="86" t="str">
        <f>""</f>
        <v/>
      </c>
      <c r="AJ281" s="72" t="str">
        <f ca="1">IFERROR(RANK(Proposed[[#This Row],[EstSort]],OFFSET(Items[EstSort],0,0,ROW(Proposed[])-ROW(Items[])+ROWS(Proposed[]),1),1),"")</f>
        <v/>
      </c>
      <c r="AK281" s="72" t="str">
        <f ca="1">IF(CHOOSE(MATCH(Account,Accounts,0),Proposed[[#This Row],[Count]],Proposed[[#This Row],[Account1]],Proposed[[#This Row],[Account2]],Proposed[[#This Row],[Account3]],Proposed[[#This Row],[Account7]])&gt;0,Proposed[[#This Row],[Sort]],"")</f>
        <v/>
      </c>
      <c r="AL281" s="6" t="str">
        <f ca="1">IF(LEN(Proposed[[#This Row],[Count]])&gt;0,IFERROR(INDEX(Calcs[Counter],MATCH(Proposed[[#This Row],[Line]],Calcs[Line],0)),""),"")</f>
        <v/>
      </c>
      <c r="AM281" s="1" t="str">
        <f ca="1">IFERROR(Letter&amp;TEXT((Proposed[[#This Row],[Count]]-1)*Incr+BeginLine,"0000"),"")</f>
        <v/>
      </c>
      <c r="AN281" s="7" t="str">
        <f>IF(ISNA(MATCH(LEFT(Proposed[[#This Row],[Raw Item]],5)&amp;"-"&amp;RIGHT(Proposed[[#This Row],[Raw Item]],4),Pay.Item.Listing[Pay Item],0)),"",LEFT(Proposed[[#This Row],[Raw Item]],5)&amp;"-"&amp;RIGHT(Proposed[[#This Row],[Raw Item]],4))</f>
        <v/>
      </c>
    </row>
    <row r="282" spans="1:40" x14ac:dyDescent="0.15">
      <c r="A282" s="7" t="str">
        <f ca="1">IFERROR(RANK(Proposed[[#This Row],[Sort]],OFFSET(Items[Sort],0,0,ROW(Proposed[])-ROW(Items[])+ROWS(Proposed[]),1),1),"")</f>
        <v/>
      </c>
      <c r="B282" s="7" t="str">
        <f>IF(LEN(Proposed[[#This Row],[Item]])&gt;0,Proposed[[#This Row],[Raw Item]]+COUNTIF(AN$265:AN282,Proposed[[#This Row],[Item]])/100,"")</f>
        <v/>
      </c>
      <c r="C282" s="7">
        <f>IFERROR(VALUE(LEFT(VALUE(SUBSTITUTE(Proposed[[#This Row],[Pay Item]],"-",""))*100000000,9)),0)</f>
        <v>0</v>
      </c>
      <c r="D282" s="10" t="str">
        <f t="shared" si="1"/>
        <v/>
      </c>
      <c r="E282" s="130"/>
      <c r="F282" s="126" t="s">
        <v>203</v>
      </c>
      <c r="G282" s="11" t="s">
        <v>94</v>
      </c>
      <c r="H282" s="11">
        <v>0</v>
      </c>
      <c r="I282" s="11">
        <v>0</v>
      </c>
      <c r="J282" s="86" t="str">
        <f>""</f>
        <v/>
      </c>
      <c r="K282" s="11"/>
      <c r="L282" s="11"/>
      <c r="M282" s="11"/>
      <c r="N282" s="11"/>
      <c r="O282" s="11"/>
      <c r="P282" s="11"/>
      <c r="Q282" s="11"/>
      <c r="R282" s="11"/>
      <c r="S282" s="11"/>
      <c r="T282" s="11"/>
      <c r="U282" s="11"/>
      <c r="V282" s="11"/>
      <c r="W282" s="11"/>
      <c r="X282" s="6">
        <f>IF(LEN(Proposed[[#This Row],[Item]])&gt;0,IF(Proposed[[#This Row],[Unit]]="LPSM",1,SUM(Proposed[[#This Row],[Col_1]:[Col_13]])),0)</f>
        <v>0</v>
      </c>
      <c r="Y282" s="72">
        <f>MAX(Proposed[[#This Row],[Quantity]]-SUM(Proposed[[#This Row],[Account2]]:Proposed[[#This Row],[Account7]]),0)</f>
        <v>0</v>
      </c>
      <c r="Z282" s="69"/>
      <c r="AA282" s="69"/>
      <c r="AB282" s="69"/>
      <c r="AC282" s="69"/>
      <c r="AD282" s="69"/>
      <c r="AE282" s="69"/>
      <c r="AF282" s="12"/>
      <c r="AG282" s="9"/>
      <c r="AH282" s="74"/>
      <c r="AI282" s="86" t="str">
        <f>""</f>
        <v/>
      </c>
      <c r="AJ282" s="72" t="str">
        <f ca="1">IFERROR(RANK(Proposed[[#This Row],[EstSort]],OFFSET(Items[EstSort],0,0,ROW(Proposed[])-ROW(Items[])+ROWS(Proposed[]),1),1),"")</f>
        <v/>
      </c>
      <c r="AK282" s="72" t="str">
        <f ca="1">IF(CHOOSE(MATCH(Account,Accounts,0),Proposed[[#This Row],[Count]],Proposed[[#This Row],[Account1]],Proposed[[#This Row],[Account2]],Proposed[[#This Row],[Account3]],Proposed[[#This Row],[Account7]])&gt;0,Proposed[[#This Row],[Sort]],"")</f>
        <v/>
      </c>
      <c r="AL282" s="6" t="str">
        <f ca="1">IF(LEN(Proposed[[#This Row],[Count]])&gt;0,IFERROR(INDEX(Calcs[Counter],MATCH(Proposed[[#This Row],[Line]],Calcs[Line],0)),""),"")</f>
        <v/>
      </c>
      <c r="AM282" s="1" t="str">
        <f ca="1">IFERROR(Letter&amp;TEXT((Proposed[[#This Row],[Count]]-1)*Incr+BeginLine,"0000"),"")</f>
        <v/>
      </c>
      <c r="AN282" s="7" t="str">
        <f>IF(ISNA(MATCH(LEFT(Proposed[[#This Row],[Raw Item]],5)&amp;"-"&amp;RIGHT(Proposed[[#This Row],[Raw Item]],4),Pay.Item.Listing[Pay Item],0)),"",LEFT(Proposed[[#This Row],[Raw Item]],5)&amp;"-"&amp;RIGHT(Proposed[[#This Row],[Raw Item]],4))</f>
        <v/>
      </c>
    </row>
    <row r="283" spans="1:40" x14ac:dyDescent="0.15">
      <c r="A283" s="7" t="str">
        <f ca="1">IFERROR(RANK(Proposed[[#This Row],[Sort]],OFFSET(Items[Sort],0,0,ROW(Proposed[])-ROW(Items[])+ROWS(Proposed[]),1),1),"")</f>
        <v/>
      </c>
      <c r="B283" s="7" t="str">
        <f>IF(LEN(Proposed[[#This Row],[Item]])&gt;0,Proposed[[#This Row],[Raw Item]]+COUNTIF(AN$265:AN283,Proposed[[#This Row],[Item]])/100,"")</f>
        <v/>
      </c>
      <c r="C283" s="7">
        <f>IFERROR(VALUE(LEFT(VALUE(SUBSTITUTE(Proposed[[#This Row],[Pay Item]],"-",""))*100000000,9)),0)</f>
        <v>0</v>
      </c>
      <c r="D283" s="10" t="str">
        <f t="shared" si="1"/>
        <v/>
      </c>
      <c r="E283" s="130"/>
      <c r="F283" s="126" t="s">
        <v>203</v>
      </c>
      <c r="G283" s="11" t="s">
        <v>94</v>
      </c>
      <c r="H283" s="11">
        <v>0</v>
      </c>
      <c r="I283" s="11">
        <v>0</v>
      </c>
      <c r="J283" s="86" t="str">
        <f>""</f>
        <v/>
      </c>
      <c r="K283" s="11"/>
      <c r="L283" s="11"/>
      <c r="M283" s="11"/>
      <c r="N283" s="11"/>
      <c r="O283" s="11"/>
      <c r="P283" s="11"/>
      <c r="Q283" s="11"/>
      <c r="R283" s="11"/>
      <c r="S283" s="11"/>
      <c r="T283" s="11"/>
      <c r="U283" s="11"/>
      <c r="V283" s="11"/>
      <c r="W283" s="11"/>
      <c r="X283" s="6">
        <f>IF(LEN(Proposed[[#This Row],[Item]])&gt;0,IF(Proposed[[#This Row],[Unit]]="LPSM",1,SUM(Proposed[[#This Row],[Col_1]:[Col_13]])),0)</f>
        <v>0</v>
      </c>
      <c r="Y283" s="72">
        <f>MAX(Proposed[[#This Row],[Quantity]]-SUM(Proposed[[#This Row],[Account2]]:Proposed[[#This Row],[Account7]]),0)</f>
        <v>0</v>
      </c>
      <c r="Z283" s="69"/>
      <c r="AA283" s="69"/>
      <c r="AB283" s="69"/>
      <c r="AC283" s="69"/>
      <c r="AD283" s="69"/>
      <c r="AE283" s="69"/>
      <c r="AF283" s="12"/>
      <c r="AG283" s="9"/>
      <c r="AH283" s="74"/>
      <c r="AI283" s="86" t="str">
        <f>""</f>
        <v/>
      </c>
      <c r="AJ283" s="72" t="str">
        <f ca="1">IFERROR(RANK(Proposed[[#This Row],[EstSort]],OFFSET(Items[EstSort],0,0,ROW(Proposed[])-ROW(Items[])+ROWS(Proposed[]),1),1),"")</f>
        <v/>
      </c>
      <c r="AK283" s="72" t="str">
        <f ca="1">IF(CHOOSE(MATCH(Account,Accounts,0),Proposed[[#This Row],[Count]],Proposed[[#This Row],[Account1]],Proposed[[#This Row],[Account2]],Proposed[[#This Row],[Account3]],Proposed[[#This Row],[Account7]])&gt;0,Proposed[[#This Row],[Sort]],"")</f>
        <v/>
      </c>
      <c r="AL283" s="6" t="str">
        <f ca="1">IF(LEN(Proposed[[#This Row],[Count]])&gt;0,IFERROR(INDEX(Calcs[Counter],MATCH(Proposed[[#This Row],[Line]],Calcs[Line],0)),""),"")</f>
        <v/>
      </c>
      <c r="AM283" s="1" t="str">
        <f ca="1">IFERROR(Letter&amp;TEXT((Proposed[[#This Row],[Count]]-1)*Incr+BeginLine,"0000"),"")</f>
        <v/>
      </c>
      <c r="AN283" s="7" t="str">
        <f>IF(ISNA(MATCH(LEFT(Proposed[[#This Row],[Raw Item]],5)&amp;"-"&amp;RIGHT(Proposed[[#This Row],[Raw Item]],4),Pay.Item.Listing[Pay Item],0)),"",LEFT(Proposed[[#This Row],[Raw Item]],5)&amp;"-"&amp;RIGHT(Proposed[[#This Row],[Raw Item]],4))</f>
        <v/>
      </c>
    </row>
    <row r="284" spans="1:40" x14ac:dyDescent="0.15">
      <c r="A284" s="7" t="str">
        <f ca="1">IFERROR(RANK(Proposed[[#This Row],[Sort]],OFFSET(Items[Sort],0,0,ROW(Proposed[])-ROW(Items[])+ROWS(Proposed[]),1),1),"")</f>
        <v/>
      </c>
      <c r="B284" s="7" t="str">
        <f>IF(LEN(Proposed[[#This Row],[Item]])&gt;0,Proposed[[#This Row],[Raw Item]]+COUNTIF(AN$265:AN284,Proposed[[#This Row],[Item]])/100,"")</f>
        <v/>
      </c>
      <c r="C284" s="7">
        <f>IFERROR(VALUE(LEFT(VALUE(SUBSTITUTE(Proposed[[#This Row],[Pay Item]],"-",""))*100000000,9)),0)</f>
        <v>0</v>
      </c>
      <c r="D284" s="10" t="str">
        <f t="shared" si="1"/>
        <v/>
      </c>
      <c r="E284" s="130"/>
      <c r="F284" s="126" t="s">
        <v>203</v>
      </c>
      <c r="G284" s="11" t="s">
        <v>94</v>
      </c>
      <c r="H284" s="11">
        <v>0</v>
      </c>
      <c r="I284" s="11">
        <v>0</v>
      </c>
      <c r="J284" s="86" t="str">
        <f>""</f>
        <v/>
      </c>
      <c r="K284" s="11"/>
      <c r="L284" s="11"/>
      <c r="M284" s="11"/>
      <c r="N284" s="11"/>
      <c r="O284" s="11"/>
      <c r="P284" s="11"/>
      <c r="Q284" s="11"/>
      <c r="R284" s="11"/>
      <c r="S284" s="11"/>
      <c r="T284" s="11"/>
      <c r="U284" s="11"/>
      <c r="V284" s="11"/>
      <c r="W284" s="11"/>
      <c r="X284" s="6">
        <f>IF(LEN(Proposed[[#This Row],[Item]])&gt;0,IF(Proposed[[#This Row],[Unit]]="LPSM",1,SUM(Proposed[[#This Row],[Col_1]:[Col_13]])),0)</f>
        <v>0</v>
      </c>
      <c r="Y284" s="72">
        <f>MAX(Proposed[[#This Row],[Quantity]]-SUM(Proposed[[#This Row],[Account2]]:Proposed[[#This Row],[Account7]]),0)</f>
        <v>0</v>
      </c>
      <c r="Z284" s="69"/>
      <c r="AA284" s="69"/>
      <c r="AB284" s="69"/>
      <c r="AC284" s="69"/>
      <c r="AD284" s="69"/>
      <c r="AE284" s="69"/>
      <c r="AF284" s="12"/>
      <c r="AG284" s="9"/>
      <c r="AH284" s="74"/>
      <c r="AI284" s="86" t="str">
        <f>""</f>
        <v/>
      </c>
      <c r="AJ284" s="72" t="str">
        <f ca="1">IFERROR(RANK(Proposed[[#This Row],[EstSort]],OFFSET(Items[EstSort],0,0,ROW(Proposed[])-ROW(Items[])+ROWS(Proposed[]),1),1),"")</f>
        <v/>
      </c>
      <c r="AK284" s="72" t="str">
        <f ca="1">IF(CHOOSE(MATCH(Account,Accounts,0),Proposed[[#This Row],[Count]],Proposed[[#This Row],[Account1]],Proposed[[#This Row],[Account2]],Proposed[[#This Row],[Account3]],Proposed[[#This Row],[Account7]])&gt;0,Proposed[[#This Row],[Sort]],"")</f>
        <v/>
      </c>
      <c r="AL284" s="6" t="str">
        <f ca="1">IF(LEN(Proposed[[#This Row],[Count]])&gt;0,IFERROR(INDEX(Calcs[Counter],MATCH(Proposed[[#This Row],[Line]],Calcs[Line],0)),""),"")</f>
        <v/>
      </c>
      <c r="AM284" s="1" t="str">
        <f ca="1">IFERROR(Letter&amp;TEXT((Proposed[[#This Row],[Count]]-1)*Incr+BeginLine,"0000"),"")</f>
        <v/>
      </c>
      <c r="AN284" s="7" t="str">
        <f>IF(ISNA(MATCH(LEFT(Proposed[[#This Row],[Raw Item]],5)&amp;"-"&amp;RIGHT(Proposed[[#This Row],[Raw Item]],4),Pay.Item.Listing[Pay Item],0)),"",LEFT(Proposed[[#This Row],[Raw Item]],5)&amp;"-"&amp;RIGHT(Proposed[[#This Row],[Raw Item]],4))</f>
        <v/>
      </c>
    </row>
    <row r="285" spans="1:40" x14ac:dyDescent="0.15">
      <c r="A285" s="7" t="str">
        <f ca="1">IFERROR(RANK(Proposed[[#This Row],[Sort]],OFFSET(Items[Sort],0,0,ROW(Proposed[])-ROW(Items[])+ROWS(Proposed[]),1),1),"")</f>
        <v/>
      </c>
      <c r="B285" s="7" t="str">
        <f>IF(LEN(Proposed[[#This Row],[Item]])&gt;0,Proposed[[#This Row],[Raw Item]]+COUNTIF(AN$265:AN285,Proposed[[#This Row],[Item]])/100,"")</f>
        <v/>
      </c>
      <c r="C285" s="7">
        <f>IFERROR(VALUE(LEFT(VALUE(SUBSTITUTE(Proposed[[#This Row],[Pay Item]],"-",""))*100000000,9)),0)</f>
        <v>0</v>
      </c>
      <c r="D285" s="10" t="str">
        <f t="shared" si="1"/>
        <v/>
      </c>
      <c r="E285" s="130"/>
      <c r="F285" s="126" t="s">
        <v>203</v>
      </c>
      <c r="G285" s="11" t="s">
        <v>94</v>
      </c>
      <c r="H285" s="11">
        <v>0</v>
      </c>
      <c r="I285" s="11">
        <v>0</v>
      </c>
      <c r="J285" s="87" t="str">
        <f>""</f>
        <v/>
      </c>
      <c r="K285" s="11"/>
      <c r="L285" s="11"/>
      <c r="M285" s="11"/>
      <c r="N285" s="11"/>
      <c r="O285" s="11"/>
      <c r="P285" s="11"/>
      <c r="Q285" s="11"/>
      <c r="R285" s="11"/>
      <c r="S285" s="11"/>
      <c r="T285" s="11"/>
      <c r="U285" s="11"/>
      <c r="V285" s="11"/>
      <c r="W285" s="11"/>
      <c r="X285" s="6">
        <f>IF(LEN(Proposed[[#This Row],[Item]])&gt;0,IF(Proposed[[#This Row],[Unit]]="LPSM",1,SUM(Proposed[[#This Row],[Col_1]:[Col_13]])),0)</f>
        <v>0</v>
      </c>
      <c r="Y285" s="72">
        <f>MAX(Proposed[[#This Row],[Quantity]]-SUM(Proposed[[#This Row],[Account2]]:Proposed[[#This Row],[Account7]]),0)</f>
        <v>0</v>
      </c>
      <c r="Z285" s="69"/>
      <c r="AA285" s="69"/>
      <c r="AB285" s="69"/>
      <c r="AC285" s="69"/>
      <c r="AD285" s="69"/>
      <c r="AE285" s="69"/>
      <c r="AF285" s="12"/>
      <c r="AG285" s="9"/>
      <c r="AH285" s="74"/>
      <c r="AI285" s="87" t="str">
        <f>""</f>
        <v/>
      </c>
      <c r="AJ285" s="72" t="str">
        <f ca="1">IFERROR(RANK(Proposed[[#This Row],[EstSort]],OFFSET(Items[EstSort],0,0,ROW(Proposed[])-ROW(Items[])+ROWS(Proposed[]),1),1),"")</f>
        <v/>
      </c>
      <c r="AK285" s="72" t="str">
        <f ca="1">IF(CHOOSE(MATCH(Account,Accounts,0),Proposed[[#This Row],[Count]],Proposed[[#This Row],[Account1]],Proposed[[#This Row],[Account2]],Proposed[[#This Row],[Account3]],Proposed[[#This Row],[Account7]])&gt;0,Proposed[[#This Row],[Sort]],"")</f>
        <v/>
      </c>
      <c r="AL285" s="6" t="str">
        <f ca="1">IF(LEN(Proposed[[#This Row],[Count]])&gt;0,IFERROR(INDEX(Calcs[Counter],MATCH(Proposed[[#This Row],[Line]],Calcs[Line],0)),""),"")</f>
        <v/>
      </c>
      <c r="AM285" s="1" t="str">
        <f ca="1">IFERROR(Letter&amp;TEXT((Proposed[[#This Row],[Count]]-1)*Incr+BeginLine,"0000"),"")</f>
        <v/>
      </c>
      <c r="AN285" s="7" t="str">
        <f>IF(ISNA(MATCH(LEFT(Proposed[[#This Row],[Raw Item]],5)&amp;"-"&amp;RIGHT(Proposed[[#This Row],[Raw Item]],4),Pay.Item.Listing[Pay Item],0)),"",LEFT(Proposed[[#This Row],[Raw Item]],5)&amp;"-"&amp;RIGHT(Proposed[[#This Row],[Raw Item]],4))</f>
        <v/>
      </c>
    </row>
    <row r="286" spans="1:40" x14ac:dyDescent="0.15">
      <c r="A286" s="257">
        <f ca="1">MAX(Items[Count],Proposed[Count])+1</f>
        <v>8</v>
      </c>
      <c r="B286" s="257"/>
      <c r="C286" s="257"/>
      <c r="D286" s="257"/>
      <c r="E286" s="258">
        <f ca="1">CELL("width",INDIRECT(Base&amp;"!"&amp;ADDRESS(1,7)))</f>
        <v>6</v>
      </c>
      <c r="F286" s="259"/>
      <c r="G286" s="260" t="str">
        <f>""</f>
        <v/>
      </c>
      <c r="H286" s="260"/>
      <c r="I286" s="260"/>
      <c r="J286" s="257"/>
      <c r="K286" s="260"/>
      <c r="L286" s="260"/>
      <c r="M286" s="260"/>
      <c r="N286" s="260"/>
      <c r="O286" s="260"/>
      <c r="P286" s="260"/>
      <c r="Q286" s="260"/>
      <c r="R286" s="260"/>
      <c r="S286" s="260"/>
      <c r="T286" s="260"/>
      <c r="U286" s="260"/>
      <c r="V286" s="260"/>
      <c r="W286" s="260"/>
      <c r="X286" s="261" t="str">
        <f>""</f>
        <v/>
      </c>
      <c r="Y286" s="256"/>
      <c r="Z286" s="256"/>
      <c r="AA286" s="256"/>
      <c r="AB286" s="256"/>
      <c r="AC286" s="256"/>
      <c r="AD286" s="256"/>
      <c r="AE286" s="256"/>
      <c r="AF286" s="258" t="str">
        <f>""</f>
        <v/>
      </c>
      <c r="AG286" s="260"/>
      <c r="AH286" s="258"/>
      <c r="AI286" s="256"/>
      <c r="AJ286" s="256">
        <f ca="1">MAX(Items[EstCount],Proposed[EstCount])</f>
        <v>7</v>
      </c>
      <c r="AK286" s="256"/>
      <c r="AL286" s="261"/>
      <c r="AM286" s="256"/>
      <c r="AN286" s="257" t="str">
        <f>""</f>
        <v/>
      </c>
    </row>
    <row r="291" spans="5:5" x14ac:dyDescent="0.15">
      <c r="E291"/>
    </row>
  </sheetData>
  <sheetProtection sheet="1" objects="1" scenarios="1" formatColumns="0" insertRows="0" autoFilter="0"/>
  <mergeCells count="1">
    <mergeCell ref="F2:F3"/>
  </mergeCells>
  <conditionalFormatting sqref="D5:D263">
    <cfRule type="expression" dxfId="322" priority="7035" stopIfTrue="1">
      <formula>OR(LEFT(D5,5)&lt;&gt;LEFT(E5,5),ISBLANK(E5))</formula>
    </cfRule>
  </conditionalFormatting>
  <conditionalFormatting sqref="D266:E285">
    <cfRule type="expression" dxfId="321" priority="19" stopIfTrue="1">
      <formula>$D266="Item Exists"</formula>
    </cfRule>
  </conditionalFormatting>
  <conditionalFormatting sqref="G266:G285">
    <cfRule type="expression" dxfId="320" priority="17" stopIfTrue="1">
      <formula>ISNA(MATCH(G266,INDIRECT("Units_"&amp;LEFT(SUBSTITUTE(Units," ",""),3)),0))</formula>
    </cfRule>
  </conditionalFormatting>
  <conditionalFormatting sqref="A286:AN286">
    <cfRule type="expression" dxfId="319" priority="16">
      <formula>NOT(ISBLANK(A286))</formula>
    </cfRule>
  </conditionalFormatting>
  <conditionalFormatting sqref="K2:W3">
    <cfRule type="expression" dxfId="318" priority="5">
      <formula>K$1=0</formula>
    </cfRule>
  </conditionalFormatting>
  <conditionalFormatting sqref="X5:Y263 X266:Y285">
    <cfRule type="expression" dxfId="317" priority="7042" stopIfTrue="1">
      <formula>AND($A5&lt;&gt;"",$G5&lt;&gt;"LPSM",OR($X5&lt;&gt;ROUND(SUM($K5:$W5),OFFSET($H5,0,Decimals="Pay_Dec")),X5&lt;&gt;ROUND(X5,OFFSET($H5,0,Decimals="Pay_Dec"))))</formula>
    </cfRule>
  </conditionalFormatting>
  <conditionalFormatting sqref="E5:AN263 E266:AN285">
    <cfRule type="expression" dxfId="316" priority="29">
      <formula>CELL("protect",E5)=0</formula>
    </cfRule>
    <cfRule type="expression" dxfId="315" priority="7036">
      <formula>$A5=""</formula>
    </cfRule>
  </conditionalFormatting>
  <conditionalFormatting sqref="A1:AN1">
    <cfRule type="expression" dxfId="314" priority="2">
      <formula>CELL("width", OFFSET(A1,0,1))&gt;0</formula>
    </cfRule>
    <cfRule type="expression" dxfId="313" priority="3">
      <formula>CELL("width", OFFSET(A1,0,-1))&gt;0</formula>
    </cfRule>
  </conditionalFormatting>
  <conditionalFormatting sqref="AG5:AG263 AG266:AG285">
    <cfRule type="expression" dxfId="312" priority="7080" stopIfTrue="1">
      <formula>AND($A5&lt;&gt;"",ISBLANK($AG5),$AH5=TRUE)</formula>
    </cfRule>
  </conditionalFormatting>
  <conditionalFormatting sqref="Z5:AE263 Z266:AE285">
    <cfRule type="expression" dxfId="311" priority="7081" stopIfTrue="1">
      <formula>AND(LEN(Z5)&gt;0,OR($X5&lt;&gt;ROUND(SUM($Y5:$AE5),OFFSET($H5,0,Decimals="Pay_Dec")),Z5&lt;&gt;ROUND(Z5,OFFSET($H5,0,Decimals="Pay_Dec"))))</formula>
    </cfRule>
  </conditionalFormatting>
  <dataValidations count="4">
    <dataValidation type="list" allowBlank="1" showInputMessage="1" showErrorMessage="1" sqref="G266:G285" xr:uid="{00000000-0002-0000-0100-000000000000}">
      <formula1>INDIRECT("Units_"&amp;LEFT(SUBSTITUTE(Units," ",""),3))</formula1>
    </dataValidation>
    <dataValidation type="decimal" operator="greaterThanOrEqual" allowBlank="1" showInputMessage="1" showErrorMessage="1" errorTitle="Error" error="Positive numeric value only.  Enter &quot;1&quot; for Lump Sum items." sqref="K266:W285 AF266:AF285 AF5:AF263 K5:W263" xr:uid="{00000000-0002-0000-0100-000001000000}">
      <formula1>0</formula1>
    </dataValidation>
    <dataValidation type="list" allowBlank="1" showInputMessage="1" showErrorMessage="1" sqref="AH266:AH285 AH5:AH263" xr:uid="{00000000-0002-0000-0100-000002000000}">
      <formula1>"TRUE,FALSE"</formula1>
    </dataValidation>
    <dataValidation type="list" allowBlank="1" showInputMessage="1" showErrorMessage="1" promptTitle="Viewer" prompt="View available pay items" sqref="D5:D263" xr:uid="{00000000-0002-0000-0100-000003000000}">
      <formula1>OFFSET(Pay.Items,MATCH(LEFT(E5,5)&amp;"*",Pay.Items,0)-1,0,COUNTIF(Pay.Items,LEFT(E5,5)&amp;"*"),1)</formula1>
    </dataValidation>
  </dataValidations>
  <pageMargins left="0.75" right="0.75" top="1" bottom="1" header="0.5" footer="0.5"/>
  <pageSetup orientation="portrait" horizontalDpi="1200" verticalDpi="1200" r:id="rId1"/>
  <headerFooter alignWithMargins="0"/>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A23E6-E81F-4C7C-93F2-D52E59DCB33A}">
  <dimension ref="A1:AA49"/>
  <sheetViews>
    <sheetView showGridLines="0" zoomScaleNormal="100" workbookViewId="0">
      <selection activeCell="B7" sqref="B7"/>
    </sheetView>
  </sheetViews>
  <sheetFormatPr defaultColWidth="11.28515625" defaultRowHeight="10.5" x14ac:dyDescent="0.15"/>
  <cols>
    <col min="1" max="2" width="6.7109375" style="54" customWidth="1"/>
    <col min="3" max="3" width="10.7109375" style="54" customWidth="1"/>
    <col min="4" max="4" width="2.140625" style="54" customWidth="1"/>
    <col min="5" max="5" width="4.7109375" style="54" hidden="1" customWidth="1"/>
    <col min="6" max="6" width="3.7109375" style="54" customWidth="1"/>
    <col min="7" max="7" width="6.7109375" style="54" customWidth="1"/>
    <col min="8" max="8" width="10.7109375" style="54" customWidth="1"/>
    <col min="9" max="9" width="30.5703125" style="54" customWidth="1"/>
    <col min="10" max="10" width="6.7109375" style="54" customWidth="1"/>
    <col min="11" max="12" width="9.7109375" style="54" customWidth="1"/>
    <col min="13" max="14" width="8.7109375" style="54" customWidth="1"/>
    <col min="15" max="15" width="9.7109375" style="54" customWidth="1"/>
    <col min="16" max="18" width="8.7109375" style="54" customWidth="1"/>
    <col min="19" max="19" width="12.7109375" style="54" customWidth="1"/>
    <col min="20" max="22" width="9.7109375" style="54" customWidth="1"/>
    <col min="23" max="23" width="11.7109375" style="54" customWidth="1"/>
    <col min="24" max="24" width="9.7109375" style="54" customWidth="1"/>
    <col min="25" max="25" width="22.7109375" style="54" customWidth="1"/>
    <col min="26" max="26" width="4.7109375" style="54" hidden="1" customWidth="1"/>
    <col min="27" max="27" width="2.140625" style="54" customWidth="1"/>
    <col min="28" max="16384" width="11.28515625" style="54"/>
  </cols>
  <sheetData>
    <row r="1" spans="1:27" x14ac:dyDescent="0.15">
      <c r="A1" s="343" t="s">
        <v>204</v>
      </c>
      <c r="B1" s="343"/>
      <c r="C1" s="344"/>
      <c r="F1" s="115" t="s">
        <v>183</v>
      </c>
      <c r="G1" s="115" t="s">
        <v>187</v>
      </c>
      <c r="H1" s="115" t="s">
        <v>130</v>
      </c>
      <c r="I1" s="115" t="s">
        <v>155</v>
      </c>
      <c r="J1" s="115" t="s">
        <v>156</v>
      </c>
      <c r="K1" s="115" t="s">
        <v>159</v>
      </c>
      <c r="L1" s="115" t="s">
        <v>160</v>
      </c>
      <c r="M1" s="115" t="s">
        <v>161</v>
      </c>
      <c r="N1" s="115" t="s">
        <v>162</v>
      </c>
      <c r="O1" s="115" t="s">
        <v>163</v>
      </c>
      <c r="P1" s="115" t="s">
        <v>164</v>
      </c>
      <c r="Q1" s="115" t="s">
        <v>165</v>
      </c>
      <c r="R1" s="115" t="s">
        <v>166</v>
      </c>
      <c r="S1" s="115" t="s">
        <v>167</v>
      </c>
      <c r="T1" s="115" t="s">
        <v>168</v>
      </c>
      <c r="U1" s="115" t="s">
        <v>169</v>
      </c>
      <c r="V1" s="115" t="s">
        <v>170</v>
      </c>
      <c r="W1" s="115" t="s">
        <v>171</v>
      </c>
      <c r="X1" s="115" t="s">
        <v>172</v>
      </c>
      <c r="Y1" s="115" t="s">
        <v>181</v>
      </c>
    </row>
    <row r="2" spans="1:27" x14ac:dyDescent="0.15">
      <c r="A2" s="344"/>
      <c r="B2" s="344"/>
      <c r="C2" s="344"/>
      <c r="F2" s="116">
        <f ca="1">CELL("width",F2)</f>
        <v>3</v>
      </c>
      <c r="G2" s="116">
        <f t="shared" ref="G2:Y2" ca="1" si="0">CELL("width",G2)</f>
        <v>6</v>
      </c>
      <c r="H2" s="116">
        <f t="shared" ca="1" si="0"/>
        <v>10</v>
      </c>
      <c r="I2" s="116">
        <f t="shared" ca="1" si="0"/>
        <v>30</v>
      </c>
      <c r="J2" s="116">
        <f t="shared" ca="1" si="0"/>
        <v>6</v>
      </c>
      <c r="K2" s="116">
        <f t="shared" ca="1" si="0"/>
        <v>9</v>
      </c>
      <c r="L2" s="116">
        <f t="shared" ca="1" si="0"/>
        <v>9</v>
      </c>
      <c r="M2" s="116">
        <f t="shared" ca="1" si="0"/>
        <v>8</v>
      </c>
      <c r="N2" s="116">
        <f t="shared" ca="1" si="0"/>
        <v>8</v>
      </c>
      <c r="O2" s="116">
        <f t="shared" ca="1" si="0"/>
        <v>9</v>
      </c>
      <c r="P2" s="116">
        <f t="shared" ca="1" si="0"/>
        <v>8</v>
      </c>
      <c r="Q2" s="116">
        <f t="shared" ca="1" si="0"/>
        <v>8</v>
      </c>
      <c r="R2" s="116">
        <f t="shared" ca="1" si="0"/>
        <v>8</v>
      </c>
      <c r="S2" s="116">
        <f t="shared" ca="1" si="0"/>
        <v>12</v>
      </c>
      <c r="T2" s="116">
        <f t="shared" ca="1" si="0"/>
        <v>9</v>
      </c>
      <c r="U2" s="116">
        <f t="shared" ca="1" si="0"/>
        <v>9</v>
      </c>
      <c r="V2" s="116">
        <f t="shared" ca="1" si="0"/>
        <v>9</v>
      </c>
      <c r="W2" s="116">
        <f t="shared" ca="1" si="0"/>
        <v>11</v>
      </c>
      <c r="X2" s="116">
        <f t="shared" ca="1" si="0"/>
        <v>9</v>
      </c>
      <c r="Y2" s="116">
        <f t="shared" ca="1" si="0"/>
        <v>22</v>
      </c>
    </row>
    <row r="3" spans="1:27" s="285" customFormat="1" ht="8.25" x14ac:dyDescent="0.15">
      <c r="A3" s="281"/>
      <c r="B3" s="281"/>
      <c r="C3" s="281"/>
      <c r="D3" s="282"/>
      <c r="E3" s="283" t="s">
        <v>205</v>
      </c>
      <c r="F3" s="282"/>
      <c r="G3" s="282"/>
      <c r="H3" s="282"/>
      <c r="I3" s="282"/>
      <c r="J3" s="282"/>
      <c r="K3" s="282"/>
      <c r="L3" s="282"/>
      <c r="M3" s="282"/>
      <c r="N3" s="282"/>
      <c r="O3" s="282"/>
      <c r="P3" s="282"/>
      <c r="Q3" s="282"/>
      <c r="R3" s="282"/>
      <c r="S3" s="282"/>
      <c r="T3" s="282"/>
      <c r="U3" s="282"/>
      <c r="V3" s="282"/>
      <c r="W3" s="282"/>
      <c r="X3" s="282"/>
      <c r="Y3" s="284" t="str">
        <f>IF(LEN(SUBSTITUTE(SUBSTITUTE(NPS.PMIS,".","")," ",""))&gt;9,NPS.PMIS,"")&amp;IF(LEN(SUBSTITUTE(SUBSTITUTE(NPS.Drwg,".","")," ",""))&gt;9,REPT(" ",3)&amp;NPS.Drwg,"")</f>
        <v/>
      </c>
      <c r="Z3" s="283" t="s">
        <v>206</v>
      </c>
      <c r="AA3" s="282"/>
    </row>
    <row r="4" spans="1:27" ht="45" customHeight="1" thickBot="1" x14ac:dyDescent="0.2">
      <c r="A4" s="345" t="s">
        <v>207</v>
      </c>
      <c r="B4" s="345"/>
      <c r="C4" s="312" t="str">
        <f ca="1">_xlfn.XLOOKUP(SheetTab,SheetNames[Worksheet],SheetNames[Sheet],"")</f>
        <v>C.1</v>
      </c>
      <c r="D4" s="342" t="str">
        <f ca="1">CELL("filename",Filename)</f>
        <v>https://usdot-my.sharepoint.com/personal/stephen_chapman_ad_dot_gov/Documents/[estimate-24.xlsx]Sheet</v>
      </c>
      <c r="E4" s="57"/>
      <c r="F4" s="346" t="str">
        <f>"SUMMARY OF QUANTITIES"&amp;IF(LEFT(SchedOpt,1)="&lt;",""," - "&amp;SchedOpt&amp;" "&amp;Letter)</f>
        <v>SUMMARY OF QUANTITIES</v>
      </c>
      <c r="G4" s="346"/>
      <c r="H4" s="346"/>
      <c r="I4" s="346"/>
      <c r="J4" s="346"/>
      <c r="K4" s="346"/>
      <c r="L4" s="346"/>
      <c r="M4" s="346"/>
      <c r="N4" s="346"/>
      <c r="O4" s="346"/>
      <c r="P4" s="346"/>
      <c r="Q4" s="346"/>
      <c r="R4" s="346"/>
      <c r="S4" s="346"/>
      <c r="T4" s="346"/>
      <c r="U4" s="346"/>
      <c r="V4" s="346"/>
      <c r="W4" s="346"/>
      <c r="X4" s="346"/>
      <c r="Y4" s="346"/>
      <c r="Z4" s="57"/>
      <c r="AA4" s="57"/>
    </row>
    <row r="5" spans="1:27" ht="15" customHeight="1" x14ac:dyDescent="0.15">
      <c r="A5" s="347" t="s">
        <v>208</v>
      </c>
      <c r="B5" s="347"/>
      <c r="C5" s="56" t="str">
        <f ca="1">RIGHT(Filename,LEN(Filename)-FIND("]",Filename))</f>
        <v>Sheet</v>
      </c>
      <c r="D5" s="342"/>
      <c r="E5" s="59"/>
      <c r="F5" s="348" t="s">
        <v>209</v>
      </c>
      <c r="G5" s="351" t="s">
        <v>210</v>
      </c>
      <c r="H5" s="351" t="s">
        <v>211</v>
      </c>
      <c r="I5" s="354" t="s">
        <v>212</v>
      </c>
      <c r="J5" s="357" t="s">
        <v>156</v>
      </c>
      <c r="K5" s="286" t="s">
        <v>213</v>
      </c>
      <c r="L5" s="287"/>
      <c r="M5" s="287"/>
      <c r="N5" s="287"/>
      <c r="O5" s="287"/>
      <c r="P5" s="287"/>
      <c r="Q5" s="287"/>
      <c r="R5" s="287"/>
      <c r="S5" s="287"/>
      <c r="T5" s="287"/>
      <c r="U5" s="287"/>
      <c r="V5" s="287"/>
      <c r="W5" s="287"/>
      <c r="X5" s="337" t="s">
        <v>214</v>
      </c>
      <c r="Y5" s="339" t="s">
        <v>215</v>
      </c>
      <c r="Z5" s="288"/>
      <c r="AA5" s="1"/>
    </row>
    <row r="6" spans="1:27" ht="15" customHeight="1" x14ac:dyDescent="0.15">
      <c r="B6" s="289"/>
      <c r="C6" s="55"/>
      <c r="D6" s="342"/>
      <c r="E6" s="59"/>
      <c r="F6" s="349"/>
      <c r="G6" s="352"/>
      <c r="H6" s="352"/>
      <c r="I6" s="355"/>
      <c r="J6" s="358"/>
      <c r="K6" s="313" t="str">
        <f ca="1">OFFSET(Items[#Headers],-2,MATCH(K1,Items[#Headers],0)-1,1,1)</f>
        <v>Section C</v>
      </c>
      <c r="L6" s="314" t="str">
        <f ca="1">OFFSET(Items[#Headers],-2,MATCH(L1,Items[#Headers],0)-1,1,1)</f>
        <v>Section D</v>
      </c>
      <c r="M6" s="314" t="str">
        <f ca="1">OFFSET(Items[#Headers],-2,MATCH(M1,Items[#Headers],0)-1,1,1)</f>
        <v>Section E</v>
      </c>
      <c r="N6" s="314" t="str">
        <f ca="1">OFFSET(Items[#Headers],-2,MATCH(N1,Items[#Headers],0)-1,1,1)</f>
        <v>Section F</v>
      </c>
      <c r="O6" s="314" t="str">
        <f ca="1">OFFSET(Items[#Headers],-2,MATCH(O1,Items[#Headers],0)-1,1,1)</f>
        <v>Section G</v>
      </c>
      <c r="P6" s="314" t="str">
        <f ca="1">OFFSET(Items[#Headers],-2,MATCH(P1,Items[#Headers],0)-1,1,1)</f>
        <v>Section H</v>
      </c>
      <c r="Q6" s="314" t="str">
        <f ca="1">OFFSET(Items[#Headers],-2,MATCH(Q1,Items[#Headers],0)-1,1,1)</f>
        <v>Section I</v>
      </c>
      <c r="R6" s="314" t="str">
        <f ca="1">OFFSET(Items[#Headers],-2,MATCH(R1,Items[#Headers],0)-1,1,1)</f>
        <v>Section J</v>
      </c>
      <c r="S6" s="314" t="str">
        <f ca="1">OFFSET(Items[#Headers],-2,MATCH(S1,Items[#Headers],0)-1,1,1)</f>
        <v>Section K</v>
      </c>
      <c r="T6" s="314" t="str">
        <f ca="1">OFFSET(Items[#Headers],-2,MATCH(T1,Items[#Headers],0)-1,1,1)</f>
        <v>Section L</v>
      </c>
      <c r="U6" s="314" t="str">
        <f ca="1">OFFSET(Items[#Headers],-2,MATCH(U1,Items[#Headers],0)-1,1,1)</f>
        <v>Section M</v>
      </c>
      <c r="V6" s="314" t="str">
        <f ca="1">OFFSET(Items[#Headers],-2,MATCH(V1,Items[#Headers],0)-1,1,1)</f>
        <v>Section N</v>
      </c>
      <c r="W6" s="315">
        <f ca="1">OFFSET(Items[#Headers],-2,MATCH(W1,Items[#Headers],0)-1,1,1)</f>
        <v>0</v>
      </c>
      <c r="X6" s="338"/>
      <c r="Y6" s="340"/>
      <c r="Z6" s="288"/>
      <c r="AA6" s="1"/>
    </row>
    <row r="7" spans="1:27" ht="42.75" customHeight="1" thickBot="1" x14ac:dyDescent="0.2">
      <c r="A7" s="290" cm="1">
        <f t="array" aca="1" ref="A7" ca="1">_xlfn.XLOOKUP(SheetTab,SheetNames[Worksheet],SheetNames[Begins],"")</f>
        <v>0</v>
      </c>
      <c r="B7" s="311"/>
      <c r="C7" s="55"/>
      <c r="D7" s="342"/>
      <c r="E7" s="59"/>
      <c r="F7" s="350"/>
      <c r="G7" s="353"/>
      <c r="H7" s="353"/>
      <c r="I7" s="356"/>
      <c r="J7" s="359"/>
      <c r="K7" s="316" t="str">
        <f ca="1">OFFSET(Items[#Headers],-1,MATCH(K1,Items[#Headers],0)-1,1,1)</f>
        <v>Typical Section</v>
      </c>
      <c r="L7" s="317" t="str">
        <f ca="1">OFFSET(Items[#Headers],-1,MATCH(L1,Items[#Headers],0)-1,1,1)</f>
        <v>Plan &amp; Profile</v>
      </c>
      <c r="M7" s="317" t="str">
        <f ca="1">OFFSET(Items[#Headers],-1,MATCH(M1,Items[#Headers],0)-1,1,1)</f>
        <v>Approach Roads</v>
      </c>
      <c r="N7" s="317" t="str">
        <f ca="1">OFFSET(Items[#Headers],-1,MATCH(N1,Items[#Headers],0)-1,1,1)</f>
        <v>Erosion Control</v>
      </c>
      <c r="O7" s="317" t="str">
        <f ca="1">OFFSET(Items[#Headers],-1,MATCH(O1,Items[#Headers],0)-1,1,1)</f>
        <v>Fences and Gates</v>
      </c>
      <c r="P7" s="317" t="str">
        <f ca="1">OFFSET(Items[#Headers],-1,MATCH(P1,Items[#Headers],0)-1,1,1)</f>
        <v>Drainage</v>
      </c>
      <c r="Q7" s="317" t="str">
        <f ca="1">OFFSET(Items[#Headers],-1,MATCH(Q1,Items[#Headers],0)-1,1,1)</f>
        <v>Walls &amp; Rockeries</v>
      </c>
      <c r="R7" s="317" t="str">
        <f ca="1">OFFSET(Items[#Headers],-1,MATCH(R1,Items[#Headers],0)-1,1,1)</f>
        <v>Guardrail</v>
      </c>
      <c r="S7" s="317" t="str">
        <f ca="1">OFFSET(Items[#Headers],-1,MATCH(S1,Items[#Headers],0)-1,1,1)</f>
        <v>Miscellaneous</v>
      </c>
      <c r="T7" s="317" t="str">
        <f ca="1">OFFSET(Items[#Headers],-1,MATCH(T1,Items[#Headers],0)-1,1,1)</f>
        <v>Temporary Traffic Control</v>
      </c>
      <c r="U7" s="317" t="str">
        <f ca="1">OFFSET(Items[#Headers],-1,MATCH(U1,Items[#Headers],0)-1,1,1)</f>
        <v>Permanent Traffic Control</v>
      </c>
      <c r="V7" s="317" t="str">
        <f ca="1">OFFSET(Items[#Headers],-1,MATCH(V1,Items[#Headers],0)-1,1,1)</f>
        <v>Mailboxes</v>
      </c>
      <c r="W7" s="318" t="str">
        <f ca="1">OFFSET(Items[#Headers],-1,MATCH(W1,Items[#Headers],0)-1,1,1)</f>
        <v>ALLOWANCE</v>
      </c>
      <c r="X7" s="291" t="s">
        <v>216</v>
      </c>
      <c r="Y7" s="341"/>
      <c r="Z7" s="288"/>
      <c r="AA7" s="1"/>
    </row>
    <row r="8" spans="1:27" ht="15" customHeight="1" x14ac:dyDescent="0.15">
      <c r="A8" s="58">
        <f t="shared" ref="A8:A47" ca="1" si="1">OFFSET(A8,-1,0)+1</f>
        <v>1</v>
      </c>
      <c r="C8" s="58">
        <f ca="1">IFERROR(VLOOKUP(A8,Calcs[],1,0),OFFSET(C8,1,0))</f>
        <v>1</v>
      </c>
      <c r="D8" s="342"/>
      <c r="E8" s="59"/>
      <c r="F8" s="292">
        <f ca="1">IF(OR($C8=OFFSET($C8,-1,0),$A8&gt;End),"",_xlfn.XLOOKUP($C8,Items[PlanCounter],Items[Amend],_xlfn.XLOOKUP($C8,Proposed[PlanCounter],Proposed[Amend])))</f>
        <v>0</v>
      </c>
      <c r="G8" s="293" t="str">
        <f ca="1">IF(OR($C8=OFFSET($C8,-1,0),$A8&gt;End),"",_xlfn.XLOOKUP($C8,Calcs[Counter],Calcs[Line]))</f>
        <v>A0020</v>
      </c>
      <c r="H8" s="293" t="str" cm="1">
        <f t="array" aca="1" ref="H8" ca="1">IF(OR($C8=OFFSET($C8,-1,0),$A8&gt;End),"",_xlfn.XLOOKUP($C8,INDIRECT(RangePlanCount),INDIRECT(RangeItems)))</f>
        <v>15101-0000</v>
      </c>
      <c r="I8" s="294" t="str">
        <f ca="1">IF(OR($A8&gt;End,COUNTIF($C$7:$C8,$C8)&gt;lines_D),"",IF(COUNTIF($C$7:$C8,$C8)=1,LEFT(VLOOKUP($C8,Calcs[],col_Description,0),VLOOKUP($C8,Calcs[],col_D,0)),MID(VLOOKUP($C8,Calcs[],col_Description,0),VLOOKUP($C8,Calcs[],col_D+COUNTIF($C$7:$C8,$C8)-2,0)+1,VLOOKUP($C8,Calcs[],col_D+COUNTIF($C$7:$C8,$C8)-1,0)-VLOOKUP($C8,Calcs[],col_D+COUNTIF($C$7:$C8,$C8)-2,0))))</f>
        <v>MOBILIZATION</v>
      </c>
      <c r="J8" s="295" t="str" cm="1">
        <f t="array" aca="1" ref="J8" ca="1">IF(OR($C8=OFFSET($C8,1,0),$A8&gt;End),"",_xlfn.XLOOKUP($C8,INDIRECT(RangePlanCount),INDIRECT(RangeUnit)))</f>
        <v>LPSM</v>
      </c>
      <c r="K8" s="296" t="str">
        <f ca="1">IF(OR($C8=OFFSET($C8,1,0),$A8&gt;End,IFERROR(OFFSET(Items[],MATCH($C8,INDIRECT(RangePlanCount),0)-1,MATCH(K$1,Items[#Headers],0)-1,1,1)=0,TRUE)),"",IF(AND(OFFSET(Items[],MATCH($C8,INDIRECT(RangePlanCount),0)-1,MATCH(K$1,Items[#Headers],0)-1,1,1)&gt;0,$J8="LPSM"),"ALL",TEXT(OFFSET(Items[],MATCH($C8,INDIRECT(RangePlanCount),0)-1,MATCH(K$1,Items[#Headers],0)-1,1,1),"###,###,##0"&amp;IF(OFFSET(Items[],MATCH($C8,INDIRECT(RangePlanCount),0)-1,MATCH(Decimals,Items[#Headers],0)-1,1,1)&gt;0,"."&amp;REPT("0",OFFSET(Items[],MATCH($C8,INDIRECT(RangePlanCount),0)-1,MATCH(Decimals,Items[#Headers],0)-1,1,1)),""))))</f>
        <v/>
      </c>
      <c r="L8" s="293" t="str">
        <f ca="1">IF(OR($C8=OFFSET($C8,1,0),$A8&gt;End,IFERROR(OFFSET(Items[],MATCH($C8,INDIRECT(RangePlanCount),0)-1,MATCH(L$1,Items[#Headers],0)-1,1,1)=0,TRUE)),"",IF(AND(OFFSET(Items[],MATCH($C8,INDIRECT(RangePlanCount),0)-1,MATCH(L$1,Items[#Headers],0)-1,1,1)&gt;0,$J8="LPSM"),"ALL",TEXT(OFFSET(Items[],MATCH($C8,INDIRECT(RangePlanCount),0)-1,MATCH(L$1,Items[#Headers],0)-1,1,1),"###,###,##0"&amp;IF(OFFSET(Items[],MATCH($C8,INDIRECT(RangePlanCount),0)-1,MATCH(Decimals,Items[#Headers],0)-1,1,1)&gt;0,"."&amp;REPT("0",OFFSET(Items[],MATCH($C8,INDIRECT(RangePlanCount),0)-1,MATCH(Decimals,Items[#Headers],0)-1,1,1)),""))))</f>
        <v/>
      </c>
      <c r="M8" s="293" t="str">
        <f ca="1">IF(OR($C8=OFFSET($C8,1,0),$A8&gt;End,IFERROR(OFFSET(Items[],MATCH($C8,INDIRECT(RangePlanCount),0)-1,MATCH(M$1,Items[#Headers],0)-1,1,1)=0,TRUE)),"",IF(AND(OFFSET(Items[],MATCH($C8,INDIRECT(RangePlanCount),0)-1,MATCH(M$1,Items[#Headers],0)-1,1,1)&gt;0,$J8="LPSM"),"ALL",TEXT(OFFSET(Items[],MATCH($C8,INDIRECT(RangePlanCount),0)-1,MATCH(M$1,Items[#Headers],0)-1,1,1),"###,###,##0"&amp;IF(OFFSET(Items[],MATCH($C8,INDIRECT(RangePlanCount),0)-1,MATCH(Decimals,Items[#Headers],0)-1,1,1)&gt;0,"."&amp;REPT("0",OFFSET(Items[],MATCH($C8,INDIRECT(RangePlanCount),0)-1,MATCH(Decimals,Items[#Headers],0)-1,1,1)),""))))</f>
        <v/>
      </c>
      <c r="N8" s="293" t="str">
        <f ca="1">IF(OR($C8=OFFSET($C8,1,0),$A8&gt;End,IFERROR(OFFSET(Items[],MATCH($C8,INDIRECT(RangePlanCount),0)-1,MATCH(N$1,Items[#Headers],0)-1,1,1)=0,TRUE)),"",IF(AND(OFFSET(Items[],MATCH($C8,INDIRECT(RangePlanCount),0)-1,MATCH(N$1,Items[#Headers],0)-1,1,1)&gt;0,$J8="LPSM"),"ALL",TEXT(OFFSET(Items[],MATCH($C8,INDIRECT(RangePlanCount),0)-1,MATCH(N$1,Items[#Headers],0)-1,1,1),"###,###,##0"&amp;IF(OFFSET(Items[],MATCH($C8,INDIRECT(RangePlanCount),0)-1,MATCH(Decimals,Items[#Headers],0)-1,1,1)&gt;0,"."&amp;REPT("0",OFFSET(Items[],MATCH($C8,INDIRECT(RangePlanCount),0)-1,MATCH(Decimals,Items[#Headers],0)-1,1,1)),""))))</f>
        <v/>
      </c>
      <c r="O8" s="293" t="str">
        <f ca="1">IF(OR($C8=OFFSET($C8,1,0),$A8&gt;End,IFERROR(OFFSET(Items[],MATCH($C8,INDIRECT(RangePlanCount),0)-1,MATCH(O$1,Items[#Headers],0)-1,1,1)=0,TRUE)),"",IF(AND(OFFSET(Items[],MATCH($C8,INDIRECT(RangePlanCount),0)-1,MATCH(O$1,Items[#Headers],0)-1,1,1)&gt;0,$J8="LPSM"),"ALL",TEXT(OFFSET(Items[],MATCH($C8,INDIRECT(RangePlanCount),0)-1,MATCH(O$1,Items[#Headers],0)-1,1,1),"###,###,##0"&amp;IF(OFFSET(Items[],MATCH($C8,INDIRECT(RangePlanCount),0)-1,MATCH(Decimals,Items[#Headers],0)-1,1,1)&gt;0,"."&amp;REPT("0",OFFSET(Items[],MATCH($C8,INDIRECT(RangePlanCount),0)-1,MATCH(Decimals,Items[#Headers],0)-1,1,1)),""))))</f>
        <v/>
      </c>
      <c r="P8" s="293" t="str">
        <f ca="1">IF(OR($C8=OFFSET($C8,1,0),$A8&gt;End,IFERROR(OFFSET(Items[],MATCH($C8,INDIRECT(RangePlanCount),0)-1,MATCH(P$1,Items[#Headers],0)-1,1,1)=0,TRUE)),"",IF(AND(OFFSET(Items[],MATCH($C8,INDIRECT(RangePlanCount),0)-1,MATCH(P$1,Items[#Headers],0)-1,1,1)&gt;0,$J8="LPSM"),"ALL",TEXT(OFFSET(Items[],MATCH($C8,INDIRECT(RangePlanCount),0)-1,MATCH(P$1,Items[#Headers],0)-1,1,1),"###,###,##0"&amp;IF(OFFSET(Items[],MATCH($C8,INDIRECT(RangePlanCount),0)-1,MATCH(Decimals,Items[#Headers],0)-1,1,1)&gt;0,"."&amp;REPT("0",OFFSET(Items[],MATCH($C8,INDIRECT(RangePlanCount),0)-1,MATCH(Decimals,Items[#Headers],0)-1,1,1)),""))))</f>
        <v/>
      </c>
      <c r="Q8" s="293" t="str">
        <f ca="1">IF(OR($C8=OFFSET($C8,1,0),$A8&gt;End,IFERROR(OFFSET(Items[],MATCH($C8,INDIRECT(RangePlanCount),0)-1,MATCH(Q$1,Items[#Headers],0)-1,1,1)=0,TRUE)),"",IF(AND(OFFSET(Items[],MATCH($C8,INDIRECT(RangePlanCount),0)-1,MATCH(Q$1,Items[#Headers],0)-1,1,1)&gt;0,$J8="LPSM"),"ALL",TEXT(OFFSET(Items[],MATCH($C8,INDIRECT(RangePlanCount),0)-1,MATCH(Q$1,Items[#Headers],0)-1,1,1),"###,###,##0"&amp;IF(OFFSET(Items[],MATCH($C8,INDIRECT(RangePlanCount),0)-1,MATCH(Decimals,Items[#Headers],0)-1,1,1)&gt;0,"."&amp;REPT("0",OFFSET(Items[],MATCH($C8,INDIRECT(RangePlanCount),0)-1,MATCH(Decimals,Items[#Headers],0)-1,1,1)),""))))</f>
        <v/>
      </c>
      <c r="R8" s="293" t="str">
        <f ca="1">IF(OR($C8=OFFSET($C8,1,0),$A8&gt;End,IFERROR(OFFSET(Items[],MATCH($C8,INDIRECT(RangePlanCount),0)-1,MATCH(R$1,Items[#Headers],0)-1,1,1)=0,TRUE)),"",IF(AND(OFFSET(Items[],MATCH($C8,INDIRECT(RangePlanCount),0)-1,MATCH(R$1,Items[#Headers],0)-1,1,1)&gt;0,$J8="LPSM"),"ALL",TEXT(OFFSET(Items[],MATCH($C8,INDIRECT(RangePlanCount),0)-1,MATCH(R$1,Items[#Headers],0)-1,1,1),"###,###,##0"&amp;IF(OFFSET(Items[],MATCH($C8,INDIRECT(RangePlanCount),0)-1,MATCH(Decimals,Items[#Headers],0)-1,1,1)&gt;0,"."&amp;REPT("0",OFFSET(Items[],MATCH($C8,INDIRECT(RangePlanCount),0)-1,MATCH(Decimals,Items[#Headers],0)-1,1,1)),""))))</f>
        <v/>
      </c>
      <c r="S8" s="293" t="str">
        <f ca="1">IF(OR($C8=OFFSET($C8,1,0),$A8&gt;End,IFERROR(OFFSET(Items[],MATCH($C8,INDIRECT(RangePlanCount),0)-1,MATCH(S$1,Items[#Headers],0)-1,1,1)=0,TRUE)),"",IF(AND(OFFSET(Items[],MATCH($C8,INDIRECT(RangePlanCount),0)-1,MATCH(S$1,Items[#Headers],0)-1,1,1)&gt;0,$J8="LPSM"),"ALL",TEXT(OFFSET(Items[],MATCH($C8,INDIRECT(RangePlanCount),0)-1,MATCH(S$1,Items[#Headers],0)-1,1,1),"###,###,##0"&amp;IF(OFFSET(Items[],MATCH($C8,INDIRECT(RangePlanCount),0)-1,MATCH(Decimals,Items[#Headers],0)-1,1,1)&gt;0,"."&amp;REPT("0",OFFSET(Items[],MATCH($C8,INDIRECT(RangePlanCount),0)-1,MATCH(Decimals,Items[#Headers],0)-1,1,1)),""))))</f>
        <v/>
      </c>
      <c r="T8" s="293" t="str">
        <f ca="1">IF(OR($C8=OFFSET($C8,1,0),$A8&gt;End,IFERROR(OFFSET(Items[],MATCH($C8,INDIRECT(RangePlanCount),0)-1,MATCH(T$1,Items[#Headers],0)-1,1,1)=0,TRUE)),"",IF(AND(OFFSET(Items[],MATCH($C8,INDIRECT(RangePlanCount),0)-1,MATCH(T$1,Items[#Headers],0)-1,1,1)&gt;0,$J8="LPSM"),"ALL",TEXT(OFFSET(Items[],MATCH($C8,INDIRECT(RangePlanCount),0)-1,MATCH(T$1,Items[#Headers],0)-1,1,1),"###,###,##0"&amp;IF(OFFSET(Items[],MATCH($C8,INDIRECT(RangePlanCount),0)-1,MATCH(Decimals,Items[#Headers],0)-1,1,1)&gt;0,"."&amp;REPT("0",OFFSET(Items[],MATCH($C8,INDIRECT(RangePlanCount),0)-1,MATCH(Decimals,Items[#Headers],0)-1,1,1)),""))))</f>
        <v/>
      </c>
      <c r="U8" s="293" t="str">
        <f ca="1">IF(OR($C8=OFFSET($C8,1,0),$A8&gt;End,IFERROR(OFFSET(Items[],MATCH($C8,INDIRECT(RangePlanCount),0)-1,MATCH(U$1,Items[#Headers],0)-1,1,1)=0,TRUE)),"",IF(AND(OFFSET(Items[],MATCH($C8,INDIRECT(RangePlanCount),0)-1,MATCH(U$1,Items[#Headers],0)-1,1,1)&gt;0,$J8="LPSM"),"ALL",TEXT(OFFSET(Items[],MATCH($C8,INDIRECT(RangePlanCount),0)-1,MATCH(U$1,Items[#Headers],0)-1,1,1),"###,###,##0"&amp;IF(OFFSET(Items[],MATCH($C8,INDIRECT(RangePlanCount),0)-1,MATCH(Decimals,Items[#Headers],0)-1,1,1)&gt;0,"."&amp;REPT("0",OFFSET(Items[],MATCH($C8,INDIRECT(RangePlanCount),0)-1,MATCH(Decimals,Items[#Headers],0)-1,1,1)),""))))</f>
        <v/>
      </c>
      <c r="V8" s="293" t="str">
        <f ca="1">IF(OR($C8=OFFSET($C8,1,0),$A8&gt;End,IFERROR(OFFSET(Items[],MATCH($C8,INDIRECT(RangePlanCount),0)-1,MATCH(V$1,Items[#Headers],0)-1,1,1)=0,TRUE)),"",IF(AND(OFFSET(Items[],MATCH($C8,INDIRECT(RangePlanCount),0)-1,MATCH(V$1,Items[#Headers],0)-1,1,1)&gt;0,$J8="LPSM"),"ALL",TEXT(OFFSET(Items[],MATCH($C8,INDIRECT(RangePlanCount),0)-1,MATCH(V$1,Items[#Headers],0)-1,1,1),"###,###,##0"&amp;IF(OFFSET(Items[],MATCH($C8,INDIRECT(RangePlanCount),0)-1,MATCH(Decimals,Items[#Headers],0)-1,1,1)&gt;0,"."&amp;REPT("0",OFFSET(Items[],MATCH($C8,INDIRECT(RangePlanCount),0)-1,MATCH(Decimals,Items[#Headers],0)-1,1,1)),""))))</f>
        <v/>
      </c>
      <c r="W8" s="297" t="str">
        <f ca="1">IF(OR($C8=OFFSET($C8,1,0),$A8&gt;End,IFERROR(OFFSET(Items[],MATCH($C8,INDIRECT(RangePlanCount),0)-1,MATCH(W$1,Items[#Headers],0)-1,1,1)=0,TRUE)),"",IF(AND(OFFSET(Items[],MATCH($C8,INDIRECT(RangePlanCount),0)-1,MATCH(W$1,Items[#Headers],0)-1,1,1)&gt;0,$J8="LPSM"),"ALL",TEXT(OFFSET(Items[],MATCH($C8,INDIRECT(RangePlanCount),0)-1,MATCH(W$1,Items[#Headers],0)-1,1,1),"###,###,##0"&amp;IF(OFFSET(Items[],MATCH($C8,INDIRECT(RangePlanCount),0)-1,MATCH(Decimals,Items[#Headers],0)-1,1,1)&gt;0,"."&amp;REPT("0",OFFSET(Items[],MATCH($C8,INDIRECT(RangePlanCount),0)-1,MATCH(Decimals,Items[#Headers],0)-1,1,1)),""))))</f>
        <v/>
      </c>
      <c r="X8" s="298" t="str">
        <f ca="1">IF(OR($C8=OFFSET($C8,1,0),$A8&gt;End,IFERROR(OFFSET(Items[],MATCH($C8,INDIRECT(RangePlanCount),0)-1,MATCH(X$1,Items[#Headers],0)-1,1,1)=0,TRUE)),"",IF(AND(OFFSET(Items[],MATCH($C8,INDIRECT(RangePlanCount),0)-1,MATCH(X$1,Items[#Headers],0)-1,1,1)&gt;0,$J8="LPSM"),"ALL",TEXT(OFFSET(Items[],MATCH($C8,INDIRECT(RangePlanCount),0)-1,MATCH(X$1,Items[#Headers],0)-1,1,1),"###,###,##0"&amp;IF(OFFSET(Items[],MATCH($C8,INDIRECT(RangePlanCount),0)-1,MATCH(Decimals,Items[#Headers],0)-1,1,1)&gt;0,"."&amp;REPT("0",OFFSET(Items[],MATCH($C8,INDIRECT(RangePlanCount),0)-1,MATCH(Decimals,Items[#Headers],0)-1,1,1)),""))))</f>
        <v>ALL</v>
      </c>
      <c r="Y8" s="299" t="str">
        <f ca="1">IF(OR($A8&gt;End,COUNTIF($C$7:$C8,$C8)&gt;lines_R),"",IF(COUNTIF($C$7:$C8,$C8)=1,LEFT(VLOOKUP($C8,Calcs[],col_Remarks,0),VLOOKUP($C8,Calcs[],col_R,0)),MID(VLOOKUP($C8,Calcs[],col_Remarks,0),VLOOKUP($C8,Calcs[],col_R+COUNTIF($C$7:$C8,$C8)-2,0)+1,VLOOKUP($C8,Calcs[],col_R+COUNTIF($C$7:$C8,$C8)-1,0)-VLOOKUP($C8,Calcs[],col_R+COUNTIF($C$7:$C8,$C8)-2,0))))</f>
        <v/>
      </c>
      <c r="Z8" s="300"/>
      <c r="AA8" s="1"/>
    </row>
    <row r="9" spans="1:27" ht="15" customHeight="1" x14ac:dyDescent="0.15">
      <c r="A9" s="58">
        <f t="shared" ca="1" si="1"/>
        <v>2</v>
      </c>
      <c r="C9" s="58">
        <f ca="1">IFERROR(VLOOKUP(A9,Calcs[],1,0),OFFSET(C9,1,0))</f>
        <v>3</v>
      </c>
      <c r="D9" s="342"/>
      <c r="E9" s="59"/>
      <c r="F9" s="301">
        <f ca="1">IF(OR($C9=OFFSET($C9,-1,0),$A9&gt;End),"",_xlfn.XLOOKUP($C9,Items[PlanCounter],Items[Amend],_xlfn.XLOOKUP($C9,Proposed[PlanCounter],Proposed[Amend])))</f>
        <v>0</v>
      </c>
      <c r="G9" s="302" t="str">
        <f ca="1">IF(OR($C9=OFFSET($C9,-1,0),$A9&gt;End),"",_xlfn.XLOOKUP($C9,Calcs[Counter],Calcs[Line]))</f>
        <v>A0040</v>
      </c>
      <c r="H9" s="302" t="str" cm="1">
        <f t="array" aca="1" ref="H9" ca="1">IF(OR($C9=OFFSET($C9,-1,0),$A9&gt;End),"",_xlfn.XLOOKUP($C9,INDIRECT(RangePlanCount),INDIRECT(RangeItems)))</f>
        <v>15210-3000</v>
      </c>
      <c r="I9" s="294" t="str">
        <f ca="1">IF(OR($A9&gt;End,COUNTIF($C$7:$C9,$C9)&gt;lines_D),"",IF(COUNTIF($C$7:$C9,$C9)=1,LEFT(VLOOKUP($C9,Calcs[],col_Description,0),VLOOKUP($C9,Calcs[],col_D,0)),MID(VLOOKUP($C9,Calcs[],col_Description,0),VLOOKUP($C9,Calcs[],col_D+COUNTIF($C$7:$C9,$C9)-2,0)+1,VLOOKUP($C9,Calcs[],col_D+COUNTIF($C$7:$C9,$C9)-1,0)-VLOOKUP($C9,Calcs[],col_D+COUNTIF($C$7:$C9,$C9)-2,0))))</f>
        <v xml:space="preserve">CENTERLINE, VERIFICATION AND </v>
      </c>
      <c r="J9" s="295" t="str" cm="1">
        <f t="array" aca="1" ref="J9" ca="1">IF(OR($C9=OFFSET($C9,1,0),$A9&gt;End),"",_xlfn.XLOOKUP($C9,INDIRECT(RangePlanCount),INDIRECT(RangeUnit)))</f>
        <v/>
      </c>
      <c r="K9" s="303" t="str">
        <f ca="1">IF(OR($C9=OFFSET($C9,1,0),$A9&gt;End,IFERROR(OFFSET(Items[],MATCH($C9,INDIRECT(RangePlanCount),0)-1,MATCH(K$1,Items[#Headers],0)-1,1,1)=0,TRUE)),"",IF(AND(OFFSET(Items[],MATCH($C9,INDIRECT(RangePlanCount),0)-1,MATCH(K$1,Items[#Headers],0)-1,1,1)&gt;0,$J9="LPSM"),"ALL",TEXT(OFFSET(Items[],MATCH($C9,INDIRECT(RangePlanCount),0)-1,MATCH(K$1,Items[#Headers],0)-1,1,1),"###,###,##0"&amp;IF(OFFSET(Items[],MATCH($C9,INDIRECT(RangePlanCount),0)-1,MATCH(Decimals,Items[#Headers],0)-1,1,1)&gt;0,"."&amp;REPT("0",OFFSET(Items[],MATCH($C9,INDIRECT(RangePlanCount),0)-1,MATCH(Decimals,Items[#Headers],0)-1,1,1)),""))))</f>
        <v/>
      </c>
      <c r="L9" s="302" t="str">
        <f ca="1">IF(OR($C9=OFFSET($C9,1,0),$A9&gt;End,IFERROR(OFFSET(Items[],MATCH($C9,INDIRECT(RangePlanCount),0)-1,MATCH(L$1,Items[#Headers],0)-1,1,1)=0,TRUE)),"",IF(AND(OFFSET(Items[],MATCH($C9,INDIRECT(RangePlanCount),0)-1,MATCH(L$1,Items[#Headers],0)-1,1,1)&gt;0,$J9="LPSM"),"ALL",TEXT(OFFSET(Items[],MATCH($C9,INDIRECT(RangePlanCount),0)-1,MATCH(L$1,Items[#Headers],0)-1,1,1),"###,###,##0"&amp;IF(OFFSET(Items[],MATCH($C9,INDIRECT(RangePlanCount),0)-1,MATCH(Decimals,Items[#Headers],0)-1,1,1)&gt;0,"."&amp;REPT("0",OFFSET(Items[],MATCH($C9,INDIRECT(RangePlanCount),0)-1,MATCH(Decimals,Items[#Headers],0)-1,1,1)),""))))</f>
        <v/>
      </c>
      <c r="M9" s="302" t="str">
        <f ca="1">IF(OR($C9=OFFSET($C9,1,0),$A9&gt;End,IFERROR(OFFSET(Items[],MATCH($C9,INDIRECT(RangePlanCount),0)-1,MATCH(M$1,Items[#Headers],0)-1,1,1)=0,TRUE)),"",IF(AND(OFFSET(Items[],MATCH($C9,INDIRECT(RangePlanCount),0)-1,MATCH(M$1,Items[#Headers],0)-1,1,1)&gt;0,$J9="LPSM"),"ALL",TEXT(OFFSET(Items[],MATCH($C9,INDIRECT(RangePlanCount),0)-1,MATCH(M$1,Items[#Headers],0)-1,1,1),"###,###,##0"&amp;IF(OFFSET(Items[],MATCH($C9,INDIRECT(RangePlanCount),0)-1,MATCH(Decimals,Items[#Headers],0)-1,1,1)&gt;0,"."&amp;REPT("0",OFFSET(Items[],MATCH($C9,INDIRECT(RangePlanCount),0)-1,MATCH(Decimals,Items[#Headers],0)-1,1,1)),""))))</f>
        <v/>
      </c>
      <c r="N9" s="302" t="str">
        <f ca="1">IF(OR($C9=OFFSET($C9,1,0),$A9&gt;End,IFERROR(OFFSET(Items[],MATCH($C9,INDIRECT(RangePlanCount),0)-1,MATCH(N$1,Items[#Headers],0)-1,1,1)=0,TRUE)),"",IF(AND(OFFSET(Items[],MATCH($C9,INDIRECT(RangePlanCount),0)-1,MATCH(N$1,Items[#Headers],0)-1,1,1)&gt;0,$J9="LPSM"),"ALL",TEXT(OFFSET(Items[],MATCH($C9,INDIRECT(RangePlanCount),0)-1,MATCH(N$1,Items[#Headers],0)-1,1,1),"###,###,##0"&amp;IF(OFFSET(Items[],MATCH($C9,INDIRECT(RangePlanCount),0)-1,MATCH(Decimals,Items[#Headers],0)-1,1,1)&gt;0,"."&amp;REPT("0",OFFSET(Items[],MATCH($C9,INDIRECT(RangePlanCount),0)-1,MATCH(Decimals,Items[#Headers],0)-1,1,1)),""))))</f>
        <v/>
      </c>
      <c r="O9" s="302" t="str">
        <f ca="1">IF(OR($C9=OFFSET($C9,1,0),$A9&gt;End,IFERROR(OFFSET(Items[],MATCH($C9,INDIRECT(RangePlanCount),0)-1,MATCH(O$1,Items[#Headers],0)-1,1,1)=0,TRUE)),"",IF(AND(OFFSET(Items[],MATCH($C9,INDIRECT(RangePlanCount),0)-1,MATCH(O$1,Items[#Headers],0)-1,1,1)&gt;0,$J9="LPSM"),"ALL",TEXT(OFFSET(Items[],MATCH($C9,INDIRECT(RangePlanCount),0)-1,MATCH(O$1,Items[#Headers],0)-1,1,1),"###,###,##0"&amp;IF(OFFSET(Items[],MATCH($C9,INDIRECT(RangePlanCount),0)-1,MATCH(Decimals,Items[#Headers],0)-1,1,1)&gt;0,"."&amp;REPT("0",OFFSET(Items[],MATCH($C9,INDIRECT(RangePlanCount),0)-1,MATCH(Decimals,Items[#Headers],0)-1,1,1)),""))))</f>
        <v/>
      </c>
      <c r="P9" s="302" t="str">
        <f ca="1">IF(OR($C9=OFFSET($C9,1,0),$A9&gt;End,IFERROR(OFFSET(Items[],MATCH($C9,INDIRECT(RangePlanCount),0)-1,MATCH(P$1,Items[#Headers],0)-1,1,1)=0,TRUE)),"",IF(AND(OFFSET(Items[],MATCH($C9,INDIRECT(RangePlanCount),0)-1,MATCH(P$1,Items[#Headers],0)-1,1,1)&gt;0,$J9="LPSM"),"ALL",TEXT(OFFSET(Items[],MATCH($C9,INDIRECT(RangePlanCount),0)-1,MATCH(P$1,Items[#Headers],0)-1,1,1),"###,###,##0"&amp;IF(OFFSET(Items[],MATCH($C9,INDIRECT(RangePlanCount),0)-1,MATCH(Decimals,Items[#Headers],0)-1,1,1)&gt;0,"."&amp;REPT("0",OFFSET(Items[],MATCH($C9,INDIRECT(RangePlanCount),0)-1,MATCH(Decimals,Items[#Headers],0)-1,1,1)),""))))</f>
        <v/>
      </c>
      <c r="Q9" s="302" t="str">
        <f ca="1">IF(OR($C9=OFFSET($C9,1,0),$A9&gt;End,IFERROR(OFFSET(Items[],MATCH($C9,INDIRECT(RangePlanCount),0)-1,MATCH(Q$1,Items[#Headers],0)-1,1,1)=0,TRUE)),"",IF(AND(OFFSET(Items[],MATCH($C9,INDIRECT(RangePlanCount),0)-1,MATCH(Q$1,Items[#Headers],0)-1,1,1)&gt;0,$J9="LPSM"),"ALL",TEXT(OFFSET(Items[],MATCH($C9,INDIRECT(RangePlanCount),0)-1,MATCH(Q$1,Items[#Headers],0)-1,1,1),"###,###,##0"&amp;IF(OFFSET(Items[],MATCH($C9,INDIRECT(RangePlanCount),0)-1,MATCH(Decimals,Items[#Headers],0)-1,1,1)&gt;0,"."&amp;REPT("0",OFFSET(Items[],MATCH($C9,INDIRECT(RangePlanCount),0)-1,MATCH(Decimals,Items[#Headers],0)-1,1,1)),""))))</f>
        <v/>
      </c>
      <c r="R9" s="302" t="str">
        <f ca="1">IF(OR($C9=OFFSET($C9,1,0),$A9&gt;End,IFERROR(OFFSET(Items[],MATCH($C9,INDIRECT(RangePlanCount),0)-1,MATCH(R$1,Items[#Headers],0)-1,1,1)=0,TRUE)),"",IF(AND(OFFSET(Items[],MATCH($C9,INDIRECT(RangePlanCount),0)-1,MATCH(R$1,Items[#Headers],0)-1,1,1)&gt;0,$J9="LPSM"),"ALL",TEXT(OFFSET(Items[],MATCH($C9,INDIRECT(RangePlanCount),0)-1,MATCH(R$1,Items[#Headers],0)-1,1,1),"###,###,##0"&amp;IF(OFFSET(Items[],MATCH($C9,INDIRECT(RangePlanCount),0)-1,MATCH(Decimals,Items[#Headers],0)-1,1,1)&gt;0,"."&amp;REPT("0",OFFSET(Items[],MATCH($C9,INDIRECT(RangePlanCount),0)-1,MATCH(Decimals,Items[#Headers],0)-1,1,1)),""))))</f>
        <v/>
      </c>
      <c r="S9" s="302" t="str">
        <f ca="1">IF(OR($C9=OFFSET($C9,1,0),$A9&gt;End,IFERROR(OFFSET(Items[],MATCH($C9,INDIRECT(RangePlanCount),0)-1,MATCH(S$1,Items[#Headers],0)-1,1,1)=0,TRUE)),"",IF(AND(OFFSET(Items[],MATCH($C9,INDIRECT(RangePlanCount),0)-1,MATCH(S$1,Items[#Headers],0)-1,1,1)&gt;0,$J9="LPSM"),"ALL",TEXT(OFFSET(Items[],MATCH($C9,INDIRECT(RangePlanCount),0)-1,MATCH(S$1,Items[#Headers],0)-1,1,1),"###,###,##0"&amp;IF(OFFSET(Items[],MATCH($C9,INDIRECT(RangePlanCount),0)-1,MATCH(Decimals,Items[#Headers],0)-1,1,1)&gt;0,"."&amp;REPT("0",OFFSET(Items[],MATCH($C9,INDIRECT(RangePlanCount),0)-1,MATCH(Decimals,Items[#Headers],0)-1,1,1)),""))))</f>
        <v/>
      </c>
      <c r="T9" s="302" t="str">
        <f ca="1">IF(OR($C9=OFFSET($C9,1,0),$A9&gt;End,IFERROR(OFFSET(Items[],MATCH($C9,INDIRECT(RangePlanCount),0)-1,MATCH(T$1,Items[#Headers],0)-1,1,1)=0,TRUE)),"",IF(AND(OFFSET(Items[],MATCH($C9,INDIRECT(RangePlanCount),0)-1,MATCH(T$1,Items[#Headers],0)-1,1,1)&gt;0,$J9="LPSM"),"ALL",TEXT(OFFSET(Items[],MATCH($C9,INDIRECT(RangePlanCount),0)-1,MATCH(T$1,Items[#Headers],0)-1,1,1),"###,###,##0"&amp;IF(OFFSET(Items[],MATCH($C9,INDIRECT(RangePlanCount),0)-1,MATCH(Decimals,Items[#Headers],0)-1,1,1)&gt;0,"."&amp;REPT("0",OFFSET(Items[],MATCH($C9,INDIRECT(RangePlanCount),0)-1,MATCH(Decimals,Items[#Headers],0)-1,1,1)),""))))</f>
        <v/>
      </c>
      <c r="U9" s="302" t="str">
        <f ca="1">IF(OR($C9=OFFSET($C9,1,0),$A9&gt;End,IFERROR(OFFSET(Items[],MATCH($C9,INDIRECT(RangePlanCount),0)-1,MATCH(U$1,Items[#Headers],0)-1,1,1)=0,TRUE)),"",IF(AND(OFFSET(Items[],MATCH($C9,INDIRECT(RangePlanCount),0)-1,MATCH(U$1,Items[#Headers],0)-1,1,1)&gt;0,$J9="LPSM"),"ALL",TEXT(OFFSET(Items[],MATCH($C9,INDIRECT(RangePlanCount),0)-1,MATCH(U$1,Items[#Headers],0)-1,1,1),"###,###,##0"&amp;IF(OFFSET(Items[],MATCH($C9,INDIRECT(RangePlanCount),0)-1,MATCH(Decimals,Items[#Headers],0)-1,1,1)&gt;0,"."&amp;REPT("0",OFFSET(Items[],MATCH($C9,INDIRECT(RangePlanCount),0)-1,MATCH(Decimals,Items[#Headers],0)-1,1,1)),""))))</f>
        <v/>
      </c>
      <c r="V9" s="302" t="str">
        <f ca="1">IF(OR($C9=OFFSET($C9,1,0),$A9&gt;End,IFERROR(OFFSET(Items[],MATCH($C9,INDIRECT(RangePlanCount),0)-1,MATCH(V$1,Items[#Headers],0)-1,1,1)=0,TRUE)),"",IF(AND(OFFSET(Items[],MATCH($C9,INDIRECT(RangePlanCount),0)-1,MATCH(V$1,Items[#Headers],0)-1,1,1)&gt;0,$J9="LPSM"),"ALL",TEXT(OFFSET(Items[],MATCH($C9,INDIRECT(RangePlanCount),0)-1,MATCH(V$1,Items[#Headers],0)-1,1,1),"###,###,##0"&amp;IF(OFFSET(Items[],MATCH($C9,INDIRECT(RangePlanCount),0)-1,MATCH(Decimals,Items[#Headers],0)-1,1,1)&gt;0,"."&amp;REPT("0",OFFSET(Items[],MATCH($C9,INDIRECT(RangePlanCount),0)-1,MATCH(Decimals,Items[#Headers],0)-1,1,1)),""))))</f>
        <v/>
      </c>
      <c r="W9" s="304" t="str">
        <f ca="1">IF(OR($C9=OFFSET($C9,1,0),$A9&gt;End,IFERROR(OFFSET(Items[],MATCH($C9,INDIRECT(RangePlanCount),0)-1,MATCH(W$1,Items[#Headers],0)-1,1,1)=0,TRUE)),"",IF(AND(OFFSET(Items[],MATCH($C9,INDIRECT(RangePlanCount),0)-1,MATCH(W$1,Items[#Headers],0)-1,1,1)&gt;0,$J9="LPSM"),"ALL",TEXT(OFFSET(Items[],MATCH($C9,INDIRECT(RangePlanCount),0)-1,MATCH(W$1,Items[#Headers],0)-1,1,1),"###,###,##0"&amp;IF(OFFSET(Items[],MATCH($C9,INDIRECT(RangePlanCount),0)-1,MATCH(Decimals,Items[#Headers],0)-1,1,1)&gt;0,"."&amp;REPT("0",OFFSET(Items[],MATCH($C9,INDIRECT(RangePlanCount),0)-1,MATCH(Decimals,Items[#Headers],0)-1,1,1)),""))))</f>
        <v/>
      </c>
      <c r="X9" s="305" t="str">
        <f ca="1">IF(OR($C9=OFFSET($C9,1,0),$A9&gt;End,IFERROR(OFFSET(Items[],MATCH($C9,INDIRECT(RangePlanCount),0)-1,MATCH(X$1,Items[#Headers],0)-1,1,1)=0,TRUE)),"",IF(AND(OFFSET(Items[],MATCH($C9,INDIRECT(RangePlanCount),0)-1,MATCH(X$1,Items[#Headers],0)-1,1,1)&gt;0,$J9="LPSM"),"ALL",TEXT(OFFSET(Items[],MATCH($C9,INDIRECT(RangePlanCount),0)-1,MATCH(X$1,Items[#Headers],0)-1,1,1),"###,###,##0"&amp;IF(OFFSET(Items[],MATCH($C9,INDIRECT(RangePlanCount),0)-1,MATCH(Decimals,Items[#Headers],0)-1,1,1)&gt;0,"."&amp;REPT("0",OFFSET(Items[],MATCH($C9,INDIRECT(RangePlanCount),0)-1,MATCH(Decimals,Items[#Headers],0)-1,1,1)),""))))</f>
        <v/>
      </c>
      <c r="Y9" s="306" t="str">
        <f ca="1">IF(OR($A9&gt;End,COUNTIF($C$7:$C9,$C9)&gt;lines_R),"",IF(COUNTIF($C$7:$C9,$C9)=1,LEFT(VLOOKUP($C9,Calcs[],col_Remarks,0),VLOOKUP($C9,Calcs[],col_R,0)),MID(VLOOKUP($C9,Calcs[],col_Remarks,0),VLOOKUP($C9,Calcs[],col_R+COUNTIF($C$7:$C9,$C9)-2,0)+1,VLOOKUP($C9,Calcs[],col_R+COUNTIF($C$7:$C9,$C9)-1,0)-VLOOKUP($C9,Calcs[],col_R+COUNTIF($C$7:$C9,$C9)-2,0))))</f>
        <v/>
      </c>
      <c r="Z9" s="300"/>
      <c r="AA9" s="1"/>
    </row>
    <row r="10" spans="1:27" ht="15" customHeight="1" x14ac:dyDescent="0.15">
      <c r="A10" s="58">
        <f t="shared" ca="1" si="1"/>
        <v>3</v>
      </c>
      <c r="C10" s="58">
        <f ca="1">IFERROR(VLOOKUP(A10,Calcs[],1,0),OFFSET(C10,1,0))</f>
        <v>3</v>
      </c>
      <c r="D10" s="342"/>
      <c r="E10" s="59"/>
      <c r="F10" s="301" t="str">
        <f ca="1">IF(OR($C10=OFFSET($C10,-1,0),$A10&gt;End),"",_xlfn.XLOOKUP($C10,Items[PlanCounter],Items[Amend],_xlfn.XLOOKUP($C10,Proposed[PlanCounter],Proposed[Amend])))</f>
        <v/>
      </c>
      <c r="G10" s="302" t="str">
        <f ca="1">IF(OR($C10=OFFSET($C10,-1,0),$A10&gt;End),"",_xlfn.XLOOKUP($C10,Calcs[Counter],Calcs[Line]))</f>
        <v/>
      </c>
      <c r="H10" s="302" t="str" cm="1">
        <f t="array" aca="1" ref="H10" ca="1">IF(OR($C10=OFFSET($C10,-1,0),$A10&gt;End),"",_xlfn.XLOOKUP($C10,INDIRECT(RangePlanCount),INDIRECT(RangeItems)))</f>
        <v/>
      </c>
      <c r="I10" s="294" t="str">
        <f ca="1">IF(OR($A10&gt;End,COUNTIF($C$7:$C10,$C10)&gt;lines_D),"",IF(COUNTIF($C$7:$C10,$C10)=1,LEFT(VLOOKUP($C10,Calcs[],col_Description,0),VLOOKUP($C10,Calcs[],col_D,0)),MID(VLOOKUP($C10,Calcs[],col_Description,0),VLOOKUP($C10,Calcs[],col_D+COUNTIF($C$7:$C10,$C10)-2,0)+1,VLOOKUP($C10,Calcs[],col_D+COUNTIF($C$7:$C10,$C10)-1,0)-VLOOKUP($C10,Calcs[],col_D+COUNTIF($C$7:$C10,$C10)-2,0))))</f>
        <v>STAKING</v>
      </c>
      <c r="J10" s="295" t="str" cm="1">
        <f t="array" aca="1" ref="J10" ca="1">IF(OR($C10=OFFSET($C10,1,0),$A10&gt;End),"",_xlfn.XLOOKUP($C10,INDIRECT(RangePlanCount),INDIRECT(RangeUnit)))</f>
        <v>MILE</v>
      </c>
      <c r="K10" s="303" t="str">
        <f ca="1">IF(OR($C10=OFFSET($C10,1,0),$A10&gt;End,IFERROR(OFFSET(Items[],MATCH($C10,INDIRECT(RangePlanCount),0)-1,MATCH(K$1,Items[#Headers],0)-1,1,1)=0,TRUE)),"",IF(AND(OFFSET(Items[],MATCH($C10,INDIRECT(RangePlanCount),0)-1,MATCH(K$1,Items[#Headers],0)-1,1,1)&gt;0,$J10="LPSM"),"ALL",TEXT(OFFSET(Items[],MATCH($C10,INDIRECT(RangePlanCount),0)-1,MATCH(K$1,Items[#Headers],0)-1,1,1),"###,###,##0"&amp;IF(OFFSET(Items[],MATCH($C10,INDIRECT(RangePlanCount),0)-1,MATCH(Decimals,Items[#Headers],0)-1,1,1)&gt;0,"."&amp;REPT("0",OFFSET(Items[],MATCH($C10,INDIRECT(RangePlanCount),0)-1,MATCH(Decimals,Items[#Headers],0)-1,1,1)),""))))</f>
        <v/>
      </c>
      <c r="L10" s="302" t="str">
        <f ca="1">IF(OR($C10=OFFSET($C10,1,0),$A10&gt;End,IFERROR(OFFSET(Items[],MATCH($C10,INDIRECT(RangePlanCount),0)-1,MATCH(L$1,Items[#Headers],0)-1,1,1)=0,TRUE)),"",IF(AND(OFFSET(Items[],MATCH($C10,INDIRECT(RangePlanCount),0)-1,MATCH(L$1,Items[#Headers],0)-1,1,1)&gt;0,$J10="LPSM"),"ALL",TEXT(OFFSET(Items[],MATCH($C10,INDIRECT(RangePlanCount),0)-1,MATCH(L$1,Items[#Headers],0)-1,1,1),"###,###,##0"&amp;IF(OFFSET(Items[],MATCH($C10,INDIRECT(RangePlanCount),0)-1,MATCH(Decimals,Items[#Headers],0)-1,1,1)&gt;0,"."&amp;REPT("0",OFFSET(Items[],MATCH($C10,INDIRECT(RangePlanCount),0)-1,MATCH(Decimals,Items[#Headers],0)-1,1,1)),""))))</f>
        <v/>
      </c>
      <c r="M10" s="302" t="str">
        <f ca="1">IF(OR($C10=OFFSET($C10,1,0),$A10&gt;End,IFERROR(OFFSET(Items[],MATCH($C10,INDIRECT(RangePlanCount),0)-1,MATCH(M$1,Items[#Headers],0)-1,1,1)=0,TRUE)),"",IF(AND(OFFSET(Items[],MATCH($C10,INDIRECT(RangePlanCount),0)-1,MATCH(M$1,Items[#Headers],0)-1,1,1)&gt;0,$J10="LPSM"),"ALL",TEXT(OFFSET(Items[],MATCH($C10,INDIRECT(RangePlanCount),0)-1,MATCH(M$1,Items[#Headers],0)-1,1,1),"###,###,##0"&amp;IF(OFFSET(Items[],MATCH($C10,INDIRECT(RangePlanCount),0)-1,MATCH(Decimals,Items[#Headers],0)-1,1,1)&gt;0,"."&amp;REPT("0",OFFSET(Items[],MATCH($C10,INDIRECT(RangePlanCount),0)-1,MATCH(Decimals,Items[#Headers],0)-1,1,1)),""))))</f>
        <v/>
      </c>
      <c r="N10" s="302" t="str">
        <f ca="1">IF(OR($C10=OFFSET($C10,1,0),$A10&gt;End,IFERROR(OFFSET(Items[],MATCH($C10,INDIRECT(RangePlanCount),0)-1,MATCH(N$1,Items[#Headers],0)-1,1,1)=0,TRUE)),"",IF(AND(OFFSET(Items[],MATCH($C10,INDIRECT(RangePlanCount),0)-1,MATCH(N$1,Items[#Headers],0)-1,1,1)&gt;0,$J10="LPSM"),"ALL",TEXT(OFFSET(Items[],MATCH($C10,INDIRECT(RangePlanCount),0)-1,MATCH(N$1,Items[#Headers],0)-1,1,1),"###,###,##0"&amp;IF(OFFSET(Items[],MATCH($C10,INDIRECT(RangePlanCount),0)-1,MATCH(Decimals,Items[#Headers],0)-1,1,1)&gt;0,"."&amp;REPT("0",OFFSET(Items[],MATCH($C10,INDIRECT(RangePlanCount),0)-1,MATCH(Decimals,Items[#Headers],0)-1,1,1)),""))))</f>
        <v/>
      </c>
      <c r="O10" s="302" t="str">
        <f ca="1">IF(OR($C10=OFFSET($C10,1,0),$A10&gt;End,IFERROR(OFFSET(Items[],MATCH($C10,INDIRECT(RangePlanCount),0)-1,MATCH(O$1,Items[#Headers],0)-1,1,1)=0,TRUE)),"",IF(AND(OFFSET(Items[],MATCH($C10,INDIRECT(RangePlanCount),0)-1,MATCH(O$1,Items[#Headers],0)-1,1,1)&gt;0,$J10="LPSM"),"ALL",TEXT(OFFSET(Items[],MATCH($C10,INDIRECT(RangePlanCount),0)-1,MATCH(O$1,Items[#Headers],0)-1,1,1),"###,###,##0"&amp;IF(OFFSET(Items[],MATCH($C10,INDIRECT(RangePlanCount),0)-1,MATCH(Decimals,Items[#Headers],0)-1,1,1)&gt;0,"."&amp;REPT("0",OFFSET(Items[],MATCH($C10,INDIRECT(RangePlanCount),0)-1,MATCH(Decimals,Items[#Headers],0)-1,1,1)),""))))</f>
        <v/>
      </c>
      <c r="P10" s="302" t="str">
        <f ca="1">IF(OR($C10=OFFSET($C10,1,0),$A10&gt;End,IFERROR(OFFSET(Items[],MATCH($C10,INDIRECT(RangePlanCount),0)-1,MATCH(P$1,Items[#Headers],0)-1,1,1)=0,TRUE)),"",IF(AND(OFFSET(Items[],MATCH($C10,INDIRECT(RangePlanCount),0)-1,MATCH(P$1,Items[#Headers],0)-1,1,1)&gt;0,$J10="LPSM"),"ALL",TEXT(OFFSET(Items[],MATCH($C10,INDIRECT(RangePlanCount),0)-1,MATCH(P$1,Items[#Headers],0)-1,1,1),"###,###,##0"&amp;IF(OFFSET(Items[],MATCH($C10,INDIRECT(RangePlanCount),0)-1,MATCH(Decimals,Items[#Headers],0)-1,1,1)&gt;0,"."&amp;REPT("0",OFFSET(Items[],MATCH($C10,INDIRECT(RangePlanCount),0)-1,MATCH(Decimals,Items[#Headers],0)-1,1,1)),""))))</f>
        <v/>
      </c>
      <c r="Q10" s="302" t="str">
        <f ca="1">IF(OR($C10=OFFSET($C10,1,0),$A10&gt;End,IFERROR(OFFSET(Items[],MATCH($C10,INDIRECT(RangePlanCount),0)-1,MATCH(Q$1,Items[#Headers],0)-1,1,1)=0,TRUE)),"",IF(AND(OFFSET(Items[],MATCH($C10,INDIRECT(RangePlanCount),0)-1,MATCH(Q$1,Items[#Headers],0)-1,1,1)&gt;0,$J10="LPSM"),"ALL",TEXT(OFFSET(Items[],MATCH($C10,INDIRECT(RangePlanCount),0)-1,MATCH(Q$1,Items[#Headers],0)-1,1,1),"###,###,##0"&amp;IF(OFFSET(Items[],MATCH($C10,INDIRECT(RangePlanCount),0)-1,MATCH(Decimals,Items[#Headers],0)-1,1,1)&gt;0,"."&amp;REPT("0",OFFSET(Items[],MATCH($C10,INDIRECT(RangePlanCount),0)-1,MATCH(Decimals,Items[#Headers],0)-1,1,1)),""))))</f>
        <v/>
      </c>
      <c r="R10" s="302" t="str">
        <f ca="1">IF(OR($C10=OFFSET($C10,1,0),$A10&gt;End,IFERROR(OFFSET(Items[],MATCH($C10,INDIRECT(RangePlanCount),0)-1,MATCH(R$1,Items[#Headers],0)-1,1,1)=0,TRUE)),"",IF(AND(OFFSET(Items[],MATCH($C10,INDIRECT(RangePlanCount),0)-1,MATCH(R$1,Items[#Headers],0)-1,1,1)&gt;0,$J10="LPSM"),"ALL",TEXT(OFFSET(Items[],MATCH($C10,INDIRECT(RangePlanCount),0)-1,MATCH(R$1,Items[#Headers],0)-1,1,1),"###,###,##0"&amp;IF(OFFSET(Items[],MATCH($C10,INDIRECT(RangePlanCount),0)-1,MATCH(Decimals,Items[#Headers],0)-1,1,1)&gt;0,"."&amp;REPT("0",OFFSET(Items[],MATCH($C10,INDIRECT(RangePlanCount),0)-1,MATCH(Decimals,Items[#Headers],0)-1,1,1)),""))))</f>
        <v/>
      </c>
      <c r="S10" s="302" t="str">
        <f ca="1">IF(OR($C10=OFFSET($C10,1,0),$A10&gt;End,IFERROR(OFFSET(Items[],MATCH($C10,INDIRECT(RangePlanCount),0)-1,MATCH(S$1,Items[#Headers],0)-1,1,1)=0,TRUE)),"",IF(AND(OFFSET(Items[],MATCH($C10,INDIRECT(RangePlanCount),0)-1,MATCH(S$1,Items[#Headers],0)-1,1,1)&gt;0,$J10="LPSM"),"ALL",TEXT(OFFSET(Items[],MATCH($C10,INDIRECT(RangePlanCount),0)-1,MATCH(S$1,Items[#Headers],0)-1,1,1),"###,###,##0"&amp;IF(OFFSET(Items[],MATCH($C10,INDIRECT(RangePlanCount),0)-1,MATCH(Decimals,Items[#Headers],0)-1,1,1)&gt;0,"."&amp;REPT("0",OFFSET(Items[],MATCH($C10,INDIRECT(RangePlanCount),0)-1,MATCH(Decimals,Items[#Headers],0)-1,1,1)),""))))</f>
        <v/>
      </c>
      <c r="T10" s="302" t="str">
        <f ca="1">IF(OR($C10=OFFSET($C10,1,0),$A10&gt;End,IFERROR(OFFSET(Items[],MATCH($C10,INDIRECT(RangePlanCount),0)-1,MATCH(T$1,Items[#Headers],0)-1,1,1)=0,TRUE)),"",IF(AND(OFFSET(Items[],MATCH($C10,INDIRECT(RangePlanCount),0)-1,MATCH(T$1,Items[#Headers],0)-1,1,1)&gt;0,$J10="LPSM"),"ALL",TEXT(OFFSET(Items[],MATCH($C10,INDIRECT(RangePlanCount),0)-1,MATCH(T$1,Items[#Headers],0)-1,1,1),"###,###,##0"&amp;IF(OFFSET(Items[],MATCH($C10,INDIRECT(RangePlanCount),0)-1,MATCH(Decimals,Items[#Headers],0)-1,1,1)&gt;0,"."&amp;REPT("0",OFFSET(Items[],MATCH($C10,INDIRECT(RangePlanCount),0)-1,MATCH(Decimals,Items[#Headers],0)-1,1,1)),""))))</f>
        <v/>
      </c>
      <c r="U10" s="302" t="str">
        <f ca="1">IF(OR($C10=OFFSET($C10,1,0),$A10&gt;End,IFERROR(OFFSET(Items[],MATCH($C10,INDIRECT(RangePlanCount),0)-1,MATCH(U$1,Items[#Headers],0)-1,1,1)=0,TRUE)),"",IF(AND(OFFSET(Items[],MATCH($C10,INDIRECT(RangePlanCount),0)-1,MATCH(U$1,Items[#Headers],0)-1,1,1)&gt;0,$J10="LPSM"),"ALL",TEXT(OFFSET(Items[],MATCH($C10,INDIRECT(RangePlanCount),0)-1,MATCH(U$1,Items[#Headers],0)-1,1,1),"###,###,##0"&amp;IF(OFFSET(Items[],MATCH($C10,INDIRECT(RangePlanCount),0)-1,MATCH(Decimals,Items[#Headers],0)-1,1,1)&gt;0,"."&amp;REPT("0",OFFSET(Items[],MATCH($C10,INDIRECT(RangePlanCount),0)-1,MATCH(Decimals,Items[#Headers],0)-1,1,1)),""))))</f>
        <v/>
      </c>
      <c r="V10" s="302" t="str">
        <f ca="1">IF(OR($C10=OFFSET($C10,1,0),$A10&gt;End,IFERROR(OFFSET(Items[],MATCH($C10,INDIRECT(RangePlanCount),0)-1,MATCH(V$1,Items[#Headers],0)-1,1,1)=0,TRUE)),"",IF(AND(OFFSET(Items[],MATCH($C10,INDIRECT(RangePlanCount),0)-1,MATCH(V$1,Items[#Headers],0)-1,1,1)&gt;0,$J10="LPSM"),"ALL",TEXT(OFFSET(Items[],MATCH($C10,INDIRECT(RangePlanCount),0)-1,MATCH(V$1,Items[#Headers],0)-1,1,1),"###,###,##0"&amp;IF(OFFSET(Items[],MATCH($C10,INDIRECT(RangePlanCount),0)-1,MATCH(Decimals,Items[#Headers],0)-1,1,1)&gt;0,"."&amp;REPT("0",OFFSET(Items[],MATCH($C10,INDIRECT(RangePlanCount),0)-1,MATCH(Decimals,Items[#Headers],0)-1,1,1)),""))))</f>
        <v/>
      </c>
      <c r="W10" s="304" t="str">
        <f ca="1">IF(OR($C10=OFFSET($C10,1,0),$A10&gt;End,IFERROR(OFFSET(Items[],MATCH($C10,INDIRECT(RangePlanCount),0)-1,MATCH(W$1,Items[#Headers],0)-1,1,1)=0,TRUE)),"",IF(AND(OFFSET(Items[],MATCH($C10,INDIRECT(RangePlanCount),0)-1,MATCH(W$1,Items[#Headers],0)-1,1,1)&gt;0,$J10="LPSM"),"ALL",TEXT(OFFSET(Items[],MATCH($C10,INDIRECT(RangePlanCount),0)-1,MATCH(W$1,Items[#Headers],0)-1,1,1),"###,###,##0"&amp;IF(OFFSET(Items[],MATCH($C10,INDIRECT(RangePlanCount),0)-1,MATCH(Decimals,Items[#Headers],0)-1,1,1)&gt;0,"."&amp;REPT("0",OFFSET(Items[],MATCH($C10,INDIRECT(RangePlanCount),0)-1,MATCH(Decimals,Items[#Headers],0)-1,1,1)),""))))</f>
        <v/>
      </c>
      <c r="X10" s="305" t="str">
        <f ca="1">IF(OR($C10=OFFSET($C10,1,0),$A10&gt;End,IFERROR(OFFSET(Items[],MATCH($C10,INDIRECT(RangePlanCount),0)-1,MATCH(X$1,Items[#Headers],0)-1,1,1)=0,TRUE)),"",IF(AND(OFFSET(Items[],MATCH($C10,INDIRECT(RangePlanCount),0)-1,MATCH(X$1,Items[#Headers],0)-1,1,1)&gt;0,$J10="LPSM"),"ALL",TEXT(OFFSET(Items[],MATCH($C10,INDIRECT(RangePlanCount),0)-1,MATCH(X$1,Items[#Headers],0)-1,1,1),"###,###,##0"&amp;IF(OFFSET(Items[],MATCH($C10,INDIRECT(RangePlanCount),0)-1,MATCH(Decimals,Items[#Headers],0)-1,1,1)&gt;0,"."&amp;REPT("0",OFFSET(Items[],MATCH($C10,INDIRECT(RangePlanCount),0)-1,MATCH(Decimals,Items[#Headers],0)-1,1,1)),""))))</f>
        <v/>
      </c>
      <c r="Y10" s="306" t="str">
        <f ca="1">IF(OR($A10&gt;End,COUNTIF($C$7:$C10,$C10)&gt;lines_R),"",IF(COUNTIF($C$7:$C10,$C10)=1,LEFT(VLOOKUP($C10,Calcs[],col_Remarks,0),VLOOKUP($C10,Calcs[],col_R,0)),MID(VLOOKUP($C10,Calcs[],col_Remarks,0),VLOOKUP($C10,Calcs[],col_R+COUNTIF($C$7:$C10,$C10)-2,0)+1,VLOOKUP($C10,Calcs[],col_R+COUNTIF($C$7:$C10,$C10)-1,0)-VLOOKUP($C10,Calcs[],col_R+COUNTIF($C$7:$C10,$C10)-2,0))))</f>
        <v/>
      </c>
      <c r="Z10" s="300"/>
      <c r="AA10" s="1"/>
    </row>
    <row r="11" spans="1:27" ht="15" customHeight="1" x14ac:dyDescent="0.15">
      <c r="A11" s="58">
        <f t="shared" ca="1" si="1"/>
        <v>4</v>
      </c>
      <c r="C11" s="58">
        <f ca="1">IFERROR(VLOOKUP(A11,Calcs[],1,0),OFFSET(C11,1,0))</f>
        <v>5</v>
      </c>
      <c r="D11" s="342"/>
      <c r="E11" s="59"/>
      <c r="F11" s="301">
        <f ca="1">IF(OR($C11=OFFSET($C11,-1,0),$A11&gt;End),"",_xlfn.XLOOKUP($C11,Items[PlanCounter],Items[Amend],_xlfn.XLOOKUP($C11,Proposed[PlanCounter],Proposed[Amend])))</f>
        <v>0</v>
      </c>
      <c r="G11" s="302" t="str">
        <f ca="1">IF(OR($C11=OFFSET($C11,-1,0),$A11&gt;End),"",_xlfn.XLOOKUP($C11,Calcs[Counter],Calcs[Line]))</f>
        <v>A0060</v>
      </c>
      <c r="H11" s="302" t="str" cm="1">
        <f t="array" aca="1" ref="H11" ca="1">IF(OR($C11=OFFSET($C11,-1,0),$A11&gt;End),"",_xlfn.XLOOKUP($C11,INDIRECT(RangePlanCount),INDIRECT(RangeItems)))</f>
        <v>15215-1000</v>
      </c>
      <c r="I11" s="294" t="str">
        <f ca="1">IF(OR($A11&gt;End,COUNTIF($C$7:$C11,$C11)&gt;lines_D),"",IF(COUNTIF($C$7:$C11,$C11)=1,LEFT(VLOOKUP($C11,Calcs[],col_Description,0),VLOOKUP($C11,Calcs[],col_D,0)),MID(VLOOKUP($C11,Calcs[],col_Description,0),VLOOKUP($C11,Calcs[],col_D+COUNTIF($C$7:$C11,$C11)-2,0)+1,VLOOKUP($C11,Calcs[],col_D+COUNTIF($C$7:$C11,$C11)-1,0)-VLOOKUP($C11,Calcs[],col_D+COUNTIF($C$7:$C11,$C11)-2,0))))</f>
        <v xml:space="preserve">SURVEY AND STAKING, APPROACH </v>
      </c>
      <c r="J11" s="295" t="str" cm="1">
        <f t="array" aca="1" ref="J11" ca="1">IF(OR($C11=OFFSET($C11,1,0),$A11&gt;End),"",_xlfn.XLOOKUP($C11,INDIRECT(RangePlanCount),INDIRECT(RangeUnit)))</f>
        <v/>
      </c>
      <c r="K11" s="303" t="str">
        <f ca="1">IF(OR($C11=OFFSET($C11,1,0),$A11&gt;End,IFERROR(OFFSET(Items[],MATCH($C11,INDIRECT(RangePlanCount),0)-1,MATCH(K$1,Items[#Headers],0)-1,1,1)=0,TRUE)),"",IF(AND(OFFSET(Items[],MATCH($C11,INDIRECT(RangePlanCount),0)-1,MATCH(K$1,Items[#Headers],0)-1,1,1)&gt;0,$J11="LPSM"),"ALL",TEXT(OFFSET(Items[],MATCH($C11,INDIRECT(RangePlanCount),0)-1,MATCH(K$1,Items[#Headers],0)-1,1,1),"###,###,##0"&amp;IF(OFFSET(Items[],MATCH($C11,INDIRECT(RangePlanCount),0)-1,MATCH(Decimals,Items[#Headers],0)-1,1,1)&gt;0,"."&amp;REPT("0",OFFSET(Items[],MATCH($C11,INDIRECT(RangePlanCount),0)-1,MATCH(Decimals,Items[#Headers],0)-1,1,1)),""))))</f>
        <v/>
      </c>
      <c r="L11" s="302" t="str">
        <f ca="1">IF(OR($C11=OFFSET($C11,1,0),$A11&gt;End,IFERROR(OFFSET(Items[],MATCH($C11,INDIRECT(RangePlanCount),0)-1,MATCH(L$1,Items[#Headers],0)-1,1,1)=0,TRUE)),"",IF(AND(OFFSET(Items[],MATCH($C11,INDIRECT(RangePlanCount),0)-1,MATCH(L$1,Items[#Headers],0)-1,1,1)&gt;0,$J11="LPSM"),"ALL",TEXT(OFFSET(Items[],MATCH($C11,INDIRECT(RangePlanCount),0)-1,MATCH(L$1,Items[#Headers],0)-1,1,1),"###,###,##0"&amp;IF(OFFSET(Items[],MATCH($C11,INDIRECT(RangePlanCount),0)-1,MATCH(Decimals,Items[#Headers],0)-1,1,1)&gt;0,"."&amp;REPT("0",OFFSET(Items[],MATCH($C11,INDIRECT(RangePlanCount),0)-1,MATCH(Decimals,Items[#Headers],0)-1,1,1)),""))))</f>
        <v/>
      </c>
      <c r="M11" s="302" t="str">
        <f ca="1">IF(OR($C11=OFFSET($C11,1,0),$A11&gt;End,IFERROR(OFFSET(Items[],MATCH($C11,INDIRECT(RangePlanCount),0)-1,MATCH(M$1,Items[#Headers],0)-1,1,1)=0,TRUE)),"",IF(AND(OFFSET(Items[],MATCH($C11,INDIRECT(RangePlanCount),0)-1,MATCH(M$1,Items[#Headers],0)-1,1,1)&gt;0,$J11="LPSM"),"ALL",TEXT(OFFSET(Items[],MATCH($C11,INDIRECT(RangePlanCount),0)-1,MATCH(M$1,Items[#Headers],0)-1,1,1),"###,###,##0"&amp;IF(OFFSET(Items[],MATCH($C11,INDIRECT(RangePlanCount),0)-1,MATCH(Decimals,Items[#Headers],0)-1,1,1)&gt;0,"."&amp;REPT("0",OFFSET(Items[],MATCH($C11,INDIRECT(RangePlanCount),0)-1,MATCH(Decimals,Items[#Headers],0)-1,1,1)),""))))</f>
        <v/>
      </c>
      <c r="N11" s="302" t="str">
        <f ca="1">IF(OR($C11=OFFSET($C11,1,0),$A11&gt;End,IFERROR(OFFSET(Items[],MATCH($C11,INDIRECT(RangePlanCount),0)-1,MATCH(N$1,Items[#Headers],0)-1,1,1)=0,TRUE)),"",IF(AND(OFFSET(Items[],MATCH($C11,INDIRECT(RangePlanCount),0)-1,MATCH(N$1,Items[#Headers],0)-1,1,1)&gt;0,$J11="LPSM"),"ALL",TEXT(OFFSET(Items[],MATCH($C11,INDIRECT(RangePlanCount),0)-1,MATCH(N$1,Items[#Headers],0)-1,1,1),"###,###,##0"&amp;IF(OFFSET(Items[],MATCH($C11,INDIRECT(RangePlanCount),0)-1,MATCH(Decimals,Items[#Headers],0)-1,1,1)&gt;0,"."&amp;REPT("0",OFFSET(Items[],MATCH($C11,INDIRECT(RangePlanCount),0)-1,MATCH(Decimals,Items[#Headers],0)-1,1,1)),""))))</f>
        <v/>
      </c>
      <c r="O11" s="302" t="str">
        <f ca="1">IF(OR($C11=OFFSET($C11,1,0),$A11&gt;End,IFERROR(OFFSET(Items[],MATCH($C11,INDIRECT(RangePlanCount),0)-1,MATCH(O$1,Items[#Headers],0)-1,1,1)=0,TRUE)),"",IF(AND(OFFSET(Items[],MATCH($C11,INDIRECT(RangePlanCount),0)-1,MATCH(O$1,Items[#Headers],0)-1,1,1)&gt;0,$J11="LPSM"),"ALL",TEXT(OFFSET(Items[],MATCH($C11,INDIRECT(RangePlanCount),0)-1,MATCH(O$1,Items[#Headers],0)-1,1,1),"###,###,##0"&amp;IF(OFFSET(Items[],MATCH($C11,INDIRECT(RangePlanCount),0)-1,MATCH(Decimals,Items[#Headers],0)-1,1,1)&gt;0,"."&amp;REPT("0",OFFSET(Items[],MATCH($C11,INDIRECT(RangePlanCount),0)-1,MATCH(Decimals,Items[#Headers],0)-1,1,1)),""))))</f>
        <v/>
      </c>
      <c r="P11" s="302" t="str">
        <f ca="1">IF(OR($C11=OFFSET($C11,1,0),$A11&gt;End,IFERROR(OFFSET(Items[],MATCH($C11,INDIRECT(RangePlanCount),0)-1,MATCH(P$1,Items[#Headers],0)-1,1,1)=0,TRUE)),"",IF(AND(OFFSET(Items[],MATCH($C11,INDIRECT(RangePlanCount),0)-1,MATCH(P$1,Items[#Headers],0)-1,1,1)&gt;0,$J11="LPSM"),"ALL",TEXT(OFFSET(Items[],MATCH($C11,INDIRECT(RangePlanCount),0)-1,MATCH(P$1,Items[#Headers],0)-1,1,1),"###,###,##0"&amp;IF(OFFSET(Items[],MATCH($C11,INDIRECT(RangePlanCount),0)-1,MATCH(Decimals,Items[#Headers],0)-1,1,1)&gt;0,"."&amp;REPT("0",OFFSET(Items[],MATCH($C11,INDIRECT(RangePlanCount),0)-1,MATCH(Decimals,Items[#Headers],0)-1,1,1)),""))))</f>
        <v/>
      </c>
      <c r="Q11" s="302" t="str">
        <f ca="1">IF(OR($C11=OFFSET($C11,1,0),$A11&gt;End,IFERROR(OFFSET(Items[],MATCH($C11,INDIRECT(RangePlanCount),0)-1,MATCH(Q$1,Items[#Headers],0)-1,1,1)=0,TRUE)),"",IF(AND(OFFSET(Items[],MATCH($C11,INDIRECT(RangePlanCount),0)-1,MATCH(Q$1,Items[#Headers],0)-1,1,1)&gt;0,$J11="LPSM"),"ALL",TEXT(OFFSET(Items[],MATCH($C11,INDIRECT(RangePlanCount),0)-1,MATCH(Q$1,Items[#Headers],0)-1,1,1),"###,###,##0"&amp;IF(OFFSET(Items[],MATCH($C11,INDIRECT(RangePlanCount),0)-1,MATCH(Decimals,Items[#Headers],0)-1,1,1)&gt;0,"."&amp;REPT("0",OFFSET(Items[],MATCH($C11,INDIRECT(RangePlanCount),0)-1,MATCH(Decimals,Items[#Headers],0)-1,1,1)),""))))</f>
        <v/>
      </c>
      <c r="R11" s="302" t="str">
        <f ca="1">IF(OR($C11=OFFSET($C11,1,0),$A11&gt;End,IFERROR(OFFSET(Items[],MATCH($C11,INDIRECT(RangePlanCount),0)-1,MATCH(R$1,Items[#Headers],0)-1,1,1)=0,TRUE)),"",IF(AND(OFFSET(Items[],MATCH($C11,INDIRECT(RangePlanCount),0)-1,MATCH(R$1,Items[#Headers],0)-1,1,1)&gt;0,$J11="LPSM"),"ALL",TEXT(OFFSET(Items[],MATCH($C11,INDIRECT(RangePlanCount),0)-1,MATCH(R$1,Items[#Headers],0)-1,1,1),"###,###,##0"&amp;IF(OFFSET(Items[],MATCH($C11,INDIRECT(RangePlanCount),0)-1,MATCH(Decimals,Items[#Headers],0)-1,1,1)&gt;0,"."&amp;REPT("0",OFFSET(Items[],MATCH($C11,INDIRECT(RangePlanCount),0)-1,MATCH(Decimals,Items[#Headers],0)-1,1,1)),""))))</f>
        <v/>
      </c>
      <c r="S11" s="302" t="str">
        <f ca="1">IF(OR($C11=OFFSET($C11,1,0),$A11&gt;End,IFERROR(OFFSET(Items[],MATCH($C11,INDIRECT(RangePlanCount),0)-1,MATCH(S$1,Items[#Headers],0)-1,1,1)=0,TRUE)),"",IF(AND(OFFSET(Items[],MATCH($C11,INDIRECT(RangePlanCount),0)-1,MATCH(S$1,Items[#Headers],0)-1,1,1)&gt;0,$J11="LPSM"),"ALL",TEXT(OFFSET(Items[],MATCH($C11,INDIRECT(RangePlanCount),0)-1,MATCH(S$1,Items[#Headers],0)-1,1,1),"###,###,##0"&amp;IF(OFFSET(Items[],MATCH($C11,INDIRECT(RangePlanCount),0)-1,MATCH(Decimals,Items[#Headers],0)-1,1,1)&gt;0,"."&amp;REPT("0",OFFSET(Items[],MATCH($C11,INDIRECT(RangePlanCount),0)-1,MATCH(Decimals,Items[#Headers],0)-1,1,1)),""))))</f>
        <v/>
      </c>
      <c r="T11" s="302" t="str">
        <f ca="1">IF(OR($C11=OFFSET($C11,1,0),$A11&gt;End,IFERROR(OFFSET(Items[],MATCH($C11,INDIRECT(RangePlanCount),0)-1,MATCH(T$1,Items[#Headers],0)-1,1,1)=0,TRUE)),"",IF(AND(OFFSET(Items[],MATCH($C11,INDIRECT(RangePlanCount),0)-1,MATCH(T$1,Items[#Headers],0)-1,1,1)&gt;0,$J11="LPSM"),"ALL",TEXT(OFFSET(Items[],MATCH($C11,INDIRECT(RangePlanCount),0)-1,MATCH(T$1,Items[#Headers],0)-1,1,1),"###,###,##0"&amp;IF(OFFSET(Items[],MATCH($C11,INDIRECT(RangePlanCount),0)-1,MATCH(Decimals,Items[#Headers],0)-1,1,1)&gt;0,"."&amp;REPT("0",OFFSET(Items[],MATCH($C11,INDIRECT(RangePlanCount),0)-1,MATCH(Decimals,Items[#Headers],0)-1,1,1)),""))))</f>
        <v/>
      </c>
      <c r="U11" s="302" t="str">
        <f ca="1">IF(OR($C11=OFFSET($C11,1,0),$A11&gt;End,IFERROR(OFFSET(Items[],MATCH($C11,INDIRECT(RangePlanCount),0)-1,MATCH(U$1,Items[#Headers],0)-1,1,1)=0,TRUE)),"",IF(AND(OFFSET(Items[],MATCH($C11,INDIRECT(RangePlanCount),0)-1,MATCH(U$1,Items[#Headers],0)-1,1,1)&gt;0,$J11="LPSM"),"ALL",TEXT(OFFSET(Items[],MATCH($C11,INDIRECT(RangePlanCount),0)-1,MATCH(U$1,Items[#Headers],0)-1,1,1),"###,###,##0"&amp;IF(OFFSET(Items[],MATCH($C11,INDIRECT(RangePlanCount),0)-1,MATCH(Decimals,Items[#Headers],0)-1,1,1)&gt;0,"."&amp;REPT("0",OFFSET(Items[],MATCH($C11,INDIRECT(RangePlanCount),0)-1,MATCH(Decimals,Items[#Headers],0)-1,1,1)),""))))</f>
        <v/>
      </c>
      <c r="V11" s="302" t="str">
        <f ca="1">IF(OR($C11=OFFSET($C11,1,0),$A11&gt;End,IFERROR(OFFSET(Items[],MATCH($C11,INDIRECT(RangePlanCount),0)-1,MATCH(V$1,Items[#Headers],0)-1,1,1)=0,TRUE)),"",IF(AND(OFFSET(Items[],MATCH($C11,INDIRECT(RangePlanCount),0)-1,MATCH(V$1,Items[#Headers],0)-1,1,1)&gt;0,$J11="LPSM"),"ALL",TEXT(OFFSET(Items[],MATCH($C11,INDIRECT(RangePlanCount),0)-1,MATCH(V$1,Items[#Headers],0)-1,1,1),"###,###,##0"&amp;IF(OFFSET(Items[],MATCH($C11,INDIRECT(RangePlanCount),0)-1,MATCH(Decimals,Items[#Headers],0)-1,1,1)&gt;0,"."&amp;REPT("0",OFFSET(Items[],MATCH($C11,INDIRECT(RangePlanCount),0)-1,MATCH(Decimals,Items[#Headers],0)-1,1,1)),""))))</f>
        <v/>
      </c>
      <c r="W11" s="304" t="str">
        <f ca="1">IF(OR($C11=OFFSET($C11,1,0),$A11&gt;End,IFERROR(OFFSET(Items[],MATCH($C11,INDIRECT(RangePlanCount),0)-1,MATCH(W$1,Items[#Headers],0)-1,1,1)=0,TRUE)),"",IF(AND(OFFSET(Items[],MATCH($C11,INDIRECT(RangePlanCount),0)-1,MATCH(W$1,Items[#Headers],0)-1,1,1)&gt;0,$J11="LPSM"),"ALL",TEXT(OFFSET(Items[],MATCH($C11,INDIRECT(RangePlanCount),0)-1,MATCH(W$1,Items[#Headers],0)-1,1,1),"###,###,##0"&amp;IF(OFFSET(Items[],MATCH($C11,INDIRECT(RangePlanCount),0)-1,MATCH(Decimals,Items[#Headers],0)-1,1,1)&gt;0,"."&amp;REPT("0",OFFSET(Items[],MATCH($C11,INDIRECT(RangePlanCount),0)-1,MATCH(Decimals,Items[#Headers],0)-1,1,1)),""))))</f>
        <v/>
      </c>
      <c r="X11" s="305" t="str">
        <f ca="1">IF(OR($C11=OFFSET($C11,1,0),$A11&gt;End,IFERROR(OFFSET(Items[],MATCH($C11,INDIRECT(RangePlanCount),0)-1,MATCH(X$1,Items[#Headers],0)-1,1,1)=0,TRUE)),"",IF(AND(OFFSET(Items[],MATCH($C11,INDIRECT(RangePlanCount),0)-1,MATCH(X$1,Items[#Headers],0)-1,1,1)&gt;0,$J11="LPSM"),"ALL",TEXT(OFFSET(Items[],MATCH($C11,INDIRECT(RangePlanCount),0)-1,MATCH(X$1,Items[#Headers],0)-1,1,1),"###,###,##0"&amp;IF(OFFSET(Items[],MATCH($C11,INDIRECT(RangePlanCount),0)-1,MATCH(Decimals,Items[#Headers],0)-1,1,1)&gt;0,"."&amp;REPT("0",OFFSET(Items[],MATCH($C11,INDIRECT(RangePlanCount),0)-1,MATCH(Decimals,Items[#Headers],0)-1,1,1)),""))))</f>
        <v/>
      </c>
      <c r="Y11" s="306" t="str">
        <f ca="1">IF(OR($A11&gt;End,COUNTIF($C$7:$C11,$C11)&gt;lines_R),"",IF(COUNTIF($C$7:$C11,$C11)=1,LEFT(VLOOKUP($C11,Calcs[],col_Remarks,0),VLOOKUP($C11,Calcs[],col_R,0)),MID(VLOOKUP($C11,Calcs[],col_Remarks,0),VLOOKUP($C11,Calcs[],col_R+COUNTIF($C$7:$C11,$C11)-2,0)+1,VLOOKUP($C11,Calcs[],col_R+COUNTIF($C$7:$C11,$C11)-1,0)-VLOOKUP($C11,Calcs[],col_R+COUNTIF($C$7:$C11,$C11)-2,0))))</f>
        <v/>
      </c>
      <c r="Z11" s="300"/>
      <c r="AA11" s="1"/>
    </row>
    <row r="12" spans="1:27" ht="15" customHeight="1" x14ac:dyDescent="0.15">
      <c r="A12" s="58">
        <f t="shared" ca="1" si="1"/>
        <v>5</v>
      </c>
      <c r="C12" s="58">
        <f ca="1">IFERROR(VLOOKUP(A12,Calcs[],1,0),OFFSET(C12,1,0))</f>
        <v>5</v>
      </c>
      <c r="D12" s="342"/>
      <c r="E12" s="59"/>
      <c r="F12" s="301" t="str">
        <f ca="1">IF(OR($C12=OFFSET($C12,-1,0),$A12&gt;End),"",_xlfn.XLOOKUP($C12,Items[PlanCounter],Items[Amend],_xlfn.XLOOKUP($C12,Proposed[PlanCounter],Proposed[Amend])))</f>
        <v/>
      </c>
      <c r="G12" s="302" t="str">
        <f ca="1">IF(OR($C12=OFFSET($C12,-1,0),$A12&gt;End),"",_xlfn.XLOOKUP($C12,Calcs[Counter],Calcs[Line]))</f>
        <v/>
      </c>
      <c r="H12" s="302" t="str" cm="1">
        <f t="array" aca="1" ref="H12" ca="1">IF(OR($C12=OFFSET($C12,-1,0),$A12&gt;End),"",_xlfn.XLOOKUP($C12,INDIRECT(RangePlanCount),INDIRECT(RangeItems)))</f>
        <v/>
      </c>
      <c r="I12" s="294" t="str">
        <f ca="1">IF(OR($A12&gt;End,COUNTIF($C$7:$C12,$C12)&gt;lines_D),"",IF(COUNTIF($C$7:$C12,$C12)=1,LEFT(VLOOKUP($C12,Calcs[],col_Description,0),VLOOKUP($C12,Calcs[],col_D,0)),MID(VLOOKUP($C12,Calcs[],col_Description,0),VLOOKUP($C12,Calcs[],col_D+COUNTIF($C$7:$C12,$C12)-2,0)+1,VLOOKUP($C12,Calcs[],col_D+COUNTIF($C$7:$C12,$C12)-1,0)-VLOOKUP($C12,Calcs[],col_D+COUNTIF($C$7:$C12,$C12)-2,0))))</f>
        <v>ROAD</v>
      </c>
      <c r="J12" s="295" t="str" cm="1">
        <f t="array" aca="1" ref="J12" ca="1">IF(OR($C12=OFFSET($C12,1,0),$A12&gt;End),"",_xlfn.XLOOKUP($C12,INDIRECT(RangePlanCount),INDIRECT(RangeUnit)))</f>
        <v>EACH</v>
      </c>
      <c r="K12" s="303" t="str">
        <f ca="1">IF(OR($C12=OFFSET($C12,1,0),$A12&gt;End,IFERROR(OFFSET(Items[],MATCH($C12,INDIRECT(RangePlanCount),0)-1,MATCH(K$1,Items[#Headers],0)-1,1,1)=0,TRUE)),"",IF(AND(OFFSET(Items[],MATCH($C12,INDIRECT(RangePlanCount),0)-1,MATCH(K$1,Items[#Headers],0)-1,1,1)&gt;0,$J12="LPSM"),"ALL",TEXT(OFFSET(Items[],MATCH($C12,INDIRECT(RangePlanCount),0)-1,MATCH(K$1,Items[#Headers],0)-1,1,1),"###,###,##0"&amp;IF(OFFSET(Items[],MATCH($C12,INDIRECT(RangePlanCount),0)-1,MATCH(Decimals,Items[#Headers],0)-1,1,1)&gt;0,"."&amp;REPT("0",OFFSET(Items[],MATCH($C12,INDIRECT(RangePlanCount),0)-1,MATCH(Decimals,Items[#Headers],0)-1,1,1)),""))))</f>
        <v/>
      </c>
      <c r="L12" s="302" t="str">
        <f ca="1">IF(OR($C12=OFFSET($C12,1,0),$A12&gt;End,IFERROR(OFFSET(Items[],MATCH($C12,INDIRECT(RangePlanCount),0)-1,MATCH(L$1,Items[#Headers],0)-1,1,1)=0,TRUE)),"",IF(AND(OFFSET(Items[],MATCH($C12,INDIRECT(RangePlanCount),0)-1,MATCH(L$1,Items[#Headers],0)-1,1,1)&gt;0,$J12="LPSM"),"ALL",TEXT(OFFSET(Items[],MATCH($C12,INDIRECT(RangePlanCount),0)-1,MATCH(L$1,Items[#Headers],0)-1,1,1),"###,###,##0"&amp;IF(OFFSET(Items[],MATCH($C12,INDIRECT(RangePlanCount),0)-1,MATCH(Decimals,Items[#Headers],0)-1,1,1)&gt;0,"."&amp;REPT("0",OFFSET(Items[],MATCH($C12,INDIRECT(RangePlanCount),0)-1,MATCH(Decimals,Items[#Headers],0)-1,1,1)),""))))</f>
        <v/>
      </c>
      <c r="M12" s="302" t="str">
        <f ca="1">IF(OR($C12=OFFSET($C12,1,0),$A12&gt;End,IFERROR(OFFSET(Items[],MATCH($C12,INDIRECT(RangePlanCount),0)-1,MATCH(M$1,Items[#Headers],0)-1,1,1)=0,TRUE)),"",IF(AND(OFFSET(Items[],MATCH($C12,INDIRECT(RangePlanCount),0)-1,MATCH(M$1,Items[#Headers],0)-1,1,1)&gt;0,$J12="LPSM"),"ALL",TEXT(OFFSET(Items[],MATCH($C12,INDIRECT(RangePlanCount),0)-1,MATCH(M$1,Items[#Headers],0)-1,1,1),"###,###,##0"&amp;IF(OFFSET(Items[],MATCH($C12,INDIRECT(RangePlanCount),0)-1,MATCH(Decimals,Items[#Headers],0)-1,1,1)&gt;0,"."&amp;REPT("0",OFFSET(Items[],MATCH($C12,INDIRECT(RangePlanCount),0)-1,MATCH(Decimals,Items[#Headers],0)-1,1,1)),""))))</f>
        <v/>
      </c>
      <c r="N12" s="302" t="str">
        <f ca="1">IF(OR($C12=OFFSET($C12,1,0),$A12&gt;End,IFERROR(OFFSET(Items[],MATCH($C12,INDIRECT(RangePlanCount),0)-1,MATCH(N$1,Items[#Headers],0)-1,1,1)=0,TRUE)),"",IF(AND(OFFSET(Items[],MATCH($C12,INDIRECT(RangePlanCount),0)-1,MATCH(N$1,Items[#Headers],0)-1,1,1)&gt;0,$J12="LPSM"),"ALL",TEXT(OFFSET(Items[],MATCH($C12,INDIRECT(RangePlanCount),0)-1,MATCH(N$1,Items[#Headers],0)-1,1,1),"###,###,##0"&amp;IF(OFFSET(Items[],MATCH($C12,INDIRECT(RangePlanCount),0)-1,MATCH(Decimals,Items[#Headers],0)-1,1,1)&gt;0,"."&amp;REPT("0",OFFSET(Items[],MATCH($C12,INDIRECT(RangePlanCount),0)-1,MATCH(Decimals,Items[#Headers],0)-1,1,1)),""))))</f>
        <v/>
      </c>
      <c r="O12" s="302" t="str">
        <f ca="1">IF(OR($C12=OFFSET($C12,1,0),$A12&gt;End,IFERROR(OFFSET(Items[],MATCH($C12,INDIRECT(RangePlanCount),0)-1,MATCH(O$1,Items[#Headers],0)-1,1,1)=0,TRUE)),"",IF(AND(OFFSET(Items[],MATCH($C12,INDIRECT(RangePlanCount),0)-1,MATCH(O$1,Items[#Headers],0)-1,1,1)&gt;0,$J12="LPSM"),"ALL",TEXT(OFFSET(Items[],MATCH($C12,INDIRECT(RangePlanCount),0)-1,MATCH(O$1,Items[#Headers],0)-1,1,1),"###,###,##0"&amp;IF(OFFSET(Items[],MATCH($C12,INDIRECT(RangePlanCount),0)-1,MATCH(Decimals,Items[#Headers],0)-1,1,1)&gt;0,"."&amp;REPT("0",OFFSET(Items[],MATCH($C12,INDIRECT(RangePlanCount),0)-1,MATCH(Decimals,Items[#Headers],0)-1,1,1)),""))))</f>
        <v/>
      </c>
      <c r="P12" s="302" t="str">
        <f ca="1">IF(OR($C12=OFFSET($C12,1,0),$A12&gt;End,IFERROR(OFFSET(Items[],MATCH($C12,INDIRECT(RangePlanCount),0)-1,MATCH(P$1,Items[#Headers],0)-1,1,1)=0,TRUE)),"",IF(AND(OFFSET(Items[],MATCH($C12,INDIRECT(RangePlanCount),0)-1,MATCH(P$1,Items[#Headers],0)-1,1,1)&gt;0,$J12="LPSM"),"ALL",TEXT(OFFSET(Items[],MATCH($C12,INDIRECT(RangePlanCount),0)-1,MATCH(P$1,Items[#Headers],0)-1,1,1),"###,###,##0"&amp;IF(OFFSET(Items[],MATCH($C12,INDIRECT(RangePlanCount),0)-1,MATCH(Decimals,Items[#Headers],0)-1,1,1)&gt;0,"."&amp;REPT("0",OFFSET(Items[],MATCH($C12,INDIRECT(RangePlanCount),0)-1,MATCH(Decimals,Items[#Headers],0)-1,1,1)),""))))</f>
        <v/>
      </c>
      <c r="Q12" s="302" t="str">
        <f ca="1">IF(OR($C12=OFFSET($C12,1,0),$A12&gt;End,IFERROR(OFFSET(Items[],MATCH($C12,INDIRECT(RangePlanCount),0)-1,MATCH(Q$1,Items[#Headers],0)-1,1,1)=0,TRUE)),"",IF(AND(OFFSET(Items[],MATCH($C12,INDIRECT(RangePlanCount),0)-1,MATCH(Q$1,Items[#Headers],0)-1,1,1)&gt;0,$J12="LPSM"),"ALL",TEXT(OFFSET(Items[],MATCH($C12,INDIRECT(RangePlanCount),0)-1,MATCH(Q$1,Items[#Headers],0)-1,1,1),"###,###,##0"&amp;IF(OFFSET(Items[],MATCH($C12,INDIRECT(RangePlanCount),0)-1,MATCH(Decimals,Items[#Headers],0)-1,1,1)&gt;0,"."&amp;REPT("0",OFFSET(Items[],MATCH($C12,INDIRECT(RangePlanCount),0)-1,MATCH(Decimals,Items[#Headers],0)-1,1,1)),""))))</f>
        <v/>
      </c>
      <c r="R12" s="302" t="str">
        <f ca="1">IF(OR($C12=OFFSET($C12,1,0),$A12&gt;End,IFERROR(OFFSET(Items[],MATCH($C12,INDIRECT(RangePlanCount),0)-1,MATCH(R$1,Items[#Headers],0)-1,1,1)=0,TRUE)),"",IF(AND(OFFSET(Items[],MATCH($C12,INDIRECT(RangePlanCount),0)-1,MATCH(R$1,Items[#Headers],0)-1,1,1)&gt;0,$J12="LPSM"),"ALL",TEXT(OFFSET(Items[],MATCH($C12,INDIRECT(RangePlanCount),0)-1,MATCH(R$1,Items[#Headers],0)-1,1,1),"###,###,##0"&amp;IF(OFFSET(Items[],MATCH($C12,INDIRECT(RangePlanCount),0)-1,MATCH(Decimals,Items[#Headers],0)-1,1,1)&gt;0,"."&amp;REPT("0",OFFSET(Items[],MATCH($C12,INDIRECT(RangePlanCount),0)-1,MATCH(Decimals,Items[#Headers],0)-1,1,1)),""))))</f>
        <v/>
      </c>
      <c r="S12" s="302" t="str">
        <f ca="1">IF(OR($C12=OFFSET($C12,1,0),$A12&gt;End,IFERROR(OFFSET(Items[],MATCH($C12,INDIRECT(RangePlanCount),0)-1,MATCH(S$1,Items[#Headers],0)-1,1,1)=0,TRUE)),"",IF(AND(OFFSET(Items[],MATCH($C12,INDIRECT(RangePlanCount),0)-1,MATCH(S$1,Items[#Headers],0)-1,1,1)&gt;0,$J12="LPSM"),"ALL",TEXT(OFFSET(Items[],MATCH($C12,INDIRECT(RangePlanCount),0)-1,MATCH(S$1,Items[#Headers],0)-1,1,1),"###,###,##0"&amp;IF(OFFSET(Items[],MATCH($C12,INDIRECT(RangePlanCount),0)-1,MATCH(Decimals,Items[#Headers],0)-1,1,1)&gt;0,"."&amp;REPT("0",OFFSET(Items[],MATCH($C12,INDIRECT(RangePlanCount),0)-1,MATCH(Decimals,Items[#Headers],0)-1,1,1)),""))))</f>
        <v/>
      </c>
      <c r="T12" s="302" t="str">
        <f ca="1">IF(OR($C12=OFFSET($C12,1,0),$A12&gt;End,IFERROR(OFFSET(Items[],MATCH($C12,INDIRECT(RangePlanCount),0)-1,MATCH(T$1,Items[#Headers],0)-1,1,1)=0,TRUE)),"",IF(AND(OFFSET(Items[],MATCH($C12,INDIRECT(RangePlanCount),0)-1,MATCH(T$1,Items[#Headers],0)-1,1,1)&gt;0,$J12="LPSM"),"ALL",TEXT(OFFSET(Items[],MATCH($C12,INDIRECT(RangePlanCount),0)-1,MATCH(T$1,Items[#Headers],0)-1,1,1),"###,###,##0"&amp;IF(OFFSET(Items[],MATCH($C12,INDIRECT(RangePlanCount),0)-1,MATCH(Decimals,Items[#Headers],0)-1,1,1)&gt;0,"."&amp;REPT("0",OFFSET(Items[],MATCH($C12,INDIRECT(RangePlanCount),0)-1,MATCH(Decimals,Items[#Headers],0)-1,1,1)),""))))</f>
        <v/>
      </c>
      <c r="U12" s="302" t="str">
        <f ca="1">IF(OR($C12=OFFSET($C12,1,0),$A12&gt;End,IFERROR(OFFSET(Items[],MATCH($C12,INDIRECT(RangePlanCount),0)-1,MATCH(U$1,Items[#Headers],0)-1,1,1)=0,TRUE)),"",IF(AND(OFFSET(Items[],MATCH($C12,INDIRECT(RangePlanCount),0)-1,MATCH(U$1,Items[#Headers],0)-1,1,1)&gt;0,$J12="LPSM"),"ALL",TEXT(OFFSET(Items[],MATCH($C12,INDIRECT(RangePlanCount),0)-1,MATCH(U$1,Items[#Headers],0)-1,1,1),"###,###,##0"&amp;IF(OFFSET(Items[],MATCH($C12,INDIRECT(RangePlanCount),0)-1,MATCH(Decimals,Items[#Headers],0)-1,1,1)&gt;0,"."&amp;REPT("0",OFFSET(Items[],MATCH($C12,INDIRECT(RangePlanCount),0)-1,MATCH(Decimals,Items[#Headers],0)-1,1,1)),""))))</f>
        <v/>
      </c>
      <c r="V12" s="302" t="str">
        <f ca="1">IF(OR($C12=OFFSET($C12,1,0),$A12&gt;End,IFERROR(OFFSET(Items[],MATCH($C12,INDIRECT(RangePlanCount),0)-1,MATCH(V$1,Items[#Headers],0)-1,1,1)=0,TRUE)),"",IF(AND(OFFSET(Items[],MATCH($C12,INDIRECT(RangePlanCount),0)-1,MATCH(V$1,Items[#Headers],0)-1,1,1)&gt;0,$J12="LPSM"),"ALL",TEXT(OFFSET(Items[],MATCH($C12,INDIRECT(RangePlanCount),0)-1,MATCH(V$1,Items[#Headers],0)-1,1,1),"###,###,##0"&amp;IF(OFFSET(Items[],MATCH($C12,INDIRECT(RangePlanCount),0)-1,MATCH(Decimals,Items[#Headers],0)-1,1,1)&gt;0,"."&amp;REPT("0",OFFSET(Items[],MATCH($C12,INDIRECT(RangePlanCount),0)-1,MATCH(Decimals,Items[#Headers],0)-1,1,1)),""))))</f>
        <v/>
      </c>
      <c r="W12" s="304" t="str">
        <f ca="1">IF(OR($C12=OFFSET($C12,1,0),$A12&gt;End,IFERROR(OFFSET(Items[],MATCH($C12,INDIRECT(RangePlanCount),0)-1,MATCH(W$1,Items[#Headers],0)-1,1,1)=0,TRUE)),"",IF(AND(OFFSET(Items[],MATCH($C12,INDIRECT(RangePlanCount),0)-1,MATCH(W$1,Items[#Headers],0)-1,1,1)&gt;0,$J12="LPSM"),"ALL",TEXT(OFFSET(Items[],MATCH($C12,INDIRECT(RangePlanCount),0)-1,MATCH(W$1,Items[#Headers],0)-1,1,1),"###,###,##0"&amp;IF(OFFSET(Items[],MATCH($C12,INDIRECT(RangePlanCount),0)-1,MATCH(Decimals,Items[#Headers],0)-1,1,1)&gt;0,"."&amp;REPT("0",OFFSET(Items[],MATCH($C12,INDIRECT(RangePlanCount),0)-1,MATCH(Decimals,Items[#Headers],0)-1,1,1)),""))))</f>
        <v/>
      </c>
      <c r="X12" s="305" t="str">
        <f ca="1">IF(OR($C12=OFFSET($C12,1,0),$A12&gt;End,IFERROR(OFFSET(Items[],MATCH($C12,INDIRECT(RangePlanCount),0)-1,MATCH(X$1,Items[#Headers],0)-1,1,1)=0,TRUE)),"",IF(AND(OFFSET(Items[],MATCH($C12,INDIRECT(RangePlanCount),0)-1,MATCH(X$1,Items[#Headers],0)-1,1,1)&gt;0,$J12="LPSM"),"ALL",TEXT(OFFSET(Items[],MATCH($C12,INDIRECT(RangePlanCount),0)-1,MATCH(X$1,Items[#Headers],0)-1,1,1),"###,###,##0"&amp;IF(OFFSET(Items[],MATCH($C12,INDIRECT(RangePlanCount),0)-1,MATCH(Decimals,Items[#Headers],0)-1,1,1)&gt;0,"."&amp;REPT("0",OFFSET(Items[],MATCH($C12,INDIRECT(RangePlanCount),0)-1,MATCH(Decimals,Items[#Headers],0)-1,1,1)),""))))</f>
        <v/>
      </c>
      <c r="Y12" s="306" t="str">
        <f ca="1">IF(OR($A12&gt;End,COUNTIF($C$7:$C12,$C12)&gt;lines_R),"",IF(COUNTIF($C$7:$C12,$C12)=1,LEFT(VLOOKUP($C12,Calcs[],col_Remarks,0),VLOOKUP($C12,Calcs[],col_R,0)),MID(VLOOKUP($C12,Calcs[],col_Remarks,0),VLOOKUP($C12,Calcs[],col_R+COUNTIF($C$7:$C12,$C12)-2,0)+1,VLOOKUP($C12,Calcs[],col_R+COUNTIF($C$7:$C12,$C12)-1,0)-VLOOKUP($C12,Calcs[],col_R+COUNTIF($C$7:$C12,$C12)-2,0))))</f>
        <v/>
      </c>
      <c r="Z12" s="300"/>
      <c r="AA12" s="1"/>
    </row>
    <row r="13" spans="1:27" ht="15" customHeight="1" x14ac:dyDescent="0.15">
      <c r="A13" s="58">
        <f t="shared" ca="1" si="1"/>
        <v>6</v>
      </c>
      <c r="C13" s="58">
        <f ca="1">IFERROR(VLOOKUP(A13,Calcs[],1,0),OFFSET(C13,1,0))</f>
        <v>7</v>
      </c>
      <c r="D13" s="342"/>
      <c r="E13" s="59"/>
      <c r="F13" s="301">
        <f ca="1">IF(OR($C13=OFFSET($C13,-1,0),$A13&gt;End),"",_xlfn.XLOOKUP($C13,Items[PlanCounter],Items[Amend],_xlfn.XLOOKUP($C13,Proposed[PlanCounter],Proposed[Amend])))</f>
        <v>0</v>
      </c>
      <c r="G13" s="302" t="str">
        <f ca="1">IF(OR($C13=OFFSET($C13,-1,0),$A13&gt;End),"",_xlfn.XLOOKUP($C13,Calcs[Counter],Calcs[Line]))</f>
        <v>A0080</v>
      </c>
      <c r="H13" s="302" t="str" cm="1">
        <f t="array" aca="1" ref="H13" ca="1">IF(OR($C13=OFFSET($C13,-1,0),$A13&gt;End),"",_xlfn.XLOOKUP($C13,INDIRECT(RangePlanCount),INDIRECT(RangeItems)))</f>
        <v>15215-3000</v>
      </c>
      <c r="I13" s="294" t="str">
        <f ca="1">IF(OR($A13&gt;End,COUNTIF($C$7:$C13,$C13)&gt;lines_D),"",IF(COUNTIF($C$7:$C13,$C13)=1,LEFT(VLOOKUP($C13,Calcs[],col_Description,0),VLOOKUP($C13,Calcs[],col_D,0)),MID(VLOOKUP($C13,Calcs[],col_Description,0),VLOOKUP($C13,Calcs[],col_D+COUNTIF($C$7:$C13,$C13)-2,0)+1,VLOOKUP($C13,Calcs[],col_D+COUNTIF($C$7:$C13,$C13)-1,0)-VLOOKUP($C13,Calcs[],col_D+COUNTIF($C$7:$C13,$C13)-2,0))))</f>
        <v xml:space="preserve">SURVEY AND STAKING, DRAINAGE </v>
      </c>
      <c r="J13" s="295" t="str" cm="1">
        <f t="array" aca="1" ref="J13" ca="1">IF(OR($C13=OFFSET($C13,1,0),$A13&gt;End),"",_xlfn.XLOOKUP($C13,INDIRECT(RangePlanCount),INDIRECT(RangeUnit)))</f>
        <v/>
      </c>
      <c r="K13" s="303" t="str">
        <f ca="1">IF(OR($C13=OFFSET($C13,1,0),$A13&gt;End,IFERROR(OFFSET(Items[],MATCH($C13,INDIRECT(RangePlanCount),0)-1,MATCH(K$1,Items[#Headers],0)-1,1,1)=0,TRUE)),"",IF(AND(OFFSET(Items[],MATCH($C13,INDIRECT(RangePlanCount),0)-1,MATCH(K$1,Items[#Headers],0)-1,1,1)&gt;0,$J13="LPSM"),"ALL",TEXT(OFFSET(Items[],MATCH($C13,INDIRECT(RangePlanCount),0)-1,MATCH(K$1,Items[#Headers],0)-1,1,1),"###,###,##0"&amp;IF(OFFSET(Items[],MATCH($C13,INDIRECT(RangePlanCount),0)-1,MATCH(Decimals,Items[#Headers],0)-1,1,1)&gt;0,"."&amp;REPT("0",OFFSET(Items[],MATCH($C13,INDIRECT(RangePlanCount),0)-1,MATCH(Decimals,Items[#Headers],0)-1,1,1)),""))))</f>
        <v/>
      </c>
      <c r="L13" s="302" t="str">
        <f ca="1">IF(OR($C13=OFFSET($C13,1,0),$A13&gt;End,IFERROR(OFFSET(Items[],MATCH($C13,INDIRECT(RangePlanCount),0)-1,MATCH(L$1,Items[#Headers],0)-1,1,1)=0,TRUE)),"",IF(AND(OFFSET(Items[],MATCH($C13,INDIRECT(RangePlanCount),0)-1,MATCH(L$1,Items[#Headers],0)-1,1,1)&gt;0,$J13="LPSM"),"ALL",TEXT(OFFSET(Items[],MATCH($C13,INDIRECT(RangePlanCount),0)-1,MATCH(L$1,Items[#Headers],0)-1,1,1),"###,###,##0"&amp;IF(OFFSET(Items[],MATCH($C13,INDIRECT(RangePlanCount),0)-1,MATCH(Decimals,Items[#Headers],0)-1,1,1)&gt;0,"."&amp;REPT("0",OFFSET(Items[],MATCH($C13,INDIRECT(RangePlanCount),0)-1,MATCH(Decimals,Items[#Headers],0)-1,1,1)),""))))</f>
        <v/>
      </c>
      <c r="M13" s="302" t="str">
        <f ca="1">IF(OR($C13=OFFSET($C13,1,0),$A13&gt;End,IFERROR(OFFSET(Items[],MATCH($C13,INDIRECT(RangePlanCount),0)-1,MATCH(M$1,Items[#Headers],0)-1,1,1)=0,TRUE)),"",IF(AND(OFFSET(Items[],MATCH($C13,INDIRECT(RangePlanCount),0)-1,MATCH(M$1,Items[#Headers],0)-1,1,1)&gt;0,$J13="LPSM"),"ALL",TEXT(OFFSET(Items[],MATCH($C13,INDIRECT(RangePlanCount),0)-1,MATCH(M$1,Items[#Headers],0)-1,1,1),"###,###,##0"&amp;IF(OFFSET(Items[],MATCH($C13,INDIRECT(RangePlanCount),0)-1,MATCH(Decimals,Items[#Headers],0)-1,1,1)&gt;0,"."&amp;REPT("0",OFFSET(Items[],MATCH($C13,INDIRECT(RangePlanCount),0)-1,MATCH(Decimals,Items[#Headers],0)-1,1,1)),""))))</f>
        <v/>
      </c>
      <c r="N13" s="302" t="str">
        <f ca="1">IF(OR($C13=OFFSET($C13,1,0),$A13&gt;End,IFERROR(OFFSET(Items[],MATCH($C13,INDIRECT(RangePlanCount),0)-1,MATCH(N$1,Items[#Headers],0)-1,1,1)=0,TRUE)),"",IF(AND(OFFSET(Items[],MATCH($C13,INDIRECT(RangePlanCount),0)-1,MATCH(N$1,Items[#Headers],0)-1,1,1)&gt;0,$J13="LPSM"),"ALL",TEXT(OFFSET(Items[],MATCH($C13,INDIRECT(RangePlanCount),0)-1,MATCH(N$1,Items[#Headers],0)-1,1,1),"###,###,##0"&amp;IF(OFFSET(Items[],MATCH($C13,INDIRECT(RangePlanCount),0)-1,MATCH(Decimals,Items[#Headers],0)-1,1,1)&gt;0,"."&amp;REPT("0",OFFSET(Items[],MATCH($C13,INDIRECT(RangePlanCount),0)-1,MATCH(Decimals,Items[#Headers],0)-1,1,1)),""))))</f>
        <v/>
      </c>
      <c r="O13" s="302" t="str">
        <f ca="1">IF(OR($C13=OFFSET($C13,1,0),$A13&gt;End,IFERROR(OFFSET(Items[],MATCH($C13,INDIRECT(RangePlanCount),0)-1,MATCH(O$1,Items[#Headers],0)-1,1,1)=0,TRUE)),"",IF(AND(OFFSET(Items[],MATCH($C13,INDIRECT(RangePlanCount),0)-1,MATCH(O$1,Items[#Headers],0)-1,1,1)&gt;0,$J13="LPSM"),"ALL",TEXT(OFFSET(Items[],MATCH($C13,INDIRECT(RangePlanCount),0)-1,MATCH(O$1,Items[#Headers],0)-1,1,1),"###,###,##0"&amp;IF(OFFSET(Items[],MATCH($C13,INDIRECT(RangePlanCount),0)-1,MATCH(Decimals,Items[#Headers],0)-1,1,1)&gt;0,"."&amp;REPT("0",OFFSET(Items[],MATCH($C13,INDIRECT(RangePlanCount),0)-1,MATCH(Decimals,Items[#Headers],0)-1,1,1)),""))))</f>
        <v/>
      </c>
      <c r="P13" s="302" t="str">
        <f ca="1">IF(OR($C13=OFFSET($C13,1,0),$A13&gt;End,IFERROR(OFFSET(Items[],MATCH($C13,INDIRECT(RangePlanCount),0)-1,MATCH(P$1,Items[#Headers],0)-1,1,1)=0,TRUE)),"",IF(AND(OFFSET(Items[],MATCH($C13,INDIRECT(RangePlanCount),0)-1,MATCH(P$1,Items[#Headers],0)-1,1,1)&gt;0,$J13="LPSM"),"ALL",TEXT(OFFSET(Items[],MATCH($C13,INDIRECT(RangePlanCount),0)-1,MATCH(P$1,Items[#Headers],0)-1,1,1),"###,###,##0"&amp;IF(OFFSET(Items[],MATCH($C13,INDIRECT(RangePlanCount),0)-1,MATCH(Decimals,Items[#Headers],0)-1,1,1)&gt;0,"."&amp;REPT("0",OFFSET(Items[],MATCH($C13,INDIRECT(RangePlanCount),0)-1,MATCH(Decimals,Items[#Headers],0)-1,1,1)),""))))</f>
        <v/>
      </c>
      <c r="Q13" s="302" t="str">
        <f ca="1">IF(OR($C13=OFFSET($C13,1,0),$A13&gt;End,IFERROR(OFFSET(Items[],MATCH($C13,INDIRECT(RangePlanCount),0)-1,MATCH(Q$1,Items[#Headers],0)-1,1,1)=0,TRUE)),"",IF(AND(OFFSET(Items[],MATCH($C13,INDIRECT(RangePlanCount),0)-1,MATCH(Q$1,Items[#Headers],0)-1,1,1)&gt;0,$J13="LPSM"),"ALL",TEXT(OFFSET(Items[],MATCH($C13,INDIRECT(RangePlanCount),0)-1,MATCH(Q$1,Items[#Headers],0)-1,1,1),"###,###,##0"&amp;IF(OFFSET(Items[],MATCH($C13,INDIRECT(RangePlanCount),0)-1,MATCH(Decimals,Items[#Headers],0)-1,1,1)&gt;0,"."&amp;REPT("0",OFFSET(Items[],MATCH($C13,INDIRECT(RangePlanCount),0)-1,MATCH(Decimals,Items[#Headers],0)-1,1,1)),""))))</f>
        <v/>
      </c>
      <c r="R13" s="302" t="str">
        <f ca="1">IF(OR($C13=OFFSET($C13,1,0),$A13&gt;End,IFERROR(OFFSET(Items[],MATCH($C13,INDIRECT(RangePlanCount),0)-1,MATCH(R$1,Items[#Headers],0)-1,1,1)=0,TRUE)),"",IF(AND(OFFSET(Items[],MATCH($C13,INDIRECT(RangePlanCount),0)-1,MATCH(R$1,Items[#Headers],0)-1,1,1)&gt;0,$J13="LPSM"),"ALL",TEXT(OFFSET(Items[],MATCH($C13,INDIRECT(RangePlanCount),0)-1,MATCH(R$1,Items[#Headers],0)-1,1,1),"###,###,##0"&amp;IF(OFFSET(Items[],MATCH($C13,INDIRECT(RangePlanCount),0)-1,MATCH(Decimals,Items[#Headers],0)-1,1,1)&gt;0,"."&amp;REPT("0",OFFSET(Items[],MATCH($C13,INDIRECT(RangePlanCount),0)-1,MATCH(Decimals,Items[#Headers],0)-1,1,1)),""))))</f>
        <v/>
      </c>
      <c r="S13" s="302" t="str">
        <f ca="1">IF(OR($C13=OFFSET($C13,1,0),$A13&gt;End,IFERROR(OFFSET(Items[],MATCH($C13,INDIRECT(RangePlanCount),0)-1,MATCH(S$1,Items[#Headers],0)-1,1,1)=0,TRUE)),"",IF(AND(OFFSET(Items[],MATCH($C13,INDIRECT(RangePlanCount),0)-1,MATCH(S$1,Items[#Headers],0)-1,1,1)&gt;0,$J13="LPSM"),"ALL",TEXT(OFFSET(Items[],MATCH($C13,INDIRECT(RangePlanCount),0)-1,MATCH(S$1,Items[#Headers],0)-1,1,1),"###,###,##0"&amp;IF(OFFSET(Items[],MATCH($C13,INDIRECT(RangePlanCount),0)-1,MATCH(Decimals,Items[#Headers],0)-1,1,1)&gt;0,"."&amp;REPT("0",OFFSET(Items[],MATCH($C13,INDIRECT(RangePlanCount),0)-1,MATCH(Decimals,Items[#Headers],0)-1,1,1)),""))))</f>
        <v/>
      </c>
      <c r="T13" s="302" t="str">
        <f ca="1">IF(OR($C13=OFFSET($C13,1,0),$A13&gt;End,IFERROR(OFFSET(Items[],MATCH($C13,INDIRECT(RangePlanCount),0)-1,MATCH(T$1,Items[#Headers],0)-1,1,1)=0,TRUE)),"",IF(AND(OFFSET(Items[],MATCH($C13,INDIRECT(RangePlanCount),0)-1,MATCH(T$1,Items[#Headers],0)-1,1,1)&gt;0,$J13="LPSM"),"ALL",TEXT(OFFSET(Items[],MATCH($C13,INDIRECT(RangePlanCount),0)-1,MATCH(T$1,Items[#Headers],0)-1,1,1),"###,###,##0"&amp;IF(OFFSET(Items[],MATCH($C13,INDIRECT(RangePlanCount),0)-1,MATCH(Decimals,Items[#Headers],0)-1,1,1)&gt;0,"."&amp;REPT("0",OFFSET(Items[],MATCH($C13,INDIRECT(RangePlanCount),0)-1,MATCH(Decimals,Items[#Headers],0)-1,1,1)),""))))</f>
        <v/>
      </c>
      <c r="U13" s="302" t="str">
        <f ca="1">IF(OR($C13=OFFSET($C13,1,0),$A13&gt;End,IFERROR(OFFSET(Items[],MATCH($C13,INDIRECT(RangePlanCount),0)-1,MATCH(U$1,Items[#Headers],0)-1,1,1)=0,TRUE)),"",IF(AND(OFFSET(Items[],MATCH($C13,INDIRECT(RangePlanCount),0)-1,MATCH(U$1,Items[#Headers],0)-1,1,1)&gt;0,$J13="LPSM"),"ALL",TEXT(OFFSET(Items[],MATCH($C13,INDIRECT(RangePlanCount),0)-1,MATCH(U$1,Items[#Headers],0)-1,1,1),"###,###,##0"&amp;IF(OFFSET(Items[],MATCH($C13,INDIRECT(RangePlanCount),0)-1,MATCH(Decimals,Items[#Headers],0)-1,1,1)&gt;0,"."&amp;REPT("0",OFFSET(Items[],MATCH($C13,INDIRECT(RangePlanCount),0)-1,MATCH(Decimals,Items[#Headers],0)-1,1,1)),""))))</f>
        <v/>
      </c>
      <c r="V13" s="302" t="str">
        <f ca="1">IF(OR($C13=OFFSET($C13,1,0),$A13&gt;End,IFERROR(OFFSET(Items[],MATCH($C13,INDIRECT(RangePlanCount),0)-1,MATCH(V$1,Items[#Headers],0)-1,1,1)=0,TRUE)),"",IF(AND(OFFSET(Items[],MATCH($C13,INDIRECT(RangePlanCount),0)-1,MATCH(V$1,Items[#Headers],0)-1,1,1)&gt;0,$J13="LPSM"),"ALL",TEXT(OFFSET(Items[],MATCH($C13,INDIRECT(RangePlanCount),0)-1,MATCH(V$1,Items[#Headers],0)-1,1,1),"###,###,##0"&amp;IF(OFFSET(Items[],MATCH($C13,INDIRECT(RangePlanCount),0)-1,MATCH(Decimals,Items[#Headers],0)-1,1,1)&gt;0,"."&amp;REPT("0",OFFSET(Items[],MATCH($C13,INDIRECT(RangePlanCount),0)-1,MATCH(Decimals,Items[#Headers],0)-1,1,1)),""))))</f>
        <v/>
      </c>
      <c r="W13" s="304" t="str">
        <f ca="1">IF(OR($C13=OFFSET($C13,1,0),$A13&gt;End,IFERROR(OFFSET(Items[],MATCH($C13,INDIRECT(RangePlanCount),0)-1,MATCH(W$1,Items[#Headers],0)-1,1,1)=0,TRUE)),"",IF(AND(OFFSET(Items[],MATCH($C13,INDIRECT(RangePlanCount),0)-1,MATCH(W$1,Items[#Headers],0)-1,1,1)&gt;0,$J13="LPSM"),"ALL",TEXT(OFFSET(Items[],MATCH($C13,INDIRECT(RangePlanCount),0)-1,MATCH(W$1,Items[#Headers],0)-1,1,1),"###,###,##0"&amp;IF(OFFSET(Items[],MATCH($C13,INDIRECT(RangePlanCount),0)-1,MATCH(Decimals,Items[#Headers],0)-1,1,1)&gt;0,"."&amp;REPT("0",OFFSET(Items[],MATCH($C13,INDIRECT(RangePlanCount),0)-1,MATCH(Decimals,Items[#Headers],0)-1,1,1)),""))))</f>
        <v/>
      </c>
      <c r="X13" s="305" t="str">
        <f ca="1">IF(OR($C13=OFFSET($C13,1,0),$A13&gt;End,IFERROR(OFFSET(Items[],MATCH($C13,INDIRECT(RangePlanCount),0)-1,MATCH(X$1,Items[#Headers],0)-1,1,1)=0,TRUE)),"",IF(AND(OFFSET(Items[],MATCH($C13,INDIRECT(RangePlanCount),0)-1,MATCH(X$1,Items[#Headers],0)-1,1,1)&gt;0,$J13="LPSM"),"ALL",TEXT(OFFSET(Items[],MATCH($C13,INDIRECT(RangePlanCount),0)-1,MATCH(X$1,Items[#Headers],0)-1,1,1),"###,###,##0"&amp;IF(OFFSET(Items[],MATCH($C13,INDIRECT(RangePlanCount),0)-1,MATCH(Decimals,Items[#Headers],0)-1,1,1)&gt;0,"."&amp;REPT("0",OFFSET(Items[],MATCH($C13,INDIRECT(RangePlanCount),0)-1,MATCH(Decimals,Items[#Headers],0)-1,1,1)),""))))</f>
        <v/>
      </c>
      <c r="Y13" s="306" t="str">
        <f ca="1">IF(OR($A13&gt;End,COUNTIF($C$7:$C13,$C13)&gt;lines_R),"",IF(COUNTIF($C$7:$C13,$C13)=1,LEFT(VLOOKUP($C13,Calcs[],col_Remarks,0),VLOOKUP($C13,Calcs[],col_R,0)),MID(VLOOKUP($C13,Calcs[],col_Remarks,0),VLOOKUP($C13,Calcs[],col_R+COUNTIF($C$7:$C13,$C13)-2,0)+1,VLOOKUP($C13,Calcs[],col_R+COUNTIF($C$7:$C13,$C13)-1,0)-VLOOKUP($C13,Calcs[],col_R+COUNTIF($C$7:$C13,$C13)-2,0))))</f>
        <v/>
      </c>
      <c r="Z13" s="300"/>
      <c r="AA13" s="1"/>
    </row>
    <row r="14" spans="1:27" ht="15" customHeight="1" x14ac:dyDescent="0.15">
      <c r="A14" s="58">
        <f t="shared" ca="1" si="1"/>
        <v>7</v>
      </c>
      <c r="C14" s="58">
        <f ca="1">IFERROR(VLOOKUP(A14,Calcs[],1,0),OFFSET(C14,1,0))</f>
        <v>7</v>
      </c>
      <c r="D14" s="342"/>
      <c r="E14" s="59"/>
      <c r="F14" s="301" t="str">
        <f ca="1">IF(OR($C14=OFFSET($C14,-1,0),$A14&gt;End),"",_xlfn.XLOOKUP($C14,Items[PlanCounter],Items[Amend],_xlfn.XLOOKUP($C14,Proposed[PlanCounter],Proposed[Amend])))</f>
        <v/>
      </c>
      <c r="G14" s="302" t="str">
        <f ca="1">IF(OR($C14=OFFSET($C14,-1,0),$A14&gt;End),"",_xlfn.XLOOKUP($C14,Calcs[Counter],Calcs[Line]))</f>
        <v/>
      </c>
      <c r="H14" s="302" t="str" cm="1">
        <f t="array" aca="1" ref="H14" ca="1">IF(OR($C14=OFFSET($C14,-1,0),$A14&gt;End),"",_xlfn.XLOOKUP($C14,INDIRECT(RangePlanCount),INDIRECT(RangeItems)))</f>
        <v/>
      </c>
      <c r="I14" s="294" t="str">
        <f ca="1">IF(OR($A14&gt;End,COUNTIF($C$7:$C14,$C14)&gt;lines_D),"",IF(COUNTIF($C$7:$C14,$C14)=1,LEFT(VLOOKUP($C14,Calcs[],col_Description,0),VLOOKUP($C14,Calcs[],col_D,0)),MID(VLOOKUP($C14,Calcs[],col_Description,0),VLOOKUP($C14,Calcs[],col_D+COUNTIF($C$7:$C14,$C14)-2,0)+1,VLOOKUP($C14,Calcs[],col_D+COUNTIF($C$7:$C14,$C14)-1,0)-VLOOKUP($C14,Calcs[],col_D+COUNTIF($C$7:$C14,$C14)-2,0))))</f>
        <v>STRUCTURE</v>
      </c>
      <c r="J14" s="295" t="str" cm="1">
        <f t="array" aca="1" ref="J14" ca="1">IF(OR($C14=OFFSET($C14,1,0),$A14&gt;End),"",_xlfn.XLOOKUP($C14,INDIRECT(RangePlanCount),INDIRECT(RangeUnit)))</f>
        <v>EACH</v>
      </c>
      <c r="K14" s="303" t="str">
        <f ca="1">IF(OR($C14=OFFSET($C14,1,0),$A14&gt;End,IFERROR(OFFSET(Items[],MATCH($C14,INDIRECT(RangePlanCount),0)-1,MATCH(K$1,Items[#Headers],0)-1,1,1)=0,TRUE)),"",IF(AND(OFFSET(Items[],MATCH($C14,INDIRECT(RangePlanCount),0)-1,MATCH(K$1,Items[#Headers],0)-1,1,1)&gt;0,$J14="LPSM"),"ALL",TEXT(OFFSET(Items[],MATCH($C14,INDIRECT(RangePlanCount),0)-1,MATCH(K$1,Items[#Headers],0)-1,1,1),"###,###,##0"&amp;IF(OFFSET(Items[],MATCH($C14,INDIRECT(RangePlanCount),0)-1,MATCH(Decimals,Items[#Headers],0)-1,1,1)&gt;0,"."&amp;REPT("0",OFFSET(Items[],MATCH($C14,INDIRECT(RangePlanCount),0)-1,MATCH(Decimals,Items[#Headers],0)-1,1,1)),""))))</f>
        <v/>
      </c>
      <c r="L14" s="302" t="str">
        <f ca="1">IF(OR($C14=OFFSET($C14,1,0),$A14&gt;End,IFERROR(OFFSET(Items[],MATCH($C14,INDIRECT(RangePlanCount),0)-1,MATCH(L$1,Items[#Headers],0)-1,1,1)=0,TRUE)),"",IF(AND(OFFSET(Items[],MATCH($C14,INDIRECT(RangePlanCount),0)-1,MATCH(L$1,Items[#Headers],0)-1,1,1)&gt;0,$J14="LPSM"),"ALL",TEXT(OFFSET(Items[],MATCH($C14,INDIRECT(RangePlanCount),0)-1,MATCH(L$1,Items[#Headers],0)-1,1,1),"###,###,##0"&amp;IF(OFFSET(Items[],MATCH($C14,INDIRECT(RangePlanCount),0)-1,MATCH(Decimals,Items[#Headers],0)-1,1,1)&gt;0,"."&amp;REPT("0",OFFSET(Items[],MATCH($C14,INDIRECT(RangePlanCount),0)-1,MATCH(Decimals,Items[#Headers],0)-1,1,1)),""))))</f>
        <v/>
      </c>
      <c r="M14" s="302" t="str">
        <f ca="1">IF(OR($C14=OFFSET($C14,1,0),$A14&gt;End,IFERROR(OFFSET(Items[],MATCH($C14,INDIRECT(RangePlanCount),0)-1,MATCH(M$1,Items[#Headers],0)-1,1,1)=0,TRUE)),"",IF(AND(OFFSET(Items[],MATCH($C14,INDIRECT(RangePlanCount),0)-1,MATCH(M$1,Items[#Headers],0)-1,1,1)&gt;0,$J14="LPSM"),"ALL",TEXT(OFFSET(Items[],MATCH($C14,INDIRECT(RangePlanCount),0)-1,MATCH(M$1,Items[#Headers],0)-1,1,1),"###,###,##0"&amp;IF(OFFSET(Items[],MATCH($C14,INDIRECT(RangePlanCount),0)-1,MATCH(Decimals,Items[#Headers],0)-1,1,1)&gt;0,"."&amp;REPT("0",OFFSET(Items[],MATCH($C14,INDIRECT(RangePlanCount),0)-1,MATCH(Decimals,Items[#Headers],0)-1,1,1)),""))))</f>
        <v/>
      </c>
      <c r="N14" s="302" t="str">
        <f ca="1">IF(OR($C14=OFFSET($C14,1,0),$A14&gt;End,IFERROR(OFFSET(Items[],MATCH($C14,INDIRECT(RangePlanCount),0)-1,MATCH(N$1,Items[#Headers],0)-1,1,1)=0,TRUE)),"",IF(AND(OFFSET(Items[],MATCH($C14,INDIRECT(RangePlanCount),0)-1,MATCH(N$1,Items[#Headers],0)-1,1,1)&gt;0,$J14="LPSM"),"ALL",TEXT(OFFSET(Items[],MATCH($C14,INDIRECT(RangePlanCount),0)-1,MATCH(N$1,Items[#Headers],0)-1,1,1),"###,###,##0"&amp;IF(OFFSET(Items[],MATCH($C14,INDIRECT(RangePlanCount),0)-1,MATCH(Decimals,Items[#Headers],0)-1,1,1)&gt;0,"."&amp;REPT("0",OFFSET(Items[],MATCH($C14,INDIRECT(RangePlanCount),0)-1,MATCH(Decimals,Items[#Headers],0)-1,1,1)),""))))</f>
        <v/>
      </c>
      <c r="O14" s="302" t="str">
        <f ca="1">IF(OR($C14=OFFSET($C14,1,0),$A14&gt;End,IFERROR(OFFSET(Items[],MATCH($C14,INDIRECT(RangePlanCount),0)-1,MATCH(O$1,Items[#Headers],0)-1,1,1)=0,TRUE)),"",IF(AND(OFFSET(Items[],MATCH($C14,INDIRECT(RangePlanCount),0)-1,MATCH(O$1,Items[#Headers],0)-1,1,1)&gt;0,$J14="LPSM"),"ALL",TEXT(OFFSET(Items[],MATCH($C14,INDIRECT(RangePlanCount),0)-1,MATCH(O$1,Items[#Headers],0)-1,1,1),"###,###,##0"&amp;IF(OFFSET(Items[],MATCH($C14,INDIRECT(RangePlanCount),0)-1,MATCH(Decimals,Items[#Headers],0)-1,1,1)&gt;0,"."&amp;REPT("0",OFFSET(Items[],MATCH($C14,INDIRECT(RangePlanCount),0)-1,MATCH(Decimals,Items[#Headers],0)-1,1,1)),""))))</f>
        <v/>
      </c>
      <c r="P14" s="302" t="str">
        <f ca="1">IF(OR($C14=OFFSET($C14,1,0),$A14&gt;End,IFERROR(OFFSET(Items[],MATCH($C14,INDIRECT(RangePlanCount),0)-1,MATCH(P$1,Items[#Headers],0)-1,1,1)=0,TRUE)),"",IF(AND(OFFSET(Items[],MATCH($C14,INDIRECT(RangePlanCount),0)-1,MATCH(P$1,Items[#Headers],0)-1,1,1)&gt;0,$J14="LPSM"),"ALL",TEXT(OFFSET(Items[],MATCH($C14,INDIRECT(RangePlanCount),0)-1,MATCH(P$1,Items[#Headers],0)-1,1,1),"###,###,##0"&amp;IF(OFFSET(Items[],MATCH($C14,INDIRECT(RangePlanCount),0)-1,MATCH(Decimals,Items[#Headers],0)-1,1,1)&gt;0,"."&amp;REPT("0",OFFSET(Items[],MATCH($C14,INDIRECT(RangePlanCount),0)-1,MATCH(Decimals,Items[#Headers],0)-1,1,1)),""))))</f>
        <v/>
      </c>
      <c r="Q14" s="302" t="str">
        <f ca="1">IF(OR($C14=OFFSET($C14,1,0),$A14&gt;End,IFERROR(OFFSET(Items[],MATCH($C14,INDIRECT(RangePlanCount),0)-1,MATCH(Q$1,Items[#Headers],0)-1,1,1)=0,TRUE)),"",IF(AND(OFFSET(Items[],MATCH($C14,INDIRECT(RangePlanCount),0)-1,MATCH(Q$1,Items[#Headers],0)-1,1,1)&gt;0,$J14="LPSM"),"ALL",TEXT(OFFSET(Items[],MATCH($C14,INDIRECT(RangePlanCount),0)-1,MATCH(Q$1,Items[#Headers],0)-1,1,1),"###,###,##0"&amp;IF(OFFSET(Items[],MATCH($C14,INDIRECT(RangePlanCount),0)-1,MATCH(Decimals,Items[#Headers],0)-1,1,1)&gt;0,"."&amp;REPT("0",OFFSET(Items[],MATCH($C14,INDIRECT(RangePlanCount),0)-1,MATCH(Decimals,Items[#Headers],0)-1,1,1)),""))))</f>
        <v/>
      </c>
      <c r="R14" s="302" t="str">
        <f ca="1">IF(OR($C14=OFFSET($C14,1,0),$A14&gt;End,IFERROR(OFFSET(Items[],MATCH($C14,INDIRECT(RangePlanCount),0)-1,MATCH(R$1,Items[#Headers],0)-1,1,1)=0,TRUE)),"",IF(AND(OFFSET(Items[],MATCH($C14,INDIRECT(RangePlanCount),0)-1,MATCH(R$1,Items[#Headers],0)-1,1,1)&gt;0,$J14="LPSM"),"ALL",TEXT(OFFSET(Items[],MATCH($C14,INDIRECT(RangePlanCount),0)-1,MATCH(R$1,Items[#Headers],0)-1,1,1),"###,###,##0"&amp;IF(OFFSET(Items[],MATCH($C14,INDIRECT(RangePlanCount),0)-1,MATCH(Decimals,Items[#Headers],0)-1,1,1)&gt;0,"."&amp;REPT("0",OFFSET(Items[],MATCH($C14,INDIRECT(RangePlanCount),0)-1,MATCH(Decimals,Items[#Headers],0)-1,1,1)),""))))</f>
        <v/>
      </c>
      <c r="S14" s="302" t="str">
        <f ca="1">IF(OR($C14=OFFSET($C14,1,0),$A14&gt;End,IFERROR(OFFSET(Items[],MATCH($C14,INDIRECT(RangePlanCount),0)-1,MATCH(S$1,Items[#Headers],0)-1,1,1)=0,TRUE)),"",IF(AND(OFFSET(Items[],MATCH($C14,INDIRECT(RangePlanCount),0)-1,MATCH(S$1,Items[#Headers],0)-1,1,1)&gt;0,$J14="LPSM"),"ALL",TEXT(OFFSET(Items[],MATCH($C14,INDIRECT(RangePlanCount),0)-1,MATCH(S$1,Items[#Headers],0)-1,1,1),"###,###,##0"&amp;IF(OFFSET(Items[],MATCH($C14,INDIRECT(RangePlanCount),0)-1,MATCH(Decimals,Items[#Headers],0)-1,1,1)&gt;0,"."&amp;REPT("0",OFFSET(Items[],MATCH($C14,INDIRECT(RangePlanCount),0)-1,MATCH(Decimals,Items[#Headers],0)-1,1,1)),""))))</f>
        <v/>
      </c>
      <c r="T14" s="302" t="str">
        <f ca="1">IF(OR($C14=OFFSET($C14,1,0),$A14&gt;End,IFERROR(OFFSET(Items[],MATCH($C14,INDIRECT(RangePlanCount),0)-1,MATCH(T$1,Items[#Headers],0)-1,1,1)=0,TRUE)),"",IF(AND(OFFSET(Items[],MATCH($C14,INDIRECT(RangePlanCount),0)-1,MATCH(T$1,Items[#Headers],0)-1,1,1)&gt;0,$J14="LPSM"),"ALL",TEXT(OFFSET(Items[],MATCH($C14,INDIRECT(RangePlanCount),0)-1,MATCH(T$1,Items[#Headers],0)-1,1,1),"###,###,##0"&amp;IF(OFFSET(Items[],MATCH($C14,INDIRECT(RangePlanCount),0)-1,MATCH(Decimals,Items[#Headers],0)-1,1,1)&gt;0,"."&amp;REPT("0",OFFSET(Items[],MATCH($C14,INDIRECT(RangePlanCount),0)-1,MATCH(Decimals,Items[#Headers],0)-1,1,1)),""))))</f>
        <v/>
      </c>
      <c r="U14" s="302" t="str">
        <f ca="1">IF(OR($C14=OFFSET($C14,1,0),$A14&gt;End,IFERROR(OFFSET(Items[],MATCH($C14,INDIRECT(RangePlanCount),0)-1,MATCH(U$1,Items[#Headers],0)-1,1,1)=0,TRUE)),"",IF(AND(OFFSET(Items[],MATCH($C14,INDIRECT(RangePlanCount),0)-1,MATCH(U$1,Items[#Headers],0)-1,1,1)&gt;0,$J14="LPSM"),"ALL",TEXT(OFFSET(Items[],MATCH($C14,INDIRECT(RangePlanCount),0)-1,MATCH(U$1,Items[#Headers],0)-1,1,1),"###,###,##0"&amp;IF(OFFSET(Items[],MATCH($C14,INDIRECT(RangePlanCount),0)-1,MATCH(Decimals,Items[#Headers],0)-1,1,1)&gt;0,"."&amp;REPT("0",OFFSET(Items[],MATCH($C14,INDIRECT(RangePlanCount),0)-1,MATCH(Decimals,Items[#Headers],0)-1,1,1)),""))))</f>
        <v/>
      </c>
      <c r="V14" s="302" t="str">
        <f ca="1">IF(OR($C14=OFFSET($C14,1,0),$A14&gt;End,IFERROR(OFFSET(Items[],MATCH($C14,INDIRECT(RangePlanCount),0)-1,MATCH(V$1,Items[#Headers],0)-1,1,1)=0,TRUE)),"",IF(AND(OFFSET(Items[],MATCH($C14,INDIRECT(RangePlanCount),0)-1,MATCH(V$1,Items[#Headers],0)-1,1,1)&gt;0,$J14="LPSM"),"ALL",TEXT(OFFSET(Items[],MATCH($C14,INDIRECT(RangePlanCount),0)-1,MATCH(V$1,Items[#Headers],0)-1,1,1),"###,###,##0"&amp;IF(OFFSET(Items[],MATCH($C14,INDIRECT(RangePlanCount),0)-1,MATCH(Decimals,Items[#Headers],0)-1,1,1)&gt;0,"."&amp;REPT("0",OFFSET(Items[],MATCH($C14,INDIRECT(RangePlanCount),0)-1,MATCH(Decimals,Items[#Headers],0)-1,1,1)),""))))</f>
        <v/>
      </c>
      <c r="W14" s="304" t="str">
        <f ca="1">IF(OR($C14=OFFSET($C14,1,0),$A14&gt;End,IFERROR(OFFSET(Items[],MATCH($C14,INDIRECT(RangePlanCount),0)-1,MATCH(W$1,Items[#Headers],0)-1,1,1)=0,TRUE)),"",IF(AND(OFFSET(Items[],MATCH($C14,INDIRECT(RangePlanCount),0)-1,MATCH(W$1,Items[#Headers],0)-1,1,1)&gt;0,$J14="LPSM"),"ALL",TEXT(OFFSET(Items[],MATCH($C14,INDIRECT(RangePlanCount),0)-1,MATCH(W$1,Items[#Headers],0)-1,1,1),"###,###,##0"&amp;IF(OFFSET(Items[],MATCH($C14,INDIRECT(RangePlanCount),0)-1,MATCH(Decimals,Items[#Headers],0)-1,1,1)&gt;0,"."&amp;REPT("0",OFFSET(Items[],MATCH($C14,INDIRECT(RangePlanCount),0)-1,MATCH(Decimals,Items[#Headers],0)-1,1,1)),""))))</f>
        <v/>
      </c>
      <c r="X14" s="305" t="str">
        <f ca="1">IF(OR($C14=OFFSET($C14,1,0),$A14&gt;End,IFERROR(OFFSET(Items[],MATCH($C14,INDIRECT(RangePlanCount),0)-1,MATCH(X$1,Items[#Headers],0)-1,1,1)=0,TRUE)),"",IF(AND(OFFSET(Items[],MATCH($C14,INDIRECT(RangePlanCount),0)-1,MATCH(X$1,Items[#Headers],0)-1,1,1)&gt;0,$J14="LPSM"),"ALL",TEXT(OFFSET(Items[],MATCH($C14,INDIRECT(RangePlanCount),0)-1,MATCH(X$1,Items[#Headers],0)-1,1,1),"###,###,##0"&amp;IF(OFFSET(Items[],MATCH($C14,INDIRECT(RangePlanCount),0)-1,MATCH(Decimals,Items[#Headers],0)-1,1,1)&gt;0,"."&amp;REPT("0",OFFSET(Items[],MATCH($C14,INDIRECT(RangePlanCount),0)-1,MATCH(Decimals,Items[#Headers],0)-1,1,1)),""))))</f>
        <v/>
      </c>
      <c r="Y14" s="306" t="str">
        <f ca="1">IF(OR($A14&gt;End,COUNTIF($C$7:$C14,$C14)&gt;lines_R),"",IF(COUNTIF($C$7:$C14,$C14)=1,LEFT(VLOOKUP($C14,Calcs[],col_Remarks,0),VLOOKUP($C14,Calcs[],col_R,0)),MID(VLOOKUP($C14,Calcs[],col_Remarks,0),VLOOKUP($C14,Calcs[],col_R+COUNTIF($C$7:$C14,$C14)-2,0)+1,VLOOKUP($C14,Calcs[],col_R+COUNTIF($C$7:$C14,$C14)-1,0)-VLOOKUP($C14,Calcs[],col_R+COUNTIF($C$7:$C14,$C14)-2,0))))</f>
        <v/>
      </c>
      <c r="Z14" s="300"/>
      <c r="AA14" s="1"/>
    </row>
    <row r="15" spans="1:27" ht="15" customHeight="1" x14ac:dyDescent="0.15">
      <c r="A15" s="58">
        <f t="shared" ca="1" si="1"/>
        <v>8</v>
      </c>
      <c r="C15" s="58">
        <f ca="1">IFERROR(VLOOKUP(A15,Calcs[],1,0),OFFSET(C15,1,0))</f>
        <v>8</v>
      </c>
      <c r="D15" s="342"/>
      <c r="E15" s="59"/>
      <c r="F15" s="301">
        <f ca="1">IF(OR($C15=OFFSET($C15,-1,0),$A15&gt;End),"",_xlfn.XLOOKUP($C15,Items[PlanCounter],Items[Amend],_xlfn.XLOOKUP($C15,Proposed[PlanCounter],Proposed[Amend])))</f>
        <v>0</v>
      </c>
      <c r="G15" s="302" t="str">
        <f ca="1">IF(OR($C15=OFFSET($C15,-1,0),$A15&gt;End),"",_xlfn.XLOOKUP($C15,Calcs[Counter],Calcs[Line]))</f>
        <v>A0100</v>
      </c>
      <c r="H15" s="302" t="str" cm="1">
        <f t="array" aca="1" ref="H15" ca="1">IF(OR($C15=OFFSET($C15,-1,0),$A15&gt;End),"",_xlfn.XLOOKUP($C15,INDIRECT(RangePlanCount),INDIRECT(RangeItems)))</f>
        <v>15301-0000</v>
      </c>
      <c r="I15" s="294" t="str">
        <f ca="1">IF(OR($A15&gt;End,COUNTIF($C$7:$C15,$C15)&gt;lines_D),"",IF(COUNTIF($C$7:$C15,$C15)=1,LEFT(VLOOKUP($C15,Calcs[],col_Description,0),VLOOKUP($C15,Calcs[],col_D,0)),MID(VLOOKUP($C15,Calcs[],col_Description,0),VLOOKUP($C15,Calcs[],col_D+COUNTIF($C$7:$C15,$C15)-2,0)+1,VLOOKUP($C15,Calcs[],col_D+COUNTIF($C$7:$C15,$C15)-1,0)-VLOOKUP($C15,Calcs[],col_D+COUNTIF($C$7:$C15,$C15)-2,0))))</f>
        <v>CONTRACTOR QUALITY CONTROL</v>
      </c>
      <c r="J15" s="295" t="str" cm="1">
        <f t="array" aca="1" ref="J15" ca="1">IF(OR($C15=OFFSET($C15,1,0),$A15&gt;End),"",_xlfn.XLOOKUP($C15,INDIRECT(RangePlanCount),INDIRECT(RangeUnit)))</f>
        <v>LPSM</v>
      </c>
      <c r="K15" s="303" t="str">
        <f ca="1">IF(OR($C15=OFFSET($C15,1,0),$A15&gt;End,IFERROR(OFFSET(Items[],MATCH($C15,INDIRECT(RangePlanCount),0)-1,MATCH(K$1,Items[#Headers],0)-1,1,1)=0,TRUE)),"",IF(AND(OFFSET(Items[],MATCH($C15,INDIRECT(RangePlanCount),0)-1,MATCH(K$1,Items[#Headers],0)-1,1,1)&gt;0,$J15="LPSM"),"ALL",TEXT(OFFSET(Items[],MATCH($C15,INDIRECT(RangePlanCount),0)-1,MATCH(K$1,Items[#Headers],0)-1,1,1),"###,###,##0"&amp;IF(OFFSET(Items[],MATCH($C15,INDIRECT(RangePlanCount),0)-1,MATCH(Decimals,Items[#Headers],0)-1,1,1)&gt;0,"."&amp;REPT("0",OFFSET(Items[],MATCH($C15,INDIRECT(RangePlanCount),0)-1,MATCH(Decimals,Items[#Headers],0)-1,1,1)),""))))</f>
        <v/>
      </c>
      <c r="L15" s="302" t="str">
        <f ca="1">IF(OR($C15=OFFSET($C15,1,0),$A15&gt;End,IFERROR(OFFSET(Items[],MATCH($C15,INDIRECT(RangePlanCount),0)-1,MATCH(L$1,Items[#Headers],0)-1,1,1)=0,TRUE)),"",IF(AND(OFFSET(Items[],MATCH($C15,INDIRECT(RangePlanCount),0)-1,MATCH(L$1,Items[#Headers],0)-1,1,1)&gt;0,$J15="LPSM"),"ALL",TEXT(OFFSET(Items[],MATCH($C15,INDIRECT(RangePlanCount),0)-1,MATCH(L$1,Items[#Headers],0)-1,1,1),"###,###,##0"&amp;IF(OFFSET(Items[],MATCH($C15,INDIRECT(RangePlanCount),0)-1,MATCH(Decimals,Items[#Headers],0)-1,1,1)&gt;0,"."&amp;REPT("0",OFFSET(Items[],MATCH($C15,INDIRECT(RangePlanCount),0)-1,MATCH(Decimals,Items[#Headers],0)-1,1,1)),""))))</f>
        <v/>
      </c>
      <c r="M15" s="302" t="str">
        <f ca="1">IF(OR($C15=OFFSET($C15,1,0),$A15&gt;End,IFERROR(OFFSET(Items[],MATCH($C15,INDIRECT(RangePlanCount),0)-1,MATCH(M$1,Items[#Headers],0)-1,1,1)=0,TRUE)),"",IF(AND(OFFSET(Items[],MATCH($C15,INDIRECT(RangePlanCount),0)-1,MATCH(M$1,Items[#Headers],0)-1,1,1)&gt;0,$J15="LPSM"),"ALL",TEXT(OFFSET(Items[],MATCH($C15,INDIRECT(RangePlanCount),0)-1,MATCH(M$1,Items[#Headers],0)-1,1,1),"###,###,##0"&amp;IF(OFFSET(Items[],MATCH($C15,INDIRECT(RangePlanCount),0)-1,MATCH(Decimals,Items[#Headers],0)-1,1,1)&gt;0,"."&amp;REPT("0",OFFSET(Items[],MATCH($C15,INDIRECT(RangePlanCount),0)-1,MATCH(Decimals,Items[#Headers],0)-1,1,1)),""))))</f>
        <v/>
      </c>
      <c r="N15" s="302" t="str">
        <f ca="1">IF(OR($C15=OFFSET($C15,1,0),$A15&gt;End,IFERROR(OFFSET(Items[],MATCH($C15,INDIRECT(RangePlanCount),0)-1,MATCH(N$1,Items[#Headers],0)-1,1,1)=0,TRUE)),"",IF(AND(OFFSET(Items[],MATCH($C15,INDIRECT(RangePlanCount),0)-1,MATCH(N$1,Items[#Headers],0)-1,1,1)&gt;0,$J15="LPSM"),"ALL",TEXT(OFFSET(Items[],MATCH($C15,INDIRECT(RangePlanCount),0)-1,MATCH(N$1,Items[#Headers],0)-1,1,1),"###,###,##0"&amp;IF(OFFSET(Items[],MATCH($C15,INDIRECT(RangePlanCount),0)-1,MATCH(Decimals,Items[#Headers],0)-1,1,1)&gt;0,"."&amp;REPT("0",OFFSET(Items[],MATCH($C15,INDIRECT(RangePlanCount),0)-1,MATCH(Decimals,Items[#Headers],0)-1,1,1)),""))))</f>
        <v/>
      </c>
      <c r="O15" s="302" t="str">
        <f ca="1">IF(OR($C15=OFFSET($C15,1,0),$A15&gt;End,IFERROR(OFFSET(Items[],MATCH($C15,INDIRECT(RangePlanCount),0)-1,MATCH(O$1,Items[#Headers],0)-1,1,1)=0,TRUE)),"",IF(AND(OFFSET(Items[],MATCH($C15,INDIRECT(RangePlanCount),0)-1,MATCH(O$1,Items[#Headers],0)-1,1,1)&gt;0,$J15="LPSM"),"ALL",TEXT(OFFSET(Items[],MATCH($C15,INDIRECT(RangePlanCount),0)-1,MATCH(O$1,Items[#Headers],0)-1,1,1),"###,###,##0"&amp;IF(OFFSET(Items[],MATCH($C15,INDIRECT(RangePlanCount),0)-1,MATCH(Decimals,Items[#Headers],0)-1,1,1)&gt;0,"."&amp;REPT("0",OFFSET(Items[],MATCH($C15,INDIRECT(RangePlanCount),0)-1,MATCH(Decimals,Items[#Headers],0)-1,1,1)),""))))</f>
        <v/>
      </c>
      <c r="P15" s="302" t="str">
        <f ca="1">IF(OR($C15=OFFSET($C15,1,0),$A15&gt;End,IFERROR(OFFSET(Items[],MATCH($C15,INDIRECT(RangePlanCount),0)-1,MATCH(P$1,Items[#Headers],0)-1,1,1)=0,TRUE)),"",IF(AND(OFFSET(Items[],MATCH($C15,INDIRECT(RangePlanCount),0)-1,MATCH(P$1,Items[#Headers],0)-1,1,1)&gt;0,$J15="LPSM"),"ALL",TEXT(OFFSET(Items[],MATCH($C15,INDIRECT(RangePlanCount),0)-1,MATCH(P$1,Items[#Headers],0)-1,1,1),"###,###,##0"&amp;IF(OFFSET(Items[],MATCH($C15,INDIRECT(RangePlanCount),0)-1,MATCH(Decimals,Items[#Headers],0)-1,1,1)&gt;0,"."&amp;REPT("0",OFFSET(Items[],MATCH($C15,INDIRECT(RangePlanCount),0)-1,MATCH(Decimals,Items[#Headers],0)-1,1,1)),""))))</f>
        <v/>
      </c>
      <c r="Q15" s="302" t="str">
        <f ca="1">IF(OR($C15=OFFSET($C15,1,0),$A15&gt;End,IFERROR(OFFSET(Items[],MATCH($C15,INDIRECT(RangePlanCount),0)-1,MATCH(Q$1,Items[#Headers],0)-1,1,1)=0,TRUE)),"",IF(AND(OFFSET(Items[],MATCH($C15,INDIRECT(RangePlanCount),0)-1,MATCH(Q$1,Items[#Headers],0)-1,1,1)&gt;0,$J15="LPSM"),"ALL",TEXT(OFFSET(Items[],MATCH($C15,INDIRECT(RangePlanCount),0)-1,MATCH(Q$1,Items[#Headers],0)-1,1,1),"###,###,##0"&amp;IF(OFFSET(Items[],MATCH($C15,INDIRECT(RangePlanCount),0)-1,MATCH(Decimals,Items[#Headers],0)-1,1,1)&gt;0,"."&amp;REPT("0",OFFSET(Items[],MATCH($C15,INDIRECT(RangePlanCount),0)-1,MATCH(Decimals,Items[#Headers],0)-1,1,1)),""))))</f>
        <v/>
      </c>
      <c r="R15" s="302" t="str">
        <f ca="1">IF(OR($C15=OFFSET($C15,1,0),$A15&gt;End,IFERROR(OFFSET(Items[],MATCH($C15,INDIRECT(RangePlanCount),0)-1,MATCH(R$1,Items[#Headers],0)-1,1,1)=0,TRUE)),"",IF(AND(OFFSET(Items[],MATCH($C15,INDIRECT(RangePlanCount),0)-1,MATCH(R$1,Items[#Headers],0)-1,1,1)&gt;0,$J15="LPSM"),"ALL",TEXT(OFFSET(Items[],MATCH($C15,INDIRECT(RangePlanCount),0)-1,MATCH(R$1,Items[#Headers],0)-1,1,1),"###,###,##0"&amp;IF(OFFSET(Items[],MATCH($C15,INDIRECT(RangePlanCount),0)-1,MATCH(Decimals,Items[#Headers],0)-1,1,1)&gt;0,"."&amp;REPT("0",OFFSET(Items[],MATCH($C15,INDIRECT(RangePlanCount),0)-1,MATCH(Decimals,Items[#Headers],0)-1,1,1)),""))))</f>
        <v/>
      </c>
      <c r="S15" s="302" t="str">
        <f ca="1">IF(OR($C15=OFFSET($C15,1,0),$A15&gt;End,IFERROR(OFFSET(Items[],MATCH($C15,INDIRECT(RangePlanCount),0)-1,MATCH(S$1,Items[#Headers],0)-1,1,1)=0,TRUE)),"",IF(AND(OFFSET(Items[],MATCH($C15,INDIRECT(RangePlanCount),0)-1,MATCH(S$1,Items[#Headers],0)-1,1,1)&gt;0,$J15="LPSM"),"ALL",TEXT(OFFSET(Items[],MATCH($C15,INDIRECT(RangePlanCount),0)-1,MATCH(S$1,Items[#Headers],0)-1,1,1),"###,###,##0"&amp;IF(OFFSET(Items[],MATCH($C15,INDIRECT(RangePlanCount),0)-1,MATCH(Decimals,Items[#Headers],0)-1,1,1)&gt;0,"."&amp;REPT("0",OFFSET(Items[],MATCH($C15,INDIRECT(RangePlanCount),0)-1,MATCH(Decimals,Items[#Headers],0)-1,1,1)),""))))</f>
        <v/>
      </c>
      <c r="T15" s="302" t="str">
        <f ca="1">IF(OR($C15=OFFSET($C15,1,0),$A15&gt;End,IFERROR(OFFSET(Items[],MATCH($C15,INDIRECT(RangePlanCount),0)-1,MATCH(T$1,Items[#Headers],0)-1,1,1)=0,TRUE)),"",IF(AND(OFFSET(Items[],MATCH($C15,INDIRECT(RangePlanCount),0)-1,MATCH(T$1,Items[#Headers],0)-1,1,1)&gt;0,$J15="LPSM"),"ALL",TEXT(OFFSET(Items[],MATCH($C15,INDIRECT(RangePlanCount),0)-1,MATCH(T$1,Items[#Headers],0)-1,1,1),"###,###,##0"&amp;IF(OFFSET(Items[],MATCH($C15,INDIRECT(RangePlanCount),0)-1,MATCH(Decimals,Items[#Headers],0)-1,1,1)&gt;0,"."&amp;REPT("0",OFFSET(Items[],MATCH($C15,INDIRECT(RangePlanCount),0)-1,MATCH(Decimals,Items[#Headers],0)-1,1,1)),""))))</f>
        <v/>
      </c>
      <c r="U15" s="302" t="str">
        <f ca="1">IF(OR($C15=OFFSET($C15,1,0),$A15&gt;End,IFERROR(OFFSET(Items[],MATCH($C15,INDIRECT(RangePlanCount),0)-1,MATCH(U$1,Items[#Headers],0)-1,1,1)=0,TRUE)),"",IF(AND(OFFSET(Items[],MATCH($C15,INDIRECT(RangePlanCount),0)-1,MATCH(U$1,Items[#Headers],0)-1,1,1)&gt;0,$J15="LPSM"),"ALL",TEXT(OFFSET(Items[],MATCH($C15,INDIRECT(RangePlanCount),0)-1,MATCH(U$1,Items[#Headers],0)-1,1,1),"###,###,##0"&amp;IF(OFFSET(Items[],MATCH($C15,INDIRECT(RangePlanCount),0)-1,MATCH(Decimals,Items[#Headers],0)-1,1,1)&gt;0,"."&amp;REPT("0",OFFSET(Items[],MATCH($C15,INDIRECT(RangePlanCount),0)-1,MATCH(Decimals,Items[#Headers],0)-1,1,1)),""))))</f>
        <v/>
      </c>
      <c r="V15" s="302" t="str">
        <f ca="1">IF(OR($C15=OFFSET($C15,1,0),$A15&gt;End,IFERROR(OFFSET(Items[],MATCH($C15,INDIRECT(RangePlanCount),0)-1,MATCH(V$1,Items[#Headers],0)-1,1,1)=0,TRUE)),"",IF(AND(OFFSET(Items[],MATCH($C15,INDIRECT(RangePlanCount),0)-1,MATCH(V$1,Items[#Headers],0)-1,1,1)&gt;0,$J15="LPSM"),"ALL",TEXT(OFFSET(Items[],MATCH($C15,INDIRECT(RangePlanCount),0)-1,MATCH(V$1,Items[#Headers],0)-1,1,1),"###,###,##0"&amp;IF(OFFSET(Items[],MATCH($C15,INDIRECT(RangePlanCount),0)-1,MATCH(Decimals,Items[#Headers],0)-1,1,1)&gt;0,"."&amp;REPT("0",OFFSET(Items[],MATCH($C15,INDIRECT(RangePlanCount),0)-1,MATCH(Decimals,Items[#Headers],0)-1,1,1)),""))))</f>
        <v/>
      </c>
      <c r="W15" s="304" t="str">
        <f ca="1">IF(OR($C15=OFFSET($C15,1,0),$A15&gt;End,IFERROR(OFFSET(Items[],MATCH($C15,INDIRECT(RangePlanCount),0)-1,MATCH(W$1,Items[#Headers],0)-1,1,1)=0,TRUE)),"",IF(AND(OFFSET(Items[],MATCH($C15,INDIRECT(RangePlanCount),0)-1,MATCH(W$1,Items[#Headers],0)-1,1,1)&gt;0,$J15="LPSM"),"ALL",TEXT(OFFSET(Items[],MATCH($C15,INDIRECT(RangePlanCount),0)-1,MATCH(W$1,Items[#Headers],0)-1,1,1),"###,###,##0"&amp;IF(OFFSET(Items[],MATCH($C15,INDIRECT(RangePlanCount),0)-1,MATCH(Decimals,Items[#Headers],0)-1,1,1)&gt;0,"."&amp;REPT("0",OFFSET(Items[],MATCH($C15,INDIRECT(RangePlanCount),0)-1,MATCH(Decimals,Items[#Headers],0)-1,1,1)),""))))</f>
        <v/>
      </c>
      <c r="X15" s="305" t="str">
        <f ca="1">IF(OR($C15=OFFSET($C15,1,0),$A15&gt;End,IFERROR(OFFSET(Items[],MATCH($C15,INDIRECT(RangePlanCount),0)-1,MATCH(X$1,Items[#Headers],0)-1,1,1)=0,TRUE)),"",IF(AND(OFFSET(Items[],MATCH($C15,INDIRECT(RangePlanCount),0)-1,MATCH(X$1,Items[#Headers],0)-1,1,1)&gt;0,$J15="LPSM"),"ALL",TEXT(OFFSET(Items[],MATCH($C15,INDIRECT(RangePlanCount),0)-1,MATCH(X$1,Items[#Headers],0)-1,1,1),"###,###,##0"&amp;IF(OFFSET(Items[],MATCH($C15,INDIRECT(RangePlanCount),0)-1,MATCH(Decimals,Items[#Headers],0)-1,1,1)&gt;0,"."&amp;REPT("0",OFFSET(Items[],MATCH($C15,INDIRECT(RangePlanCount),0)-1,MATCH(Decimals,Items[#Headers],0)-1,1,1)),""))))</f>
        <v>ALL</v>
      </c>
      <c r="Y15" s="306" t="str">
        <f ca="1">IF(OR($A15&gt;End,COUNTIF($C$7:$C15,$C15)&gt;lines_R),"",IF(COUNTIF($C$7:$C15,$C15)=1,LEFT(VLOOKUP($C15,Calcs[],col_Remarks,0),VLOOKUP($C15,Calcs[],col_R,0)),MID(VLOOKUP($C15,Calcs[],col_Remarks,0),VLOOKUP($C15,Calcs[],col_R+COUNTIF($C$7:$C15,$C15)-2,0)+1,VLOOKUP($C15,Calcs[],col_R+COUNTIF($C$7:$C15,$C15)-1,0)-VLOOKUP($C15,Calcs[],col_R+COUNTIF($C$7:$C15,$C15)-2,0))))</f>
        <v/>
      </c>
      <c r="Z15" s="300"/>
      <c r="AA15" s="1"/>
    </row>
    <row r="16" spans="1:27" ht="15" customHeight="1" x14ac:dyDescent="0.15">
      <c r="A16" s="58">
        <f t="shared" ca="1" si="1"/>
        <v>9</v>
      </c>
      <c r="C16" s="58">
        <f ca="1">IFERROR(VLOOKUP(A16,Calcs[],1,0),OFFSET(C16,1,0))</f>
        <v>9</v>
      </c>
      <c r="D16" s="342"/>
      <c r="E16" s="59"/>
      <c r="F16" s="301">
        <f ca="1">IF(OR($C16=OFFSET($C16,-1,0),$A16&gt;End),"",_xlfn.XLOOKUP($C16,Items[PlanCounter],Items[Amend],_xlfn.XLOOKUP($C16,Proposed[PlanCounter],Proposed[Amend])))</f>
        <v>0</v>
      </c>
      <c r="G16" s="302" t="str">
        <f ca="1">IF(OR($C16=OFFSET($C16,-1,0),$A16&gt;End),"",_xlfn.XLOOKUP($C16,Calcs[Counter],Calcs[Line]))</f>
        <v>A0120</v>
      </c>
      <c r="H16" s="302" t="str" cm="1">
        <f t="array" aca="1" ref="H16" ca="1">IF(OR($C16=OFFSET($C16,-1,0),$A16&gt;End),"",_xlfn.XLOOKUP($C16,INDIRECT(RangePlanCount),INDIRECT(RangeItems)))</f>
        <v>15401-0000</v>
      </c>
      <c r="I16" s="294" t="str">
        <f ca="1">IF(OR($A16&gt;End,COUNTIF($C$7:$C16,$C16)&gt;lines_D),"",IF(COUNTIF($C$7:$C16,$C16)=1,LEFT(VLOOKUP($C16,Calcs[],col_Description,0),VLOOKUP($C16,Calcs[],col_D,0)),MID(VLOOKUP($C16,Calcs[],col_Description,0),VLOOKUP($C16,Calcs[],col_D+COUNTIF($C$7:$C16,$C16)-2,0)+1,VLOOKUP($C16,Calcs[],col_D+COUNTIF($C$7:$C16,$C16)-1,0)-VLOOKUP($C16,Calcs[],col_D+COUNTIF($C$7:$C16,$C16)-2,0))))</f>
        <v>CONTRACTOR TESTING</v>
      </c>
      <c r="J16" s="295" t="str" cm="1">
        <f t="array" aca="1" ref="J16" ca="1">IF(OR($C16=OFFSET($C16,1,0),$A16&gt;End),"",_xlfn.XLOOKUP($C16,INDIRECT(RangePlanCount),INDIRECT(RangeUnit)))</f>
        <v>LPSM</v>
      </c>
      <c r="K16" s="303" t="str">
        <f ca="1">IF(OR($C16=OFFSET($C16,1,0),$A16&gt;End,IFERROR(OFFSET(Items[],MATCH($C16,INDIRECT(RangePlanCount),0)-1,MATCH(K$1,Items[#Headers],0)-1,1,1)=0,TRUE)),"",IF(AND(OFFSET(Items[],MATCH($C16,INDIRECT(RangePlanCount),0)-1,MATCH(K$1,Items[#Headers],0)-1,1,1)&gt;0,$J16="LPSM"),"ALL",TEXT(OFFSET(Items[],MATCH($C16,INDIRECT(RangePlanCount),0)-1,MATCH(K$1,Items[#Headers],0)-1,1,1),"###,###,##0"&amp;IF(OFFSET(Items[],MATCH($C16,INDIRECT(RangePlanCount),0)-1,MATCH(Decimals,Items[#Headers],0)-1,1,1)&gt;0,"."&amp;REPT("0",OFFSET(Items[],MATCH($C16,INDIRECT(RangePlanCount),0)-1,MATCH(Decimals,Items[#Headers],0)-1,1,1)),""))))</f>
        <v/>
      </c>
      <c r="L16" s="302" t="str">
        <f ca="1">IF(OR($C16=OFFSET($C16,1,0),$A16&gt;End,IFERROR(OFFSET(Items[],MATCH($C16,INDIRECT(RangePlanCount),0)-1,MATCH(L$1,Items[#Headers],0)-1,1,1)=0,TRUE)),"",IF(AND(OFFSET(Items[],MATCH($C16,INDIRECT(RangePlanCount),0)-1,MATCH(L$1,Items[#Headers],0)-1,1,1)&gt;0,$J16="LPSM"),"ALL",TEXT(OFFSET(Items[],MATCH($C16,INDIRECT(RangePlanCount),0)-1,MATCH(L$1,Items[#Headers],0)-1,1,1),"###,###,##0"&amp;IF(OFFSET(Items[],MATCH($C16,INDIRECT(RangePlanCount),0)-1,MATCH(Decimals,Items[#Headers],0)-1,1,1)&gt;0,"."&amp;REPT("0",OFFSET(Items[],MATCH($C16,INDIRECT(RangePlanCount),0)-1,MATCH(Decimals,Items[#Headers],0)-1,1,1)),""))))</f>
        <v/>
      </c>
      <c r="M16" s="302" t="str">
        <f ca="1">IF(OR($C16=OFFSET($C16,1,0),$A16&gt;End,IFERROR(OFFSET(Items[],MATCH($C16,INDIRECT(RangePlanCount),0)-1,MATCH(M$1,Items[#Headers],0)-1,1,1)=0,TRUE)),"",IF(AND(OFFSET(Items[],MATCH($C16,INDIRECT(RangePlanCount),0)-1,MATCH(M$1,Items[#Headers],0)-1,1,1)&gt;0,$J16="LPSM"),"ALL",TEXT(OFFSET(Items[],MATCH($C16,INDIRECT(RangePlanCount),0)-1,MATCH(M$1,Items[#Headers],0)-1,1,1),"###,###,##0"&amp;IF(OFFSET(Items[],MATCH($C16,INDIRECT(RangePlanCount),0)-1,MATCH(Decimals,Items[#Headers],0)-1,1,1)&gt;0,"."&amp;REPT("0",OFFSET(Items[],MATCH($C16,INDIRECT(RangePlanCount),0)-1,MATCH(Decimals,Items[#Headers],0)-1,1,1)),""))))</f>
        <v/>
      </c>
      <c r="N16" s="302" t="str">
        <f ca="1">IF(OR($C16=OFFSET($C16,1,0),$A16&gt;End,IFERROR(OFFSET(Items[],MATCH($C16,INDIRECT(RangePlanCount),0)-1,MATCH(N$1,Items[#Headers],0)-1,1,1)=0,TRUE)),"",IF(AND(OFFSET(Items[],MATCH($C16,INDIRECT(RangePlanCount),0)-1,MATCH(N$1,Items[#Headers],0)-1,1,1)&gt;0,$J16="LPSM"),"ALL",TEXT(OFFSET(Items[],MATCH($C16,INDIRECT(RangePlanCount),0)-1,MATCH(N$1,Items[#Headers],0)-1,1,1),"###,###,##0"&amp;IF(OFFSET(Items[],MATCH($C16,INDIRECT(RangePlanCount),0)-1,MATCH(Decimals,Items[#Headers],0)-1,1,1)&gt;0,"."&amp;REPT("0",OFFSET(Items[],MATCH($C16,INDIRECT(RangePlanCount),0)-1,MATCH(Decimals,Items[#Headers],0)-1,1,1)),""))))</f>
        <v/>
      </c>
      <c r="O16" s="302" t="str">
        <f ca="1">IF(OR($C16=OFFSET($C16,1,0),$A16&gt;End,IFERROR(OFFSET(Items[],MATCH($C16,INDIRECT(RangePlanCount),0)-1,MATCH(O$1,Items[#Headers],0)-1,1,1)=0,TRUE)),"",IF(AND(OFFSET(Items[],MATCH($C16,INDIRECT(RangePlanCount),0)-1,MATCH(O$1,Items[#Headers],0)-1,1,1)&gt;0,$J16="LPSM"),"ALL",TEXT(OFFSET(Items[],MATCH($C16,INDIRECT(RangePlanCount),0)-1,MATCH(O$1,Items[#Headers],0)-1,1,1),"###,###,##0"&amp;IF(OFFSET(Items[],MATCH($C16,INDIRECT(RangePlanCount),0)-1,MATCH(Decimals,Items[#Headers],0)-1,1,1)&gt;0,"."&amp;REPT("0",OFFSET(Items[],MATCH($C16,INDIRECT(RangePlanCount),0)-1,MATCH(Decimals,Items[#Headers],0)-1,1,1)),""))))</f>
        <v/>
      </c>
      <c r="P16" s="302" t="str">
        <f ca="1">IF(OR($C16=OFFSET($C16,1,0),$A16&gt;End,IFERROR(OFFSET(Items[],MATCH($C16,INDIRECT(RangePlanCount),0)-1,MATCH(P$1,Items[#Headers],0)-1,1,1)=0,TRUE)),"",IF(AND(OFFSET(Items[],MATCH($C16,INDIRECT(RangePlanCount),0)-1,MATCH(P$1,Items[#Headers],0)-1,1,1)&gt;0,$J16="LPSM"),"ALL",TEXT(OFFSET(Items[],MATCH($C16,INDIRECT(RangePlanCount),0)-1,MATCH(P$1,Items[#Headers],0)-1,1,1),"###,###,##0"&amp;IF(OFFSET(Items[],MATCH($C16,INDIRECT(RangePlanCount),0)-1,MATCH(Decimals,Items[#Headers],0)-1,1,1)&gt;0,"."&amp;REPT("0",OFFSET(Items[],MATCH($C16,INDIRECT(RangePlanCount),0)-1,MATCH(Decimals,Items[#Headers],0)-1,1,1)),""))))</f>
        <v/>
      </c>
      <c r="Q16" s="302" t="str">
        <f ca="1">IF(OR($C16=OFFSET($C16,1,0),$A16&gt;End,IFERROR(OFFSET(Items[],MATCH($C16,INDIRECT(RangePlanCount),0)-1,MATCH(Q$1,Items[#Headers],0)-1,1,1)=0,TRUE)),"",IF(AND(OFFSET(Items[],MATCH($C16,INDIRECT(RangePlanCount),0)-1,MATCH(Q$1,Items[#Headers],0)-1,1,1)&gt;0,$J16="LPSM"),"ALL",TEXT(OFFSET(Items[],MATCH($C16,INDIRECT(RangePlanCount),0)-1,MATCH(Q$1,Items[#Headers],0)-1,1,1),"###,###,##0"&amp;IF(OFFSET(Items[],MATCH($C16,INDIRECT(RangePlanCount),0)-1,MATCH(Decimals,Items[#Headers],0)-1,1,1)&gt;0,"."&amp;REPT("0",OFFSET(Items[],MATCH($C16,INDIRECT(RangePlanCount),0)-1,MATCH(Decimals,Items[#Headers],0)-1,1,1)),""))))</f>
        <v/>
      </c>
      <c r="R16" s="302" t="str">
        <f ca="1">IF(OR($C16=OFFSET($C16,1,0),$A16&gt;End,IFERROR(OFFSET(Items[],MATCH($C16,INDIRECT(RangePlanCount),0)-1,MATCH(R$1,Items[#Headers],0)-1,1,1)=0,TRUE)),"",IF(AND(OFFSET(Items[],MATCH($C16,INDIRECT(RangePlanCount),0)-1,MATCH(R$1,Items[#Headers],0)-1,1,1)&gt;0,$J16="LPSM"),"ALL",TEXT(OFFSET(Items[],MATCH($C16,INDIRECT(RangePlanCount),0)-1,MATCH(R$1,Items[#Headers],0)-1,1,1),"###,###,##0"&amp;IF(OFFSET(Items[],MATCH($C16,INDIRECT(RangePlanCount),0)-1,MATCH(Decimals,Items[#Headers],0)-1,1,1)&gt;0,"."&amp;REPT("0",OFFSET(Items[],MATCH($C16,INDIRECT(RangePlanCount),0)-1,MATCH(Decimals,Items[#Headers],0)-1,1,1)),""))))</f>
        <v/>
      </c>
      <c r="S16" s="302" t="str">
        <f ca="1">IF(OR($C16=OFFSET($C16,1,0),$A16&gt;End,IFERROR(OFFSET(Items[],MATCH($C16,INDIRECT(RangePlanCount),0)-1,MATCH(S$1,Items[#Headers],0)-1,1,1)=0,TRUE)),"",IF(AND(OFFSET(Items[],MATCH($C16,INDIRECT(RangePlanCount),0)-1,MATCH(S$1,Items[#Headers],0)-1,1,1)&gt;0,$J16="LPSM"),"ALL",TEXT(OFFSET(Items[],MATCH($C16,INDIRECT(RangePlanCount),0)-1,MATCH(S$1,Items[#Headers],0)-1,1,1),"###,###,##0"&amp;IF(OFFSET(Items[],MATCH($C16,INDIRECT(RangePlanCount),0)-1,MATCH(Decimals,Items[#Headers],0)-1,1,1)&gt;0,"."&amp;REPT("0",OFFSET(Items[],MATCH($C16,INDIRECT(RangePlanCount),0)-1,MATCH(Decimals,Items[#Headers],0)-1,1,1)),""))))</f>
        <v/>
      </c>
      <c r="T16" s="302" t="str">
        <f ca="1">IF(OR($C16=OFFSET($C16,1,0),$A16&gt;End,IFERROR(OFFSET(Items[],MATCH($C16,INDIRECT(RangePlanCount),0)-1,MATCH(T$1,Items[#Headers],0)-1,1,1)=0,TRUE)),"",IF(AND(OFFSET(Items[],MATCH($C16,INDIRECT(RangePlanCount),0)-1,MATCH(T$1,Items[#Headers],0)-1,1,1)&gt;0,$J16="LPSM"),"ALL",TEXT(OFFSET(Items[],MATCH($C16,INDIRECT(RangePlanCount),0)-1,MATCH(T$1,Items[#Headers],0)-1,1,1),"###,###,##0"&amp;IF(OFFSET(Items[],MATCH($C16,INDIRECT(RangePlanCount),0)-1,MATCH(Decimals,Items[#Headers],0)-1,1,1)&gt;0,"."&amp;REPT("0",OFFSET(Items[],MATCH($C16,INDIRECT(RangePlanCount),0)-1,MATCH(Decimals,Items[#Headers],0)-1,1,1)),""))))</f>
        <v/>
      </c>
      <c r="U16" s="302" t="str">
        <f ca="1">IF(OR($C16=OFFSET($C16,1,0),$A16&gt;End,IFERROR(OFFSET(Items[],MATCH($C16,INDIRECT(RangePlanCount),0)-1,MATCH(U$1,Items[#Headers],0)-1,1,1)=0,TRUE)),"",IF(AND(OFFSET(Items[],MATCH($C16,INDIRECT(RangePlanCount),0)-1,MATCH(U$1,Items[#Headers],0)-1,1,1)&gt;0,$J16="LPSM"),"ALL",TEXT(OFFSET(Items[],MATCH($C16,INDIRECT(RangePlanCount),0)-1,MATCH(U$1,Items[#Headers],0)-1,1,1),"###,###,##0"&amp;IF(OFFSET(Items[],MATCH($C16,INDIRECT(RangePlanCount),0)-1,MATCH(Decimals,Items[#Headers],0)-1,1,1)&gt;0,"."&amp;REPT("0",OFFSET(Items[],MATCH($C16,INDIRECT(RangePlanCount),0)-1,MATCH(Decimals,Items[#Headers],0)-1,1,1)),""))))</f>
        <v/>
      </c>
      <c r="V16" s="302" t="str">
        <f ca="1">IF(OR($C16=OFFSET($C16,1,0),$A16&gt;End,IFERROR(OFFSET(Items[],MATCH($C16,INDIRECT(RangePlanCount),0)-1,MATCH(V$1,Items[#Headers],0)-1,1,1)=0,TRUE)),"",IF(AND(OFFSET(Items[],MATCH($C16,INDIRECT(RangePlanCount),0)-1,MATCH(V$1,Items[#Headers],0)-1,1,1)&gt;0,$J16="LPSM"),"ALL",TEXT(OFFSET(Items[],MATCH($C16,INDIRECT(RangePlanCount),0)-1,MATCH(V$1,Items[#Headers],0)-1,1,1),"###,###,##0"&amp;IF(OFFSET(Items[],MATCH($C16,INDIRECT(RangePlanCount),0)-1,MATCH(Decimals,Items[#Headers],0)-1,1,1)&gt;0,"."&amp;REPT("0",OFFSET(Items[],MATCH($C16,INDIRECT(RangePlanCount),0)-1,MATCH(Decimals,Items[#Headers],0)-1,1,1)),""))))</f>
        <v/>
      </c>
      <c r="W16" s="304" t="str">
        <f ca="1">IF(OR($C16=OFFSET($C16,1,0),$A16&gt;End,IFERROR(OFFSET(Items[],MATCH($C16,INDIRECT(RangePlanCount),0)-1,MATCH(W$1,Items[#Headers],0)-1,1,1)=0,TRUE)),"",IF(AND(OFFSET(Items[],MATCH($C16,INDIRECT(RangePlanCount),0)-1,MATCH(W$1,Items[#Headers],0)-1,1,1)&gt;0,$J16="LPSM"),"ALL",TEXT(OFFSET(Items[],MATCH($C16,INDIRECT(RangePlanCount),0)-1,MATCH(W$1,Items[#Headers],0)-1,1,1),"###,###,##0"&amp;IF(OFFSET(Items[],MATCH($C16,INDIRECT(RangePlanCount),0)-1,MATCH(Decimals,Items[#Headers],0)-1,1,1)&gt;0,"."&amp;REPT("0",OFFSET(Items[],MATCH($C16,INDIRECT(RangePlanCount),0)-1,MATCH(Decimals,Items[#Headers],0)-1,1,1)),""))))</f>
        <v/>
      </c>
      <c r="X16" s="305" t="str">
        <f ca="1">IF(OR($C16=OFFSET($C16,1,0),$A16&gt;End,IFERROR(OFFSET(Items[],MATCH($C16,INDIRECT(RangePlanCount),0)-1,MATCH(X$1,Items[#Headers],0)-1,1,1)=0,TRUE)),"",IF(AND(OFFSET(Items[],MATCH($C16,INDIRECT(RangePlanCount),0)-1,MATCH(X$1,Items[#Headers],0)-1,1,1)&gt;0,$J16="LPSM"),"ALL",TEXT(OFFSET(Items[],MATCH($C16,INDIRECT(RangePlanCount),0)-1,MATCH(X$1,Items[#Headers],0)-1,1,1),"###,###,##0"&amp;IF(OFFSET(Items[],MATCH($C16,INDIRECT(RangePlanCount),0)-1,MATCH(Decimals,Items[#Headers],0)-1,1,1)&gt;0,"."&amp;REPT("0",OFFSET(Items[],MATCH($C16,INDIRECT(RangePlanCount),0)-1,MATCH(Decimals,Items[#Headers],0)-1,1,1)),""))))</f>
        <v>ALL</v>
      </c>
      <c r="Y16" s="306" t="str">
        <f ca="1">IF(OR($A16&gt;End,COUNTIF($C$7:$C16,$C16)&gt;lines_R),"",IF(COUNTIF($C$7:$C16,$C16)=1,LEFT(VLOOKUP($C16,Calcs[],col_Remarks,0),VLOOKUP($C16,Calcs[],col_R,0)),MID(VLOOKUP($C16,Calcs[],col_Remarks,0),VLOOKUP($C16,Calcs[],col_R+COUNTIF($C$7:$C16,$C16)-2,0)+1,VLOOKUP($C16,Calcs[],col_R+COUNTIF($C$7:$C16,$C16)-1,0)-VLOOKUP($C16,Calcs[],col_R+COUNTIF($C$7:$C16,$C16)-2,0))))</f>
        <v/>
      </c>
      <c r="Z16" s="300"/>
      <c r="AA16" s="1"/>
    </row>
    <row r="17" spans="1:27" ht="15" customHeight="1" x14ac:dyDescent="0.15">
      <c r="A17" s="58">
        <f t="shared" ca="1" si="1"/>
        <v>10</v>
      </c>
      <c r="C17" s="58">
        <f ca="1">IFERROR(VLOOKUP(A17,Calcs[],1,0),OFFSET(C17,1,0))</f>
        <v>10</v>
      </c>
      <c r="D17" s="342"/>
      <c r="E17" s="59"/>
      <c r="F17" s="301">
        <f ca="1">IF(OR($C17=OFFSET($C17,-1,0),$A17&gt;End),"",_xlfn.XLOOKUP($C17,Items[PlanCounter],Items[Amend],_xlfn.XLOOKUP($C17,Proposed[PlanCounter],Proposed[Amend])))</f>
        <v>0</v>
      </c>
      <c r="G17" s="302" t="str">
        <f ca="1">IF(OR($C17=OFFSET($C17,-1,0),$A17&gt;End),"",_xlfn.XLOOKUP($C17,Calcs[Counter],Calcs[Line]))</f>
        <v>A0140</v>
      </c>
      <c r="H17" s="302" t="str" cm="1">
        <f t="array" aca="1" ref="H17" ca="1">IF(OR($C17=OFFSET($C17,-1,0),$A17&gt;End),"",_xlfn.XLOOKUP($C17,INDIRECT(RangePlanCount),INDIRECT(RangeItems)))</f>
        <v>15501-0000</v>
      </c>
      <c r="I17" s="294" t="str">
        <f ca="1">IF(OR($A17&gt;End,COUNTIF($C$7:$C17,$C17)&gt;lines_D),"",IF(COUNTIF($C$7:$C17,$C17)=1,LEFT(VLOOKUP($C17,Calcs[],col_Description,0),VLOOKUP($C17,Calcs[],col_D,0)),MID(VLOOKUP($C17,Calcs[],col_Description,0),VLOOKUP($C17,Calcs[],col_D+COUNTIF($C$7:$C17,$C17)-2,0)+1,VLOOKUP($C17,Calcs[],col_D+COUNTIF($C$7:$C17,$C17)-1,0)-VLOOKUP($C17,Calcs[],col_D+COUNTIF($C$7:$C17,$C17)-2,0))))</f>
        <v>CONSTRUCTION SCHEDULE</v>
      </c>
      <c r="J17" s="295" t="str" cm="1">
        <f t="array" aca="1" ref="J17" ca="1">IF(OR($C17=OFFSET($C17,1,0),$A17&gt;End),"",_xlfn.XLOOKUP($C17,INDIRECT(RangePlanCount),INDIRECT(RangeUnit)))</f>
        <v>LPSM</v>
      </c>
      <c r="K17" s="303" t="str">
        <f ca="1">IF(OR($C17=OFFSET($C17,1,0),$A17&gt;End,IFERROR(OFFSET(Items[],MATCH($C17,INDIRECT(RangePlanCount),0)-1,MATCH(K$1,Items[#Headers],0)-1,1,1)=0,TRUE)),"",IF(AND(OFFSET(Items[],MATCH($C17,INDIRECT(RangePlanCount),0)-1,MATCH(K$1,Items[#Headers],0)-1,1,1)&gt;0,$J17="LPSM"),"ALL",TEXT(OFFSET(Items[],MATCH($C17,INDIRECT(RangePlanCount),0)-1,MATCH(K$1,Items[#Headers],0)-1,1,1),"###,###,##0"&amp;IF(OFFSET(Items[],MATCH($C17,INDIRECT(RangePlanCount),0)-1,MATCH(Decimals,Items[#Headers],0)-1,1,1)&gt;0,"."&amp;REPT("0",OFFSET(Items[],MATCH($C17,INDIRECT(RangePlanCount),0)-1,MATCH(Decimals,Items[#Headers],0)-1,1,1)),""))))</f>
        <v/>
      </c>
      <c r="L17" s="302" t="str">
        <f ca="1">IF(OR($C17=OFFSET($C17,1,0),$A17&gt;End,IFERROR(OFFSET(Items[],MATCH($C17,INDIRECT(RangePlanCount),0)-1,MATCH(L$1,Items[#Headers],0)-1,1,1)=0,TRUE)),"",IF(AND(OFFSET(Items[],MATCH($C17,INDIRECT(RangePlanCount),0)-1,MATCH(L$1,Items[#Headers],0)-1,1,1)&gt;0,$J17="LPSM"),"ALL",TEXT(OFFSET(Items[],MATCH($C17,INDIRECT(RangePlanCount),0)-1,MATCH(L$1,Items[#Headers],0)-1,1,1),"###,###,##0"&amp;IF(OFFSET(Items[],MATCH($C17,INDIRECT(RangePlanCount),0)-1,MATCH(Decimals,Items[#Headers],0)-1,1,1)&gt;0,"."&amp;REPT("0",OFFSET(Items[],MATCH($C17,INDIRECT(RangePlanCount),0)-1,MATCH(Decimals,Items[#Headers],0)-1,1,1)),""))))</f>
        <v/>
      </c>
      <c r="M17" s="302" t="str">
        <f ca="1">IF(OR($C17=OFFSET($C17,1,0),$A17&gt;End,IFERROR(OFFSET(Items[],MATCH($C17,INDIRECT(RangePlanCount),0)-1,MATCH(M$1,Items[#Headers],0)-1,1,1)=0,TRUE)),"",IF(AND(OFFSET(Items[],MATCH($C17,INDIRECT(RangePlanCount),0)-1,MATCH(M$1,Items[#Headers],0)-1,1,1)&gt;0,$J17="LPSM"),"ALL",TEXT(OFFSET(Items[],MATCH($C17,INDIRECT(RangePlanCount),0)-1,MATCH(M$1,Items[#Headers],0)-1,1,1),"###,###,##0"&amp;IF(OFFSET(Items[],MATCH($C17,INDIRECT(RangePlanCount),0)-1,MATCH(Decimals,Items[#Headers],0)-1,1,1)&gt;0,"."&amp;REPT("0",OFFSET(Items[],MATCH($C17,INDIRECT(RangePlanCount),0)-1,MATCH(Decimals,Items[#Headers],0)-1,1,1)),""))))</f>
        <v/>
      </c>
      <c r="N17" s="302" t="str">
        <f ca="1">IF(OR($C17=OFFSET($C17,1,0),$A17&gt;End,IFERROR(OFFSET(Items[],MATCH($C17,INDIRECT(RangePlanCount),0)-1,MATCH(N$1,Items[#Headers],0)-1,1,1)=0,TRUE)),"",IF(AND(OFFSET(Items[],MATCH($C17,INDIRECT(RangePlanCount),0)-1,MATCH(N$1,Items[#Headers],0)-1,1,1)&gt;0,$J17="LPSM"),"ALL",TEXT(OFFSET(Items[],MATCH($C17,INDIRECT(RangePlanCount),0)-1,MATCH(N$1,Items[#Headers],0)-1,1,1),"###,###,##0"&amp;IF(OFFSET(Items[],MATCH($C17,INDIRECT(RangePlanCount),0)-1,MATCH(Decimals,Items[#Headers],0)-1,1,1)&gt;0,"."&amp;REPT("0",OFFSET(Items[],MATCH($C17,INDIRECT(RangePlanCount),0)-1,MATCH(Decimals,Items[#Headers],0)-1,1,1)),""))))</f>
        <v/>
      </c>
      <c r="O17" s="302" t="str">
        <f ca="1">IF(OR($C17=OFFSET($C17,1,0),$A17&gt;End,IFERROR(OFFSET(Items[],MATCH($C17,INDIRECT(RangePlanCount),0)-1,MATCH(O$1,Items[#Headers],0)-1,1,1)=0,TRUE)),"",IF(AND(OFFSET(Items[],MATCH($C17,INDIRECT(RangePlanCount),0)-1,MATCH(O$1,Items[#Headers],0)-1,1,1)&gt;0,$J17="LPSM"),"ALL",TEXT(OFFSET(Items[],MATCH($C17,INDIRECT(RangePlanCount),0)-1,MATCH(O$1,Items[#Headers],0)-1,1,1),"###,###,##0"&amp;IF(OFFSET(Items[],MATCH($C17,INDIRECT(RangePlanCount),0)-1,MATCH(Decimals,Items[#Headers],0)-1,1,1)&gt;0,"."&amp;REPT("0",OFFSET(Items[],MATCH($C17,INDIRECT(RangePlanCount),0)-1,MATCH(Decimals,Items[#Headers],0)-1,1,1)),""))))</f>
        <v/>
      </c>
      <c r="P17" s="302" t="str">
        <f ca="1">IF(OR($C17=OFFSET($C17,1,0),$A17&gt;End,IFERROR(OFFSET(Items[],MATCH($C17,INDIRECT(RangePlanCount),0)-1,MATCH(P$1,Items[#Headers],0)-1,1,1)=0,TRUE)),"",IF(AND(OFFSET(Items[],MATCH($C17,INDIRECT(RangePlanCount),0)-1,MATCH(P$1,Items[#Headers],0)-1,1,1)&gt;0,$J17="LPSM"),"ALL",TEXT(OFFSET(Items[],MATCH($C17,INDIRECT(RangePlanCount),0)-1,MATCH(P$1,Items[#Headers],0)-1,1,1),"###,###,##0"&amp;IF(OFFSET(Items[],MATCH($C17,INDIRECT(RangePlanCount),0)-1,MATCH(Decimals,Items[#Headers],0)-1,1,1)&gt;0,"."&amp;REPT("0",OFFSET(Items[],MATCH($C17,INDIRECT(RangePlanCount),0)-1,MATCH(Decimals,Items[#Headers],0)-1,1,1)),""))))</f>
        <v/>
      </c>
      <c r="Q17" s="302" t="str">
        <f ca="1">IF(OR($C17=OFFSET($C17,1,0),$A17&gt;End,IFERROR(OFFSET(Items[],MATCH($C17,INDIRECT(RangePlanCount),0)-1,MATCH(Q$1,Items[#Headers],0)-1,1,1)=0,TRUE)),"",IF(AND(OFFSET(Items[],MATCH($C17,INDIRECT(RangePlanCount),0)-1,MATCH(Q$1,Items[#Headers],0)-1,1,1)&gt;0,$J17="LPSM"),"ALL",TEXT(OFFSET(Items[],MATCH($C17,INDIRECT(RangePlanCount),0)-1,MATCH(Q$1,Items[#Headers],0)-1,1,1),"###,###,##0"&amp;IF(OFFSET(Items[],MATCH($C17,INDIRECT(RangePlanCount),0)-1,MATCH(Decimals,Items[#Headers],0)-1,1,1)&gt;0,"."&amp;REPT("0",OFFSET(Items[],MATCH($C17,INDIRECT(RangePlanCount),0)-1,MATCH(Decimals,Items[#Headers],0)-1,1,1)),""))))</f>
        <v/>
      </c>
      <c r="R17" s="302" t="str">
        <f ca="1">IF(OR($C17=OFFSET($C17,1,0),$A17&gt;End,IFERROR(OFFSET(Items[],MATCH($C17,INDIRECT(RangePlanCount),0)-1,MATCH(R$1,Items[#Headers],0)-1,1,1)=0,TRUE)),"",IF(AND(OFFSET(Items[],MATCH($C17,INDIRECT(RangePlanCount),0)-1,MATCH(R$1,Items[#Headers],0)-1,1,1)&gt;0,$J17="LPSM"),"ALL",TEXT(OFFSET(Items[],MATCH($C17,INDIRECT(RangePlanCount),0)-1,MATCH(R$1,Items[#Headers],0)-1,1,1),"###,###,##0"&amp;IF(OFFSET(Items[],MATCH($C17,INDIRECT(RangePlanCount),0)-1,MATCH(Decimals,Items[#Headers],0)-1,1,1)&gt;0,"."&amp;REPT("0",OFFSET(Items[],MATCH($C17,INDIRECT(RangePlanCount),0)-1,MATCH(Decimals,Items[#Headers],0)-1,1,1)),""))))</f>
        <v/>
      </c>
      <c r="S17" s="302" t="str">
        <f ca="1">IF(OR($C17=OFFSET($C17,1,0),$A17&gt;End,IFERROR(OFFSET(Items[],MATCH($C17,INDIRECT(RangePlanCount),0)-1,MATCH(S$1,Items[#Headers],0)-1,1,1)=0,TRUE)),"",IF(AND(OFFSET(Items[],MATCH($C17,INDIRECT(RangePlanCount),0)-1,MATCH(S$1,Items[#Headers],0)-1,1,1)&gt;0,$J17="LPSM"),"ALL",TEXT(OFFSET(Items[],MATCH($C17,INDIRECT(RangePlanCount),0)-1,MATCH(S$1,Items[#Headers],0)-1,1,1),"###,###,##0"&amp;IF(OFFSET(Items[],MATCH($C17,INDIRECT(RangePlanCount),0)-1,MATCH(Decimals,Items[#Headers],0)-1,1,1)&gt;0,"."&amp;REPT("0",OFFSET(Items[],MATCH($C17,INDIRECT(RangePlanCount),0)-1,MATCH(Decimals,Items[#Headers],0)-1,1,1)),""))))</f>
        <v/>
      </c>
      <c r="T17" s="302" t="str">
        <f ca="1">IF(OR($C17=OFFSET($C17,1,0),$A17&gt;End,IFERROR(OFFSET(Items[],MATCH($C17,INDIRECT(RangePlanCount),0)-1,MATCH(T$1,Items[#Headers],0)-1,1,1)=0,TRUE)),"",IF(AND(OFFSET(Items[],MATCH($C17,INDIRECT(RangePlanCount),0)-1,MATCH(T$1,Items[#Headers],0)-1,1,1)&gt;0,$J17="LPSM"),"ALL",TEXT(OFFSET(Items[],MATCH($C17,INDIRECT(RangePlanCount),0)-1,MATCH(T$1,Items[#Headers],0)-1,1,1),"###,###,##0"&amp;IF(OFFSET(Items[],MATCH($C17,INDIRECT(RangePlanCount),0)-1,MATCH(Decimals,Items[#Headers],0)-1,1,1)&gt;0,"."&amp;REPT("0",OFFSET(Items[],MATCH($C17,INDIRECT(RangePlanCount),0)-1,MATCH(Decimals,Items[#Headers],0)-1,1,1)),""))))</f>
        <v/>
      </c>
      <c r="U17" s="302" t="str">
        <f ca="1">IF(OR($C17=OFFSET($C17,1,0),$A17&gt;End,IFERROR(OFFSET(Items[],MATCH($C17,INDIRECT(RangePlanCount),0)-1,MATCH(U$1,Items[#Headers],0)-1,1,1)=0,TRUE)),"",IF(AND(OFFSET(Items[],MATCH($C17,INDIRECT(RangePlanCount),0)-1,MATCH(U$1,Items[#Headers],0)-1,1,1)&gt;0,$J17="LPSM"),"ALL",TEXT(OFFSET(Items[],MATCH($C17,INDIRECT(RangePlanCount),0)-1,MATCH(U$1,Items[#Headers],0)-1,1,1),"###,###,##0"&amp;IF(OFFSET(Items[],MATCH($C17,INDIRECT(RangePlanCount),0)-1,MATCH(Decimals,Items[#Headers],0)-1,1,1)&gt;0,"."&amp;REPT("0",OFFSET(Items[],MATCH($C17,INDIRECT(RangePlanCount),0)-1,MATCH(Decimals,Items[#Headers],0)-1,1,1)),""))))</f>
        <v/>
      </c>
      <c r="V17" s="302" t="str">
        <f ca="1">IF(OR($C17=OFFSET($C17,1,0),$A17&gt;End,IFERROR(OFFSET(Items[],MATCH($C17,INDIRECT(RangePlanCount),0)-1,MATCH(V$1,Items[#Headers],0)-1,1,1)=0,TRUE)),"",IF(AND(OFFSET(Items[],MATCH($C17,INDIRECT(RangePlanCount),0)-1,MATCH(V$1,Items[#Headers],0)-1,1,1)&gt;0,$J17="LPSM"),"ALL",TEXT(OFFSET(Items[],MATCH($C17,INDIRECT(RangePlanCount),0)-1,MATCH(V$1,Items[#Headers],0)-1,1,1),"###,###,##0"&amp;IF(OFFSET(Items[],MATCH($C17,INDIRECT(RangePlanCount),0)-1,MATCH(Decimals,Items[#Headers],0)-1,1,1)&gt;0,"."&amp;REPT("0",OFFSET(Items[],MATCH($C17,INDIRECT(RangePlanCount),0)-1,MATCH(Decimals,Items[#Headers],0)-1,1,1)),""))))</f>
        <v/>
      </c>
      <c r="W17" s="304" t="str">
        <f ca="1">IF(OR($C17=OFFSET($C17,1,0),$A17&gt;End,IFERROR(OFFSET(Items[],MATCH($C17,INDIRECT(RangePlanCount),0)-1,MATCH(W$1,Items[#Headers],0)-1,1,1)=0,TRUE)),"",IF(AND(OFFSET(Items[],MATCH($C17,INDIRECT(RangePlanCount),0)-1,MATCH(W$1,Items[#Headers],0)-1,1,1)&gt;0,$J17="LPSM"),"ALL",TEXT(OFFSET(Items[],MATCH($C17,INDIRECT(RangePlanCount),0)-1,MATCH(W$1,Items[#Headers],0)-1,1,1),"###,###,##0"&amp;IF(OFFSET(Items[],MATCH($C17,INDIRECT(RangePlanCount),0)-1,MATCH(Decimals,Items[#Headers],0)-1,1,1)&gt;0,"."&amp;REPT("0",OFFSET(Items[],MATCH($C17,INDIRECT(RangePlanCount),0)-1,MATCH(Decimals,Items[#Headers],0)-1,1,1)),""))))</f>
        <v/>
      </c>
      <c r="X17" s="305" t="str">
        <f ca="1">IF(OR($C17=OFFSET($C17,1,0),$A17&gt;End,IFERROR(OFFSET(Items[],MATCH($C17,INDIRECT(RangePlanCount),0)-1,MATCH(X$1,Items[#Headers],0)-1,1,1)=0,TRUE)),"",IF(AND(OFFSET(Items[],MATCH($C17,INDIRECT(RangePlanCount),0)-1,MATCH(X$1,Items[#Headers],0)-1,1,1)&gt;0,$J17="LPSM"),"ALL",TEXT(OFFSET(Items[],MATCH($C17,INDIRECT(RangePlanCount),0)-1,MATCH(X$1,Items[#Headers],0)-1,1,1),"###,###,##0"&amp;IF(OFFSET(Items[],MATCH($C17,INDIRECT(RangePlanCount),0)-1,MATCH(Decimals,Items[#Headers],0)-1,1,1)&gt;0,"."&amp;REPT("0",OFFSET(Items[],MATCH($C17,INDIRECT(RangePlanCount),0)-1,MATCH(Decimals,Items[#Headers],0)-1,1,1)),""))))</f>
        <v>ALL</v>
      </c>
      <c r="Y17" s="306" t="str">
        <f ca="1">IF(OR($A17&gt;End,COUNTIF($C$7:$C17,$C17)&gt;lines_R),"",IF(COUNTIF($C$7:$C17,$C17)=1,LEFT(VLOOKUP($C17,Calcs[],col_Remarks,0),VLOOKUP($C17,Calcs[],col_R,0)),MID(VLOOKUP($C17,Calcs[],col_Remarks,0),VLOOKUP($C17,Calcs[],col_R+COUNTIF($C$7:$C17,$C17)-2,0)+1,VLOOKUP($C17,Calcs[],col_R+COUNTIF($C$7:$C17,$C17)-1,0)-VLOOKUP($C17,Calcs[],col_R+COUNTIF($C$7:$C17,$C17)-2,0))))</f>
        <v/>
      </c>
      <c r="Z17" s="300"/>
      <c r="AA17" s="1"/>
    </row>
    <row r="18" spans="1:27" ht="15" customHeight="1" x14ac:dyDescent="0.15">
      <c r="A18" s="58">
        <f t="shared" ca="1" si="1"/>
        <v>11</v>
      </c>
      <c r="C18" s="58">
        <f ca="1">IFERROR(VLOOKUP(A18,Calcs[],1,0),OFFSET(C18,1,0))</f>
        <v>0</v>
      </c>
      <c r="D18" s="342"/>
      <c r="E18" s="59"/>
      <c r="F18" s="301" t="str">
        <f ca="1">IF(OR($C18=OFFSET($C18,-1,0),$A18&gt;End),"",_xlfn.XLOOKUP($C18,Items[PlanCounter],Items[Amend],_xlfn.XLOOKUP($C18,Proposed[PlanCounter],Proposed[Amend])))</f>
        <v/>
      </c>
      <c r="G18" s="302" t="str">
        <f ca="1">IF(OR($C18=OFFSET($C18,-1,0),$A18&gt;End),"",_xlfn.XLOOKUP($C18,Calcs[Counter],Calcs[Line]))</f>
        <v/>
      </c>
      <c r="H18" s="302" t="str" cm="1">
        <f t="array" aca="1" ref="H18" ca="1">IF(OR($C18=OFFSET($C18,-1,0),$A18&gt;End),"",_xlfn.XLOOKUP($C18,INDIRECT(RangePlanCount),INDIRECT(RangeItems)))</f>
        <v/>
      </c>
      <c r="I18" s="294" t="str">
        <f ca="1">IF(OR($A18&gt;End,COUNTIF($C$7:$C18,$C18)&gt;lines_D),"",IF(COUNTIF($C$7:$C18,$C18)=1,LEFT(VLOOKUP($C18,Calcs[],col_Description,0),VLOOKUP($C18,Calcs[],col_D,0)),MID(VLOOKUP($C18,Calcs[],col_Description,0),VLOOKUP($C18,Calcs[],col_D+COUNTIF($C$7:$C18,$C18)-2,0)+1,VLOOKUP($C18,Calcs[],col_D+COUNTIF($C$7:$C18,$C18)-1,0)-VLOOKUP($C18,Calcs[],col_D+COUNTIF($C$7:$C18,$C18)-2,0))))</f>
        <v/>
      </c>
      <c r="J18" s="295" t="str" cm="1">
        <f t="array" aca="1" ref="J18" ca="1">IF(OR($C18=OFFSET($C18,1,0),$A18&gt;End),"",_xlfn.XLOOKUP($C18,INDIRECT(RangePlanCount),INDIRECT(RangeUnit)))</f>
        <v/>
      </c>
      <c r="K18" s="303" t="str">
        <f ca="1">IF(OR($C18=OFFSET($C18,1,0),$A18&gt;End,IFERROR(OFFSET(Items[],MATCH($C18,INDIRECT(RangePlanCount),0)-1,MATCH(K$1,Items[#Headers],0)-1,1,1)=0,TRUE)),"",IF(AND(OFFSET(Items[],MATCH($C18,INDIRECT(RangePlanCount),0)-1,MATCH(K$1,Items[#Headers],0)-1,1,1)&gt;0,$J18="LPSM"),"ALL",TEXT(OFFSET(Items[],MATCH($C18,INDIRECT(RangePlanCount),0)-1,MATCH(K$1,Items[#Headers],0)-1,1,1),"###,###,##0"&amp;IF(OFFSET(Items[],MATCH($C18,INDIRECT(RangePlanCount),0)-1,MATCH(Decimals,Items[#Headers],0)-1,1,1)&gt;0,"."&amp;REPT("0",OFFSET(Items[],MATCH($C18,INDIRECT(RangePlanCount),0)-1,MATCH(Decimals,Items[#Headers],0)-1,1,1)),""))))</f>
        <v/>
      </c>
      <c r="L18" s="302" t="str">
        <f ca="1">IF(OR($C18=OFFSET($C18,1,0),$A18&gt;End,IFERROR(OFFSET(Items[],MATCH($C18,INDIRECT(RangePlanCount),0)-1,MATCH(L$1,Items[#Headers],0)-1,1,1)=0,TRUE)),"",IF(AND(OFFSET(Items[],MATCH($C18,INDIRECT(RangePlanCount),0)-1,MATCH(L$1,Items[#Headers],0)-1,1,1)&gt;0,$J18="LPSM"),"ALL",TEXT(OFFSET(Items[],MATCH($C18,INDIRECT(RangePlanCount),0)-1,MATCH(L$1,Items[#Headers],0)-1,1,1),"###,###,##0"&amp;IF(OFFSET(Items[],MATCH($C18,INDIRECT(RangePlanCount),0)-1,MATCH(Decimals,Items[#Headers],0)-1,1,1)&gt;0,"."&amp;REPT("0",OFFSET(Items[],MATCH($C18,INDIRECT(RangePlanCount),0)-1,MATCH(Decimals,Items[#Headers],0)-1,1,1)),""))))</f>
        <v/>
      </c>
      <c r="M18" s="302" t="str">
        <f ca="1">IF(OR($C18=OFFSET($C18,1,0),$A18&gt;End,IFERROR(OFFSET(Items[],MATCH($C18,INDIRECT(RangePlanCount),0)-1,MATCH(M$1,Items[#Headers],0)-1,1,1)=0,TRUE)),"",IF(AND(OFFSET(Items[],MATCH($C18,INDIRECT(RangePlanCount),0)-1,MATCH(M$1,Items[#Headers],0)-1,1,1)&gt;0,$J18="LPSM"),"ALL",TEXT(OFFSET(Items[],MATCH($C18,INDIRECT(RangePlanCount),0)-1,MATCH(M$1,Items[#Headers],0)-1,1,1),"###,###,##0"&amp;IF(OFFSET(Items[],MATCH($C18,INDIRECT(RangePlanCount),0)-1,MATCH(Decimals,Items[#Headers],0)-1,1,1)&gt;0,"."&amp;REPT("0",OFFSET(Items[],MATCH($C18,INDIRECT(RangePlanCount),0)-1,MATCH(Decimals,Items[#Headers],0)-1,1,1)),""))))</f>
        <v/>
      </c>
      <c r="N18" s="302" t="str">
        <f ca="1">IF(OR($C18=OFFSET($C18,1,0),$A18&gt;End,IFERROR(OFFSET(Items[],MATCH($C18,INDIRECT(RangePlanCount),0)-1,MATCH(N$1,Items[#Headers],0)-1,1,1)=0,TRUE)),"",IF(AND(OFFSET(Items[],MATCH($C18,INDIRECT(RangePlanCount),0)-1,MATCH(N$1,Items[#Headers],0)-1,1,1)&gt;0,$J18="LPSM"),"ALL",TEXT(OFFSET(Items[],MATCH($C18,INDIRECT(RangePlanCount),0)-1,MATCH(N$1,Items[#Headers],0)-1,1,1),"###,###,##0"&amp;IF(OFFSET(Items[],MATCH($C18,INDIRECT(RangePlanCount),0)-1,MATCH(Decimals,Items[#Headers],0)-1,1,1)&gt;0,"."&amp;REPT("0",OFFSET(Items[],MATCH($C18,INDIRECT(RangePlanCount),0)-1,MATCH(Decimals,Items[#Headers],0)-1,1,1)),""))))</f>
        <v/>
      </c>
      <c r="O18" s="302" t="str">
        <f ca="1">IF(OR($C18=OFFSET($C18,1,0),$A18&gt;End,IFERROR(OFFSET(Items[],MATCH($C18,INDIRECT(RangePlanCount),0)-1,MATCH(O$1,Items[#Headers],0)-1,1,1)=0,TRUE)),"",IF(AND(OFFSET(Items[],MATCH($C18,INDIRECT(RangePlanCount),0)-1,MATCH(O$1,Items[#Headers],0)-1,1,1)&gt;0,$J18="LPSM"),"ALL",TEXT(OFFSET(Items[],MATCH($C18,INDIRECT(RangePlanCount),0)-1,MATCH(O$1,Items[#Headers],0)-1,1,1),"###,###,##0"&amp;IF(OFFSET(Items[],MATCH($C18,INDIRECT(RangePlanCount),0)-1,MATCH(Decimals,Items[#Headers],0)-1,1,1)&gt;0,"."&amp;REPT("0",OFFSET(Items[],MATCH($C18,INDIRECT(RangePlanCount),0)-1,MATCH(Decimals,Items[#Headers],0)-1,1,1)),""))))</f>
        <v/>
      </c>
      <c r="P18" s="302" t="str">
        <f ca="1">IF(OR($C18=OFFSET($C18,1,0),$A18&gt;End,IFERROR(OFFSET(Items[],MATCH($C18,INDIRECT(RangePlanCount),0)-1,MATCH(P$1,Items[#Headers],0)-1,1,1)=0,TRUE)),"",IF(AND(OFFSET(Items[],MATCH($C18,INDIRECT(RangePlanCount),0)-1,MATCH(P$1,Items[#Headers],0)-1,1,1)&gt;0,$J18="LPSM"),"ALL",TEXT(OFFSET(Items[],MATCH($C18,INDIRECT(RangePlanCount),0)-1,MATCH(P$1,Items[#Headers],0)-1,1,1),"###,###,##0"&amp;IF(OFFSET(Items[],MATCH($C18,INDIRECT(RangePlanCount),0)-1,MATCH(Decimals,Items[#Headers],0)-1,1,1)&gt;0,"."&amp;REPT("0",OFFSET(Items[],MATCH($C18,INDIRECT(RangePlanCount),0)-1,MATCH(Decimals,Items[#Headers],0)-1,1,1)),""))))</f>
        <v/>
      </c>
      <c r="Q18" s="302" t="str">
        <f ca="1">IF(OR($C18=OFFSET($C18,1,0),$A18&gt;End,IFERROR(OFFSET(Items[],MATCH($C18,INDIRECT(RangePlanCount),0)-1,MATCH(Q$1,Items[#Headers],0)-1,1,1)=0,TRUE)),"",IF(AND(OFFSET(Items[],MATCH($C18,INDIRECT(RangePlanCount),0)-1,MATCH(Q$1,Items[#Headers],0)-1,1,1)&gt;0,$J18="LPSM"),"ALL",TEXT(OFFSET(Items[],MATCH($C18,INDIRECT(RangePlanCount),0)-1,MATCH(Q$1,Items[#Headers],0)-1,1,1),"###,###,##0"&amp;IF(OFFSET(Items[],MATCH($C18,INDIRECT(RangePlanCount),0)-1,MATCH(Decimals,Items[#Headers],0)-1,1,1)&gt;0,"."&amp;REPT("0",OFFSET(Items[],MATCH($C18,INDIRECT(RangePlanCount),0)-1,MATCH(Decimals,Items[#Headers],0)-1,1,1)),""))))</f>
        <v/>
      </c>
      <c r="R18" s="302" t="str">
        <f ca="1">IF(OR($C18=OFFSET($C18,1,0),$A18&gt;End,IFERROR(OFFSET(Items[],MATCH($C18,INDIRECT(RangePlanCount),0)-1,MATCH(R$1,Items[#Headers],0)-1,1,1)=0,TRUE)),"",IF(AND(OFFSET(Items[],MATCH($C18,INDIRECT(RangePlanCount),0)-1,MATCH(R$1,Items[#Headers],0)-1,1,1)&gt;0,$J18="LPSM"),"ALL",TEXT(OFFSET(Items[],MATCH($C18,INDIRECT(RangePlanCount),0)-1,MATCH(R$1,Items[#Headers],0)-1,1,1),"###,###,##0"&amp;IF(OFFSET(Items[],MATCH($C18,INDIRECT(RangePlanCount),0)-1,MATCH(Decimals,Items[#Headers],0)-1,1,1)&gt;0,"."&amp;REPT("0",OFFSET(Items[],MATCH($C18,INDIRECT(RangePlanCount),0)-1,MATCH(Decimals,Items[#Headers],0)-1,1,1)),""))))</f>
        <v/>
      </c>
      <c r="S18" s="302" t="str">
        <f ca="1">IF(OR($C18=OFFSET($C18,1,0),$A18&gt;End,IFERROR(OFFSET(Items[],MATCH($C18,INDIRECT(RangePlanCount),0)-1,MATCH(S$1,Items[#Headers],0)-1,1,1)=0,TRUE)),"",IF(AND(OFFSET(Items[],MATCH($C18,INDIRECT(RangePlanCount),0)-1,MATCH(S$1,Items[#Headers],0)-1,1,1)&gt;0,$J18="LPSM"),"ALL",TEXT(OFFSET(Items[],MATCH($C18,INDIRECT(RangePlanCount),0)-1,MATCH(S$1,Items[#Headers],0)-1,1,1),"###,###,##0"&amp;IF(OFFSET(Items[],MATCH($C18,INDIRECT(RangePlanCount),0)-1,MATCH(Decimals,Items[#Headers],0)-1,1,1)&gt;0,"."&amp;REPT("0",OFFSET(Items[],MATCH($C18,INDIRECT(RangePlanCount),0)-1,MATCH(Decimals,Items[#Headers],0)-1,1,1)),""))))</f>
        <v/>
      </c>
      <c r="T18" s="302" t="str">
        <f ca="1">IF(OR($C18=OFFSET($C18,1,0),$A18&gt;End,IFERROR(OFFSET(Items[],MATCH($C18,INDIRECT(RangePlanCount),0)-1,MATCH(T$1,Items[#Headers],0)-1,1,1)=0,TRUE)),"",IF(AND(OFFSET(Items[],MATCH($C18,INDIRECT(RangePlanCount),0)-1,MATCH(T$1,Items[#Headers],0)-1,1,1)&gt;0,$J18="LPSM"),"ALL",TEXT(OFFSET(Items[],MATCH($C18,INDIRECT(RangePlanCount),0)-1,MATCH(T$1,Items[#Headers],0)-1,1,1),"###,###,##0"&amp;IF(OFFSET(Items[],MATCH($C18,INDIRECT(RangePlanCount),0)-1,MATCH(Decimals,Items[#Headers],0)-1,1,1)&gt;0,"."&amp;REPT("0",OFFSET(Items[],MATCH($C18,INDIRECT(RangePlanCount),0)-1,MATCH(Decimals,Items[#Headers],0)-1,1,1)),""))))</f>
        <v/>
      </c>
      <c r="U18" s="302" t="str">
        <f ca="1">IF(OR($C18=OFFSET($C18,1,0),$A18&gt;End,IFERROR(OFFSET(Items[],MATCH($C18,INDIRECT(RangePlanCount),0)-1,MATCH(U$1,Items[#Headers],0)-1,1,1)=0,TRUE)),"",IF(AND(OFFSET(Items[],MATCH($C18,INDIRECT(RangePlanCount),0)-1,MATCH(U$1,Items[#Headers],0)-1,1,1)&gt;0,$J18="LPSM"),"ALL",TEXT(OFFSET(Items[],MATCH($C18,INDIRECT(RangePlanCount),0)-1,MATCH(U$1,Items[#Headers],0)-1,1,1),"###,###,##0"&amp;IF(OFFSET(Items[],MATCH($C18,INDIRECT(RangePlanCount),0)-1,MATCH(Decimals,Items[#Headers],0)-1,1,1)&gt;0,"."&amp;REPT("0",OFFSET(Items[],MATCH($C18,INDIRECT(RangePlanCount),0)-1,MATCH(Decimals,Items[#Headers],0)-1,1,1)),""))))</f>
        <v/>
      </c>
      <c r="V18" s="302" t="str">
        <f ca="1">IF(OR($C18=OFFSET($C18,1,0),$A18&gt;End,IFERROR(OFFSET(Items[],MATCH($C18,INDIRECT(RangePlanCount),0)-1,MATCH(V$1,Items[#Headers],0)-1,1,1)=0,TRUE)),"",IF(AND(OFFSET(Items[],MATCH($C18,INDIRECT(RangePlanCount),0)-1,MATCH(V$1,Items[#Headers],0)-1,1,1)&gt;0,$J18="LPSM"),"ALL",TEXT(OFFSET(Items[],MATCH($C18,INDIRECT(RangePlanCount),0)-1,MATCH(V$1,Items[#Headers],0)-1,1,1),"###,###,##0"&amp;IF(OFFSET(Items[],MATCH($C18,INDIRECT(RangePlanCount),0)-1,MATCH(Decimals,Items[#Headers],0)-1,1,1)&gt;0,"."&amp;REPT("0",OFFSET(Items[],MATCH($C18,INDIRECT(RangePlanCount),0)-1,MATCH(Decimals,Items[#Headers],0)-1,1,1)),""))))</f>
        <v/>
      </c>
      <c r="W18" s="304" t="str">
        <f ca="1">IF(OR($C18=OFFSET($C18,1,0),$A18&gt;End,IFERROR(OFFSET(Items[],MATCH($C18,INDIRECT(RangePlanCount),0)-1,MATCH(W$1,Items[#Headers],0)-1,1,1)=0,TRUE)),"",IF(AND(OFFSET(Items[],MATCH($C18,INDIRECT(RangePlanCount),0)-1,MATCH(W$1,Items[#Headers],0)-1,1,1)&gt;0,$J18="LPSM"),"ALL",TEXT(OFFSET(Items[],MATCH($C18,INDIRECT(RangePlanCount),0)-1,MATCH(W$1,Items[#Headers],0)-1,1,1),"###,###,##0"&amp;IF(OFFSET(Items[],MATCH($C18,INDIRECT(RangePlanCount),0)-1,MATCH(Decimals,Items[#Headers],0)-1,1,1)&gt;0,"."&amp;REPT("0",OFFSET(Items[],MATCH($C18,INDIRECT(RangePlanCount),0)-1,MATCH(Decimals,Items[#Headers],0)-1,1,1)),""))))</f>
        <v/>
      </c>
      <c r="X18" s="305" t="str">
        <f ca="1">IF(OR($C18=OFFSET($C18,1,0),$A18&gt;End,IFERROR(OFFSET(Items[],MATCH($C18,INDIRECT(RangePlanCount),0)-1,MATCH(X$1,Items[#Headers],0)-1,1,1)=0,TRUE)),"",IF(AND(OFFSET(Items[],MATCH($C18,INDIRECT(RangePlanCount),0)-1,MATCH(X$1,Items[#Headers],0)-1,1,1)&gt;0,$J18="LPSM"),"ALL",TEXT(OFFSET(Items[],MATCH($C18,INDIRECT(RangePlanCount),0)-1,MATCH(X$1,Items[#Headers],0)-1,1,1),"###,###,##0"&amp;IF(OFFSET(Items[],MATCH($C18,INDIRECT(RangePlanCount),0)-1,MATCH(Decimals,Items[#Headers],0)-1,1,1)&gt;0,"."&amp;REPT("0",OFFSET(Items[],MATCH($C18,INDIRECT(RangePlanCount),0)-1,MATCH(Decimals,Items[#Headers],0)-1,1,1)),""))))</f>
        <v/>
      </c>
      <c r="Y18" s="306" t="str">
        <f ca="1">IF(OR($A18&gt;End,COUNTIF($C$7:$C18,$C18)&gt;lines_R),"",IF(COUNTIF($C$7:$C18,$C18)=1,LEFT(VLOOKUP($C18,Calcs[],col_Remarks,0),VLOOKUP($C18,Calcs[],col_R,0)),MID(VLOOKUP($C18,Calcs[],col_Remarks,0),VLOOKUP($C18,Calcs[],col_R+COUNTIF($C$7:$C18,$C18)-2,0)+1,VLOOKUP($C18,Calcs[],col_R+COUNTIF($C$7:$C18,$C18)-1,0)-VLOOKUP($C18,Calcs[],col_R+COUNTIF($C$7:$C18,$C18)-2,0))))</f>
        <v/>
      </c>
      <c r="Z18" s="300"/>
      <c r="AA18" s="1"/>
    </row>
    <row r="19" spans="1:27" ht="15" customHeight="1" x14ac:dyDescent="0.15">
      <c r="A19" s="58">
        <f t="shared" ca="1" si="1"/>
        <v>12</v>
      </c>
      <c r="C19" s="58">
        <f ca="1">IFERROR(VLOOKUP(A19,Calcs[],1,0),OFFSET(C19,1,0))</f>
        <v>0</v>
      </c>
      <c r="D19" s="342"/>
      <c r="E19" s="59"/>
      <c r="F19" s="301" t="str">
        <f ca="1">IF(OR($C19=OFFSET($C19,-1,0),$A19&gt;End),"",_xlfn.XLOOKUP($C19,Items[PlanCounter],Items[Amend],_xlfn.XLOOKUP($C19,Proposed[PlanCounter],Proposed[Amend])))</f>
        <v/>
      </c>
      <c r="G19" s="302" t="str">
        <f ca="1">IF(OR($C19=OFFSET($C19,-1,0),$A19&gt;End),"",_xlfn.XLOOKUP($C19,Calcs[Counter],Calcs[Line]))</f>
        <v/>
      </c>
      <c r="H19" s="302" t="str" cm="1">
        <f t="array" aca="1" ref="H19" ca="1">IF(OR($C19=OFFSET($C19,-1,0),$A19&gt;End),"",_xlfn.XLOOKUP($C19,INDIRECT(RangePlanCount),INDIRECT(RangeItems)))</f>
        <v/>
      </c>
      <c r="I19" s="294" t="str">
        <f ca="1">IF(OR($A19&gt;End,COUNTIF($C$7:$C19,$C19)&gt;lines_D),"",IF(COUNTIF($C$7:$C19,$C19)=1,LEFT(VLOOKUP($C19,Calcs[],col_Description,0),VLOOKUP($C19,Calcs[],col_D,0)),MID(VLOOKUP($C19,Calcs[],col_Description,0),VLOOKUP($C19,Calcs[],col_D+COUNTIF($C$7:$C19,$C19)-2,0)+1,VLOOKUP($C19,Calcs[],col_D+COUNTIF($C$7:$C19,$C19)-1,0)-VLOOKUP($C19,Calcs[],col_D+COUNTIF($C$7:$C19,$C19)-2,0))))</f>
        <v/>
      </c>
      <c r="J19" s="295" t="str" cm="1">
        <f t="array" aca="1" ref="J19" ca="1">IF(OR($C19=OFFSET($C19,1,0),$A19&gt;End),"",_xlfn.XLOOKUP($C19,INDIRECT(RangePlanCount),INDIRECT(RangeUnit)))</f>
        <v/>
      </c>
      <c r="K19" s="303" t="str">
        <f ca="1">IF(OR($C19=OFFSET($C19,1,0),$A19&gt;End,IFERROR(OFFSET(Items[],MATCH($C19,INDIRECT(RangePlanCount),0)-1,MATCH(K$1,Items[#Headers],0)-1,1,1)=0,TRUE)),"",IF(AND(OFFSET(Items[],MATCH($C19,INDIRECT(RangePlanCount),0)-1,MATCH(K$1,Items[#Headers],0)-1,1,1)&gt;0,$J19="LPSM"),"ALL",TEXT(OFFSET(Items[],MATCH($C19,INDIRECT(RangePlanCount),0)-1,MATCH(K$1,Items[#Headers],0)-1,1,1),"###,###,##0"&amp;IF(OFFSET(Items[],MATCH($C19,INDIRECT(RangePlanCount),0)-1,MATCH(Decimals,Items[#Headers],0)-1,1,1)&gt;0,"."&amp;REPT("0",OFFSET(Items[],MATCH($C19,INDIRECT(RangePlanCount),0)-1,MATCH(Decimals,Items[#Headers],0)-1,1,1)),""))))</f>
        <v/>
      </c>
      <c r="L19" s="302" t="str">
        <f ca="1">IF(OR($C19=OFFSET($C19,1,0),$A19&gt;End,IFERROR(OFFSET(Items[],MATCH($C19,INDIRECT(RangePlanCount),0)-1,MATCH(L$1,Items[#Headers],0)-1,1,1)=0,TRUE)),"",IF(AND(OFFSET(Items[],MATCH($C19,INDIRECT(RangePlanCount),0)-1,MATCH(L$1,Items[#Headers],0)-1,1,1)&gt;0,$J19="LPSM"),"ALL",TEXT(OFFSET(Items[],MATCH($C19,INDIRECT(RangePlanCount),0)-1,MATCH(L$1,Items[#Headers],0)-1,1,1),"###,###,##0"&amp;IF(OFFSET(Items[],MATCH($C19,INDIRECT(RangePlanCount),0)-1,MATCH(Decimals,Items[#Headers],0)-1,1,1)&gt;0,"."&amp;REPT("0",OFFSET(Items[],MATCH($C19,INDIRECT(RangePlanCount),0)-1,MATCH(Decimals,Items[#Headers],0)-1,1,1)),""))))</f>
        <v/>
      </c>
      <c r="M19" s="302" t="str">
        <f ca="1">IF(OR($C19=OFFSET($C19,1,0),$A19&gt;End,IFERROR(OFFSET(Items[],MATCH($C19,INDIRECT(RangePlanCount),0)-1,MATCH(M$1,Items[#Headers],0)-1,1,1)=0,TRUE)),"",IF(AND(OFFSET(Items[],MATCH($C19,INDIRECT(RangePlanCount),0)-1,MATCH(M$1,Items[#Headers],0)-1,1,1)&gt;0,$J19="LPSM"),"ALL",TEXT(OFFSET(Items[],MATCH($C19,INDIRECT(RangePlanCount),0)-1,MATCH(M$1,Items[#Headers],0)-1,1,1),"###,###,##0"&amp;IF(OFFSET(Items[],MATCH($C19,INDIRECT(RangePlanCount),0)-1,MATCH(Decimals,Items[#Headers],0)-1,1,1)&gt;0,"."&amp;REPT("0",OFFSET(Items[],MATCH($C19,INDIRECT(RangePlanCount),0)-1,MATCH(Decimals,Items[#Headers],0)-1,1,1)),""))))</f>
        <v/>
      </c>
      <c r="N19" s="302" t="str">
        <f ca="1">IF(OR($C19=OFFSET($C19,1,0),$A19&gt;End,IFERROR(OFFSET(Items[],MATCH($C19,INDIRECT(RangePlanCount),0)-1,MATCH(N$1,Items[#Headers],0)-1,1,1)=0,TRUE)),"",IF(AND(OFFSET(Items[],MATCH($C19,INDIRECT(RangePlanCount),0)-1,MATCH(N$1,Items[#Headers],0)-1,1,1)&gt;0,$J19="LPSM"),"ALL",TEXT(OFFSET(Items[],MATCH($C19,INDIRECT(RangePlanCount),0)-1,MATCH(N$1,Items[#Headers],0)-1,1,1),"###,###,##0"&amp;IF(OFFSET(Items[],MATCH($C19,INDIRECT(RangePlanCount),0)-1,MATCH(Decimals,Items[#Headers],0)-1,1,1)&gt;0,"."&amp;REPT("0",OFFSET(Items[],MATCH($C19,INDIRECT(RangePlanCount),0)-1,MATCH(Decimals,Items[#Headers],0)-1,1,1)),""))))</f>
        <v/>
      </c>
      <c r="O19" s="302" t="str">
        <f ca="1">IF(OR($C19=OFFSET($C19,1,0),$A19&gt;End,IFERROR(OFFSET(Items[],MATCH($C19,INDIRECT(RangePlanCount),0)-1,MATCH(O$1,Items[#Headers],0)-1,1,1)=0,TRUE)),"",IF(AND(OFFSET(Items[],MATCH($C19,INDIRECT(RangePlanCount),0)-1,MATCH(O$1,Items[#Headers],0)-1,1,1)&gt;0,$J19="LPSM"),"ALL",TEXT(OFFSET(Items[],MATCH($C19,INDIRECT(RangePlanCount),0)-1,MATCH(O$1,Items[#Headers],0)-1,1,1),"###,###,##0"&amp;IF(OFFSET(Items[],MATCH($C19,INDIRECT(RangePlanCount),0)-1,MATCH(Decimals,Items[#Headers],0)-1,1,1)&gt;0,"."&amp;REPT("0",OFFSET(Items[],MATCH($C19,INDIRECT(RangePlanCount),0)-1,MATCH(Decimals,Items[#Headers],0)-1,1,1)),""))))</f>
        <v/>
      </c>
      <c r="P19" s="302" t="str">
        <f ca="1">IF(OR($C19=OFFSET($C19,1,0),$A19&gt;End,IFERROR(OFFSET(Items[],MATCH($C19,INDIRECT(RangePlanCount),0)-1,MATCH(P$1,Items[#Headers],0)-1,1,1)=0,TRUE)),"",IF(AND(OFFSET(Items[],MATCH($C19,INDIRECT(RangePlanCount),0)-1,MATCH(P$1,Items[#Headers],0)-1,1,1)&gt;0,$J19="LPSM"),"ALL",TEXT(OFFSET(Items[],MATCH($C19,INDIRECT(RangePlanCount),0)-1,MATCH(P$1,Items[#Headers],0)-1,1,1),"###,###,##0"&amp;IF(OFFSET(Items[],MATCH($C19,INDIRECT(RangePlanCount),0)-1,MATCH(Decimals,Items[#Headers],0)-1,1,1)&gt;0,"."&amp;REPT("0",OFFSET(Items[],MATCH($C19,INDIRECT(RangePlanCount),0)-1,MATCH(Decimals,Items[#Headers],0)-1,1,1)),""))))</f>
        <v/>
      </c>
      <c r="Q19" s="302" t="str">
        <f ca="1">IF(OR($C19=OFFSET($C19,1,0),$A19&gt;End,IFERROR(OFFSET(Items[],MATCH($C19,INDIRECT(RangePlanCount),0)-1,MATCH(Q$1,Items[#Headers],0)-1,1,1)=0,TRUE)),"",IF(AND(OFFSET(Items[],MATCH($C19,INDIRECT(RangePlanCount),0)-1,MATCH(Q$1,Items[#Headers],0)-1,1,1)&gt;0,$J19="LPSM"),"ALL",TEXT(OFFSET(Items[],MATCH($C19,INDIRECT(RangePlanCount),0)-1,MATCH(Q$1,Items[#Headers],0)-1,1,1),"###,###,##0"&amp;IF(OFFSET(Items[],MATCH($C19,INDIRECT(RangePlanCount),0)-1,MATCH(Decimals,Items[#Headers],0)-1,1,1)&gt;0,"."&amp;REPT("0",OFFSET(Items[],MATCH($C19,INDIRECT(RangePlanCount),0)-1,MATCH(Decimals,Items[#Headers],0)-1,1,1)),""))))</f>
        <v/>
      </c>
      <c r="R19" s="302" t="str">
        <f ca="1">IF(OR($C19=OFFSET($C19,1,0),$A19&gt;End,IFERROR(OFFSET(Items[],MATCH($C19,INDIRECT(RangePlanCount),0)-1,MATCH(R$1,Items[#Headers],0)-1,1,1)=0,TRUE)),"",IF(AND(OFFSET(Items[],MATCH($C19,INDIRECT(RangePlanCount),0)-1,MATCH(R$1,Items[#Headers],0)-1,1,1)&gt;0,$J19="LPSM"),"ALL",TEXT(OFFSET(Items[],MATCH($C19,INDIRECT(RangePlanCount),0)-1,MATCH(R$1,Items[#Headers],0)-1,1,1),"###,###,##0"&amp;IF(OFFSET(Items[],MATCH($C19,INDIRECT(RangePlanCount),0)-1,MATCH(Decimals,Items[#Headers],0)-1,1,1)&gt;0,"."&amp;REPT("0",OFFSET(Items[],MATCH($C19,INDIRECT(RangePlanCount),0)-1,MATCH(Decimals,Items[#Headers],0)-1,1,1)),""))))</f>
        <v/>
      </c>
      <c r="S19" s="302" t="str">
        <f ca="1">IF(OR($C19=OFFSET($C19,1,0),$A19&gt;End,IFERROR(OFFSET(Items[],MATCH($C19,INDIRECT(RangePlanCount),0)-1,MATCH(S$1,Items[#Headers],0)-1,1,1)=0,TRUE)),"",IF(AND(OFFSET(Items[],MATCH($C19,INDIRECT(RangePlanCount),0)-1,MATCH(S$1,Items[#Headers],0)-1,1,1)&gt;0,$J19="LPSM"),"ALL",TEXT(OFFSET(Items[],MATCH($C19,INDIRECT(RangePlanCount),0)-1,MATCH(S$1,Items[#Headers],0)-1,1,1),"###,###,##0"&amp;IF(OFFSET(Items[],MATCH($C19,INDIRECT(RangePlanCount),0)-1,MATCH(Decimals,Items[#Headers],0)-1,1,1)&gt;0,"."&amp;REPT("0",OFFSET(Items[],MATCH($C19,INDIRECT(RangePlanCount),0)-1,MATCH(Decimals,Items[#Headers],0)-1,1,1)),""))))</f>
        <v/>
      </c>
      <c r="T19" s="302" t="str">
        <f ca="1">IF(OR($C19=OFFSET($C19,1,0),$A19&gt;End,IFERROR(OFFSET(Items[],MATCH($C19,INDIRECT(RangePlanCount),0)-1,MATCH(T$1,Items[#Headers],0)-1,1,1)=0,TRUE)),"",IF(AND(OFFSET(Items[],MATCH($C19,INDIRECT(RangePlanCount),0)-1,MATCH(T$1,Items[#Headers],0)-1,1,1)&gt;0,$J19="LPSM"),"ALL",TEXT(OFFSET(Items[],MATCH($C19,INDIRECT(RangePlanCount),0)-1,MATCH(T$1,Items[#Headers],0)-1,1,1),"###,###,##0"&amp;IF(OFFSET(Items[],MATCH($C19,INDIRECT(RangePlanCount),0)-1,MATCH(Decimals,Items[#Headers],0)-1,1,1)&gt;0,"."&amp;REPT("0",OFFSET(Items[],MATCH($C19,INDIRECT(RangePlanCount),0)-1,MATCH(Decimals,Items[#Headers],0)-1,1,1)),""))))</f>
        <v/>
      </c>
      <c r="U19" s="302" t="str">
        <f ca="1">IF(OR($C19=OFFSET($C19,1,0),$A19&gt;End,IFERROR(OFFSET(Items[],MATCH($C19,INDIRECT(RangePlanCount),0)-1,MATCH(U$1,Items[#Headers],0)-1,1,1)=0,TRUE)),"",IF(AND(OFFSET(Items[],MATCH($C19,INDIRECT(RangePlanCount),0)-1,MATCH(U$1,Items[#Headers],0)-1,1,1)&gt;0,$J19="LPSM"),"ALL",TEXT(OFFSET(Items[],MATCH($C19,INDIRECT(RangePlanCount),0)-1,MATCH(U$1,Items[#Headers],0)-1,1,1),"###,###,##0"&amp;IF(OFFSET(Items[],MATCH($C19,INDIRECT(RangePlanCount),0)-1,MATCH(Decimals,Items[#Headers],0)-1,1,1)&gt;0,"."&amp;REPT("0",OFFSET(Items[],MATCH($C19,INDIRECT(RangePlanCount),0)-1,MATCH(Decimals,Items[#Headers],0)-1,1,1)),""))))</f>
        <v/>
      </c>
      <c r="V19" s="302" t="str">
        <f ca="1">IF(OR($C19=OFFSET($C19,1,0),$A19&gt;End,IFERROR(OFFSET(Items[],MATCH($C19,INDIRECT(RangePlanCount),0)-1,MATCH(V$1,Items[#Headers],0)-1,1,1)=0,TRUE)),"",IF(AND(OFFSET(Items[],MATCH($C19,INDIRECT(RangePlanCount),0)-1,MATCH(V$1,Items[#Headers],0)-1,1,1)&gt;0,$J19="LPSM"),"ALL",TEXT(OFFSET(Items[],MATCH($C19,INDIRECT(RangePlanCount),0)-1,MATCH(V$1,Items[#Headers],0)-1,1,1),"###,###,##0"&amp;IF(OFFSET(Items[],MATCH($C19,INDIRECT(RangePlanCount),0)-1,MATCH(Decimals,Items[#Headers],0)-1,1,1)&gt;0,"."&amp;REPT("0",OFFSET(Items[],MATCH($C19,INDIRECT(RangePlanCount),0)-1,MATCH(Decimals,Items[#Headers],0)-1,1,1)),""))))</f>
        <v/>
      </c>
      <c r="W19" s="304" t="str">
        <f ca="1">IF(OR($C19=OFFSET($C19,1,0),$A19&gt;End,IFERROR(OFFSET(Items[],MATCH($C19,INDIRECT(RangePlanCount),0)-1,MATCH(W$1,Items[#Headers],0)-1,1,1)=0,TRUE)),"",IF(AND(OFFSET(Items[],MATCH($C19,INDIRECT(RangePlanCount),0)-1,MATCH(W$1,Items[#Headers],0)-1,1,1)&gt;0,$J19="LPSM"),"ALL",TEXT(OFFSET(Items[],MATCH($C19,INDIRECT(RangePlanCount),0)-1,MATCH(W$1,Items[#Headers],0)-1,1,1),"###,###,##0"&amp;IF(OFFSET(Items[],MATCH($C19,INDIRECT(RangePlanCount),0)-1,MATCH(Decimals,Items[#Headers],0)-1,1,1)&gt;0,"."&amp;REPT("0",OFFSET(Items[],MATCH($C19,INDIRECT(RangePlanCount),0)-1,MATCH(Decimals,Items[#Headers],0)-1,1,1)),""))))</f>
        <v/>
      </c>
      <c r="X19" s="305" t="str">
        <f ca="1">IF(OR($C19=OFFSET($C19,1,0),$A19&gt;End,IFERROR(OFFSET(Items[],MATCH($C19,INDIRECT(RangePlanCount),0)-1,MATCH(X$1,Items[#Headers],0)-1,1,1)=0,TRUE)),"",IF(AND(OFFSET(Items[],MATCH($C19,INDIRECT(RangePlanCount),0)-1,MATCH(X$1,Items[#Headers],0)-1,1,1)&gt;0,$J19="LPSM"),"ALL",TEXT(OFFSET(Items[],MATCH($C19,INDIRECT(RangePlanCount),0)-1,MATCH(X$1,Items[#Headers],0)-1,1,1),"###,###,##0"&amp;IF(OFFSET(Items[],MATCH($C19,INDIRECT(RangePlanCount),0)-1,MATCH(Decimals,Items[#Headers],0)-1,1,1)&gt;0,"."&amp;REPT("0",OFFSET(Items[],MATCH($C19,INDIRECT(RangePlanCount),0)-1,MATCH(Decimals,Items[#Headers],0)-1,1,1)),""))))</f>
        <v/>
      </c>
      <c r="Y19" s="306" t="str">
        <f ca="1">IF(OR($A19&gt;End,COUNTIF($C$7:$C19,$C19)&gt;lines_R),"",IF(COUNTIF($C$7:$C19,$C19)=1,LEFT(VLOOKUP($C19,Calcs[],col_Remarks,0),VLOOKUP($C19,Calcs[],col_R,0)),MID(VLOOKUP($C19,Calcs[],col_Remarks,0),VLOOKUP($C19,Calcs[],col_R+COUNTIF($C$7:$C19,$C19)-2,0)+1,VLOOKUP($C19,Calcs[],col_R+COUNTIF($C$7:$C19,$C19)-1,0)-VLOOKUP($C19,Calcs[],col_R+COUNTIF($C$7:$C19,$C19)-2,0))))</f>
        <v/>
      </c>
      <c r="Z19" s="300"/>
      <c r="AA19" s="1"/>
    </row>
    <row r="20" spans="1:27" ht="15" customHeight="1" x14ac:dyDescent="0.15">
      <c r="A20" s="58">
        <f t="shared" ca="1" si="1"/>
        <v>13</v>
      </c>
      <c r="C20" s="58">
        <f ca="1">IFERROR(VLOOKUP(A20,Calcs[],1,0),OFFSET(C20,1,0))</f>
        <v>0</v>
      </c>
      <c r="D20" s="342"/>
      <c r="E20" s="59"/>
      <c r="F20" s="301" t="str">
        <f ca="1">IF(OR($C20=OFFSET($C20,-1,0),$A20&gt;End),"",_xlfn.XLOOKUP($C20,Items[PlanCounter],Items[Amend],_xlfn.XLOOKUP($C20,Proposed[PlanCounter],Proposed[Amend])))</f>
        <v/>
      </c>
      <c r="G20" s="302" t="str">
        <f ca="1">IF(OR($C20=OFFSET($C20,-1,0),$A20&gt;End),"",_xlfn.XLOOKUP($C20,Calcs[Counter],Calcs[Line]))</f>
        <v/>
      </c>
      <c r="H20" s="302" t="str" cm="1">
        <f t="array" aca="1" ref="H20" ca="1">IF(OR($C20=OFFSET($C20,-1,0),$A20&gt;End),"",_xlfn.XLOOKUP($C20,INDIRECT(RangePlanCount),INDIRECT(RangeItems)))</f>
        <v/>
      </c>
      <c r="I20" s="294" t="str">
        <f ca="1">IF(OR($A20&gt;End,COUNTIF($C$7:$C20,$C20)&gt;lines_D),"",IF(COUNTIF($C$7:$C20,$C20)=1,LEFT(VLOOKUP($C20,Calcs[],col_Description,0),VLOOKUP($C20,Calcs[],col_D,0)),MID(VLOOKUP($C20,Calcs[],col_Description,0),VLOOKUP($C20,Calcs[],col_D+COUNTIF($C$7:$C20,$C20)-2,0)+1,VLOOKUP($C20,Calcs[],col_D+COUNTIF($C$7:$C20,$C20)-1,0)-VLOOKUP($C20,Calcs[],col_D+COUNTIF($C$7:$C20,$C20)-2,0))))</f>
        <v/>
      </c>
      <c r="J20" s="295" t="str" cm="1">
        <f t="array" aca="1" ref="J20" ca="1">IF(OR($C20=OFFSET($C20,1,0),$A20&gt;End),"",_xlfn.XLOOKUP($C20,INDIRECT(RangePlanCount),INDIRECT(RangeUnit)))</f>
        <v/>
      </c>
      <c r="K20" s="303" t="str">
        <f ca="1">IF(OR($C20=OFFSET($C20,1,0),$A20&gt;End,IFERROR(OFFSET(Items[],MATCH($C20,INDIRECT(RangePlanCount),0)-1,MATCH(K$1,Items[#Headers],0)-1,1,1)=0,TRUE)),"",IF(AND(OFFSET(Items[],MATCH($C20,INDIRECT(RangePlanCount),0)-1,MATCH(K$1,Items[#Headers],0)-1,1,1)&gt;0,$J20="LPSM"),"ALL",TEXT(OFFSET(Items[],MATCH($C20,INDIRECT(RangePlanCount),0)-1,MATCH(K$1,Items[#Headers],0)-1,1,1),"###,###,##0"&amp;IF(OFFSET(Items[],MATCH($C20,INDIRECT(RangePlanCount),0)-1,MATCH(Decimals,Items[#Headers],0)-1,1,1)&gt;0,"."&amp;REPT("0",OFFSET(Items[],MATCH($C20,INDIRECT(RangePlanCount),0)-1,MATCH(Decimals,Items[#Headers],0)-1,1,1)),""))))</f>
        <v/>
      </c>
      <c r="L20" s="302" t="str">
        <f ca="1">IF(OR($C20=OFFSET($C20,1,0),$A20&gt;End,IFERROR(OFFSET(Items[],MATCH($C20,INDIRECT(RangePlanCount),0)-1,MATCH(L$1,Items[#Headers],0)-1,1,1)=0,TRUE)),"",IF(AND(OFFSET(Items[],MATCH($C20,INDIRECT(RangePlanCount),0)-1,MATCH(L$1,Items[#Headers],0)-1,1,1)&gt;0,$J20="LPSM"),"ALL",TEXT(OFFSET(Items[],MATCH($C20,INDIRECT(RangePlanCount),0)-1,MATCH(L$1,Items[#Headers],0)-1,1,1),"###,###,##0"&amp;IF(OFFSET(Items[],MATCH($C20,INDIRECT(RangePlanCount),0)-1,MATCH(Decimals,Items[#Headers],0)-1,1,1)&gt;0,"."&amp;REPT("0",OFFSET(Items[],MATCH($C20,INDIRECT(RangePlanCount),0)-1,MATCH(Decimals,Items[#Headers],0)-1,1,1)),""))))</f>
        <v/>
      </c>
      <c r="M20" s="302" t="str">
        <f ca="1">IF(OR($C20=OFFSET($C20,1,0),$A20&gt;End,IFERROR(OFFSET(Items[],MATCH($C20,INDIRECT(RangePlanCount),0)-1,MATCH(M$1,Items[#Headers],0)-1,1,1)=0,TRUE)),"",IF(AND(OFFSET(Items[],MATCH($C20,INDIRECT(RangePlanCount),0)-1,MATCH(M$1,Items[#Headers],0)-1,1,1)&gt;0,$J20="LPSM"),"ALL",TEXT(OFFSET(Items[],MATCH($C20,INDIRECT(RangePlanCount),0)-1,MATCH(M$1,Items[#Headers],0)-1,1,1),"###,###,##0"&amp;IF(OFFSET(Items[],MATCH($C20,INDIRECT(RangePlanCount),0)-1,MATCH(Decimals,Items[#Headers],0)-1,1,1)&gt;0,"."&amp;REPT("0",OFFSET(Items[],MATCH($C20,INDIRECT(RangePlanCount),0)-1,MATCH(Decimals,Items[#Headers],0)-1,1,1)),""))))</f>
        <v/>
      </c>
      <c r="N20" s="302" t="str">
        <f ca="1">IF(OR($C20=OFFSET($C20,1,0),$A20&gt;End,IFERROR(OFFSET(Items[],MATCH($C20,INDIRECT(RangePlanCount),0)-1,MATCH(N$1,Items[#Headers],0)-1,1,1)=0,TRUE)),"",IF(AND(OFFSET(Items[],MATCH($C20,INDIRECT(RangePlanCount),0)-1,MATCH(N$1,Items[#Headers],0)-1,1,1)&gt;0,$J20="LPSM"),"ALL",TEXT(OFFSET(Items[],MATCH($C20,INDIRECT(RangePlanCount),0)-1,MATCH(N$1,Items[#Headers],0)-1,1,1),"###,###,##0"&amp;IF(OFFSET(Items[],MATCH($C20,INDIRECT(RangePlanCount),0)-1,MATCH(Decimals,Items[#Headers],0)-1,1,1)&gt;0,"."&amp;REPT("0",OFFSET(Items[],MATCH($C20,INDIRECT(RangePlanCount),0)-1,MATCH(Decimals,Items[#Headers],0)-1,1,1)),""))))</f>
        <v/>
      </c>
      <c r="O20" s="302" t="str">
        <f ca="1">IF(OR($C20=OFFSET($C20,1,0),$A20&gt;End,IFERROR(OFFSET(Items[],MATCH($C20,INDIRECT(RangePlanCount),0)-1,MATCH(O$1,Items[#Headers],0)-1,1,1)=0,TRUE)),"",IF(AND(OFFSET(Items[],MATCH($C20,INDIRECT(RangePlanCount),0)-1,MATCH(O$1,Items[#Headers],0)-1,1,1)&gt;0,$J20="LPSM"),"ALL",TEXT(OFFSET(Items[],MATCH($C20,INDIRECT(RangePlanCount),0)-1,MATCH(O$1,Items[#Headers],0)-1,1,1),"###,###,##0"&amp;IF(OFFSET(Items[],MATCH($C20,INDIRECT(RangePlanCount),0)-1,MATCH(Decimals,Items[#Headers],0)-1,1,1)&gt;0,"."&amp;REPT("0",OFFSET(Items[],MATCH($C20,INDIRECT(RangePlanCount),0)-1,MATCH(Decimals,Items[#Headers],0)-1,1,1)),""))))</f>
        <v/>
      </c>
      <c r="P20" s="302" t="str">
        <f ca="1">IF(OR($C20=OFFSET($C20,1,0),$A20&gt;End,IFERROR(OFFSET(Items[],MATCH($C20,INDIRECT(RangePlanCount),0)-1,MATCH(P$1,Items[#Headers],0)-1,1,1)=0,TRUE)),"",IF(AND(OFFSET(Items[],MATCH($C20,INDIRECT(RangePlanCount),0)-1,MATCH(P$1,Items[#Headers],0)-1,1,1)&gt;0,$J20="LPSM"),"ALL",TEXT(OFFSET(Items[],MATCH($C20,INDIRECT(RangePlanCount),0)-1,MATCH(P$1,Items[#Headers],0)-1,1,1),"###,###,##0"&amp;IF(OFFSET(Items[],MATCH($C20,INDIRECT(RangePlanCount),0)-1,MATCH(Decimals,Items[#Headers],0)-1,1,1)&gt;0,"."&amp;REPT("0",OFFSET(Items[],MATCH($C20,INDIRECT(RangePlanCount),0)-1,MATCH(Decimals,Items[#Headers],0)-1,1,1)),""))))</f>
        <v/>
      </c>
      <c r="Q20" s="302" t="str">
        <f ca="1">IF(OR($C20=OFFSET($C20,1,0),$A20&gt;End,IFERROR(OFFSET(Items[],MATCH($C20,INDIRECT(RangePlanCount),0)-1,MATCH(Q$1,Items[#Headers],0)-1,1,1)=0,TRUE)),"",IF(AND(OFFSET(Items[],MATCH($C20,INDIRECT(RangePlanCount),0)-1,MATCH(Q$1,Items[#Headers],0)-1,1,1)&gt;0,$J20="LPSM"),"ALL",TEXT(OFFSET(Items[],MATCH($C20,INDIRECT(RangePlanCount),0)-1,MATCH(Q$1,Items[#Headers],0)-1,1,1),"###,###,##0"&amp;IF(OFFSET(Items[],MATCH($C20,INDIRECT(RangePlanCount),0)-1,MATCH(Decimals,Items[#Headers],0)-1,1,1)&gt;0,"."&amp;REPT("0",OFFSET(Items[],MATCH($C20,INDIRECT(RangePlanCount),0)-1,MATCH(Decimals,Items[#Headers],0)-1,1,1)),""))))</f>
        <v/>
      </c>
      <c r="R20" s="302" t="str">
        <f ca="1">IF(OR($C20=OFFSET($C20,1,0),$A20&gt;End,IFERROR(OFFSET(Items[],MATCH($C20,INDIRECT(RangePlanCount),0)-1,MATCH(R$1,Items[#Headers],0)-1,1,1)=0,TRUE)),"",IF(AND(OFFSET(Items[],MATCH($C20,INDIRECT(RangePlanCount),0)-1,MATCH(R$1,Items[#Headers],0)-1,1,1)&gt;0,$J20="LPSM"),"ALL",TEXT(OFFSET(Items[],MATCH($C20,INDIRECT(RangePlanCount),0)-1,MATCH(R$1,Items[#Headers],0)-1,1,1),"###,###,##0"&amp;IF(OFFSET(Items[],MATCH($C20,INDIRECT(RangePlanCount),0)-1,MATCH(Decimals,Items[#Headers],0)-1,1,1)&gt;0,"."&amp;REPT("0",OFFSET(Items[],MATCH($C20,INDIRECT(RangePlanCount),0)-1,MATCH(Decimals,Items[#Headers],0)-1,1,1)),""))))</f>
        <v/>
      </c>
      <c r="S20" s="302" t="str">
        <f ca="1">IF(OR($C20=OFFSET($C20,1,0),$A20&gt;End,IFERROR(OFFSET(Items[],MATCH($C20,INDIRECT(RangePlanCount),0)-1,MATCH(S$1,Items[#Headers],0)-1,1,1)=0,TRUE)),"",IF(AND(OFFSET(Items[],MATCH($C20,INDIRECT(RangePlanCount),0)-1,MATCH(S$1,Items[#Headers],0)-1,1,1)&gt;0,$J20="LPSM"),"ALL",TEXT(OFFSET(Items[],MATCH($C20,INDIRECT(RangePlanCount),0)-1,MATCH(S$1,Items[#Headers],0)-1,1,1),"###,###,##0"&amp;IF(OFFSET(Items[],MATCH($C20,INDIRECT(RangePlanCount),0)-1,MATCH(Decimals,Items[#Headers],0)-1,1,1)&gt;0,"."&amp;REPT("0",OFFSET(Items[],MATCH($C20,INDIRECT(RangePlanCount),0)-1,MATCH(Decimals,Items[#Headers],0)-1,1,1)),""))))</f>
        <v/>
      </c>
      <c r="T20" s="302" t="str">
        <f ca="1">IF(OR($C20=OFFSET($C20,1,0),$A20&gt;End,IFERROR(OFFSET(Items[],MATCH($C20,INDIRECT(RangePlanCount),0)-1,MATCH(T$1,Items[#Headers],0)-1,1,1)=0,TRUE)),"",IF(AND(OFFSET(Items[],MATCH($C20,INDIRECT(RangePlanCount),0)-1,MATCH(T$1,Items[#Headers],0)-1,1,1)&gt;0,$J20="LPSM"),"ALL",TEXT(OFFSET(Items[],MATCH($C20,INDIRECT(RangePlanCount),0)-1,MATCH(T$1,Items[#Headers],0)-1,1,1),"###,###,##0"&amp;IF(OFFSET(Items[],MATCH($C20,INDIRECT(RangePlanCount),0)-1,MATCH(Decimals,Items[#Headers],0)-1,1,1)&gt;0,"."&amp;REPT("0",OFFSET(Items[],MATCH($C20,INDIRECT(RangePlanCount),0)-1,MATCH(Decimals,Items[#Headers],0)-1,1,1)),""))))</f>
        <v/>
      </c>
      <c r="U20" s="302" t="str">
        <f ca="1">IF(OR($C20=OFFSET($C20,1,0),$A20&gt;End,IFERROR(OFFSET(Items[],MATCH($C20,INDIRECT(RangePlanCount),0)-1,MATCH(U$1,Items[#Headers],0)-1,1,1)=0,TRUE)),"",IF(AND(OFFSET(Items[],MATCH($C20,INDIRECT(RangePlanCount),0)-1,MATCH(U$1,Items[#Headers],0)-1,1,1)&gt;0,$J20="LPSM"),"ALL",TEXT(OFFSET(Items[],MATCH($C20,INDIRECT(RangePlanCount),0)-1,MATCH(U$1,Items[#Headers],0)-1,1,1),"###,###,##0"&amp;IF(OFFSET(Items[],MATCH($C20,INDIRECT(RangePlanCount),0)-1,MATCH(Decimals,Items[#Headers],0)-1,1,1)&gt;0,"."&amp;REPT("0",OFFSET(Items[],MATCH($C20,INDIRECT(RangePlanCount),0)-1,MATCH(Decimals,Items[#Headers],0)-1,1,1)),""))))</f>
        <v/>
      </c>
      <c r="V20" s="302" t="str">
        <f ca="1">IF(OR($C20=OFFSET($C20,1,0),$A20&gt;End,IFERROR(OFFSET(Items[],MATCH($C20,INDIRECT(RangePlanCount),0)-1,MATCH(V$1,Items[#Headers],0)-1,1,1)=0,TRUE)),"",IF(AND(OFFSET(Items[],MATCH($C20,INDIRECT(RangePlanCount),0)-1,MATCH(V$1,Items[#Headers],0)-1,1,1)&gt;0,$J20="LPSM"),"ALL",TEXT(OFFSET(Items[],MATCH($C20,INDIRECT(RangePlanCount),0)-1,MATCH(V$1,Items[#Headers],0)-1,1,1),"###,###,##0"&amp;IF(OFFSET(Items[],MATCH($C20,INDIRECT(RangePlanCount),0)-1,MATCH(Decimals,Items[#Headers],0)-1,1,1)&gt;0,"."&amp;REPT("0",OFFSET(Items[],MATCH($C20,INDIRECT(RangePlanCount),0)-1,MATCH(Decimals,Items[#Headers],0)-1,1,1)),""))))</f>
        <v/>
      </c>
      <c r="W20" s="304" t="str">
        <f ca="1">IF(OR($C20=OFFSET($C20,1,0),$A20&gt;End,IFERROR(OFFSET(Items[],MATCH($C20,INDIRECT(RangePlanCount),0)-1,MATCH(W$1,Items[#Headers],0)-1,1,1)=0,TRUE)),"",IF(AND(OFFSET(Items[],MATCH($C20,INDIRECT(RangePlanCount),0)-1,MATCH(W$1,Items[#Headers],0)-1,1,1)&gt;0,$J20="LPSM"),"ALL",TEXT(OFFSET(Items[],MATCH($C20,INDIRECT(RangePlanCount),0)-1,MATCH(W$1,Items[#Headers],0)-1,1,1),"###,###,##0"&amp;IF(OFFSET(Items[],MATCH($C20,INDIRECT(RangePlanCount),0)-1,MATCH(Decimals,Items[#Headers],0)-1,1,1)&gt;0,"."&amp;REPT("0",OFFSET(Items[],MATCH($C20,INDIRECT(RangePlanCount),0)-1,MATCH(Decimals,Items[#Headers],0)-1,1,1)),""))))</f>
        <v/>
      </c>
      <c r="X20" s="305" t="str">
        <f ca="1">IF(OR($C20=OFFSET($C20,1,0),$A20&gt;End,IFERROR(OFFSET(Items[],MATCH($C20,INDIRECT(RangePlanCount),0)-1,MATCH(X$1,Items[#Headers],0)-1,1,1)=0,TRUE)),"",IF(AND(OFFSET(Items[],MATCH($C20,INDIRECT(RangePlanCount),0)-1,MATCH(X$1,Items[#Headers],0)-1,1,1)&gt;0,$J20="LPSM"),"ALL",TEXT(OFFSET(Items[],MATCH($C20,INDIRECT(RangePlanCount),0)-1,MATCH(X$1,Items[#Headers],0)-1,1,1),"###,###,##0"&amp;IF(OFFSET(Items[],MATCH($C20,INDIRECT(RangePlanCount),0)-1,MATCH(Decimals,Items[#Headers],0)-1,1,1)&gt;0,"."&amp;REPT("0",OFFSET(Items[],MATCH($C20,INDIRECT(RangePlanCount),0)-1,MATCH(Decimals,Items[#Headers],0)-1,1,1)),""))))</f>
        <v/>
      </c>
      <c r="Y20" s="306" t="str">
        <f ca="1">IF(OR($A20&gt;End,COUNTIF($C$7:$C20,$C20)&gt;lines_R),"",IF(COUNTIF($C$7:$C20,$C20)=1,LEFT(VLOOKUP($C20,Calcs[],col_Remarks,0),VLOOKUP($C20,Calcs[],col_R,0)),MID(VLOOKUP($C20,Calcs[],col_Remarks,0),VLOOKUP($C20,Calcs[],col_R+COUNTIF($C$7:$C20,$C20)-2,0)+1,VLOOKUP($C20,Calcs[],col_R+COUNTIF($C$7:$C20,$C20)-1,0)-VLOOKUP($C20,Calcs[],col_R+COUNTIF($C$7:$C20,$C20)-2,0))))</f>
        <v/>
      </c>
      <c r="Z20" s="300"/>
      <c r="AA20" s="1"/>
    </row>
    <row r="21" spans="1:27" ht="15" customHeight="1" x14ac:dyDescent="0.15">
      <c r="A21" s="58">
        <f t="shared" ca="1" si="1"/>
        <v>14</v>
      </c>
      <c r="C21" s="58">
        <f ca="1">IFERROR(VLOOKUP(A21,Calcs[],1,0),OFFSET(C21,1,0))</f>
        <v>0</v>
      </c>
      <c r="D21" s="342"/>
      <c r="E21" s="59"/>
      <c r="F21" s="301" t="str">
        <f ca="1">IF(OR($C21=OFFSET($C21,-1,0),$A21&gt;End),"",_xlfn.XLOOKUP($C21,Items[PlanCounter],Items[Amend],_xlfn.XLOOKUP($C21,Proposed[PlanCounter],Proposed[Amend])))</f>
        <v/>
      </c>
      <c r="G21" s="302" t="str">
        <f ca="1">IF(OR($C21=OFFSET($C21,-1,0),$A21&gt;End),"",_xlfn.XLOOKUP($C21,Calcs[Counter],Calcs[Line]))</f>
        <v/>
      </c>
      <c r="H21" s="302" t="str" cm="1">
        <f t="array" aca="1" ref="H21" ca="1">IF(OR($C21=OFFSET($C21,-1,0),$A21&gt;End),"",_xlfn.XLOOKUP($C21,INDIRECT(RangePlanCount),INDIRECT(RangeItems)))</f>
        <v/>
      </c>
      <c r="I21" s="294" t="str">
        <f ca="1">IF(OR($A21&gt;End,COUNTIF($C$7:$C21,$C21)&gt;lines_D),"",IF(COUNTIF($C$7:$C21,$C21)=1,LEFT(VLOOKUP($C21,Calcs[],col_Description,0),VLOOKUP($C21,Calcs[],col_D,0)),MID(VLOOKUP($C21,Calcs[],col_Description,0),VLOOKUP($C21,Calcs[],col_D+COUNTIF($C$7:$C21,$C21)-2,0)+1,VLOOKUP($C21,Calcs[],col_D+COUNTIF($C$7:$C21,$C21)-1,0)-VLOOKUP($C21,Calcs[],col_D+COUNTIF($C$7:$C21,$C21)-2,0))))</f>
        <v/>
      </c>
      <c r="J21" s="295" t="str" cm="1">
        <f t="array" aca="1" ref="J21" ca="1">IF(OR($C21=OFFSET($C21,1,0),$A21&gt;End),"",_xlfn.XLOOKUP($C21,INDIRECT(RangePlanCount),INDIRECT(RangeUnit)))</f>
        <v/>
      </c>
      <c r="K21" s="303" t="str">
        <f ca="1">IF(OR($C21=OFFSET($C21,1,0),$A21&gt;End,IFERROR(OFFSET(Items[],MATCH($C21,INDIRECT(RangePlanCount),0)-1,MATCH(K$1,Items[#Headers],0)-1,1,1)=0,TRUE)),"",IF(AND(OFFSET(Items[],MATCH($C21,INDIRECT(RangePlanCount),0)-1,MATCH(K$1,Items[#Headers],0)-1,1,1)&gt;0,$J21="LPSM"),"ALL",TEXT(OFFSET(Items[],MATCH($C21,INDIRECT(RangePlanCount),0)-1,MATCH(K$1,Items[#Headers],0)-1,1,1),"###,###,##0"&amp;IF(OFFSET(Items[],MATCH($C21,INDIRECT(RangePlanCount),0)-1,MATCH(Decimals,Items[#Headers],0)-1,1,1)&gt;0,"."&amp;REPT("0",OFFSET(Items[],MATCH($C21,INDIRECT(RangePlanCount),0)-1,MATCH(Decimals,Items[#Headers],0)-1,1,1)),""))))</f>
        <v/>
      </c>
      <c r="L21" s="302" t="str">
        <f ca="1">IF(OR($C21=OFFSET($C21,1,0),$A21&gt;End,IFERROR(OFFSET(Items[],MATCH($C21,INDIRECT(RangePlanCount),0)-1,MATCH(L$1,Items[#Headers],0)-1,1,1)=0,TRUE)),"",IF(AND(OFFSET(Items[],MATCH($C21,INDIRECT(RangePlanCount),0)-1,MATCH(L$1,Items[#Headers],0)-1,1,1)&gt;0,$J21="LPSM"),"ALL",TEXT(OFFSET(Items[],MATCH($C21,INDIRECT(RangePlanCount),0)-1,MATCH(L$1,Items[#Headers],0)-1,1,1),"###,###,##0"&amp;IF(OFFSET(Items[],MATCH($C21,INDIRECT(RangePlanCount),0)-1,MATCH(Decimals,Items[#Headers],0)-1,1,1)&gt;0,"."&amp;REPT("0",OFFSET(Items[],MATCH($C21,INDIRECT(RangePlanCount),0)-1,MATCH(Decimals,Items[#Headers],0)-1,1,1)),""))))</f>
        <v/>
      </c>
      <c r="M21" s="302" t="str">
        <f ca="1">IF(OR($C21=OFFSET($C21,1,0),$A21&gt;End,IFERROR(OFFSET(Items[],MATCH($C21,INDIRECT(RangePlanCount),0)-1,MATCH(M$1,Items[#Headers],0)-1,1,1)=0,TRUE)),"",IF(AND(OFFSET(Items[],MATCH($C21,INDIRECT(RangePlanCount),0)-1,MATCH(M$1,Items[#Headers],0)-1,1,1)&gt;0,$J21="LPSM"),"ALL",TEXT(OFFSET(Items[],MATCH($C21,INDIRECT(RangePlanCount),0)-1,MATCH(M$1,Items[#Headers],0)-1,1,1),"###,###,##0"&amp;IF(OFFSET(Items[],MATCH($C21,INDIRECT(RangePlanCount),0)-1,MATCH(Decimals,Items[#Headers],0)-1,1,1)&gt;0,"."&amp;REPT("0",OFFSET(Items[],MATCH($C21,INDIRECT(RangePlanCount),0)-1,MATCH(Decimals,Items[#Headers],0)-1,1,1)),""))))</f>
        <v/>
      </c>
      <c r="N21" s="302" t="str">
        <f ca="1">IF(OR($C21=OFFSET($C21,1,0),$A21&gt;End,IFERROR(OFFSET(Items[],MATCH($C21,INDIRECT(RangePlanCount),0)-1,MATCH(N$1,Items[#Headers],0)-1,1,1)=0,TRUE)),"",IF(AND(OFFSET(Items[],MATCH($C21,INDIRECT(RangePlanCount),0)-1,MATCH(N$1,Items[#Headers],0)-1,1,1)&gt;0,$J21="LPSM"),"ALL",TEXT(OFFSET(Items[],MATCH($C21,INDIRECT(RangePlanCount),0)-1,MATCH(N$1,Items[#Headers],0)-1,1,1),"###,###,##0"&amp;IF(OFFSET(Items[],MATCH($C21,INDIRECT(RangePlanCount),0)-1,MATCH(Decimals,Items[#Headers],0)-1,1,1)&gt;0,"."&amp;REPT("0",OFFSET(Items[],MATCH($C21,INDIRECT(RangePlanCount),0)-1,MATCH(Decimals,Items[#Headers],0)-1,1,1)),""))))</f>
        <v/>
      </c>
      <c r="O21" s="302" t="str">
        <f ca="1">IF(OR($C21=OFFSET($C21,1,0),$A21&gt;End,IFERROR(OFFSET(Items[],MATCH($C21,INDIRECT(RangePlanCount),0)-1,MATCH(O$1,Items[#Headers],0)-1,1,1)=0,TRUE)),"",IF(AND(OFFSET(Items[],MATCH($C21,INDIRECT(RangePlanCount),0)-1,MATCH(O$1,Items[#Headers],0)-1,1,1)&gt;0,$J21="LPSM"),"ALL",TEXT(OFFSET(Items[],MATCH($C21,INDIRECT(RangePlanCount),0)-1,MATCH(O$1,Items[#Headers],0)-1,1,1),"###,###,##0"&amp;IF(OFFSET(Items[],MATCH($C21,INDIRECT(RangePlanCount),0)-1,MATCH(Decimals,Items[#Headers],0)-1,1,1)&gt;0,"."&amp;REPT("0",OFFSET(Items[],MATCH($C21,INDIRECT(RangePlanCount),0)-1,MATCH(Decimals,Items[#Headers],0)-1,1,1)),""))))</f>
        <v/>
      </c>
      <c r="P21" s="302" t="str">
        <f ca="1">IF(OR($C21=OFFSET($C21,1,0),$A21&gt;End,IFERROR(OFFSET(Items[],MATCH($C21,INDIRECT(RangePlanCount),0)-1,MATCH(P$1,Items[#Headers],0)-1,1,1)=0,TRUE)),"",IF(AND(OFFSET(Items[],MATCH($C21,INDIRECT(RangePlanCount),0)-1,MATCH(P$1,Items[#Headers],0)-1,1,1)&gt;0,$J21="LPSM"),"ALL",TEXT(OFFSET(Items[],MATCH($C21,INDIRECT(RangePlanCount),0)-1,MATCH(P$1,Items[#Headers],0)-1,1,1),"###,###,##0"&amp;IF(OFFSET(Items[],MATCH($C21,INDIRECT(RangePlanCount),0)-1,MATCH(Decimals,Items[#Headers],0)-1,1,1)&gt;0,"."&amp;REPT("0",OFFSET(Items[],MATCH($C21,INDIRECT(RangePlanCount),0)-1,MATCH(Decimals,Items[#Headers],0)-1,1,1)),""))))</f>
        <v/>
      </c>
      <c r="Q21" s="302" t="str">
        <f ca="1">IF(OR($C21=OFFSET($C21,1,0),$A21&gt;End,IFERROR(OFFSET(Items[],MATCH($C21,INDIRECT(RangePlanCount),0)-1,MATCH(Q$1,Items[#Headers],0)-1,1,1)=0,TRUE)),"",IF(AND(OFFSET(Items[],MATCH($C21,INDIRECT(RangePlanCount),0)-1,MATCH(Q$1,Items[#Headers],0)-1,1,1)&gt;0,$J21="LPSM"),"ALL",TEXT(OFFSET(Items[],MATCH($C21,INDIRECT(RangePlanCount),0)-1,MATCH(Q$1,Items[#Headers],0)-1,1,1),"###,###,##0"&amp;IF(OFFSET(Items[],MATCH($C21,INDIRECT(RangePlanCount),0)-1,MATCH(Decimals,Items[#Headers],0)-1,1,1)&gt;0,"."&amp;REPT("0",OFFSET(Items[],MATCH($C21,INDIRECT(RangePlanCount),0)-1,MATCH(Decimals,Items[#Headers],0)-1,1,1)),""))))</f>
        <v/>
      </c>
      <c r="R21" s="302" t="str">
        <f ca="1">IF(OR($C21=OFFSET($C21,1,0),$A21&gt;End,IFERROR(OFFSET(Items[],MATCH($C21,INDIRECT(RangePlanCount),0)-1,MATCH(R$1,Items[#Headers],0)-1,1,1)=0,TRUE)),"",IF(AND(OFFSET(Items[],MATCH($C21,INDIRECT(RangePlanCount),0)-1,MATCH(R$1,Items[#Headers],0)-1,1,1)&gt;0,$J21="LPSM"),"ALL",TEXT(OFFSET(Items[],MATCH($C21,INDIRECT(RangePlanCount),0)-1,MATCH(R$1,Items[#Headers],0)-1,1,1),"###,###,##0"&amp;IF(OFFSET(Items[],MATCH($C21,INDIRECT(RangePlanCount),0)-1,MATCH(Decimals,Items[#Headers],0)-1,1,1)&gt;0,"."&amp;REPT("0",OFFSET(Items[],MATCH($C21,INDIRECT(RangePlanCount),0)-1,MATCH(Decimals,Items[#Headers],0)-1,1,1)),""))))</f>
        <v/>
      </c>
      <c r="S21" s="302" t="str">
        <f ca="1">IF(OR($C21=OFFSET($C21,1,0),$A21&gt;End,IFERROR(OFFSET(Items[],MATCH($C21,INDIRECT(RangePlanCount),0)-1,MATCH(S$1,Items[#Headers],0)-1,1,1)=0,TRUE)),"",IF(AND(OFFSET(Items[],MATCH($C21,INDIRECT(RangePlanCount),0)-1,MATCH(S$1,Items[#Headers],0)-1,1,1)&gt;0,$J21="LPSM"),"ALL",TEXT(OFFSET(Items[],MATCH($C21,INDIRECT(RangePlanCount),0)-1,MATCH(S$1,Items[#Headers],0)-1,1,1),"###,###,##0"&amp;IF(OFFSET(Items[],MATCH($C21,INDIRECT(RangePlanCount),0)-1,MATCH(Decimals,Items[#Headers],0)-1,1,1)&gt;0,"."&amp;REPT("0",OFFSET(Items[],MATCH($C21,INDIRECT(RangePlanCount),0)-1,MATCH(Decimals,Items[#Headers],0)-1,1,1)),""))))</f>
        <v/>
      </c>
      <c r="T21" s="302" t="str">
        <f ca="1">IF(OR($C21=OFFSET($C21,1,0),$A21&gt;End,IFERROR(OFFSET(Items[],MATCH($C21,INDIRECT(RangePlanCount),0)-1,MATCH(T$1,Items[#Headers],0)-1,1,1)=0,TRUE)),"",IF(AND(OFFSET(Items[],MATCH($C21,INDIRECT(RangePlanCount),0)-1,MATCH(T$1,Items[#Headers],0)-1,1,1)&gt;0,$J21="LPSM"),"ALL",TEXT(OFFSET(Items[],MATCH($C21,INDIRECT(RangePlanCount),0)-1,MATCH(T$1,Items[#Headers],0)-1,1,1),"###,###,##0"&amp;IF(OFFSET(Items[],MATCH($C21,INDIRECT(RangePlanCount),0)-1,MATCH(Decimals,Items[#Headers],0)-1,1,1)&gt;0,"."&amp;REPT("0",OFFSET(Items[],MATCH($C21,INDIRECT(RangePlanCount),0)-1,MATCH(Decimals,Items[#Headers],0)-1,1,1)),""))))</f>
        <v/>
      </c>
      <c r="U21" s="302" t="str">
        <f ca="1">IF(OR($C21=OFFSET($C21,1,0),$A21&gt;End,IFERROR(OFFSET(Items[],MATCH($C21,INDIRECT(RangePlanCount),0)-1,MATCH(U$1,Items[#Headers],0)-1,1,1)=0,TRUE)),"",IF(AND(OFFSET(Items[],MATCH($C21,INDIRECT(RangePlanCount),0)-1,MATCH(U$1,Items[#Headers],0)-1,1,1)&gt;0,$J21="LPSM"),"ALL",TEXT(OFFSET(Items[],MATCH($C21,INDIRECT(RangePlanCount),0)-1,MATCH(U$1,Items[#Headers],0)-1,1,1),"###,###,##0"&amp;IF(OFFSET(Items[],MATCH($C21,INDIRECT(RangePlanCount),0)-1,MATCH(Decimals,Items[#Headers],0)-1,1,1)&gt;0,"."&amp;REPT("0",OFFSET(Items[],MATCH($C21,INDIRECT(RangePlanCount),0)-1,MATCH(Decimals,Items[#Headers],0)-1,1,1)),""))))</f>
        <v/>
      </c>
      <c r="V21" s="302" t="str">
        <f ca="1">IF(OR($C21=OFFSET($C21,1,0),$A21&gt;End,IFERROR(OFFSET(Items[],MATCH($C21,INDIRECT(RangePlanCount),0)-1,MATCH(V$1,Items[#Headers],0)-1,1,1)=0,TRUE)),"",IF(AND(OFFSET(Items[],MATCH($C21,INDIRECT(RangePlanCount),0)-1,MATCH(V$1,Items[#Headers],0)-1,1,1)&gt;0,$J21="LPSM"),"ALL",TEXT(OFFSET(Items[],MATCH($C21,INDIRECT(RangePlanCount),0)-1,MATCH(V$1,Items[#Headers],0)-1,1,1),"###,###,##0"&amp;IF(OFFSET(Items[],MATCH($C21,INDIRECT(RangePlanCount),0)-1,MATCH(Decimals,Items[#Headers],0)-1,1,1)&gt;0,"."&amp;REPT("0",OFFSET(Items[],MATCH($C21,INDIRECT(RangePlanCount),0)-1,MATCH(Decimals,Items[#Headers],0)-1,1,1)),""))))</f>
        <v/>
      </c>
      <c r="W21" s="304" t="str">
        <f ca="1">IF(OR($C21=OFFSET($C21,1,0),$A21&gt;End,IFERROR(OFFSET(Items[],MATCH($C21,INDIRECT(RangePlanCount),0)-1,MATCH(W$1,Items[#Headers],0)-1,1,1)=0,TRUE)),"",IF(AND(OFFSET(Items[],MATCH($C21,INDIRECT(RangePlanCount),0)-1,MATCH(W$1,Items[#Headers],0)-1,1,1)&gt;0,$J21="LPSM"),"ALL",TEXT(OFFSET(Items[],MATCH($C21,INDIRECT(RangePlanCount),0)-1,MATCH(W$1,Items[#Headers],0)-1,1,1),"###,###,##0"&amp;IF(OFFSET(Items[],MATCH($C21,INDIRECT(RangePlanCount),0)-1,MATCH(Decimals,Items[#Headers],0)-1,1,1)&gt;0,"."&amp;REPT("0",OFFSET(Items[],MATCH($C21,INDIRECT(RangePlanCount),0)-1,MATCH(Decimals,Items[#Headers],0)-1,1,1)),""))))</f>
        <v/>
      </c>
      <c r="X21" s="305" t="str">
        <f ca="1">IF(OR($C21=OFFSET($C21,1,0),$A21&gt;End,IFERROR(OFFSET(Items[],MATCH($C21,INDIRECT(RangePlanCount),0)-1,MATCH(X$1,Items[#Headers],0)-1,1,1)=0,TRUE)),"",IF(AND(OFFSET(Items[],MATCH($C21,INDIRECT(RangePlanCount),0)-1,MATCH(X$1,Items[#Headers],0)-1,1,1)&gt;0,$J21="LPSM"),"ALL",TEXT(OFFSET(Items[],MATCH($C21,INDIRECT(RangePlanCount),0)-1,MATCH(X$1,Items[#Headers],0)-1,1,1),"###,###,##0"&amp;IF(OFFSET(Items[],MATCH($C21,INDIRECT(RangePlanCount),0)-1,MATCH(Decimals,Items[#Headers],0)-1,1,1)&gt;0,"."&amp;REPT("0",OFFSET(Items[],MATCH($C21,INDIRECT(RangePlanCount),0)-1,MATCH(Decimals,Items[#Headers],0)-1,1,1)),""))))</f>
        <v/>
      </c>
      <c r="Y21" s="306" t="str">
        <f ca="1">IF(OR($A21&gt;End,COUNTIF($C$7:$C21,$C21)&gt;lines_R),"",IF(COUNTIF($C$7:$C21,$C21)=1,LEFT(VLOOKUP($C21,Calcs[],col_Remarks,0),VLOOKUP($C21,Calcs[],col_R,0)),MID(VLOOKUP($C21,Calcs[],col_Remarks,0),VLOOKUP($C21,Calcs[],col_R+COUNTIF($C$7:$C21,$C21)-2,0)+1,VLOOKUP($C21,Calcs[],col_R+COUNTIF($C$7:$C21,$C21)-1,0)-VLOOKUP($C21,Calcs[],col_R+COUNTIF($C$7:$C21,$C21)-2,0))))</f>
        <v/>
      </c>
      <c r="Z21" s="300"/>
      <c r="AA21" s="1"/>
    </row>
    <row r="22" spans="1:27" ht="15" customHeight="1" x14ac:dyDescent="0.15">
      <c r="A22" s="58">
        <f t="shared" ca="1" si="1"/>
        <v>15</v>
      </c>
      <c r="C22" s="58">
        <f ca="1">IFERROR(VLOOKUP(A22,Calcs[],1,0),OFFSET(C22,1,0))</f>
        <v>0</v>
      </c>
      <c r="D22" s="342"/>
      <c r="E22" s="59"/>
      <c r="F22" s="301" t="str">
        <f ca="1">IF(OR($C22=OFFSET($C22,-1,0),$A22&gt;End),"",_xlfn.XLOOKUP($C22,Items[PlanCounter],Items[Amend],_xlfn.XLOOKUP($C22,Proposed[PlanCounter],Proposed[Amend])))</f>
        <v/>
      </c>
      <c r="G22" s="302" t="str">
        <f ca="1">IF(OR($C22=OFFSET($C22,-1,0),$A22&gt;End),"",_xlfn.XLOOKUP($C22,Calcs[Counter],Calcs[Line]))</f>
        <v/>
      </c>
      <c r="H22" s="302" t="str" cm="1">
        <f t="array" aca="1" ref="H22" ca="1">IF(OR($C22=OFFSET($C22,-1,0),$A22&gt;End),"",_xlfn.XLOOKUP($C22,INDIRECT(RangePlanCount),INDIRECT(RangeItems)))</f>
        <v/>
      </c>
      <c r="I22" s="294" t="str">
        <f ca="1">IF(OR($A22&gt;End,COUNTIF($C$7:$C22,$C22)&gt;lines_D),"",IF(COUNTIF($C$7:$C22,$C22)=1,LEFT(VLOOKUP($C22,Calcs[],col_Description,0),VLOOKUP($C22,Calcs[],col_D,0)),MID(VLOOKUP($C22,Calcs[],col_Description,0),VLOOKUP($C22,Calcs[],col_D+COUNTIF($C$7:$C22,$C22)-2,0)+1,VLOOKUP($C22,Calcs[],col_D+COUNTIF($C$7:$C22,$C22)-1,0)-VLOOKUP($C22,Calcs[],col_D+COUNTIF($C$7:$C22,$C22)-2,0))))</f>
        <v/>
      </c>
      <c r="J22" s="295" t="str" cm="1">
        <f t="array" aca="1" ref="J22" ca="1">IF(OR($C22=OFFSET($C22,1,0),$A22&gt;End),"",_xlfn.XLOOKUP($C22,INDIRECT(RangePlanCount),INDIRECT(RangeUnit)))</f>
        <v/>
      </c>
      <c r="K22" s="303" t="str">
        <f ca="1">IF(OR($C22=OFFSET($C22,1,0),$A22&gt;End,IFERROR(OFFSET(Items[],MATCH($C22,INDIRECT(RangePlanCount),0)-1,MATCH(K$1,Items[#Headers],0)-1,1,1)=0,TRUE)),"",IF(AND(OFFSET(Items[],MATCH($C22,INDIRECT(RangePlanCount),0)-1,MATCH(K$1,Items[#Headers],0)-1,1,1)&gt;0,$J22="LPSM"),"ALL",TEXT(OFFSET(Items[],MATCH($C22,INDIRECT(RangePlanCount),0)-1,MATCH(K$1,Items[#Headers],0)-1,1,1),"###,###,##0"&amp;IF(OFFSET(Items[],MATCH($C22,INDIRECT(RangePlanCount),0)-1,MATCH(Decimals,Items[#Headers],0)-1,1,1)&gt;0,"."&amp;REPT("0",OFFSET(Items[],MATCH($C22,INDIRECT(RangePlanCount),0)-1,MATCH(Decimals,Items[#Headers],0)-1,1,1)),""))))</f>
        <v/>
      </c>
      <c r="L22" s="302" t="str">
        <f ca="1">IF(OR($C22=OFFSET($C22,1,0),$A22&gt;End,IFERROR(OFFSET(Items[],MATCH($C22,INDIRECT(RangePlanCount),0)-1,MATCH(L$1,Items[#Headers],0)-1,1,1)=0,TRUE)),"",IF(AND(OFFSET(Items[],MATCH($C22,INDIRECT(RangePlanCount),0)-1,MATCH(L$1,Items[#Headers],0)-1,1,1)&gt;0,$J22="LPSM"),"ALL",TEXT(OFFSET(Items[],MATCH($C22,INDIRECT(RangePlanCount),0)-1,MATCH(L$1,Items[#Headers],0)-1,1,1),"###,###,##0"&amp;IF(OFFSET(Items[],MATCH($C22,INDIRECT(RangePlanCount),0)-1,MATCH(Decimals,Items[#Headers],0)-1,1,1)&gt;0,"."&amp;REPT("0",OFFSET(Items[],MATCH($C22,INDIRECT(RangePlanCount),0)-1,MATCH(Decimals,Items[#Headers],0)-1,1,1)),""))))</f>
        <v/>
      </c>
      <c r="M22" s="302" t="str">
        <f ca="1">IF(OR($C22=OFFSET($C22,1,0),$A22&gt;End,IFERROR(OFFSET(Items[],MATCH($C22,INDIRECT(RangePlanCount),0)-1,MATCH(M$1,Items[#Headers],0)-1,1,1)=0,TRUE)),"",IF(AND(OFFSET(Items[],MATCH($C22,INDIRECT(RangePlanCount),0)-1,MATCH(M$1,Items[#Headers],0)-1,1,1)&gt;0,$J22="LPSM"),"ALL",TEXT(OFFSET(Items[],MATCH($C22,INDIRECT(RangePlanCount),0)-1,MATCH(M$1,Items[#Headers],0)-1,1,1),"###,###,##0"&amp;IF(OFFSET(Items[],MATCH($C22,INDIRECT(RangePlanCount),0)-1,MATCH(Decimals,Items[#Headers],0)-1,1,1)&gt;0,"."&amp;REPT("0",OFFSET(Items[],MATCH($C22,INDIRECT(RangePlanCount),0)-1,MATCH(Decimals,Items[#Headers],0)-1,1,1)),""))))</f>
        <v/>
      </c>
      <c r="N22" s="302" t="str">
        <f ca="1">IF(OR($C22=OFFSET($C22,1,0),$A22&gt;End,IFERROR(OFFSET(Items[],MATCH($C22,INDIRECT(RangePlanCount),0)-1,MATCH(N$1,Items[#Headers],0)-1,1,1)=0,TRUE)),"",IF(AND(OFFSET(Items[],MATCH($C22,INDIRECT(RangePlanCount),0)-1,MATCH(N$1,Items[#Headers],0)-1,1,1)&gt;0,$J22="LPSM"),"ALL",TEXT(OFFSET(Items[],MATCH($C22,INDIRECT(RangePlanCount),0)-1,MATCH(N$1,Items[#Headers],0)-1,1,1),"###,###,##0"&amp;IF(OFFSET(Items[],MATCH($C22,INDIRECT(RangePlanCount),0)-1,MATCH(Decimals,Items[#Headers],0)-1,1,1)&gt;0,"."&amp;REPT("0",OFFSET(Items[],MATCH($C22,INDIRECT(RangePlanCount),0)-1,MATCH(Decimals,Items[#Headers],0)-1,1,1)),""))))</f>
        <v/>
      </c>
      <c r="O22" s="302" t="str">
        <f ca="1">IF(OR($C22=OFFSET($C22,1,0),$A22&gt;End,IFERROR(OFFSET(Items[],MATCH($C22,INDIRECT(RangePlanCount),0)-1,MATCH(O$1,Items[#Headers],0)-1,1,1)=0,TRUE)),"",IF(AND(OFFSET(Items[],MATCH($C22,INDIRECT(RangePlanCount),0)-1,MATCH(O$1,Items[#Headers],0)-1,1,1)&gt;0,$J22="LPSM"),"ALL",TEXT(OFFSET(Items[],MATCH($C22,INDIRECT(RangePlanCount),0)-1,MATCH(O$1,Items[#Headers],0)-1,1,1),"###,###,##0"&amp;IF(OFFSET(Items[],MATCH($C22,INDIRECT(RangePlanCount),0)-1,MATCH(Decimals,Items[#Headers],0)-1,1,1)&gt;0,"."&amp;REPT("0",OFFSET(Items[],MATCH($C22,INDIRECT(RangePlanCount),0)-1,MATCH(Decimals,Items[#Headers],0)-1,1,1)),""))))</f>
        <v/>
      </c>
      <c r="P22" s="302" t="str">
        <f ca="1">IF(OR($C22=OFFSET($C22,1,0),$A22&gt;End,IFERROR(OFFSET(Items[],MATCH($C22,INDIRECT(RangePlanCount),0)-1,MATCH(P$1,Items[#Headers],0)-1,1,1)=0,TRUE)),"",IF(AND(OFFSET(Items[],MATCH($C22,INDIRECT(RangePlanCount),0)-1,MATCH(P$1,Items[#Headers],0)-1,1,1)&gt;0,$J22="LPSM"),"ALL",TEXT(OFFSET(Items[],MATCH($C22,INDIRECT(RangePlanCount),0)-1,MATCH(P$1,Items[#Headers],0)-1,1,1),"###,###,##0"&amp;IF(OFFSET(Items[],MATCH($C22,INDIRECT(RangePlanCount),0)-1,MATCH(Decimals,Items[#Headers],0)-1,1,1)&gt;0,"."&amp;REPT("0",OFFSET(Items[],MATCH($C22,INDIRECT(RangePlanCount),0)-1,MATCH(Decimals,Items[#Headers],0)-1,1,1)),""))))</f>
        <v/>
      </c>
      <c r="Q22" s="302" t="str">
        <f ca="1">IF(OR($C22=OFFSET($C22,1,0),$A22&gt;End,IFERROR(OFFSET(Items[],MATCH($C22,INDIRECT(RangePlanCount),0)-1,MATCH(Q$1,Items[#Headers],0)-1,1,1)=0,TRUE)),"",IF(AND(OFFSET(Items[],MATCH($C22,INDIRECT(RangePlanCount),0)-1,MATCH(Q$1,Items[#Headers],0)-1,1,1)&gt;0,$J22="LPSM"),"ALL",TEXT(OFFSET(Items[],MATCH($C22,INDIRECT(RangePlanCount),0)-1,MATCH(Q$1,Items[#Headers],0)-1,1,1),"###,###,##0"&amp;IF(OFFSET(Items[],MATCH($C22,INDIRECT(RangePlanCount),0)-1,MATCH(Decimals,Items[#Headers],0)-1,1,1)&gt;0,"."&amp;REPT("0",OFFSET(Items[],MATCH($C22,INDIRECT(RangePlanCount),0)-1,MATCH(Decimals,Items[#Headers],0)-1,1,1)),""))))</f>
        <v/>
      </c>
      <c r="R22" s="302" t="str">
        <f ca="1">IF(OR($C22=OFFSET($C22,1,0),$A22&gt;End,IFERROR(OFFSET(Items[],MATCH($C22,INDIRECT(RangePlanCount),0)-1,MATCH(R$1,Items[#Headers],0)-1,1,1)=0,TRUE)),"",IF(AND(OFFSET(Items[],MATCH($C22,INDIRECT(RangePlanCount),0)-1,MATCH(R$1,Items[#Headers],0)-1,1,1)&gt;0,$J22="LPSM"),"ALL",TEXT(OFFSET(Items[],MATCH($C22,INDIRECT(RangePlanCount),0)-1,MATCH(R$1,Items[#Headers],0)-1,1,1),"###,###,##0"&amp;IF(OFFSET(Items[],MATCH($C22,INDIRECT(RangePlanCount),0)-1,MATCH(Decimals,Items[#Headers],0)-1,1,1)&gt;0,"."&amp;REPT("0",OFFSET(Items[],MATCH($C22,INDIRECT(RangePlanCount),0)-1,MATCH(Decimals,Items[#Headers],0)-1,1,1)),""))))</f>
        <v/>
      </c>
      <c r="S22" s="302" t="str">
        <f ca="1">IF(OR($C22=OFFSET($C22,1,0),$A22&gt;End,IFERROR(OFFSET(Items[],MATCH($C22,INDIRECT(RangePlanCount),0)-1,MATCH(S$1,Items[#Headers],0)-1,1,1)=0,TRUE)),"",IF(AND(OFFSET(Items[],MATCH($C22,INDIRECT(RangePlanCount),0)-1,MATCH(S$1,Items[#Headers],0)-1,1,1)&gt;0,$J22="LPSM"),"ALL",TEXT(OFFSET(Items[],MATCH($C22,INDIRECT(RangePlanCount),0)-1,MATCH(S$1,Items[#Headers],0)-1,1,1),"###,###,##0"&amp;IF(OFFSET(Items[],MATCH($C22,INDIRECT(RangePlanCount),0)-1,MATCH(Decimals,Items[#Headers],0)-1,1,1)&gt;0,"."&amp;REPT("0",OFFSET(Items[],MATCH($C22,INDIRECT(RangePlanCount),0)-1,MATCH(Decimals,Items[#Headers],0)-1,1,1)),""))))</f>
        <v/>
      </c>
      <c r="T22" s="302" t="str">
        <f ca="1">IF(OR($C22=OFFSET($C22,1,0),$A22&gt;End,IFERROR(OFFSET(Items[],MATCH($C22,INDIRECT(RangePlanCount),0)-1,MATCH(T$1,Items[#Headers],0)-1,1,1)=0,TRUE)),"",IF(AND(OFFSET(Items[],MATCH($C22,INDIRECT(RangePlanCount),0)-1,MATCH(T$1,Items[#Headers],0)-1,1,1)&gt;0,$J22="LPSM"),"ALL",TEXT(OFFSET(Items[],MATCH($C22,INDIRECT(RangePlanCount),0)-1,MATCH(T$1,Items[#Headers],0)-1,1,1),"###,###,##0"&amp;IF(OFFSET(Items[],MATCH($C22,INDIRECT(RangePlanCount),0)-1,MATCH(Decimals,Items[#Headers],0)-1,1,1)&gt;0,"."&amp;REPT("0",OFFSET(Items[],MATCH($C22,INDIRECT(RangePlanCount),0)-1,MATCH(Decimals,Items[#Headers],0)-1,1,1)),""))))</f>
        <v/>
      </c>
      <c r="U22" s="302" t="str">
        <f ca="1">IF(OR($C22=OFFSET($C22,1,0),$A22&gt;End,IFERROR(OFFSET(Items[],MATCH($C22,INDIRECT(RangePlanCount),0)-1,MATCH(U$1,Items[#Headers],0)-1,1,1)=0,TRUE)),"",IF(AND(OFFSET(Items[],MATCH($C22,INDIRECT(RangePlanCount),0)-1,MATCH(U$1,Items[#Headers],0)-1,1,1)&gt;0,$J22="LPSM"),"ALL",TEXT(OFFSET(Items[],MATCH($C22,INDIRECT(RangePlanCount),0)-1,MATCH(U$1,Items[#Headers],0)-1,1,1),"###,###,##0"&amp;IF(OFFSET(Items[],MATCH($C22,INDIRECT(RangePlanCount),0)-1,MATCH(Decimals,Items[#Headers],0)-1,1,1)&gt;0,"."&amp;REPT("0",OFFSET(Items[],MATCH($C22,INDIRECT(RangePlanCount),0)-1,MATCH(Decimals,Items[#Headers],0)-1,1,1)),""))))</f>
        <v/>
      </c>
      <c r="V22" s="302" t="str">
        <f ca="1">IF(OR($C22=OFFSET($C22,1,0),$A22&gt;End,IFERROR(OFFSET(Items[],MATCH($C22,INDIRECT(RangePlanCount),0)-1,MATCH(V$1,Items[#Headers],0)-1,1,1)=0,TRUE)),"",IF(AND(OFFSET(Items[],MATCH($C22,INDIRECT(RangePlanCount),0)-1,MATCH(V$1,Items[#Headers],0)-1,1,1)&gt;0,$J22="LPSM"),"ALL",TEXT(OFFSET(Items[],MATCH($C22,INDIRECT(RangePlanCount),0)-1,MATCH(V$1,Items[#Headers],0)-1,1,1),"###,###,##0"&amp;IF(OFFSET(Items[],MATCH($C22,INDIRECT(RangePlanCount),0)-1,MATCH(Decimals,Items[#Headers],0)-1,1,1)&gt;0,"."&amp;REPT("0",OFFSET(Items[],MATCH($C22,INDIRECT(RangePlanCount),0)-1,MATCH(Decimals,Items[#Headers],0)-1,1,1)),""))))</f>
        <v/>
      </c>
      <c r="W22" s="304" t="str">
        <f ca="1">IF(OR($C22=OFFSET($C22,1,0),$A22&gt;End,IFERROR(OFFSET(Items[],MATCH($C22,INDIRECT(RangePlanCount),0)-1,MATCH(W$1,Items[#Headers],0)-1,1,1)=0,TRUE)),"",IF(AND(OFFSET(Items[],MATCH($C22,INDIRECT(RangePlanCount),0)-1,MATCH(W$1,Items[#Headers],0)-1,1,1)&gt;0,$J22="LPSM"),"ALL",TEXT(OFFSET(Items[],MATCH($C22,INDIRECT(RangePlanCount),0)-1,MATCH(W$1,Items[#Headers],0)-1,1,1),"###,###,##0"&amp;IF(OFFSET(Items[],MATCH($C22,INDIRECT(RangePlanCount),0)-1,MATCH(Decimals,Items[#Headers],0)-1,1,1)&gt;0,"."&amp;REPT("0",OFFSET(Items[],MATCH($C22,INDIRECT(RangePlanCount),0)-1,MATCH(Decimals,Items[#Headers],0)-1,1,1)),""))))</f>
        <v/>
      </c>
      <c r="X22" s="305" t="str">
        <f ca="1">IF(OR($C22=OFFSET($C22,1,0),$A22&gt;End,IFERROR(OFFSET(Items[],MATCH($C22,INDIRECT(RangePlanCount),0)-1,MATCH(X$1,Items[#Headers],0)-1,1,1)=0,TRUE)),"",IF(AND(OFFSET(Items[],MATCH($C22,INDIRECT(RangePlanCount),0)-1,MATCH(X$1,Items[#Headers],0)-1,1,1)&gt;0,$J22="LPSM"),"ALL",TEXT(OFFSET(Items[],MATCH($C22,INDIRECT(RangePlanCount),0)-1,MATCH(X$1,Items[#Headers],0)-1,1,1),"###,###,##0"&amp;IF(OFFSET(Items[],MATCH($C22,INDIRECT(RangePlanCount),0)-1,MATCH(Decimals,Items[#Headers],0)-1,1,1)&gt;0,"."&amp;REPT("0",OFFSET(Items[],MATCH($C22,INDIRECT(RangePlanCount),0)-1,MATCH(Decimals,Items[#Headers],0)-1,1,1)),""))))</f>
        <v/>
      </c>
      <c r="Y22" s="306" t="str">
        <f ca="1">IF(OR($A22&gt;End,COUNTIF($C$7:$C22,$C22)&gt;lines_R),"",IF(COUNTIF($C$7:$C22,$C22)=1,LEFT(VLOOKUP($C22,Calcs[],col_Remarks,0),VLOOKUP($C22,Calcs[],col_R,0)),MID(VLOOKUP($C22,Calcs[],col_Remarks,0),VLOOKUP($C22,Calcs[],col_R+COUNTIF($C$7:$C22,$C22)-2,0)+1,VLOOKUP($C22,Calcs[],col_R+COUNTIF($C$7:$C22,$C22)-1,0)-VLOOKUP($C22,Calcs[],col_R+COUNTIF($C$7:$C22,$C22)-2,0))))</f>
        <v/>
      </c>
      <c r="Z22" s="300"/>
      <c r="AA22" s="1"/>
    </row>
    <row r="23" spans="1:27" ht="15" customHeight="1" x14ac:dyDescent="0.15">
      <c r="A23" s="58">
        <f t="shared" ca="1" si="1"/>
        <v>16</v>
      </c>
      <c r="C23" s="58">
        <f ca="1">IFERROR(VLOOKUP(A23,Calcs[],1,0),OFFSET(C23,1,0))</f>
        <v>0</v>
      </c>
      <c r="D23" s="342"/>
      <c r="E23" s="59"/>
      <c r="F23" s="301" t="str">
        <f ca="1">IF(OR($C23=OFFSET($C23,-1,0),$A23&gt;End),"",_xlfn.XLOOKUP($C23,Items[PlanCounter],Items[Amend],_xlfn.XLOOKUP($C23,Proposed[PlanCounter],Proposed[Amend])))</f>
        <v/>
      </c>
      <c r="G23" s="302" t="str">
        <f ca="1">IF(OR($C23=OFFSET($C23,-1,0),$A23&gt;End),"",_xlfn.XLOOKUP($C23,Calcs[Counter],Calcs[Line]))</f>
        <v/>
      </c>
      <c r="H23" s="302" t="str" cm="1">
        <f t="array" aca="1" ref="H23" ca="1">IF(OR($C23=OFFSET($C23,-1,0),$A23&gt;End),"",_xlfn.XLOOKUP($C23,INDIRECT(RangePlanCount),INDIRECT(RangeItems)))</f>
        <v/>
      </c>
      <c r="I23" s="294" t="str">
        <f ca="1">IF(OR($A23&gt;End,COUNTIF($C$7:$C23,$C23)&gt;lines_D),"",IF(COUNTIF($C$7:$C23,$C23)=1,LEFT(VLOOKUP($C23,Calcs[],col_Description,0),VLOOKUP($C23,Calcs[],col_D,0)),MID(VLOOKUP($C23,Calcs[],col_Description,0),VLOOKUP($C23,Calcs[],col_D+COUNTIF($C$7:$C23,$C23)-2,0)+1,VLOOKUP($C23,Calcs[],col_D+COUNTIF($C$7:$C23,$C23)-1,0)-VLOOKUP($C23,Calcs[],col_D+COUNTIF($C$7:$C23,$C23)-2,0))))</f>
        <v/>
      </c>
      <c r="J23" s="295" t="str" cm="1">
        <f t="array" aca="1" ref="J23" ca="1">IF(OR($C23=OFFSET($C23,1,0),$A23&gt;End),"",_xlfn.XLOOKUP($C23,INDIRECT(RangePlanCount),INDIRECT(RangeUnit)))</f>
        <v/>
      </c>
      <c r="K23" s="303" t="str">
        <f ca="1">IF(OR($C23=OFFSET($C23,1,0),$A23&gt;End,IFERROR(OFFSET(Items[],MATCH($C23,INDIRECT(RangePlanCount),0)-1,MATCH(K$1,Items[#Headers],0)-1,1,1)=0,TRUE)),"",IF(AND(OFFSET(Items[],MATCH($C23,INDIRECT(RangePlanCount),0)-1,MATCH(K$1,Items[#Headers],0)-1,1,1)&gt;0,$J23="LPSM"),"ALL",TEXT(OFFSET(Items[],MATCH($C23,INDIRECT(RangePlanCount),0)-1,MATCH(K$1,Items[#Headers],0)-1,1,1),"###,###,##0"&amp;IF(OFFSET(Items[],MATCH($C23,INDIRECT(RangePlanCount),0)-1,MATCH(Decimals,Items[#Headers],0)-1,1,1)&gt;0,"."&amp;REPT("0",OFFSET(Items[],MATCH($C23,INDIRECT(RangePlanCount),0)-1,MATCH(Decimals,Items[#Headers],0)-1,1,1)),""))))</f>
        <v/>
      </c>
      <c r="L23" s="302" t="str">
        <f ca="1">IF(OR($C23=OFFSET($C23,1,0),$A23&gt;End,IFERROR(OFFSET(Items[],MATCH($C23,INDIRECT(RangePlanCount),0)-1,MATCH(L$1,Items[#Headers],0)-1,1,1)=0,TRUE)),"",IF(AND(OFFSET(Items[],MATCH($C23,INDIRECT(RangePlanCount),0)-1,MATCH(L$1,Items[#Headers],0)-1,1,1)&gt;0,$J23="LPSM"),"ALL",TEXT(OFFSET(Items[],MATCH($C23,INDIRECT(RangePlanCount),0)-1,MATCH(L$1,Items[#Headers],0)-1,1,1),"###,###,##0"&amp;IF(OFFSET(Items[],MATCH($C23,INDIRECT(RangePlanCount),0)-1,MATCH(Decimals,Items[#Headers],0)-1,1,1)&gt;0,"."&amp;REPT("0",OFFSET(Items[],MATCH($C23,INDIRECT(RangePlanCount),0)-1,MATCH(Decimals,Items[#Headers],0)-1,1,1)),""))))</f>
        <v/>
      </c>
      <c r="M23" s="302" t="str">
        <f ca="1">IF(OR($C23=OFFSET($C23,1,0),$A23&gt;End,IFERROR(OFFSET(Items[],MATCH($C23,INDIRECT(RangePlanCount),0)-1,MATCH(M$1,Items[#Headers],0)-1,1,1)=0,TRUE)),"",IF(AND(OFFSET(Items[],MATCH($C23,INDIRECT(RangePlanCount),0)-1,MATCH(M$1,Items[#Headers],0)-1,1,1)&gt;0,$J23="LPSM"),"ALL",TEXT(OFFSET(Items[],MATCH($C23,INDIRECT(RangePlanCount),0)-1,MATCH(M$1,Items[#Headers],0)-1,1,1),"###,###,##0"&amp;IF(OFFSET(Items[],MATCH($C23,INDIRECT(RangePlanCount),0)-1,MATCH(Decimals,Items[#Headers],0)-1,1,1)&gt;0,"."&amp;REPT("0",OFFSET(Items[],MATCH($C23,INDIRECT(RangePlanCount),0)-1,MATCH(Decimals,Items[#Headers],0)-1,1,1)),""))))</f>
        <v/>
      </c>
      <c r="N23" s="302" t="str">
        <f ca="1">IF(OR($C23=OFFSET($C23,1,0),$A23&gt;End,IFERROR(OFFSET(Items[],MATCH($C23,INDIRECT(RangePlanCount),0)-1,MATCH(N$1,Items[#Headers],0)-1,1,1)=0,TRUE)),"",IF(AND(OFFSET(Items[],MATCH($C23,INDIRECT(RangePlanCount),0)-1,MATCH(N$1,Items[#Headers],0)-1,1,1)&gt;0,$J23="LPSM"),"ALL",TEXT(OFFSET(Items[],MATCH($C23,INDIRECT(RangePlanCount),0)-1,MATCH(N$1,Items[#Headers],0)-1,1,1),"###,###,##0"&amp;IF(OFFSET(Items[],MATCH($C23,INDIRECT(RangePlanCount),0)-1,MATCH(Decimals,Items[#Headers],0)-1,1,1)&gt;0,"."&amp;REPT("0",OFFSET(Items[],MATCH($C23,INDIRECT(RangePlanCount),0)-1,MATCH(Decimals,Items[#Headers],0)-1,1,1)),""))))</f>
        <v/>
      </c>
      <c r="O23" s="302" t="str">
        <f ca="1">IF(OR($C23=OFFSET($C23,1,0),$A23&gt;End,IFERROR(OFFSET(Items[],MATCH($C23,INDIRECT(RangePlanCount),0)-1,MATCH(O$1,Items[#Headers],0)-1,1,1)=0,TRUE)),"",IF(AND(OFFSET(Items[],MATCH($C23,INDIRECT(RangePlanCount),0)-1,MATCH(O$1,Items[#Headers],0)-1,1,1)&gt;0,$J23="LPSM"),"ALL",TEXT(OFFSET(Items[],MATCH($C23,INDIRECT(RangePlanCount),0)-1,MATCH(O$1,Items[#Headers],0)-1,1,1),"###,###,##0"&amp;IF(OFFSET(Items[],MATCH($C23,INDIRECT(RangePlanCount),0)-1,MATCH(Decimals,Items[#Headers],0)-1,1,1)&gt;0,"."&amp;REPT("0",OFFSET(Items[],MATCH($C23,INDIRECT(RangePlanCount),0)-1,MATCH(Decimals,Items[#Headers],0)-1,1,1)),""))))</f>
        <v/>
      </c>
      <c r="P23" s="302" t="str">
        <f ca="1">IF(OR($C23=OFFSET($C23,1,0),$A23&gt;End,IFERROR(OFFSET(Items[],MATCH($C23,INDIRECT(RangePlanCount),0)-1,MATCH(P$1,Items[#Headers],0)-1,1,1)=0,TRUE)),"",IF(AND(OFFSET(Items[],MATCH($C23,INDIRECT(RangePlanCount),0)-1,MATCH(P$1,Items[#Headers],0)-1,1,1)&gt;0,$J23="LPSM"),"ALL",TEXT(OFFSET(Items[],MATCH($C23,INDIRECT(RangePlanCount),0)-1,MATCH(P$1,Items[#Headers],0)-1,1,1),"###,###,##0"&amp;IF(OFFSET(Items[],MATCH($C23,INDIRECT(RangePlanCount),0)-1,MATCH(Decimals,Items[#Headers],0)-1,1,1)&gt;0,"."&amp;REPT("0",OFFSET(Items[],MATCH($C23,INDIRECT(RangePlanCount),0)-1,MATCH(Decimals,Items[#Headers],0)-1,1,1)),""))))</f>
        <v/>
      </c>
      <c r="Q23" s="302" t="str">
        <f ca="1">IF(OR($C23=OFFSET($C23,1,0),$A23&gt;End,IFERROR(OFFSET(Items[],MATCH($C23,INDIRECT(RangePlanCount),0)-1,MATCH(Q$1,Items[#Headers],0)-1,1,1)=0,TRUE)),"",IF(AND(OFFSET(Items[],MATCH($C23,INDIRECT(RangePlanCount),0)-1,MATCH(Q$1,Items[#Headers],0)-1,1,1)&gt;0,$J23="LPSM"),"ALL",TEXT(OFFSET(Items[],MATCH($C23,INDIRECT(RangePlanCount),0)-1,MATCH(Q$1,Items[#Headers],0)-1,1,1),"###,###,##0"&amp;IF(OFFSET(Items[],MATCH($C23,INDIRECT(RangePlanCount),0)-1,MATCH(Decimals,Items[#Headers],0)-1,1,1)&gt;0,"."&amp;REPT("0",OFFSET(Items[],MATCH($C23,INDIRECT(RangePlanCount),0)-1,MATCH(Decimals,Items[#Headers],0)-1,1,1)),""))))</f>
        <v/>
      </c>
      <c r="R23" s="302" t="str">
        <f ca="1">IF(OR($C23=OFFSET($C23,1,0),$A23&gt;End,IFERROR(OFFSET(Items[],MATCH($C23,INDIRECT(RangePlanCount),0)-1,MATCH(R$1,Items[#Headers],0)-1,1,1)=0,TRUE)),"",IF(AND(OFFSET(Items[],MATCH($C23,INDIRECT(RangePlanCount),0)-1,MATCH(R$1,Items[#Headers],0)-1,1,1)&gt;0,$J23="LPSM"),"ALL",TEXT(OFFSET(Items[],MATCH($C23,INDIRECT(RangePlanCount),0)-1,MATCH(R$1,Items[#Headers],0)-1,1,1),"###,###,##0"&amp;IF(OFFSET(Items[],MATCH($C23,INDIRECT(RangePlanCount),0)-1,MATCH(Decimals,Items[#Headers],0)-1,1,1)&gt;0,"."&amp;REPT("0",OFFSET(Items[],MATCH($C23,INDIRECT(RangePlanCount),0)-1,MATCH(Decimals,Items[#Headers],0)-1,1,1)),""))))</f>
        <v/>
      </c>
      <c r="S23" s="302" t="str">
        <f ca="1">IF(OR($C23=OFFSET($C23,1,0),$A23&gt;End,IFERROR(OFFSET(Items[],MATCH($C23,INDIRECT(RangePlanCount),0)-1,MATCH(S$1,Items[#Headers],0)-1,1,1)=0,TRUE)),"",IF(AND(OFFSET(Items[],MATCH($C23,INDIRECT(RangePlanCount),0)-1,MATCH(S$1,Items[#Headers],0)-1,1,1)&gt;0,$J23="LPSM"),"ALL",TEXT(OFFSET(Items[],MATCH($C23,INDIRECT(RangePlanCount),0)-1,MATCH(S$1,Items[#Headers],0)-1,1,1),"###,###,##0"&amp;IF(OFFSET(Items[],MATCH($C23,INDIRECT(RangePlanCount),0)-1,MATCH(Decimals,Items[#Headers],0)-1,1,1)&gt;0,"."&amp;REPT("0",OFFSET(Items[],MATCH($C23,INDIRECT(RangePlanCount),0)-1,MATCH(Decimals,Items[#Headers],0)-1,1,1)),""))))</f>
        <v/>
      </c>
      <c r="T23" s="302" t="str">
        <f ca="1">IF(OR($C23=OFFSET($C23,1,0),$A23&gt;End,IFERROR(OFFSET(Items[],MATCH($C23,INDIRECT(RangePlanCount),0)-1,MATCH(T$1,Items[#Headers],0)-1,1,1)=0,TRUE)),"",IF(AND(OFFSET(Items[],MATCH($C23,INDIRECT(RangePlanCount),0)-1,MATCH(T$1,Items[#Headers],0)-1,1,1)&gt;0,$J23="LPSM"),"ALL",TEXT(OFFSET(Items[],MATCH($C23,INDIRECT(RangePlanCount),0)-1,MATCH(T$1,Items[#Headers],0)-1,1,1),"###,###,##0"&amp;IF(OFFSET(Items[],MATCH($C23,INDIRECT(RangePlanCount),0)-1,MATCH(Decimals,Items[#Headers],0)-1,1,1)&gt;0,"."&amp;REPT("0",OFFSET(Items[],MATCH($C23,INDIRECT(RangePlanCount),0)-1,MATCH(Decimals,Items[#Headers],0)-1,1,1)),""))))</f>
        <v/>
      </c>
      <c r="U23" s="302" t="str">
        <f ca="1">IF(OR($C23=OFFSET($C23,1,0),$A23&gt;End,IFERROR(OFFSET(Items[],MATCH($C23,INDIRECT(RangePlanCount),0)-1,MATCH(U$1,Items[#Headers],0)-1,1,1)=0,TRUE)),"",IF(AND(OFFSET(Items[],MATCH($C23,INDIRECT(RangePlanCount),0)-1,MATCH(U$1,Items[#Headers],0)-1,1,1)&gt;0,$J23="LPSM"),"ALL",TEXT(OFFSET(Items[],MATCH($C23,INDIRECT(RangePlanCount),0)-1,MATCH(U$1,Items[#Headers],0)-1,1,1),"###,###,##0"&amp;IF(OFFSET(Items[],MATCH($C23,INDIRECT(RangePlanCount),0)-1,MATCH(Decimals,Items[#Headers],0)-1,1,1)&gt;0,"."&amp;REPT("0",OFFSET(Items[],MATCH($C23,INDIRECT(RangePlanCount),0)-1,MATCH(Decimals,Items[#Headers],0)-1,1,1)),""))))</f>
        <v/>
      </c>
      <c r="V23" s="302" t="str">
        <f ca="1">IF(OR($C23=OFFSET($C23,1,0),$A23&gt;End,IFERROR(OFFSET(Items[],MATCH($C23,INDIRECT(RangePlanCount),0)-1,MATCH(V$1,Items[#Headers],0)-1,1,1)=0,TRUE)),"",IF(AND(OFFSET(Items[],MATCH($C23,INDIRECT(RangePlanCount),0)-1,MATCH(V$1,Items[#Headers],0)-1,1,1)&gt;0,$J23="LPSM"),"ALL",TEXT(OFFSET(Items[],MATCH($C23,INDIRECT(RangePlanCount),0)-1,MATCH(V$1,Items[#Headers],0)-1,1,1),"###,###,##0"&amp;IF(OFFSET(Items[],MATCH($C23,INDIRECT(RangePlanCount),0)-1,MATCH(Decimals,Items[#Headers],0)-1,1,1)&gt;0,"."&amp;REPT("0",OFFSET(Items[],MATCH($C23,INDIRECT(RangePlanCount),0)-1,MATCH(Decimals,Items[#Headers],0)-1,1,1)),""))))</f>
        <v/>
      </c>
      <c r="W23" s="304" t="str">
        <f ca="1">IF(OR($C23=OFFSET($C23,1,0),$A23&gt;End,IFERROR(OFFSET(Items[],MATCH($C23,INDIRECT(RangePlanCount),0)-1,MATCH(W$1,Items[#Headers],0)-1,1,1)=0,TRUE)),"",IF(AND(OFFSET(Items[],MATCH($C23,INDIRECT(RangePlanCount),0)-1,MATCH(W$1,Items[#Headers],0)-1,1,1)&gt;0,$J23="LPSM"),"ALL",TEXT(OFFSET(Items[],MATCH($C23,INDIRECT(RangePlanCount),0)-1,MATCH(W$1,Items[#Headers],0)-1,1,1),"###,###,##0"&amp;IF(OFFSET(Items[],MATCH($C23,INDIRECT(RangePlanCount),0)-1,MATCH(Decimals,Items[#Headers],0)-1,1,1)&gt;0,"."&amp;REPT("0",OFFSET(Items[],MATCH($C23,INDIRECT(RangePlanCount),0)-1,MATCH(Decimals,Items[#Headers],0)-1,1,1)),""))))</f>
        <v/>
      </c>
      <c r="X23" s="305" t="str">
        <f ca="1">IF(OR($C23=OFFSET($C23,1,0),$A23&gt;End,IFERROR(OFFSET(Items[],MATCH($C23,INDIRECT(RangePlanCount),0)-1,MATCH(X$1,Items[#Headers],0)-1,1,1)=0,TRUE)),"",IF(AND(OFFSET(Items[],MATCH($C23,INDIRECT(RangePlanCount),0)-1,MATCH(X$1,Items[#Headers],0)-1,1,1)&gt;0,$J23="LPSM"),"ALL",TEXT(OFFSET(Items[],MATCH($C23,INDIRECT(RangePlanCount),0)-1,MATCH(X$1,Items[#Headers],0)-1,1,1),"###,###,##0"&amp;IF(OFFSET(Items[],MATCH($C23,INDIRECT(RangePlanCount),0)-1,MATCH(Decimals,Items[#Headers],0)-1,1,1)&gt;0,"."&amp;REPT("0",OFFSET(Items[],MATCH($C23,INDIRECT(RangePlanCount),0)-1,MATCH(Decimals,Items[#Headers],0)-1,1,1)),""))))</f>
        <v/>
      </c>
      <c r="Y23" s="306" t="str">
        <f ca="1">IF(OR($A23&gt;End,COUNTIF($C$7:$C23,$C23)&gt;lines_R),"",IF(COUNTIF($C$7:$C23,$C23)=1,LEFT(VLOOKUP($C23,Calcs[],col_Remarks,0),VLOOKUP($C23,Calcs[],col_R,0)),MID(VLOOKUP($C23,Calcs[],col_Remarks,0),VLOOKUP($C23,Calcs[],col_R+COUNTIF($C$7:$C23,$C23)-2,0)+1,VLOOKUP($C23,Calcs[],col_R+COUNTIF($C$7:$C23,$C23)-1,0)-VLOOKUP($C23,Calcs[],col_R+COUNTIF($C$7:$C23,$C23)-2,0))))</f>
        <v/>
      </c>
      <c r="Z23" s="300"/>
      <c r="AA23" s="1"/>
    </row>
    <row r="24" spans="1:27" ht="15" customHeight="1" x14ac:dyDescent="0.15">
      <c r="A24" s="58">
        <f t="shared" ca="1" si="1"/>
        <v>17</v>
      </c>
      <c r="C24" s="58">
        <f ca="1">IFERROR(VLOOKUP(A24,Calcs[],1,0),OFFSET(C24,1,0))</f>
        <v>0</v>
      </c>
      <c r="D24" s="342"/>
      <c r="E24" s="59"/>
      <c r="F24" s="301" t="str">
        <f ca="1">IF(OR($C24=OFFSET($C24,-1,0),$A24&gt;End),"",_xlfn.XLOOKUP($C24,Items[PlanCounter],Items[Amend],_xlfn.XLOOKUP($C24,Proposed[PlanCounter],Proposed[Amend])))</f>
        <v/>
      </c>
      <c r="G24" s="302" t="str">
        <f ca="1">IF(OR($C24=OFFSET($C24,-1,0),$A24&gt;End),"",_xlfn.XLOOKUP($C24,Calcs[Counter],Calcs[Line]))</f>
        <v/>
      </c>
      <c r="H24" s="302" t="str" cm="1">
        <f t="array" aca="1" ref="H24" ca="1">IF(OR($C24=OFFSET($C24,-1,0),$A24&gt;End),"",_xlfn.XLOOKUP($C24,INDIRECT(RangePlanCount),INDIRECT(RangeItems)))</f>
        <v/>
      </c>
      <c r="I24" s="294" t="str">
        <f ca="1">IF(OR($A24&gt;End,COUNTIF($C$7:$C24,$C24)&gt;lines_D),"",IF(COUNTIF($C$7:$C24,$C24)=1,LEFT(VLOOKUP($C24,Calcs[],col_Description,0),VLOOKUP($C24,Calcs[],col_D,0)),MID(VLOOKUP($C24,Calcs[],col_Description,0),VLOOKUP($C24,Calcs[],col_D+COUNTIF($C$7:$C24,$C24)-2,0)+1,VLOOKUP($C24,Calcs[],col_D+COUNTIF($C$7:$C24,$C24)-1,0)-VLOOKUP($C24,Calcs[],col_D+COUNTIF($C$7:$C24,$C24)-2,0))))</f>
        <v/>
      </c>
      <c r="J24" s="295" t="str" cm="1">
        <f t="array" aca="1" ref="J24" ca="1">IF(OR($C24=OFFSET($C24,1,0),$A24&gt;End),"",_xlfn.XLOOKUP($C24,INDIRECT(RangePlanCount),INDIRECT(RangeUnit)))</f>
        <v/>
      </c>
      <c r="K24" s="303" t="str">
        <f ca="1">IF(OR($C24=OFFSET($C24,1,0),$A24&gt;End,IFERROR(OFFSET(Items[],MATCH($C24,INDIRECT(RangePlanCount),0)-1,MATCH(K$1,Items[#Headers],0)-1,1,1)=0,TRUE)),"",IF(AND(OFFSET(Items[],MATCH($C24,INDIRECT(RangePlanCount),0)-1,MATCH(K$1,Items[#Headers],0)-1,1,1)&gt;0,$J24="LPSM"),"ALL",TEXT(OFFSET(Items[],MATCH($C24,INDIRECT(RangePlanCount),0)-1,MATCH(K$1,Items[#Headers],0)-1,1,1),"###,###,##0"&amp;IF(OFFSET(Items[],MATCH($C24,INDIRECT(RangePlanCount),0)-1,MATCH(Decimals,Items[#Headers],0)-1,1,1)&gt;0,"."&amp;REPT("0",OFFSET(Items[],MATCH($C24,INDIRECT(RangePlanCount),0)-1,MATCH(Decimals,Items[#Headers],0)-1,1,1)),""))))</f>
        <v/>
      </c>
      <c r="L24" s="302" t="str">
        <f ca="1">IF(OR($C24=OFFSET($C24,1,0),$A24&gt;End,IFERROR(OFFSET(Items[],MATCH($C24,INDIRECT(RangePlanCount),0)-1,MATCH(L$1,Items[#Headers],0)-1,1,1)=0,TRUE)),"",IF(AND(OFFSET(Items[],MATCH($C24,INDIRECT(RangePlanCount),0)-1,MATCH(L$1,Items[#Headers],0)-1,1,1)&gt;0,$J24="LPSM"),"ALL",TEXT(OFFSET(Items[],MATCH($C24,INDIRECT(RangePlanCount),0)-1,MATCH(L$1,Items[#Headers],0)-1,1,1),"###,###,##0"&amp;IF(OFFSET(Items[],MATCH($C24,INDIRECT(RangePlanCount),0)-1,MATCH(Decimals,Items[#Headers],0)-1,1,1)&gt;0,"."&amp;REPT("0",OFFSET(Items[],MATCH($C24,INDIRECT(RangePlanCount),0)-1,MATCH(Decimals,Items[#Headers],0)-1,1,1)),""))))</f>
        <v/>
      </c>
      <c r="M24" s="302" t="str">
        <f ca="1">IF(OR($C24=OFFSET($C24,1,0),$A24&gt;End,IFERROR(OFFSET(Items[],MATCH($C24,INDIRECT(RangePlanCount),0)-1,MATCH(M$1,Items[#Headers],0)-1,1,1)=0,TRUE)),"",IF(AND(OFFSET(Items[],MATCH($C24,INDIRECT(RangePlanCount),0)-1,MATCH(M$1,Items[#Headers],0)-1,1,1)&gt;0,$J24="LPSM"),"ALL",TEXT(OFFSET(Items[],MATCH($C24,INDIRECT(RangePlanCount),0)-1,MATCH(M$1,Items[#Headers],0)-1,1,1),"###,###,##0"&amp;IF(OFFSET(Items[],MATCH($C24,INDIRECT(RangePlanCount),0)-1,MATCH(Decimals,Items[#Headers],0)-1,1,1)&gt;0,"."&amp;REPT("0",OFFSET(Items[],MATCH($C24,INDIRECT(RangePlanCount),0)-1,MATCH(Decimals,Items[#Headers],0)-1,1,1)),""))))</f>
        <v/>
      </c>
      <c r="N24" s="302" t="str">
        <f ca="1">IF(OR($C24=OFFSET($C24,1,0),$A24&gt;End,IFERROR(OFFSET(Items[],MATCH($C24,INDIRECT(RangePlanCount),0)-1,MATCH(N$1,Items[#Headers],0)-1,1,1)=0,TRUE)),"",IF(AND(OFFSET(Items[],MATCH($C24,INDIRECT(RangePlanCount),0)-1,MATCH(N$1,Items[#Headers],0)-1,1,1)&gt;0,$J24="LPSM"),"ALL",TEXT(OFFSET(Items[],MATCH($C24,INDIRECT(RangePlanCount),0)-1,MATCH(N$1,Items[#Headers],0)-1,1,1),"###,###,##0"&amp;IF(OFFSET(Items[],MATCH($C24,INDIRECT(RangePlanCount),0)-1,MATCH(Decimals,Items[#Headers],0)-1,1,1)&gt;0,"."&amp;REPT("0",OFFSET(Items[],MATCH($C24,INDIRECT(RangePlanCount),0)-1,MATCH(Decimals,Items[#Headers],0)-1,1,1)),""))))</f>
        <v/>
      </c>
      <c r="O24" s="302" t="str">
        <f ca="1">IF(OR($C24=OFFSET($C24,1,0),$A24&gt;End,IFERROR(OFFSET(Items[],MATCH($C24,INDIRECT(RangePlanCount),0)-1,MATCH(O$1,Items[#Headers],0)-1,1,1)=0,TRUE)),"",IF(AND(OFFSET(Items[],MATCH($C24,INDIRECT(RangePlanCount),0)-1,MATCH(O$1,Items[#Headers],0)-1,1,1)&gt;0,$J24="LPSM"),"ALL",TEXT(OFFSET(Items[],MATCH($C24,INDIRECT(RangePlanCount),0)-1,MATCH(O$1,Items[#Headers],0)-1,1,1),"###,###,##0"&amp;IF(OFFSET(Items[],MATCH($C24,INDIRECT(RangePlanCount),0)-1,MATCH(Decimals,Items[#Headers],0)-1,1,1)&gt;0,"."&amp;REPT("0",OFFSET(Items[],MATCH($C24,INDIRECT(RangePlanCount),0)-1,MATCH(Decimals,Items[#Headers],0)-1,1,1)),""))))</f>
        <v/>
      </c>
      <c r="P24" s="302" t="str">
        <f ca="1">IF(OR($C24=OFFSET($C24,1,0),$A24&gt;End,IFERROR(OFFSET(Items[],MATCH($C24,INDIRECT(RangePlanCount),0)-1,MATCH(P$1,Items[#Headers],0)-1,1,1)=0,TRUE)),"",IF(AND(OFFSET(Items[],MATCH($C24,INDIRECT(RangePlanCount),0)-1,MATCH(P$1,Items[#Headers],0)-1,1,1)&gt;0,$J24="LPSM"),"ALL",TEXT(OFFSET(Items[],MATCH($C24,INDIRECT(RangePlanCount),0)-1,MATCH(P$1,Items[#Headers],0)-1,1,1),"###,###,##0"&amp;IF(OFFSET(Items[],MATCH($C24,INDIRECT(RangePlanCount),0)-1,MATCH(Decimals,Items[#Headers],0)-1,1,1)&gt;0,"."&amp;REPT("0",OFFSET(Items[],MATCH($C24,INDIRECT(RangePlanCount),0)-1,MATCH(Decimals,Items[#Headers],0)-1,1,1)),""))))</f>
        <v/>
      </c>
      <c r="Q24" s="302" t="str">
        <f ca="1">IF(OR($C24=OFFSET($C24,1,0),$A24&gt;End,IFERROR(OFFSET(Items[],MATCH($C24,INDIRECT(RangePlanCount),0)-1,MATCH(Q$1,Items[#Headers],0)-1,1,1)=0,TRUE)),"",IF(AND(OFFSET(Items[],MATCH($C24,INDIRECT(RangePlanCount),0)-1,MATCH(Q$1,Items[#Headers],0)-1,1,1)&gt;0,$J24="LPSM"),"ALL",TEXT(OFFSET(Items[],MATCH($C24,INDIRECT(RangePlanCount),0)-1,MATCH(Q$1,Items[#Headers],0)-1,1,1),"###,###,##0"&amp;IF(OFFSET(Items[],MATCH($C24,INDIRECT(RangePlanCount),0)-1,MATCH(Decimals,Items[#Headers],0)-1,1,1)&gt;0,"."&amp;REPT("0",OFFSET(Items[],MATCH($C24,INDIRECT(RangePlanCount),0)-1,MATCH(Decimals,Items[#Headers],0)-1,1,1)),""))))</f>
        <v/>
      </c>
      <c r="R24" s="302" t="str">
        <f ca="1">IF(OR($C24=OFFSET($C24,1,0),$A24&gt;End,IFERROR(OFFSET(Items[],MATCH($C24,INDIRECT(RangePlanCount),0)-1,MATCH(R$1,Items[#Headers],0)-1,1,1)=0,TRUE)),"",IF(AND(OFFSET(Items[],MATCH($C24,INDIRECT(RangePlanCount),0)-1,MATCH(R$1,Items[#Headers],0)-1,1,1)&gt;0,$J24="LPSM"),"ALL",TEXT(OFFSET(Items[],MATCH($C24,INDIRECT(RangePlanCount),0)-1,MATCH(R$1,Items[#Headers],0)-1,1,1),"###,###,##0"&amp;IF(OFFSET(Items[],MATCH($C24,INDIRECT(RangePlanCount),0)-1,MATCH(Decimals,Items[#Headers],0)-1,1,1)&gt;0,"."&amp;REPT("0",OFFSET(Items[],MATCH($C24,INDIRECT(RangePlanCount),0)-1,MATCH(Decimals,Items[#Headers],0)-1,1,1)),""))))</f>
        <v/>
      </c>
      <c r="S24" s="302" t="str">
        <f ca="1">IF(OR($C24=OFFSET($C24,1,0),$A24&gt;End,IFERROR(OFFSET(Items[],MATCH($C24,INDIRECT(RangePlanCount),0)-1,MATCH(S$1,Items[#Headers],0)-1,1,1)=0,TRUE)),"",IF(AND(OFFSET(Items[],MATCH($C24,INDIRECT(RangePlanCount),0)-1,MATCH(S$1,Items[#Headers],0)-1,1,1)&gt;0,$J24="LPSM"),"ALL",TEXT(OFFSET(Items[],MATCH($C24,INDIRECT(RangePlanCount),0)-1,MATCH(S$1,Items[#Headers],0)-1,1,1),"###,###,##0"&amp;IF(OFFSET(Items[],MATCH($C24,INDIRECT(RangePlanCount),0)-1,MATCH(Decimals,Items[#Headers],0)-1,1,1)&gt;0,"."&amp;REPT("0",OFFSET(Items[],MATCH($C24,INDIRECT(RangePlanCount),0)-1,MATCH(Decimals,Items[#Headers],0)-1,1,1)),""))))</f>
        <v/>
      </c>
      <c r="T24" s="302" t="str">
        <f ca="1">IF(OR($C24=OFFSET($C24,1,0),$A24&gt;End,IFERROR(OFFSET(Items[],MATCH($C24,INDIRECT(RangePlanCount),0)-1,MATCH(T$1,Items[#Headers],0)-1,1,1)=0,TRUE)),"",IF(AND(OFFSET(Items[],MATCH($C24,INDIRECT(RangePlanCount),0)-1,MATCH(T$1,Items[#Headers],0)-1,1,1)&gt;0,$J24="LPSM"),"ALL",TEXT(OFFSET(Items[],MATCH($C24,INDIRECT(RangePlanCount),0)-1,MATCH(T$1,Items[#Headers],0)-1,1,1),"###,###,##0"&amp;IF(OFFSET(Items[],MATCH($C24,INDIRECT(RangePlanCount),0)-1,MATCH(Decimals,Items[#Headers],0)-1,1,1)&gt;0,"."&amp;REPT("0",OFFSET(Items[],MATCH($C24,INDIRECT(RangePlanCount),0)-1,MATCH(Decimals,Items[#Headers],0)-1,1,1)),""))))</f>
        <v/>
      </c>
      <c r="U24" s="302" t="str">
        <f ca="1">IF(OR($C24=OFFSET($C24,1,0),$A24&gt;End,IFERROR(OFFSET(Items[],MATCH($C24,INDIRECT(RangePlanCount),0)-1,MATCH(U$1,Items[#Headers],0)-1,1,1)=0,TRUE)),"",IF(AND(OFFSET(Items[],MATCH($C24,INDIRECT(RangePlanCount),0)-1,MATCH(U$1,Items[#Headers],0)-1,1,1)&gt;0,$J24="LPSM"),"ALL",TEXT(OFFSET(Items[],MATCH($C24,INDIRECT(RangePlanCount),0)-1,MATCH(U$1,Items[#Headers],0)-1,1,1),"###,###,##0"&amp;IF(OFFSET(Items[],MATCH($C24,INDIRECT(RangePlanCount),0)-1,MATCH(Decimals,Items[#Headers],0)-1,1,1)&gt;0,"."&amp;REPT("0",OFFSET(Items[],MATCH($C24,INDIRECT(RangePlanCount),0)-1,MATCH(Decimals,Items[#Headers],0)-1,1,1)),""))))</f>
        <v/>
      </c>
      <c r="V24" s="302" t="str">
        <f ca="1">IF(OR($C24=OFFSET($C24,1,0),$A24&gt;End,IFERROR(OFFSET(Items[],MATCH($C24,INDIRECT(RangePlanCount),0)-1,MATCH(V$1,Items[#Headers],0)-1,1,1)=0,TRUE)),"",IF(AND(OFFSET(Items[],MATCH($C24,INDIRECT(RangePlanCount),0)-1,MATCH(V$1,Items[#Headers],0)-1,1,1)&gt;0,$J24="LPSM"),"ALL",TEXT(OFFSET(Items[],MATCH($C24,INDIRECT(RangePlanCount),0)-1,MATCH(V$1,Items[#Headers],0)-1,1,1),"###,###,##0"&amp;IF(OFFSET(Items[],MATCH($C24,INDIRECT(RangePlanCount),0)-1,MATCH(Decimals,Items[#Headers],0)-1,1,1)&gt;0,"."&amp;REPT("0",OFFSET(Items[],MATCH($C24,INDIRECT(RangePlanCount),0)-1,MATCH(Decimals,Items[#Headers],0)-1,1,1)),""))))</f>
        <v/>
      </c>
      <c r="W24" s="304" t="str">
        <f ca="1">IF(OR($C24=OFFSET($C24,1,0),$A24&gt;End,IFERROR(OFFSET(Items[],MATCH($C24,INDIRECT(RangePlanCount),0)-1,MATCH(W$1,Items[#Headers],0)-1,1,1)=0,TRUE)),"",IF(AND(OFFSET(Items[],MATCH($C24,INDIRECT(RangePlanCount),0)-1,MATCH(W$1,Items[#Headers],0)-1,1,1)&gt;0,$J24="LPSM"),"ALL",TEXT(OFFSET(Items[],MATCH($C24,INDIRECT(RangePlanCount),0)-1,MATCH(W$1,Items[#Headers],0)-1,1,1),"###,###,##0"&amp;IF(OFFSET(Items[],MATCH($C24,INDIRECT(RangePlanCount),0)-1,MATCH(Decimals,Items[#Headers],0)-1,1,1)&gt;0,"."&amp;REPT("0",OFFSET(Items[],MATCH($C24,INDIRECT(RangePlanCount),0)-1,MATCH(Decimals,Items[#Headers],0)-1,1,1)),""))))</f>
        <v/>
      </c>
      <c r="X24" s="305" t="str">
        <f ca="1">IF(OR($C24=OFFSET($C24,1,0),$A24&gt;End,IFERROR(OFFSET(Items[],MATCH($C24,INDIRECT(RangePlanCount),0)-1,MATCH(X$1,Items[#Headers],0)-1,1,1)=0,TRUE)),"",IF(AND(OFFSET(Items[],MATCH($C24,INDIRECT(RangePlanCount),0)-1,MATCH(X$1,Items[#Headers],0)-1,1,1)&gt;0,$J24="LPSM"),"ALL",TEXT(OFFSET(Items[],MATCH($C24,INDIRECT(RangePlanCount),0)-1,MATCH(X$1,Items[#Headers],0)-1,1,1),"###,###,##0"&amp;IF(OFFSET(Items[],MATCH($C24,INDIRECT(RangePlanCount),0)-1,MATCH(Decimals,Items[#Headers],0)-1,1,1)&gt;0,"."&amp;REPT("0",OFFSET(Items[],MATCH($C24,INDIRECT(RangePlanCount),0)-1,MATCH(Decimals,Items[#Headers],0)-1,1,1)),""))))</f>
        <v/>
      </c>
      <c r="Y24" s="306" t="str">
        <f ca="1">IF(OR($A24&gt;End,COUNTIF($C$7:$C24,$C24)&gt;lines_R),"",IF(COUNTIF($C$7:$C24,$C24)=1,LEFT(VLOOKUP($C24,Calcs[],col_Remarks,0),VLOOKUP($C24,Calcs[],col_R,0)),MID(VLOOKUP($C24,Calcs[],col_Remarks,0),VLOOKUP($C24,Calcs[],col_R+COUNTIF($C$7:$C24,$C24)-2,0)+1,VLOOKUP($C24,Calcs[],col_R+COUNTIF($C$7:$C24,$C24)-1,0)-VLOOKUP($C24,Calcs[],col_R+COUNTIF($C$7:$C24,$C24)-2,0))))</f>
        <v/>
      </c>
      <c r="Z24" s="300"/>
      <c r="AA24" s="1"/>
    </row>
    <row r="25" spans="1:27" ht="15" customHeight="1" x14ac:dyDescent="0.15">
      <c r="A25" s="58">
        <f t="shared" ca="1" si="1"/>
        <v>18</v>
      </c>
      <c r="C25" s="58">
        <f ca="1">IFERROR(VLOOKUP(A25,Calcs[],1,0),OFFSET(C25,1,0))</f>
        <v>0</v>
      </c>
      <c r="D25" s="342"/>
      <c r="E25" s="59"/>
      <c r="F25" s="301" t="str">
        <f ca="1">IF(OR($C25=OFFSET($C25,-1,0),$A25&gt;End),"",_xlfn.XLOOKUP($C25,Items[PlanCounter],Items[Amend],_xlfn.XLOOKUP($C25,Proposed[PlanCounter],Proposed[Amend])))</f>
        <v/>
      </c>
      <c r="G25" s="302" t="str">
        <f ca="1">IF(OR($C25=OFFSET($C25,-1,0),$A25&gt;End),"",_xlfn.XLOOKUP($C25,Calcs[Counter],Calcs[Line]))</f>
        <v/>
      </c>
      <c r="H25" s="302" t="str" cm="1">
        <f t="array" aca="1" ref="H25" ca="1">IF(OR($C25=OFFSET($C25,-1,0),$A25&gt;End),"",_xlfn.XLOOKUP($C25,INDIRECT(RangePlanCount),INDIRECT(RangeItems)))</f>
        <v/>
      </c>
      <c r="I25" s="294" t="str">
        <f ca="1">IF(OR($A25&gt;End,COUNTIF($C$7:$C25,$C25)&gt;lines_D),"",IF(COUNTIF($C$7:$C25,$C25)=1,LEFT(VLOOKUP($C25,Calcs[],col_Description,0),VLOOKUP($C25,Calcs[],col_D,0)),MID(VLOOKUP($C25,Calcs[],col_Description,0),VLOOKUP($C25,Calcs[],col_D+COUNTIF($C$7:$C25,$C25)-2,0)+1,VLOOKUP($C25,Calcs[],col_D+COUNTIF($C$7:$C25,$C25)-1,0)-VLOOKUP($C25,Calcs[],col_D+COUNTIF($C$7:$C25,$C25)-2,0))))</f>
        <v/>
      </c>
      <c r="J25" s="295" t="str" cm="1">
        <f t="array" aca="1" ref="J25" ca="1">IF(OR($C25=OFFSET($C25,1,0),$A25&gt;End),"",_xlfn.XLOOKUP($C25,INDIRECT(RangePlanCount),INDIRECT(RangeUnit)))</f>
        <v/>
      </c>
      <c r="K25" s="303" t="str">
        <f ca="1">IF(OR($C25=OFFSET($C25,1,0),$A25&gt;End,IFERROR(OFFSET(Items[],MATCH($C25,INDIRECT(RangePlanCount),0)-1,MATCH(K$1,Items[#Headers],0)-1,1,1)=0,TRUE)),"",IF(AND(OFFSET(Items[],MATCH($C25,INDIRECT(RangePlanCount),0)-1,MATCH(K$1,Items[#Headers],0)-1,1,1)&gt;0,$J25="LPSM"),"ALL",TEXT(OFFSET(Items[],MATCH($C25,INDIRECT(RangePlanCount),0)-1,MATCH(K$1,Items[#Headers],0)-1,1,1),"###,###,##0"&amp;IF(OFFSET(Items[],MATCH($C25,INDIRECT(RangePlanCount),0)-1,MATCH(Decimals,Items[#Headers],0)-1,1,1)&gt;0,"."&amp;REPT("0",OFFSET(Items[],MATCH($C25,INDIRECT(RangePlanCount),0)-1,MATCH(Decimals,Items[#Headers],0)-1,1,1)),""))))</f>
        <v/>
      </c>
      <c r="L25" s="302" t="str">
        <f ca="1">IF(OR($C25=OFFSET($C25,1,0),$A25&gt;End,IFERROR(OFFSET(Items[],MATCH($C25,INDIRECT(RangePlanCount),0)-1,MATCH(L$1,Items[#Headers],0)-1,1,1)=0,TRUE)),"",IF(AND(OFFSET(Items[],MATCH($C25,INDIRECT(RangePlanCount),0)-1,MATCH(L$1,Items[#Headers],0)-1,1,1)&gt;0,$J25="LPSM"),"ALL",TEXT(OFFSET(Items[],MATCH($C25,INDIRECT(RangePlanCount),0)-1,MATCH(L$1,Items[#Headers],0)-1,1,1),"###,###,##0"&amp;IF(OFFSET(Items[],MATCH($C25,INDIRECT(RangePlanCount),0)-1,MATCH(Decimals,Items[#Headers],0)-1,1,1)&gt;0,"."&amp;REPT("0",OFFSET(Items[],MATCH($C25,INDIRECT(RangePlanCount),0)-1,MATCH(Decimals,Items[#Headers],0)-1,1,1)),""))))</f>
        <v/>
      </c>
      <c r="M25" s="302" t="str">
        <f ca="1">IF(OR($C25=OFFSET($C25,1,0),$A25&gt;End,IFERROR(OFFSET(Items[],MATCH($C25,INDIRECT(RangePlanCount),0)-1,MATCH(M$1,Items[#Headers],0)-1,1,1)=0,TRUE)),"",IF(AND(OFFSET(Items[],MATCH($C25,INDIRECT(RangePlanCount),0)-1,MATCH(M$1,Items[#Headers],0)-1,1,1)&gt;0,$J25="LPSM"),"ALL",TEXT(OFFSET(Items[],MATCH($C25,INDIRECT(RangePlanCount),0)-1,MATCH(M$1,Items[#Headers],0)-1,1,1),"###,###,##0"&amp;IF(OFFSET(Items[],MATCH($C25,INDIRECT(RangePlanCount),0)-1,MATCH(Decimals,Items[#Headers],0)-1,1,1)&gt;0,"."&amp;REPT("0",OFFSET(Items[],MATCH($C25,INDIRECT(RangePlanCount),0)-1,MATCH(Decimals,Items[#Headers],0)-1,1,1)),""))))</f>
        <v/>
      </c>
      <c r="N25" s="302" t="str">
        <f ca="1">IF(OR($C25=OFFSET($C25,1,0),$A25&gt;End,IFERROR(OFFSET(Items[],MATCH($C25,INDIRECT(RangePlanCount),0)-1,MATCH(N$1,Items[#Headers],0)-1,1,1)=0,TRUE)),"",IF(AND(OFFSET(Items[],MATCH($C25,INDIRECT(RangePlanCount),0)-1,MATCH(N$1,Items[#Headers],0)-1,1,1)&gt;0,$J25="LPSM"),"ALL",TEXT(OFFSET(Items[],MATCH($C25,INDIRECT(RangePlanCount),0)-1,MATCH(N$1,Items[#Headers],0)-1,1,1),"###,###,##0"&amp;IF(OFFSET(Items[],MATCH($C25,INDIRECT(RangePlanCount),0)-1,MATCH(Decimals,Items[#Headers],0)-1,1,1)&gt;0,"."&amp;REPT("0",OFFSET(Items[],MATCH($C25,INDIRECT(RangePlanCount),0)-1,MATCH(Decimals,Items[#Headers],0)-1,1,1)),""))))</f>
        <v/>
      </c>
      <c r="O25" s="302" t="str">
        <f ca="1">IF(OR($C25=OFFSET($C25,1,0),$A25&gt;End,IFERROR(OFFSET(Items[],MATCH($C25,INDIRECT(RangePlanCount),0)-1,MATCH(O$1,Items[#Headers],0)-1,1,1)=0,TRUE)),"",IF(AND(OFFSET(Items[],MATCH($C25,INDIRECT(RangePlanCount),0)-1,MATCH(O$1,Items[#Headers],0)-1,1,1)&gt;0,$J25="LPSM"),"ALL",TEXT(OFFSET(Items[],MATCH($C25,INDIRECT(RangePlanCount),0)-1,MATCH(O$1,Items[#Headers],0)-1,1,1),"###,###,##0"&amp;IF(OFFSET(Items[],MATCH($C25,INDIRECT(RangePlanCount),0)-1,MATCH(Decimals,Items[#Headers],0)-1,1,1)&gt;0,"."&amp;REPT("0",OFFSET(Items[],MATCH($C25,INDIRECT(RangePlanCount),0)-1,MATCH(Decimals,Items[#Headers],0)-1,1,1)),""))))</f>
        <v/>
      </c>
      <c r="P25" s="302" t="str">
        <f ca="1">IF(OR($C25=OFFSET($C25,1,0),$A25&gt;End,IFERROR(OFFSET(Items[],MATCH($C25,INDIRECT(RangePlanCount),0)-1,MATCH(P$1,Items[#Headers],0)-1,1,1)=0,TRUE)),"",IF(AND(OFFSET(Items[],MATCH($C25,INDIRECT(RangePlanCount),0)-1,MATCH(P$1,Items[#Headers],0)-1,1,1)&gt;0,$J25="LPSM"),"ALL",TEXT(OFFSET(Items[],MATCH($C25,INDIRECT(RangePlanCount),0)-1,MATCH(P$1,Items[#Headers],0)-1,1,1),"###,###,##0"&amp;IF(OFFSET(Items[],MATCH($C25,INDIRECT(RangePlanCount),0)-1,MATCH(Decimals,Items[#Headers],0)-1,1,1)&gt;0,"."&amp;REPT("0",OFFSET(Items[],MATCH($C25,INDIRECT(RangePlanCount),0)-1,MATCH(Decimals,Items[#Headers],0)-1,1,1)),""))))</f>
        <v/>
      </c>
      <c r="Q25" s="302" t="str">
        <f ca="1">IF(OR($C25=OFFSET($C25,1,0),$A25&gt;End,IFERROR(OFFSET(Items[],MATCH($C25,INDIRECT(RangePlanCount),0)-1,MATCH(Q$1,Items[#Headers],0)-1,1,1)=0,TRUE)),"",IF(AND(OFFSET(Items[],MATCH($C25,INDIRECT(RangePlanCount),0)-1,MATCH(Q$1,Items[#Headers],0)-1,1,1)&gt;0,$J25="LPSM"),"ALL",TEXT(OFFSET(Items[],MATCH($C25,INDIRECT(RangePlanCount),0)-1,MATCH(Q$1,Items[#Headers],0)-1,1,1),"###,###,##0"&amp;IF(OFFSET(Items[],MATCH($C25,INDIRECT(RangePlanCount),0)-1,MATCH(Decimals,Items[#Headers],0)-1,1,1)&gt;0,"."&amp;REPT("0",OFFSET(Items[],MATCH($C25,INDIRECT(RangePlanCount),0)-1,MATCH(Decimals,Items[#Headers],0)-1,1,1)),""))))</f>
        <v/>
      </c>
      <c r="R25" s="302" t="str">
        <f ca="1">IF(OR($C25=OFFSET($C25,1,0),$A25&gt;End,IFERROR(OFFSET(Items[],MATCH($C25,INDIRECT(RangePlanCount),0)-1,MATCH(R$1,Items[#Headers],0)-1,1,1)=0,TRUE)),"",IF(AND(OFFSET(Items[],MATCH($C25,INDIRECT(RangePlanCount),0)-1,MATCH(R$1,Items[#Headers],0)-1,1,1)&gt;0,$J25="LPSM"),"ALL",TEXT(OFFSET(Items[],MATCH($C25,INDIRECT(RangePlanCount),0)-1,MATCH(R$1,Items[#Headers],0)-1,1,1),"###,###,##0"&amp;IF(OFFSET(Items[],MATCH($C25,INDIRECT(RangePlanCount),0)-1,MATCH(Decimals,Items[#Headers],0)-1,1,1)&gt;0,"."&amp;REPT("0",OFFSET(Items[],MATCH($C25,INDIRECT(RangePlanCount),0)-1,MATCH(Decimals,Items[#Headers],0)-1,1,1)),""))))</f>
        <v/>
      </c>
      <c r="S25" s="302" t="str">
        <f ca="1">IF(OR($C25=OFFSET($C25,1,0),$A25&gt;End,IFERROR(OFFSET(Items[],MATCH($C25,INDIRECT(RangePlanCount),0)-1,MATCH(S$1,Items[#Headers],0)-1,1,1)=0,TRUE)),"",IF(AND(OFFSET(Items[],MATCH($C25,INDIRECT(RangePlanCount),0)-1,MATCH(S$1,Items[#Headers],0)-1,1,1)&gt;0,$J25="LPSM"),"ALL",TEXT(OFFSET(Items[],MATCH($C25,INDIRECT(RangePlanCount),0)-1,MATCH(S$1,Items[#Headers],0)-1,1,1),"###,###,##0"&amp;IF(OFFSET(Items[],MATCH($C25,INDIRECT(RangePlanCount),0)-1,MATCH(Decimals,Items[#Headers],0)-1,1,1)&gt;0,"."&amp;REPT("0",OFFSET(Items[],MATCH($C25,INDIRECT(RangePlanCount),0)-1,MATCH(Decimals,Items[#Headers],0)-1,1,1)),""))))</f>
        <v/>
      </c>
      <c r="T25" s="302" t="str">
        <f ca="1">IF(OR($C25=OFFSET($C25,1,0),$A25&gt;End,IFERROR(OFFSET(Items[],MATCH($C25,INDIRECT(RangePlanCount),0)-1,MATCH(T$1,Items[#Headers],0)-1,1,1)=0,TRUE)),"",IF(AND(OFFSET(Items[],MATCH($C25,INDIRECT(RangePlanCount),0)-1,MATCH(T$1,Items[#Headers],0)-1,1,1)&gt;0,$J25="LPSM"),"ALL",TEXT(OFFSET(Items[],MATCH($C25,INDIRECT(RangePlanCount),0)-1,MATCH(T$1,Items[#Headers],0)-1,1,1),"###,###,##0"&amp;IF(OFFSET(Items[],MATCH($C25,INDIRECT(RangePlanCount),0)-1,MATCH(Decimals,Items[#Headers],0)-1,1,1)&gt;0,"."&amp;REPT("0",OFFSET(Items[],MATCH($C25,INDIRECT(RangePlanCount),0)-1,MATCH(Decimals,Items[#Headers],0)-1,1,1)),""))))</f>
        <v/>
      </c>
      <c r="U25" s="302" t="str">
        <f ca="1">IF(OR($C25=OFFSET($C25,1,0),$A25&gt;End,IFERROR(OFFSET(Items[],MATCH($C25,INDIRECT(RangePlanCount),0)-1,MATCH(U$1,Items[#Headers],0)-1,1,1)=0,TRUE)),"",IF(AND(OFFSET(Items[],MATCH($C25,INDIRECT(RangePlanCount),0)-1,MATCH(U$1,Items[#Headers],0)-1,1,1)&gt;0,$J25="LPSM"),"ALL",TEXT(OFFSET(Items[],MATCH($C25,INDIRECT(RangePlanCount),0)-1,MATCH(U$1,Items[#Headers],0)-1,1,1),"###,###,##0"&amp;IF(OFFSET(Items[],MATCH($C25,INDIRECT(RangePlanCount),0)-1,MATCH(Decimals,Items[#Headers],0)-1,1,1)&gt;0,"."&amp;REPT("0",OFFSET(Items[],MATCH($C25,INDIRECT(RangePlanCount),0)-1,MATCH(Decimals,Items[#Headers],0)-1,1,1)),""))))</f>
        <v/>
      </c>
      <c r="V25" s="302" t="str">
        <f ca="1">IF(OR($C25=OFFSET($C25,1,0),$A25&gt;End,IFERROR(OFFSET(Items[],MATCH($C25,INDIRECT(RangePlanCount),0)-1,MATCH(V$1,Items[#Headers],0)-1,1,1)=0,TRUE)),"",IF(AND(OFFSET(Items[],MATCH($C25,INDIRECT(RangePlanCount),0)-1,MATCH(V$1,Items[#Headers],0)-1,1,1)&gt;0,$J25="LPSM"),"ALL",TEXT(OFFSET(Items[],MATCH($C25,INDIRECT(RangePlanCount),0)-1,MATCH(V$1,Items[#Headers],0)-1,1,1),"###,###,##0"&amp;IF(OFFSET(Items[],MATCH($C25,INDIRECT(RangePlanCount),0)-1,MATCH(Decimals,Items[#Headers],0)-1,1,1)&gt;0,"."&amp;REPT("0",OFFSET(Items[],MATCH($C25,INDIRECT(RangePlanCount),0)-1,MATCH(Decimals,Items[#Headers],0)-1,1,1)),""))))</f>
        <v/>
      </c>
      <c r="W25" s="304" t="str">
        <f ca="1">IF(OR($C25=OFFSET($C25,1,0),$A25&gt;End,IFERROR(OFFSET(Items[],MATCH($C25,INDIRECT(RangePlanCount),0)-1,MATCH(W$1,Items[#Headers],0)-1,1,1)=0,TRUE)),"",IF(AND(OFFSET(Items[],MATCH($C25,INDIRECT(RangePlanCount),0)-1,MATCH(W$1,Items[#Headers],0)-1,1,1)&gt;0,$J25="LPSM"),"ALL",TEXT(OFFSET(Items[],MATCH($C25,INDIRECT(RangePlanCount),0)-1,MATCH(W$1,Items[#Headers],0)-1,1,1),"###,###,##0"&amp;IF(OFFSET(Items[],MATCH($C25,INDIRECT(RangePlanCount),0)-1,MATCH(Decimals,Items[#Headers],0)-1,1,1)&gt;0,"."&amp;REPT("0",OFFSET(Items[],MATCH($C25,INDIRECT(RangePlanCount),0)-1,MATCH(Decimals,Items[#Headers],0)-1,1,1)),""))))</f>
        <v/>
      </c>
      <c r="X25" s="305" t="str">
        <f ca="1">IF(OR($C25=OFFSET($C25,1,0),$A25&gt;End,IFERROR(OFFSET(Items[],MATCH($C25,INDIRECT(RangePlanCount),0)-1,MATCH(X$1,Items[#Headers],0)-1,1,1)=0,TRUE)),"",IF(AND(OFFSET(Items[],MATCH($C25,INDIRECT(RangePlanCount),0)-1,MATCH(X$1,Items[#Headers],0)-1,1,1)&gt;0,$J25="LPSM"),"ALL",TEXT(OFFSET(Items[],MATCH($C25,INDIRECT(RangePlanCount),0)-1,MATCH(X$1,Items[#Headers],0)-1,1,1),"###,###,##0"&amp;IF(OFFSET(Items[],MATCH($C25,INDIRECT(RangePlanCount),0)-1,MATCH(Decimals,Items[#Headers],0)-1,1,1)&gt;0,"."&amp;REPT("0",OFFSET(Items[],MATCH($C25,INDIRECT(RangePlanCount),0)-1,MATCH(Decimals,Items[#Headers],0)-1,1,1)),""))))</f>
        <v/>
      </c>
      <c r="Y25" s="306" t="str">
        <f ca="1">IF(OR($A25&gt;End,COUNTIF($C$7:$C25,$C25)&gt;lines_R),"",IF(COUNTIF($C$7:$C25,$C25)=1,LEFT(VLOOKUP($C25,Calcs[],col_Remarks,0),VLOOKUP($C25,Calcs[],col_R,0)),MID(VLOOKUP($C25,Calcs[],col_Remarks,0),VLOOKUP($C25,Calcs[],col_R+COUNTIF($C$7:$C25,$C25)-2,0)+1,VLOOKUP($C25,Calcs[],col_R+COUNTIF($C$7:$C25,$C25)-1,0)-VLOOKUP($C25,Calcs[],col_R+COUNTIF($C$7:$C25,$C25)-2,0))))</f>
        <v/>
      </c>
      <c r="Z25" s="300"/>
      <c r="AA25" s="1"/>
    </row>
    <row r="26" spans="1:27" ht="15" customHeight="1" x14ac:dyDescent="0.15">
      <c r="A26" s="58">
        <f t="shared" ca="1" si="1"/>
        <v>19</v>
      </c>
      <c r="C26" s="58">
        <f ca="1">IFERROR(VLOOKUP(A26,Calcs[],1,0),OFFSET(C26,1,0))</f>
        <v>0</v>
      </c>
      <c r="D26" s="342"/>
      <c r="E26" s="59"/>
      <c r="F26" s="301" t="str">
        <f ca="1">IF(OR($C26=OFFSET($C26,-1,0),$A26&gt;End),"",_xlfn.XLOOKUP($C26,Items[PlanCounter],Items[Amend],_xlfn.XLOOKUP($C26,Proposed[PlanCounter],Proposed[Amend])))</f>
        <v/>
      </c>
      <c r="G26" s="302" t="str">
        <f ca="1">IF(OR($C26=OFFSET($C26,-1,0),$A26&gt;End),"",_xlfn.XLOOKUP($C26,Calcs[Counter],Calcs[Line]))</f>
        <v/>
      </c>
      <c r="H26" s="302" t="str" cm="1">
        <f t="array" aca="1" ref="H26" ca="1">IF(OR($C26=OFFSET($C26,-1,0),$A26&gt;End),"",_xlfn.XLOOKUP($C26,INDIRECT(RangePlanCount),INDIRECT(RangeItems)))</f>
        <v/>
      </c>
      <c r="I26" s="294" t="str">
        <f ca="1">IF(OR($A26&gt;End,COUNTIF($C$7:$C26,$C26)&gt;lines_D),"",IF(COUNTIF($C$7:$C26,$C26)=1,LEFT(VLOOKUP($C26,Calcs[],col_Description,0),VLOOKUP($C26,Calcs[],col_D,0)),MID(VLOOKUP($C26,Calcs[],col_Description,0),VLOOKUP($C26,Calcs[],col_D+COUNTIF($C$7:$C26,$C26)-2,0)+1,VLOOKUP($C26,Calcs[],col_D+COUNTIF($C$7:$C26,$C26)-1,0)-VLOOKUP($C26,Calcs[],col_D+COUNTIF($C$7:$C26,$C26)-2,0))))</f>
        <v/>
      </c>
      <c r="J26" s="295" t="str" cm="1">
        <f t="array" aca="1" ref="J26" ca="1">IF(OR($C26=OFFSET($C26,1,0),$A26&gt;End),"",_xlfn.XLOOKUP($C26,INDIRECT(RangePlanCount),INDIRECT(RangeUnit)))</f>
        <v/>
      </c>
      <c r="K26" s="303" t="str">
        <f ca="1">IF(OR($C26=OFFSET($C26,1,0),$A26&gt;End,IFERROR(OFFSET(Items[],MATCH($C26,INDIRECT(RangePlanCount),0)-1,MATCH(K$1,Items[#Headers],0)-1,1,1)=0,TRUE)),"",IF(AND(OFFSET(Items[],MATCH($C26,INDIRECT(RangePlanCount),0)-1,MATCH(K$1,Items[#Headers],0)-1,1,1)&gt;0,$J26="LPSM"),"ALL",TEXT(OFFSET(Items[],MATCH($C26,INDIRECT(RangePlanCount),0)-1,MATCH(K$1,Items[#Headers],0)-1,1,1),"###,###,##0"&amp;IF(OFFSET(Items[],MATCH($C26,INDIRECT(RangePlanCount),0)-1,MATCH(Decimals,Items[#Headers],0)-1,1,1)&gt;0,"."&amp;REPT("0",OFFSET(Items[],MATCH($C26,INDIRECT(RangePlanCount),0)-1,MATCH(Decimals,Items[#Headers],0)-1,1,1)),""))))</f>
        <v/>
      </c>
      <c r="L26" s="302" t="str">
        <f ca="1">IF(OR($C26=OFFSET($C26,1,0),$A26&gt;End,IFERROR(OFFSET(Items[],MATCH($C26,INDIRECT(RangePlanCount),0)-1,MATCH(L$1,Items[#Headers],0)-1,1,1)=0,TRUE)),"",IF(AND(OFFSET(Items[],MATCH($C26,INDIRECT(RangePlanCount),0)-1,MATCH(L$1,Items[#Headers],0)-1,1,1)&gt;0,$J26="LPSM"),"ALL",TEXT(OFFSET(Items[],MATCH($C26,INDIRECT(RangePlanCount),0)-1,MATCH(L$1,Items[#Headers],0)-1,1,1),"###,###,##0"&amp;IF(OFFSET(Items[],MATCH($C26,INDIRECT(RangePlanCount),0)-1,MATCH(Decimals,Items[#Headers],0)-1,1,1)&gt;0,"."&amp;REPT("0",OFFSET(Items[],MATCH($C26,INDIRECT(RangePlanCount),0)-1,MATCH(Decimals,Items[#Headers],0)-1,1,1)),""))))</f>
        <v/>
      </c>
      <c r="M26" s="302" t="str">
        <f ca="1">IF(OR($C26=OFFSET($C26,1,0),$A26&gt;End,IFERROR(OFFSET(Items[],MATCH($C26,INDIRECT(RangePlanCount),0)-1,MATCH(M$1,Items[#Headers],0)-1,1,1)=0,TRUE)),"",IF(AND(OFFSET(Items[],MATCH($C26,INDIRECT(RangePlanCount),0)-1,MATCH(M$1,Items[#Headers],0)-1,1,1)&gt;0,$J26="LPSM"),"ALL",TEXT(OFFSET(Items[],MATCH($C26,INDIRECT(RangePlanCount),0)-1,MATCH(M$1,Items[#Headers],0)-1,1,1),"###,###,##0"&amp;IF(OFFSET(Items[],MATCH($C26,INDIRECT(RangePlanCount),0)-1,MATCH(Decimals,Items[#Headers],0)-1,1,1)&gt;0,"."&amp;REPT("0",OFFSET(Items[],MATCH($C26,INDIRECT(RangePlanCount),0)-1,MATCH(Decimals,Items[#Headers],0)-1,1,1)),""))))</f>
        <v/>
      </c>
      <c r="N26" s="302" t="str">
        <f ca="1">IF(OR($C26=OFFSET($C26,1,0),$A26&gt;End,IFERROR(OFFSET(Items[],MATCH($C26,INDIRECT(RangePlanCount),0)-1,MATCH(N$1,Items[#Headers],0)-1,1,1)=0,TRUE)),"",IF(AND(OFFSET(Items[],MATCH($C26,INDIRECT(RangePlanCount),0)-1,MATCH(N$1,Items[#Headers],0)-1,1,1)&gt;0,$J26="LPSM"),"ALL",TEXT(OFFSET(Items[],MATCH($C26,INDIRECT(RangePlanCount),0)-1,MATCH(N$1,Items[#Headers],0)-1,1,1),"###,###,##0"&amp;IF(OFFSET(Items[],MATCH($C26,INDIRECT(RangePlanCount),0)-1,MATCH(Decimals,Items[#Headers],0)-1,1,1)&gt;0,"."&amp;REPT("0",OFFSET(Items[],MATCH($C26,INDIRECT(RangePlanCount),0)-1,MATCH(Decimals,Items[#Headers],0)-1,1,1)),""))))</f>
        <v/>
      </c>
      <c r="O26" s="302" t="str">
        <f ca="1">IF(OR($C26=OFFSET($C26,1,0),$A26&gt;End,IFERROR(OFFSET(Items[],MATCH($C26,INDIRECT(RangePlanCount),0)-1,MATCH(O$1,Items[#Headers],0)-1,1,1)=0,TRUE)),"",IF(AND(OFFSET(Items[],MATCH($C26,INDIRECT(RangePlanCount),0)-1,MATCH(O$1,Items[#Headers],0)-1,1,1)&gt;0,$J26="LPSM"),"ALL",TEXT(OFFSET(Items[],MATCH($C26,INDIRECT(RangePlanCount),0)-1,MATCH(O$1,Items[#Headers],0)-1,1,1),"###,###,##0"&amp;IF(OFFSET(Items[],MATCH($C26,INDIRECT(RangePlanCount),0)-1,MATCH(Decimals,Items[#Headers],0)-1,1,1)&gt;0,"."&amp;REPT("0",OFFSET(Items[],MATCH($C26,INDIRECT(RangePlanCount),0)-1,MATCH(Decimals,Items[#Headers],0)-1,1,1)),""))))</f>
        <v/>
      </c>
      <c r="P26" s="302" t="str">
        <f ca="1">IF(OR($C26=OFFSET($C26,1,0),$A26&gt;End,IFERROR(OFFSET(Items[],MATCH($C26,INDIRECT(RangePlanCount),0)-1,MATCH(P$1,Items[#Headers],0)-1,1,1)=0,TRUE)),"",IF(AND(OFFSET(Items[],MATCH($C26,INDIRECT(RangePlanCount),0)-1,MATCH(P$1,Items[#Headers],0)-1,1,1)&gt;0,$J26="LPSM"),"ALL",TEXT(OFFSET(Items[],MATCH($C26,INDIRECT(RangePlanCount),0)-1,MATCH(P$1,Items[#Headers],0)-1,1,1),"###,###,##0"&amp;IF(OFFSET(Items[],MATCH($C26,INDIRECT(RangePlanCount),0)-1,MATCH(Decimals,Items[#Headers],0)-1,1,1)&gt;0,"."&amp;REPT("0",OFFSET(Items[],MATCH($C26,INDIRECT(RangePlanCount),0)-1,MATCH(Decimals,Items[#Headers],0)-1,1,1)),""))))</f>
        <v/>
      </c>
      <c r="Q26" s="302" t="str">
        <f ca="1">IF(OR($C26=OFFSET($C26,1,0),$A26&gt;End,IFERROR(OFFSET(Items[],MATCH($C26,INDIRECT(RangePlanCount),0)-1,MATCH(Q$1,Items[#Headers],0)-1,1,1)=0,TRUE)),"",IF(AND(OFFSET(Items[],MATCH($C26,INDIRECT(RangePlanCount),0)-1,MATCH(Q$1,Items[#Headers],0)-1,1,1)&gt;0,$J26="LPSM"),"ALL",TEXT(OFFSET(Items[],MATCH($C26,INDIRECT(RangePlanCount),0)-1,MATCH(Q$1,Items[#Headers],0)-1,1,1),"###,###,##0"&amp;IF(OFFSET(Items[],MATCH($C26,INDIRECT(RangePlanCount),0)-1,MATCH(Decimals,Items[#Headers],0)-1,1,1)&gt;0,"."&amp;REPT("0",OFFSET(Items[],MATCH($C26,INDIRECT(RangePlanCount),0)-1,MATCH(Decimals,Items[#Headers],0)-1,1,1)),""))))</f>
        <v/>
      </c>
      <c r="R26" s="302" t="str">
        <f ca="1">IF(OR($C26=OFFSET($C26,1,0),$A26&gt;End,IFERROR(OFFSET(Items[],MATCH($C26,INDIRECT(RangePlanCount),0)-1,MATCH(R$1,Items[#Headers],0)-1,1,1)=0,TRUE)),"",IF(AND(OFFSET(Items[],MATCH($C26,INDIRECT(RangePlanCount),0)-1,MATCH(R$1,Items[#Headers],0)-1,1,1)&gt;0,$J26="LPSM"),"ALL",TEXT(OFFSET(Items[],MATCH($C26,INDIRECT(RangePlanCount),0)-1,MATCH(R$1,Items[#Headers],0)-1,1,1),"###,###,##0"&amp;IF(OFFSET(Items[],MATCH($C26,INDIRECT(RangePlanCount),0)-1,MATCH(Decimals,Items[#Headers],0)-1,1,1)&gt;0,"."&amp;REPT("0",OFFSET(Items[],MATCH($C26,INDIRECT(RangePlanCount),0)-1,MATCH(Decimals,Items[#Headers],0)-1,1,1)),""))))</f>
        <v/>
      </c>
      <c r="S26" s="302" t="str">
        <f ca="1">IF(OR($C26=OFFSET($C26,1,0),$A26&gt;End,IFERROR(OFFSET(Items[],MATCH($C26,INDIRECT(RangePlanCount),0)-1,MATCH(S$1,Items[#Headers],0)-1,1,1)=0,TRUE)),"",IF(AND(OFFSET(Items[],MATCH($C26,INDIRECT(RangePlanCount),0)-1,MATCH(S$1,Items[#Headers],0)-1,1,1)&gt;0,$J26="LPSM"),"ALL",TEXT(OFFSET(Items[],MATCH($C26,INDIRECT(RangePlanCount),0)-1,MATCH(S$1,Items[#Headers],0)-1,1,1),"###,###,##0"&amp;IF(OFFSET(Items[],MATCH($C26,INDIRECT(RangePlanCount),0)-1,MATCH(Decimals,Items[#Headers],0)-1,1,1)&gt;0,"."&amp;REPT("0",OFFSET(Items[],MATCH($C26,INDIRECT(RangePlanCount),0)-1,MATCH(Decimals,Items[#Headers],0)-1,1,1)),""))))</f>
        <v/>
      </c>
      <c r="T26" s="302" t="str">
        <f ca="1">IF(OR($C26=OFFSET($C26,1,0),$A26&gt;End,IFERROR(OFFSET(Items[],MATCH($C26,INDIRECT(RangePlanCount),0)-1,MATCH(T$1,Items[#Headers],0)-1,1,1)=0,TRUE)),"",IF(AND(OFFSET(Items[],MATCH($C26,INDIRECT(RangePlanCount),0)-1,MATCH(T$1,Items[#Headers],0)-1,1,1)&gt;0,$J26="LPSM"),"ALL",TEXT(OFFSET(Items[],MATCH($C26,INDIRECT(RangePlanCount),0)-1,MATCH(T$1,Items[#Headers],0)-1,1,1),"###,###,##0"&amp;IF(OFFSET(Items[],MATCH($C26,INDIRECT(RangePlanCount),0)-1,MATCH(Decimals,Items[#Headers],0)-1,1,1)&gt;0,"."&amp;REPT("0",OFFSET(Items[],MATCH($C26,INDIRECT(RangePlanCount),0)-1,MATCH(Decimals,Items[#Headers],0)-1,1,1)),""))))</f>
        <v/>
      </c>
      <c r="U26" s="302" t="str">
        <f ca="1">IF(OR($C26=OFFSET($C26,1,0),$A26&gt;End,IFERROR(OFFSET(Items[],MATCH($C26,INDIRECT(RangePlanCount),0)-1,MATCH(U$1,Items[#Headers],0)-1,1,1)=0,TRUE)),"",IF(AND(OFFSET(Items[],MATCH($C26,INDIRECT(RangePlanCount),0)-1,MATCH(U$1,Items[#Headers],0)-1,1,1)&gt;0,$J26="LPSM"),"ALL",TEXT(OFFSET(Items[],MATCH($C26,INDIRECT(RangePlanCount),0)-1,MATCH(U$1,Items[#Headers],0)-1,1,1),"###,###,##0"&amp;IF(OFFSET(Items[],MATCH($C26,INDIRECT(RangePlanCount),0)-1,MATCH(Decimals,Items[#Headers],0)-1,1,1)&gt;0,"."&amp;REPT("0",OFFSET(Items[],MATCH($C26,INDIRECT(RangePlanCount),0)-1,MATCH(Decimals,Items[#Headers],0)-1,1,1)),""))))</f>
        <v/>
      </c>
      <c r="V26" s="302" t="str">
        <f ca="1">IF(OR($C26=OFFSET($C26,1,0),$A26&gt;End,IFERROR(OFFSET(Items[],MATCH($C26,INDIRECT(RangePlanCount),0)-1,MATCH(V$1,Items[#Headers],0)-1,1,1)=0,TRUE)),"",IF(AND(OFFSET(Items[],MATCH($C26,INDIRECT(RangePlanCount),0)-1,MATCH(V$1,Items[#Headers],0)-1,1,1)&gt;0,$J26="LPSM"),"ALL",TEXT(OFFSET(Items[],MATCH($C26,INDIRECT(RangePlanCount),0)-1,MATCH(V$1,Items[#Headers],0)-1,1,1),"###,###,##0"&amp;IF(OFFSET(Items[],MATCH($C26,INDIRECT(RangePlanCount),0)-1,MATCH(Decimals,Items[#Headers],0)-1,1,1)&gt;0,"."&amp;REPT("0",OFFSET(Items[],MATCH($C26,INDIRECT(RangePlanCount),0)-1,MATCH(Decimals,Items[#Headers],0)-1,1,1)),""))))</f>
        <v/>
      </c>
      <c r="W26" s="304" t="str">
        <f ca="1">IF(OR($C26=OFFSET($C26,1,0),$A26&gt;End,IFERROR(OFFSET(Items[],MATCH($C26,INDIRECT(RangePlanCount),0)-1,MATCH(W$1,Items[#Headers],0)-1,1,1)=0,TRUE)),"",IF(AND(OFFSET(Items[],MATCH($C26,INDIRECT(RangePlanCount),0)-1,MATCH(W$1,Items[#Headers],0)-1,1,1)&gt;0,$J26="LPSM"),"ALL",TEXT(OFFSET(Items[],MATCH($C26,INDIRECT(RangePlanCount),0)-1,MATCH(W$1,Items[#Headers],0)-1,1,1),"###,###,##0"&amp;IF(OFFSET(Items[],MATCH($C26,INDIRECT(RangePlanCount),0)-1,MATCH(Decimals,Items[#Headers],0)-1,1,1)&gt;0,"."&amp;REPT("0",OFFSET(Items[],MATCH($C26,INDIRECT(RangePlanCount),0)-1,MATCH(Decimals,Items[#Headers],0)-1,1,1)),""))))</f>
        <v/>
      </c>
      <c r="X26" s="305" t="str">
        <f ca="1">IF(OR($C26=OFFSET($C26,1,0),$A26&gt;End,IFERROR(OFFSET(Items[],MATCH($C26,INDIRECT(RangePlanCount),0)-1,MATCH(X$1,Items[#Headers],0)-1,1,1)=0,TRUE)),"",IF(AND(OFFSET(Items[],MATCH($C26,INDIRECT(RangePlanCount),0)-1,MATCH(X$1,Items[#Headers],0)-1,1,1)&gt;0,$J26="LPSM"),"ALL",TEXT(OFFSET(Items[],MATCH($C26,INDIRECT(RangePlanCount),0)-1,MATCH(X$1,Items[#Headers],0)-1,1,1),"###,###,##0"&amp;IF(OFFSET(Items[],MATCH($C26,INDIRECT(RangePlanCount),0)-1,MATCH(Decimals,Items[#Headers],0)-1,1,1)&gt;0,"."&amp;REPT("0",OFFSET(Items[],MATCH($C26,INDIRECT(RangePlanCount),0)-1,MATCH(Decimals,Items[#Headers],0)-1,1,1)),""))))</f>
        <v/>
      </c>
      <c r="Y26" s="306" t="str">
        <f ca="1">IF(OR($A26&gt;End,COUNTIF($C$7:$C26,$C26)&gt;lines_R),"",IF(COUNTIF($C$7:$C26,$C26)=1,LEFT(VLOOKUP($C26,Calcs[],col_Remarks,0),VLOOKUP($C26,Calcs[],col_R,0)),MID(VLOOKUP($C26,Calcs[],col_Remarks,0),VLOOKUP($C26,Calcs[],col_R+COUNTIF($C$7:$C26,$C26)-2,0)+1,VLOOKUP($C26,Calcs[],col_R+COUNTIF($C$7:$C26,$C26)-1,0)-VLOOKUP($C26,Calcs[],col_R+COUNTIF($C$7:$C26,$C26)-2,0))))</f>
        <v/>
      </c>
      <c r="Z26" s="300"/>
      <c r="AA26" s="1"/>
    </row>
    <row r="27" spans="1:27" ht="15" customHeight="1" x14ac:dyDescent="0.15">
      <c r="A27" s="58">
        <f t="shared" ca="1" si="1"/>
        <v>20</v>
      </c>
      <c r="C27" s="58">
        <f ca="1">IFERROR(VLOOKUP(A27,Calcs[],1,0),OFFSET(C27,1,0))</f>
        <v>0</v>
      </c>
      <c r="D27" s="342"/>
      <c r="E27" s="59"/>
      <c r="F27" s="301" t="str">
        <f ca="1">IF(OR($C27=OFFSET($C27,-1,0),$A27&gt;End),"",_xlfn.XLOOKUP($C27,Items[PlanCounter],Items[Amend],_xlfn.XLOOKUP($C27,Proposed[PlanCounter],Proposed[Amend])))</f>
        <v/>
      </c>
      <c r="G27" s="302" t="str">
        <f ca="1">IF(OR($C27=OFFSET($C27,-1,0),$A27&gt;End),"",_xlfn.XLOOKUP($C27,Calcs[Counter],Calcs[Line]))</f>
        <v/>
      </c>
      <c r="H27" s="302" t="str" cm="1">
        <f t="array" aca="1" ref="H27" ca="1">IF(OR($C27=OFFSET($C27,-1,0),$A27&gt;End),"",_xlfn.XLOOKUP($C27,INDIRECT(RangePlanCount),INDIRECT(RangeItems)))</f>
        <v/>
      </c>
      <c r="I27" s="294" t="str">
        <f ca="1">IF(OR($A27&gt;End,COUNTIF($C$7:$C27,$C27)&gt;lines_D),"",IF(COUNTIF($C$7:$C27,$C27)=1,LEFT(VLOOKUP($C27,Calcs[],col_Description,0),VLOOKUP($C27,Calcs[],col_D,0)),MID(VLOOKUP($C27,Calcs[],col_Description,0),VLOOKUP($C27,Calcs[],col_D+COUNTIF($C$7:$C27,$C27)-2,0)+1,VLOOKUP($C27,Calcs[],col_D+COUNTIF($C$7:$C27,$C27)-1,0)-VLOOKUP($C27,Calcs[],col_D+COUNTIF($C$7:$C27,$C27)-2,0))))</f>
        <v/>
      </c>
      <c r="J27" s="295" t="str" cm="1">
        <f t="array" aca="1" ref="J27" ca="1">IF(OR($C27=OFFSET($C27,1,0),$A27&gt;End),"",_xlfn.XLOOKUP($C27,INDIRECT(RangePlanCount),INDIRECT(RangeUnit)))</f>
        <v/>
      </c>
      <c r="K27" s="303" t="str">
        <f ca="1">IF(OR($C27=OFFSET($C27,1,0),$A27&gt;End,IFERROR(OFFSET(Items[],MATCH($C27,INDIRECT(RangePlanCount),0)-1,MATCH(K$1,Items[#Headers],0)-1,1,1)=0,TRUE)),"",IF(AND(OFFSET(Items[],MATCH($C27,INDIRECT(RangePlanCount),0)-1,MATCH(K$1,Items[#Headers],0)-1,1,1)&gt;0,$J27="LPSM"),"ALL",TEXT(OFFSET(Items[],MATCH($C27,INDIRECT(RangePlanCount),0)-1,MATCH(K$1,Items[#Headers],0)-1,1,1),"###,###,##0"&amp;IF(OFFSET(Items[],MATCH($C27,INDIRECT(RangePlanCount),0)-1,MATCH(Decimals,Items[#Headers],0)-1,1,1)&gt;0,"."&amp;REPT("0",OFFSET(Items[],MATCH($C27,INDIRECT(RangePlanCount),0)-1,MATCH(Decimals,Items[#Headers],0)-1,1,1)),""))))</f>
        <v/>
      </c>
      <c r="L27" s="302" t="str">
        <f ca="1">IF(OR($C27=OFFSET($C27,1,0),$A27&gt;End,IFERROR(OFFSET(Items[],MATCH($C27,INDIRECT(RangePlanCount),0)-1,MATCH(L$1,Items[#Headers],0)-1,1,1)=0,TRUE)),"",IF(AND(OFFSET(Items[],MATCH($C27,INDIRECT(RangePlanCount),0)-1,MATCH(L$1,Items[#Headers],0)-1,1,1)&gt;0,$J27="LPSM"),"ALL",TEXT(OFFSET(Items[],MATCH($C27,INDIRECT(RangePlanCount),0)-1,MATCH(L$1,Items[#Headers],0)-1,1,1),"###,###,##0"&amp;IF(OFFSET(Items[],MATCH($C27,INDIRECT(RangePlanCount),0)-1,MATCH(Decimals,Items[#Headers],0)-1,1,1)&gt;0,"."&amp;REPT("0",OFFSET(Items[],MATCH($C27,INDIRECT(RangePlanCount),0)-1,MATCH(Decimals,Items[#Headers],0)-1,1,1)),""))))</f>
        <v/>
      </c>
      <c r="M27" s="302" t="str">
        <f ca="1">IF(OR($C27=OFFSET($C27,1,0),$A27&gt;End,IFERROR(OFFSET(Items[],MATCH($C27,INDIRECT(RangePlanCount),0)-1,MATCH(M$1,Items[#Headers],0)-1,1,1)=0,TRUE)),"",IF(AND(OFFSET(Items[],MATCH($C27,INDIRECT(RangePlanCount),0)-1,MATCH(M$1,Items[#Headers],0)-1,1,1)&gt;0,$J27="LPSM"),"ALL",TEXT(OFFSET(Items[],MATCH($C27,INDIRECT(RangePlanCount),0)-1,MATCH(M$1,Items[#Headers],0)-1,1,1),"###,###,##0"&amp;IF(OFFSET(Items[],MATCH($C27,INDIRECT(RangePlanCount),0)-1,MATCH(Decimals,Items[#Headers],0)-1,1,1)&gt;0,"."&amp;REPT("0",OFFSET(Items[],MATCH($C27,INDIRECT(RangePlanCount),0)-1,MATCH(Decimals,Items[#Headers],0)-1,1,1)),""))))</f>
        <v/>
      </c>
      <c r="N27" s="302" t="str">
        <f ca="1">IF(OR($C27=OFFSET($C27,1,0),$A27&gt;End,IFERROR(OFFSET(Items[],MATCH($C27,INDIRECT(RangePlanCount),0)-1,MATCH(N$1,Items[#Headers],0)-1,1,1)=0,TRUE)),"",IF(AND(OFFSET(Items[],MATCH($C27,INDIRECT(RangePlanCount),0)-1,MATCH(N$1,Items[#Headers],0)-1,1,1)&gt;0,$J27="LPSM"),"ALL",TEXT(OFFSET(Items[],MATCH($C27,INDIRECT(RangePlanCount),0)-1,MATCH(N$1,Items[#Headers],0)-1,1,1),"###,###,##0"&amp;IF(OFFSET(Items[],MATCH($C27,INDIRECT(RangePlanCount),0)-1,MATCH(Decimals,Items[#Headers],0)-1,1,1)&gt;0,"."&amp;REPT("0",OFFSET(Items[],MATCH($C27,INDIRECT(RangePlanCount),0)-1,MATCH(Decimals,Items[#Headers],0)-1,1,1)),""))))</f>
        <v/>
      </c>
      <c r="O27" s="302" t="str">
        <f ca="1">IF(OR($C27=OFFSET($C27,1,0),$A27&gt;End,IFERROR(OFFSET(Items[],MATCH($C27,INDIRECT(RangePlanCount),0)-1,MATCH(O$1,Items[#Headers],0)-1,1,1)=0,TRUE)),"",IF(AND(OFFSET(Items[],MATCH($C27,INDIRECT(RangePlanCount),0)-1,MATCH(O$1,Items[#Headers],0)-1,1,1)&gt;0,$J27="LPSM"),"ALL",TEXT(OFFSET(Items[],MATCH($C27,INDIRECT(RangePlanCount),0)-1,MATCH(O$1,Items[#Headers],0)-1,1,1),"###,###,##0"&amp;IF(OFFSET(Items[],MATCH($C27,INDIRECT(RangePlanCount),0)-1,MATCH(Decimals,Items[#Headers],0)-1,1,1)&gt;0,"."&amp;REPT("0",OFFSET(Items[],MATCH($C27,INDIRECT(RangePlanCount),0)-1,MATCH(Decimals,Items[#Headers],0)-1,1,1)),""))))</f>
        <v/>
      </c>
      <c r="P27" s="302" t="str">
        <f ca="1">IF(OR($C27=OFFSET($C27,1,0),$A27&gt;End,IFERROR(OFFSET(Items[],MATCH($C27,INDIRECT(RangePlanCount),0)-1,MATCH(P$1,Items[#Headers],0)-1,1,1)=0,TRUE)),"",IF(AND(OFFSET(Items[],MATCH($C27,INDIRECT(RangePlanCount),0)-1,MATCH(P$1,Items[#Headers],0)-1,1,1)&gt;0,$J27="LPSM"),"ALL",TEXT(OFFSET(Items[],MATCH($C27,INDIRECT(RangePlanCount),0)-1,MATCH(P$1,Items[#Headers],0)-1,1,1),"###,###,##0"&amp;IF(OFFSET(Items[],MATCH($C27,INDIRECT(RangePlanCount),0)-1,MATCH(Decimals,Items[#Headers],0)-1,1,1)&gt;0,"."&amp;REPT("0",OFFSET(Items[],MATCH($C27,INDIRECT(RangePlanCount),0)-1,MATCH(Decimals,Items[#Headers],0)-1,1,1)),""))))</f>
        <v/>
      </c>
      <c r="Q27" s="302" t="str">
        <f ca="1">IF(OR($C27=OFFSET($C27,1,0),$A27&gt;End,IFERROR(OFFSET(Items[],MATCH($C27,INDIRECT(RangePlanCount),0)-1,MATCH(Q$1,Items[#Headers],0)-1,1,1)=0,TRUE)),"",IF(AND(OFFSET(Items[],MATCH($C27,INDIRECT(RangePlanCount),0)-1,MATCH(Q$1,Items[#Headers],0)-1,1,1)&gt;0,$J27="LPSM"),"ALL",TEXT(OFFSET(Items[],MATCH($C27,INDIRECT(RangePlanCount),0)-1,MATCH(Q$1,Items[#Headers],0)-1,1,1),"###,###,##0"&amp;IF(OFFSET(Items[],MATCH($C27,INDIRECT(RangePlanCount),0)-1,MATCH(Decimals,Items[#Headers],0)-1,1,1)&gt;0,"."&amp;REPT("0",OFFSET(Items[],MATCH($C27,INDIRECT(RangePlanCount),0)-1,MATCH(Decimals,Items[#Headers],0)-1,1,1)),""))))</f>
        <v/>
      </c>
      <c r="R27" s="302" t="str">
        <f ca="1">IF(OR($C27=OFFSET($C27,1,0),$A27&gt;End,IFERROR(OFFSET(Items[],MATCH($C27,INDIRECT(RangePlanCount),0)-1,MATCH(R$1,Items[#Headers],0)-1,1,1)=0,TRUE)),"",IF(AND(OFFSET(Items[],MATCH($C27,INDIRECT(RangePlanCount),0)-1,MATCH(R$1,Items[#Headers],0)-1,1,1)&gt;0,$J27="LPSM"),"ALL",TEXT(OFFSET(Items[],MATCH($C27,INDIRECT(RangePlanCount),0)-1,MATCH(R$1,Items[#Headers],0)-1,1,1),"###,###,##0"&amp;IF(OFFSET(Items[],MATCH($C27,INDIRECT(RangePlanCount),0)-1,MATCH(Decimals,Items[#Headers],0)-1,1,1)&gt;0,"."&amp;REPT("0",OFFSET(Items[],MATCH($C27,INDIRECT(RangePlanCount),0)-1,MATCH(Decimals,Items[#Headers],0)-1,1,1)),""))))</f>
        <v/>
      </c>
      <c r="S27" s="302" t="str">
        <f ca="1">IF(OR($C27=OFFSET($C27,1,0),$A27&gt;End,IFERROR(OFFSET(Items[],MATCH($C27,INDIRECT(RangePlanCount),0)-1,MATCH(S$1,Items[#Headers],0)-1,1,1)=0,TRUE)),"",IF(AND(OFFSET(Items[],MATCH($C27,INDIRECT(RangePlanCount),0)-1,MATCH(S$1,Items[#Headers],0)-1,1,1)&gt;0,$J27="LPSM"),"ALL",TEXT(OFFSET(Items[],MATCH($C27,INDIRECT(RangePlanCount),0)-1,MATCH(S$1,Items[#Headers],0)-1,1,1),"###,###,##0"&amp;IF(OFFSET(Items[],MATCH($C27,INDIRECT(RangePlanCount),0)-1,MATCH(Decimals,Items[#Headers],0)-1,1,1)&gt;0,"."&amp;REPT("0",OFFSET(Items[],MATCH($C27,INDIRECT(RangePlanCount),0)-1,MATCH(Decimals,Items[#Headers],0)-1,1,1)),""))))</f>
        <v/>
      </c>
      <c r="T27" s="302" t="str">
        <f ca="1">IF(OR($C27=OFFSET($C27,1,0),$A27&gt;End,IFERROR(OFFSET(Items[],MATCH($C27,INDIRECT(RangePlanCount),0)-1,MATCH(T$1,Items[#Headers],0)-1,1,1)=0,TRUE)),"",IF(AND(OFFSET(Items[],MATCH($C27,INDIRECT(RangePlanCount),0)-1,MATCH(T$1,Items[#Headers],0)-1,1,1)&gt;0,$J27="LPSM"),"ALL",TEXT(OFFSET(Items[],MATCH($C27,INDIRECT(RangePlanCount),0)-1,MATCH(T$1,Items[#Headers],0)-1,1,1),"###,###,##0"&amp;IF(OFFSET(Items[],MATCH($C27,INDIRECT(RangePlanCount),0)-1,MATCH(Decimals,Items[#Headers],0)-1,1,1)&gt;0,"."&amp;REPT("0",OFFSET(Items[],MATCH($C27,INDIRECT(RangePlanCount),0)-1,MATCH(Decimals,Items[#Headers],0)-1,1,1)),""))))</f>
        <v/>
      </c>
      <c r="U27" s="302" t="str">
        <f ca="1">IF(OR($C27=OFFSET($C27,1,0),$A27&gt;End,IFERROR(OFFSET(Items[],MATCH($C27,INDIRECT(RangePlanCount),0)-1,MATCH(U$1,Items[#Headers],0)-1,1,1)=0,TRUE)),"",IF(AND(OFFSET(Items[],MATCH($C27,INDIRECT(RangePlanCount),0)-1,MATCH(U$1,Items[#Headers],0)-1,1,1)&gt;0,$J27="LPSM"),"ALL",TEXT(OFFSET(Items[],MATCH($C27,INDIRECT(RangePlanCount),0)-1,MATCH(U$1,Items[#Headers],0)-1,1,1),"###,###,##0"&amp;IF(OFFSET(Items[],MATCH($C27,INDIRECT(RangePlanCount),0)-1,MATCH(Decimals,Items[#Headers],0)-1,1,1)&gt;0,"."&amp;REPT("0",OFFSET(Items[],MATCH($C27,INDIRECT(RangePlanCount),0)-1,MATCH(Decimals,Items[#Headers],0)-1,1,1)),""))))</f>
        <v/>
      </c>
      <c r="V27" s="302" t="str">
        <f ca="1">IF(OR($C27=OFFSET($C27,1,0),$A27&gt;End,IFERROR(OFFSET(Items[],MATCH($C27,INDIRECT(RangePlanCount),0)-1,MATCH(V$1,Items[#Headers],0)-1,1,1)=0,TRUE)),"",IF(AND(OFFSET(Items[],MATCH($C27,INDIRECT(RangePlanCount),0)-1,MATCH(V$1,Items[#Headers],0)-1,1,1)&gt;0,$J27="LPSM"),"ALL",TEXT(OFFSET(Items[],MATCH($C27,INDIRECT(RangePlanCount),0)-1,MATCH(V$1,Items[#Headers],0)-1,1,1),"###,###,##0"&amp;IF(OFFSET(Items[],MATCH($C27,INDIRECT(RangePlanCount),0)-1,MATCH(Decimals,Items[#Headers],0)-1,1,1)&gt;0,"."&amp;REPT("0",OFFSET(Items[],MATCH($C27,INDIRECT(RangePlanCount),0)-1,MATCH(Decimals,Items[#Headers],0)-1,1,1)),""))))</f>
        <v/>
      </c>
      <c r="W27" s="304" t="str">
        <f ca="1">IF(OR($C27=OFFSET($C27,1,0),$A27&gt;End,IFERROR(OFFSET(Items[],MATCH($C27,INDIRECT(RangePlanCount),0)-1,MATCH(W$1,Items[#Headers],0)-1,1,1)=0,TRUE)),"",IF(AND(OFFSET(Items[],MATCH($C27,INDIRECT(RangePlanCount),0)-1,MATCH(W$1,Items[#Headers],0)-1,1,1)&gt;0,$J27="LPSM"),"ALL",TEXT(OFFSET(Items[],MATCH($C27,INDIRECT(RangePlanCount),0)-1,MATCH(W$1,Items[#Headers],0)-1,1,1),"###,###,##0"&amp;IF(OFFSET(Items[],MATCH($C27,INDIRECT(RangePlanCount),0)-1,MATCH(Decimals,Items[#Headers],0)-1,1,1)&gt;0,"."&amp;REPT("0",OFFSET(Items[],MATCH($C27,INDIRECT(RangePlanCount),0)-1,MATCH(Decimals,Items[#Headers],0)-1,1,1)),""))))</f>
        <v/>
      </c>
      <c r="X27" s="305" t="str">
        <f ca="1">IF(OR($C27=OFFSET($C27,1,0),$A27&gt;End,IFERROR(OFFSET(Items[],MATCH($C27,INDIRECT(RangePlanCount),0)-1,MATCH(X$1,Items[#Headers],0)-1,1,1)=0,TRUE)),"",IF(AND(OFFSET(Items[],MATCH($C27,INDIRECT(RangePlanCount),0)-1,MATCH(X$1,Items[#Headers],0)-1,1,1)&gt;0,$J27="LPSM"),"ALL",TEXT(OFFSET(Items[],MATCH($C27,INDIRECT(RangePlanCount),0)-1,MATCH(X$1,Items[#Headers],0)-1,1,1),"###,###,##0"&amp;IF(OFFSET(Items[],MATCH($C27,INDIRECT(RangePlanCount),0)-1,MATCH(Decimals,Items[#Headers],0)-1,1,1)&gt;0,"."&amp;REPT("0",OFFSET(Items[],MATCH($C27,INDIRECT(RangePlanCount),0)-1,MATCH(Decimals,Items[#Headers],0)-1,1,1)),""))))</f>
        <v/>
      </c>
      <c r="Y27" s="306" t="str">
        <f ca="1">IF(OR($A27&gt;End,COUNTIF($C$7:$C27,$C27)&gt;lines_R),"",IF(COUNTIF($C$7:$C27,$C27)=1,LEFT(VLOOKUP($C27,Calcs[],col_Remarks,0),VLOOKUP($C27,Calcs[],col_R,0)),MID(VLOOKUP($C27,Calcs[],col_Remarks,0),VLOOKUP($C27,Calcs[],col_R+COUNTIF($C$7:$C27,$C27)-2,0)+1,VLOOKUP($C27,Calcs[],col_R+COUNTIF($C$7:$C27,$C27)-1,0)-VLOOKUP($C27,Calcs[],col_R+COUNTIF($C$7:$C27,$C27)-2,0))))</f>
        <v/>
      </c>
      <c r="Z27" s="300"/>
      <c r="AA27" s="1"/>
    </row>
    <row r="28" spans="1:27" ht="15" customHeight="1" x14ac:dyDescent="0.15">
      <c r="A28" s="58">
        <f t="shared" ca="1" si="1"/>
        <v>21</v>
      </c>
      <c r="C28" s="58">
        <f ca="1">IFERROR(VLOOKUP(A28,Calcs[],1,0),OFFSET(C28,1,0))</f>
        <v>0</v>
      </c>
      <c r="D28" s="342"/>
      <c r="E28" s="59"/>
      <c r="F28" s="301" t="str">
        <f ca="1">IF(OR($C28=OFFSET($C28,-1,0),$A28&gt;End),"",_xlfn.XLOOKUP($C28,Items[PlanCounter],Items[Amend],_xlfn.XLOOKUP($C28,Proposed[PlanCounter],Proposed[Amend])))</f>
        <v/>
      </c>
      <c r="G28" s="302" t="str">
        <f ca="1">IF(OR($C28=OFFSET($C28,-1,0),$A28&gt;End),"",_xlfn.XLOOKUP($C28,Calcs[Counter],Calcs[Line]))</f>
        <v/>
      </c>
      <c r="H28" s="302" t="str" cm="1">
        <f t="array" aca="1" ref="H28" ca="1">IF(OR($C28=OFFSET($C28,-1,0),$A28&gt;End),"",_xlfn.XLOOKUP($C28,INDIRECT(RangePlanCount),INDIRECT(RangeItems)))</f>
        <v/>
      </c>
      <c r="I28" s="294" t="str">
        <f ca="1">IF(OR($A28&gt;End,COUNTIF($C$7:$C28,$C28)&gt;lines_D),"",IF(COUNTIF($C$7:$C28,$C28)=1,LEFT(VLOOKUP($C28,Calcs[],col_Description,0),VLOOKUP($C28,Calcs[],col_D,0)),MID(VLOOKUP($C28,Calcs[],col_Description,0),VLOOKUP($C28,Calcs[],col_D+COUNTIF($C$7:$C28,$C28)-2,0)+1,VLOOKUP($C28,Calcs[],col_D+COUNTIF($C$7:$C28,$C28)-1,0)-VLOOKUP($C28,Calcs[],col_D+COUNTIF($C$7:$C28,$C28)-2,0))))</f>
        <v/>
      </c>
      <c r="J28" s="295" t="str" cm="1">
        <f t="array" aca="1" ref="J28" ca="1">IF(OR($C28=OFFSET($C28,1,0),$A28&gt;End),"",_xlfn.XLOOKUP($C28,INDIRECT(RangePlanCount),INDIRECT(RangeUnit)))</f>
        <v/>
      </c>
      <c r="K28" s="303" t="str">
        <f ca="1">IF(OR($C28=OFFSET($C28,1,0),$A28&gt;End,IFERROR(OFFSET(Items[],MATCH($C28,INDIRECT(RangePlanCount),0)-1,MATCH(K$1,Items[#Headers],0)-1,1,1)=0,TRUE)),"",IF(AND(OFFSET(Items[],MATCH($C28,INDIRECT(RangePlanCount),0)-1,MATCH(K$1,Items[#Headers],0)-1,1,1)&gt;0,$J28="LPSM"),"ALL",TEXT(OFFSET(Items[],MATCH($C28,INDIRECT(RangePlanCount),0)-1,MATCH(K$1,Items[#Headers],0)-1,1,1),"###,###,##0"&amp;IF(OFFSET(Items[],MATCH($C28,INDIRECT(RangePlanCount),0)-1,MATCH(Decimals,Items[#Headers],0)-1,1,1)&gt;0,"."&amp;REPT("0",OFFSET(Items[],MATCH($C28,INDIRECT(RangePlanCount),0)-1,MATCH(Decimals,Items[#Headers],0)-1,1,1)),""))))</f>
        <v/>
      </c>
      <c r="L28" s="302" t="str">
        <f ca="1">IF(OR($C28=OFFSET($C28,1,0),$A28&gt;End,IFERROR(OFFSET(Items[],MATCH($C28,INDIRECT(RangePlanCount),0)-1,MATCH(L$1,Items[#Headers],0)-1,1,1)=0,TRUE)),"",IF(AND(OFFSET(Items[],MATCH($C28,INDIRECT(RangePlanCount),0)-1,MATCH(L$1,Items[#Headers],0)-1,1,1)&gt;0,$J28="LPSM"),"ALL",TEXT(OFFSET(Items[],MATCH($C28,INDIRECT(RangePlanCount),0)-1,MATCH(L$1,Items[#Headers],0)-1,1,1),"###,###,##0"&amp;IF(OFFSET(Items[],MATCH($C28,INDIRECT(RangePlanCount),0)-1,MATCH(Decimals,Items[#Headers],0)-1,1,1)&gt;0,"."&amp;REPT("0",OFFSET(Items[],MATCH($C28,INDIRECT(RangePlanCount),0)-1,MATCH(Decimals,Items[#Headers],0)-1,1,1)),""))))</f>
        <v/>
      </c>
      <c r="M28" s="302" t="str">
        <f ca="1">IF(OR($C28=OFFSET($C28,1,0),$A28&gt;End,IFERROR(OFFSET(Items[],MATCH($C28,INDIRECT(RangePlanCount),0)-1,MATCH(M$1,Items[#Headers],0)-1,1,1)=0,TRUE)),"",IF(AND(OFFSET(Items[],MATCH($C28,INDIRECT(RangePlanCount),0)-1,MATCH(M$1,Items[#Headers],0)-1,1,1)&gt;0,$J28="LPSM"),"ALL",TEXT(OFFSET(Items[],MATCH($C28,INDIRECT(RangePlanCount),0)-1,MATCH(M$1,Items[#Headers],0)-1,1,1),"###,###,##0"&amp;IF(OFFSET(Items[],MATCH($C28,INDIRECT(RangePlanCount),0)-1,MATCH(Decimals,Items[#Headers],0)-1,1,1)&gt;0,"."&amp;REPT("0",OFFSET(Items[],MATCH($C28,INDIRECT(RangePlanCount),0)-1,MATCH(Decimals,Items[#Headers],0)-1,1,1)),""))))</f>
        <v/>
      </c>
      <c r="N28" s="302" t="str">
        <f ca="1">IF(OR($C28=OFFSET($C28,1,0),$A28&gt;End,IFERROR(OFFSET(Items[],MATCH($C28,INDIRECT(RangePlanCount),0)-1,MATCH(N$1,Items[#Headers],0)-1,1,1)=0,TRUE)),"",IF(AND(OFFSET(Items[],MATCH($C28,INDIRECT(RangePlanCount),0)-1,MATCH(N$1,Items[#Headers],0)-1,1,1)&gt;0,$J28="LPSM"),"ALL",TEXT(OFFSET(Items[],MATCH($C28,INDIRECT(RangePlanCount),0)-1,MATCH(N$1,Items[#Headers],0)-1,1,1),"###,###,##0"&amp;IF(OFFSET(Items[],MATCH($C28,INDIRECT(RangePlanCount),0)-1,MATCH(Decimals,Items[#Headers],0)-1,1,1)&gt;0,"."&amp;REPT("0",OFFSET(Items[],MATCH($C28,INDIRECT(RangePlanCount),0)-1,MATCH(Decimals,Items[#Headers],0)-1,1,1)),""))))</f>
        <v/>
      </c>
      <c r="O28" s="302" t="str">
        <f ca="1">IF(OR($C28=OFFSET($C28,1,0),$A28&gt;End,IFERROR(OFFSET(Items[],MATCH($C28,INDIRECT(RangePlanCount),0)-1,MATCH(O$1,Items[#Headers],0)-1,1,1)=0,TRUE)),"",IF(AND(OFFSET(Items[],MATCH($C28,INDIRECT(RangePlanCount),0)-1,MATCH(O$1,Items[#Headers],0)-1,1,1)&gt;0,$J28="LPSM"),"ALL",TEXT(OFFSET(Items[],MATCH($C28,INDIRECT(RangePlanCount),0)-1,MATCH(O$1,Items[#Headers],0)-1,1,1),"###,###,##0"&amp;IF(OFFSET(Items[],MATCH($C28,INDIRECT(RangePlanCount),0)-1,MATCH(Decimals,Items[#Headers],0)-1,1,1)&gt;0,"."&amp;REPT("0",OFFSET(Items[],MATCH($C28,INDIRECT(RangePlanCount),0)-1,MATCH(Decimals,Items[#Headers],0)-1,1,1)),""))))</f>
        <v/>
      </c>
      <c r="P28" s="302" t="str">
        <f ca="1">IF(OR($C28=OFFSET($C28,1,0),$A28&gt;End,IFERROR(OFFSET(Items[],MATCH($C28,INDIRECT(RangePlanCount),0)-1,MATCH(P$1,Items[#Headers],0)-1,1,1)=0,TRUE)),"",IF(AND(OFFSET(Items[],MATCH($C28,INDIRECT(RangePlanCount),0)-1,MATCH(P$1,Items[#Headers],0)-1,1,1)&gt;0,$J28="LPSM"),"ALL",TEXT(OFFSET(Items[],MATCH($C28,INDIRECT(RangePlanCount),0)-1,MATCH(P$1,Items[#Headers],0)-1,1,1),"###,###,##0"&amp;IF(OFFSET(Items[],MATCH($C28,INDIRECT(RangePlanCount),0)-1,MATCH(Decimals,Items[#Headers],0)-1,1,1)&gt;0,"."&amp;REPT("0",OFFSET(Items[],MATCH($C28,INDIRECT(RangePlanCount),0)-1,MATCH(Decimals,Items[#Headers],0)-1,1,1)),""))))</f>
        <v/>
      </c>
      <c r="Q28" s="302" t="str">
        <f ca="1">IF(OR($C28=OFFSET($C28,1,0),$A28&gt;End,IFERROR(OFFSET(Items[],MATCH($C28,INDIRECT(RangePlanCount),0)-1,MATCH(Q$1,Items[#Headers],0)-1,1,1)=0,TRUE)),"",IF(AND(OFFSET(Items[],MATCH($C28,INDIRECT(RangePlanCount),0)-1,MATCH(Q$1,Items[#Headers],0)-1,1,1)&gt;0,$J28="LPSM"),"ALL",TEXT(OFFSET(Items[],MATCH($C28,INDIRECT(RangePlanCount),0)-1,MATCH(Q$1,Items[#Headers],0)-1,1,1),"###,###,##0"&amp;IF(OFFSET(Items[],MATCH($C28,INDIRECT(RangePlanCount),0)-1,MATCH(Decimals,Items[#Headers],0)-1,1,1)&gt;0,"."&amp;REPT("0",OFFSET(Items[],MATCH($C28,INDIRECT(RangePlanCount),0)-1,MATCH(Decimals,Items[#Headers],0)-1,1,1)),""))))</f>
        <v/>
      </c>
      <c r="R28" s="302" t="str">
        <f ca="1">IF(OR($C28=OFFSET($C28,1,0),$A28&gt;End,IFERROR(OFFSET(Items[],MATCH($C28,INDIRECT(RangePlanCount),0)-1,MATCH(R$1,Items[#Headers],0)-1,1,1)=0,TRUE)),"",IF(AND(OFFSET(Items[],MATCH($C28,INDIRECT(RangePlanCount),0)-1,MATCH(R$1,Items[#Headers],0)-1,1,1)&gt;0,$J28="LPSM"),"ALL",TEXT(OFFSET(Items[],MATCH($C28,INDIRECT(RangePlanCount),0)-1,MATCH(R$1,Items[#Headers],0)-1,1,1),"###,###,##0"&amp;IF(OFFSET(Items[],MATCH($C28,INDIRECT(RangePlanCount),0)-1,MATCH(Decimals,Items[#Headers],0)-1,1,1)&gt;0,"."&amp;REPT("0",OFFSET(Items[],MATCH($C28,INDIRECT(RangePlanCount),0)-1,MATCH(Decimals,Items[#Headers],0)-1,1,1)),""))))</f>
        <v/>
      </c>
      <c r="S28" s="302" t="str">
        <f ca="1">IF(OR($C28=OFFSET($C28,1,0),$A28&gt;End,IFERROR(OFFSET(Items[],MATCH($C28,INDIRECT(RangePlanCount),0)-1,MATCH(S$1,Items[#Headers],0)-1,1,1)=0,TRUE)),"",IF(AND(OFFSET(Items[],MATCH($C28,INDIRECT(RangePlanCount),0)-1,MATCH(S$1,Items[#Headers],0)-1,1,1)&gt;0,$J28="LPSM"),"ALL",TEXT(OFFSET(Items[],MATCH($C28,INDIRECT(RangePlanCount),0)-1,MATCH(S$1,Items[#Headers],0)-1,1,1),"###,###,##0"&amp;IF(OFFSET(Items[],MATCH($C28,INDIRECT(RangePlanCount),0)-1,MATCH(Decimals,Items[#Headers],0)-1,1,1)&gt;0,"."&amp;REPT("0",OFFSET(Items[],MATCH($C28,INDIRECT(RangePlanCount),0)-1,MATCH(Decimals,Items[#Headers],0)-1,1,1)),""))))</f>
        <v/>
      </c>
      <c r="T28" s="302" t="str">
        <f ca="1">IF(OR($C28=OFFSET($C28,1,0),$A28&gt;End,IFERROR(OFFSET(Items[],MATCH($C28,INDIRECT(RangePlanCount),0)-1,MATCH(T$1,Items[#Headers],0)-1,1,1)=0,TRUE)),"",IF(AND(OFFSET(Items[],MATCH($C28,INDIRECT(RangePlanCount),0)-1,MATCH(T$1,Items[#Headers],0)-1,1,1)&gt;0,$J28="LPSM"),"ALL",TEXT(OFFSET(Items[],MATCH($C28,INDIRECT(RangePlanCount),0)-1,MATCH(T$1,Items[#Headers],0)-1,1,1),"###,###,##0"&amp;IF(OFFSET(Items[],MATCH($C28,INDIRECT(RangePlanCount),0)-1,MATCH(Decimals,Items[#Headers],0)-1,1,1)&gt;0,"."&amp;REPT("0",OFFSET(Items[],MATCH($C28,INDIRECT(RangePlanCount),0)-1,MATCH(Decimals,Items[#Headers],0)-1,1,1)),""))))</f>
        <v/>
      </c>
      <c r="U28" s="302" t="str">
        <f ca="1">IF(OR($C28=OFFSET($C28,1,0),$A28&gt;End,IFERROR(OFFSET(Items[],MATCH($C28,INDIRECT(RangePlanCount),0)-1,MATCH(U$1,Items[#Headers],0)-1,1,1)=0,TRUE)),"",IF(AND(OFFSET(Items[],MATCH($C28,INDIRECT(RangePlanCount),0)-1,MATCH(U$1,Items[#Headers],0)-1,1,1)&gt;0,$J28="LPSM"),"ALL",TEXT(OFFSET(Items[],MATCH($C28,INDIRECT(RangePlanCount),0)-1,MATCH(U$1,Items[#Headers],0)-1,1,1),"###,###,##0"&amp;IF(OFFSET(Items[],MATCH($C28,INDIRECT(RangePlanCount),0)-1,MATCH(Decimals,Items[#Headers],0)-1,1,1)&gt;0,"."&amp;REPT("0",OFFSET(Items[],MATCH($C28,INDIRECT(RangePlanCount),0)-1,MATCH(Decimals,Items[#Headers],0)-1,1,1)),""))))</f>
        <v/>
      </c>
      <c r="V28" s="302" t="str">
        <f ca="1">IF(OR($C28=OFFSET($C28,1,0),$A28&gt;End,IFERROR(OFFSET(Items[],MATCH($C28,INDIRECT(RangePlanCount),0)-1,MATCH(V$1,Items[#Headers],0)-1,1,1)=0,TRUE)),"",IF(AND(OFFSET(Items[],MATCH($C28,INDIRECT(RangePlanCount),0)-1,MATCH(V$1,Items[#Headers],0)-1,1,1)&gt;0,$J28="LPSM"),"ALL",TEXT(OFFSET(Items[],MATCH($C28,INDIRECT(RangePlanCount),0)-1,MATCH(V$1,Items[#Headers],0)-1,1,1),"###,###,##0"&amp;IF(OFFSET(Items[],MATCH($C28,INDIRECT(RangePlanCount),0)-1,MATCH(Decimals,Items[#Headers],0)-1,1,1)&gt;0,"."&amp;REPT("0",OFFSET(Items[],MATCH($C28,INDIRECT(RangePlanCount),0)-1,MATCH(Decimals,Items[#Headers],0)-1,1,1)),""))))</f>
        <v/>
      </c>
      <c r="W28" s="304" t="str">
        <f ca="1">IF(OR($C28=OFFSET($C28,1,0),$A28&gt;End,IFERROR(OFFSET(Items[],MATCH($C28,INDIRECT(RangePlanCount),0)-1,MATCH(W$1,Items[#Headers],0)-1,1,1)=0,TRUE)),"",IF(AND(OFFSET(Items[],MATCH($C28,INDIRECT(RangePlanCount),0)-1,MATCH(W$1,Items[#Headers],0)-1,1,1)&gt;0,$J28="LPSM"),"ALL",TEXT(OFFSET(Items[],MATCH($C28,INDIRECT(RangePlanCount),0)-1,MATCH(W$1,Items[#Headers],0)-1,1,1),"###,###,##0"&amp;IF(OFFSET(Items[],MATCH($C28,INDIRECT(RangePlanCount),0)-1,MATCH(Decimals,Items[#Headers],0)-1,1,1)&gt;0,"."&amp;REPT("0",OFFSET(Items[],MATCH($C28,INDIRECT(RangePlanCount),0)-1,MATCH(Decimals,Items[#Headers],0)-1,1,1)),""))))</f>
        <v/>
      </c>
      <c r="X28" s="305" t="str">
        <f ca="1">IF(OR($C28=OFFSET($C28,1,0),$A28&gt;End,IFERROR(OFFSET(Items[],MATCH($C28,INDIRECT(RangePlanCount),0)-1,MATCH(X$1,Items[#Headers],0)-1,1,1)=0,TRUE)),"",IF(AND(OFFSET(Items[],MATCH($C28,INDIRECT(RangePlanCount),0)-1,MATCH(X$1,Items[#Headers],0)-1,1,1)&gt;0,$J28="LPSM"),"ALL",TEXT(OFFSET(Items[],MATCH($C28,INDIRECT(RangePlanCount),0)-1,MATCH(X$1,Items[#Headers],0)-1,1,1),"###,###,##0"&amp;IF(OFFSET(Items[],MATCH($C28,INDIRECT(RangePlanCount),0)-1,MATCH(Decimals,Items[#Headers],0)-1,1,1)&gt;0,"."&amp;REPT("0",OFFSET(Items[],MATCH($C28,INDIRECT(RangePlanCount),0)-1,MATCH(Decimals,Items[#Headers],0)-1,1,1)),""))))</f>
        <v/>
      </c>
      <c r="Y28" s="306" t="str">
        <f ca="1">IF(OR($A28&gt;End,COUNTIF($C$7:$C28,$C28)&gt;lines_R),"",IF(COUNTIF($C$7:$C28,$C28)=1,LEFT(VLOOKUP($C28,Calcs[],col_Remarks,0),VLOOKUP($C28,Calcs[],col_R,0)),MID(VLOOKUP($C28,Calcs[],col_Remarks,0),VLOOKUP($C28,Calcs[],col_R+COUNTIF($C$7:$C28,$C28)-2,0)+1,VLOOKUP($C28,Calcs[],col_R+COUNTIF($C$7:$C28,$C28)-1,0)-VLOOKUP($C28,Calcs[],col_R+COUNTIF($C$7:$C28,$C28)-2,0))))</f>
        <v/>
      </c>
      <c r="Z28" s="300"/>
      <c r="AA28" s="1"/>
    </row>
    <row r="29" spans="1:27" ht="15" customHeight="1" x14ac:dyDescent="0.15">
      <c r="A29" s="58">
        <f t="shared" ca="1" si="1"/>
        <v>22</v>
      </c>
      <c r="C29" s="58">
        <f ca="1">IFERROR(VLOOKUP(A29,Calcs[],1,0),OFFSET(C29,1,0))</f>
        <v>0</v>
      </c>
      <c r="D29" s="342"/>
      <c r="E29" s="59"/>
      <c r="F29" s="301" t="str">
        <f ca="1">IF(OR($C29=OFFSET($C29,-1,0),$A29&gt;End),"",_xlfn.XLOOKUP($C29,Items[PlanCounter],Items[Amend],_xlfn.XLOOKUP($C29,Proposed[PlanCounter],Proposed[Amend])))</f>
        <v/>
      </c>
      <c r="G29" s="302" t="str">
        <f ca="1">IF(OR($C29=OFFSET($C29,-1,0),$A29&gt;End),"",_xlfn.XLOOKUP($C29,Calcs[Counter],Calcs[Line]))</f>
        <v/>
      </c>
      <c r="H29" s="302" t="str" cm="1">
        <f t="array" aca="1" ref="H29" ca="1">IF(OR($C29=OFFSET($C29,-1,0),$A29&gt;End),"",_xlfn.XLOOKUP($C29,INDIRECT(RangePlanCount),INDIRECT(RangeItems)))</f>
        <v/>
      </c>
      <c r="I29" s="294" t="str">
        <f ca="1">IF(OR($A29&gt;End,COUNTIF($C$7:$C29,$C29)&gt;lines_D),"",IF(COUNTIF($C$7:$C29,$C29)=1,LEFT(VLOOKUP($C29,Calcs[],col_Description,0),VLOOKUP($C29,Calcs[],col_D,0)),MID(VLOOKUP($C29,Calcs[],col_Description,0),VLOOKUP($C29,Calcs[],col_D+COUNTIF($C$7:$C29,$C29)-2,0)+1,VLOOKUP($C29,Calcs[],col_D+COUNTIF($C$7:$C29,$C29)-1,0)-VLOOKUP($C29,Calcs[],col_D+COUNTIF($C$7:$C29,$C29)-2,0))))</f>
        <v/>
      </c>
      <c r="J29" s="295" t="str" cm="1">
        <f t="array" aca="1" ref="J29" ca="1">IF(OR($C29=OFFSET($C29,1,0),$A29&gt;End),"",_xlfn.XLOOKUP($C29,INDIRECT(RangePlanCount),INDIRECT(RangeUnit)))</f>
        <v/>
      </c>
      <c r="K29" s="303" t="str">
        <f ca="1">IF(OR($C29=OFFSET($C29,1,0),$A29&gt;End,IFERROR(OFFSET(Items[],MATCH($C29,INDIRECT(RangePlanCount),0)-1,MATCH(K$1,Items[#Headers],0)-1,1,1)=0,TRUE)),"",IF(AND(OFFSET(Items[],MATCH($C29,INDIRECT(RangePlanCount),0)-1,MATCH(K$1,Items[#Headers],0)-1,1,1)&gt;0,$J29="LPSM"),"ALL",TEXT(OFFSET(Items[],MATCH($C29,INDIRECT(RangePlanCount),0)-1,MATCH(K$1,Items[#Headers],0)-1,1,1),"###,###,##0"&amp;IF(OFFSET(Items[],MATCH($C29,INDIRECT(RangePlanCount),0)-1,MATCH(Decimals,Items[#Headers],0)-1,1,1)&gt;0,"."&amp;REPT("0",OFFSET(Items[],MATCH($C29,INDIRECT(RangePlanCount),0)-1,MATCH(Decimals,Items[#Headers],0)-1,1,1)),""))))</f>
        <v/>
      </c>
      <c r="L29" s="302" t="str">
        <f ca="1">IF(OR($C29=OFFSET($C29,1,0),$A29&gt;End,IFERROR(OFFSET(Items[],MATCH($C29,INDIRECT(RangePlanCount),0)-1,MATCH(L$1,Items[#Headers],0)-1,1,1)=0,TRUE)),"",IF(AND(OFFSET(Items[],MATCH($C29,INDIRECT(RangePlanCount),0)-1,MATCH(L$1,Items[#Headers],0)-1,1,1)&gt;0,$J29="LPSM"),"ALL",TEXT(OFFSET(Items[],MATCH($C29,INDIRECT(RangePlanCount),0)-1,MATCH(L$1,Items[#Headers],0)-1,1,1),"###,###,##0"&amp;IF(OFFSET(Items[],MATCH($C29,INDIRECT(RangePlanCount),0)-1,MATCH(Decimals,Items[#Headers],0)-1,1,1)&gt;0,"."&amp;REPT("0",OFFSET(Items[],MATCH($C29,INDIRECT(RangePlanCount),0)-1,MATCH(Decimals,Items[#Headers],0)-1,1,1)),""))))</f>
        <v/>
      </c>
      <c r="M29" s="302" t="str">
        <f ca="1">IF(OR($C29=OFFSET($C29,1,0),$A29&gt;End,IFERROR(OFFSET(Items[],MATCH($C29,INDIRECT(RangePlanCount),0)-1,MATCH(M$1,Items[#Headers],0)-1,1,1)=0,TRUE)),"",IF(AND(OFFSET(Items[],MATCH($C29,INDIRECT(RangePlanCount),0)-1,MATCH(M$1,Items[#Headers],0)-1,1,1)&gt;0,$J29="LPSM"),"ALL",TEXT(OFFSET(Items[],MATCH($C29,INDIRECT(RangePlanCount),0)-1,MATCH(M$1,Items[#Headers],0)-1,1,1),"###,###,##0"&amp;IF(OFFSET(Items[],MATCH($C29,INDIRECT(RangePlanCount),0)-1,MATCH(Decimals,Items[#Headers],0)-1,1,1)&gt;0,"."&amp;REPT("0",OFFSET(Items[],MATCH($C29,INDIRECT(RangePlanCount),0)-1,MATCH(Decimals,Items[#Headers],0)-1,1,1)),""))))</f>
        <v/>
      </c>
      <c r="N29" s="302" t="str">
        <f ca="1">IF(OR($C29=OFFSET($C29,1,0),$A29&gt;End,IFERROR(OFFSET(Items[],MATCH($C29,INDIRECT(RangePlanCount),0)-1,MATCH(N$1,Items[#Headers],0)-1,1,1)=0,TRUE)),"",IF(AND(OFFSET(Items[],MATCH($C29,INDIRECT(RangePlanCount),0)-1,MATCH(N$1,Items[#Headers],0)-1,1,1)&gt;0,$J29="LPSM"),"ALL",TEXT(OFFSET(Items[],MATCH($C29,INDIRECT(RangePlanCount),0)-1,MATCH(N$1,Items[#Headers],0)-1,1,1),"###,###,##0"&amp;IF(OFFSET(Items[],MATCH($C29,INDIRECT(RangePlanCount),0)-1,MATCH(Decimals,Items[#Headers],0)-1,1,1)&gt;0,"."&amp;REPT("0",OFFSET(Items[],MATCH($C29,INDIRECT(RangePlanCount),0)-1,MATCH(Decimals,Items[#Headers],0)-1,1,1)),""))))</f>
        <v/>
      </c>
      <c r="O29" s="302" t="str">
        <f ca="1">IF(OR($C29=OFFSET($C29,1,0),$A29&gt;End,IFERROR(OFFSET(Items[],MATCH($C29,INDIRECT(RangePlanCount),0)-1,MATCH(O$1,Items[#Headers],0)-1,1,1)=0,TRUE)),"",IF(AND(OFFSET(Items[],MATCH($C29,INDIRECT(RangePlanCount),0)-1,MATCH(O$1,Items[#Headers],0)-1,1,1)&gt;0,$J29="LPSM"),"ALL",TEXT(OFFSET(Items[],MATCH($C29,INDIRECT(RangePlanCount),0)-1,MATCH(O$1,Items[#Headers],0)-1,1,1),"###,###,##0"&amp;IF(OFFSET(Items[],MATCH($C29,INDIRECT(RangePlanCount),0)-1,MATCH(Decimals,Items[#Headers],0)-1,1,1)&gt;0,"."&amp;REPT("0",OFFSET(Items[],MATCH($C29,INDIRECT(RangePlanCount),0)-1,MATCH(Decimals,Items[#Headers],0)-1,1,1)),""))))</f>
        <v/>
      </c>
      <c r="P29" s="302" t="str">
        <f ca="1">IF(OR($C29=OFFSET($C29,1,0),$A29&gt;End,IFERROR(OFFSET(Items[],MATCH($C29,INDIRECT(RangePlanCount),0)-1,MATCH(P$1,Items[#Headers],0)-1,1,1)=0,TRUE)),"",IF(AND(OFFSET(Items[],MATCH($C29,INDIRECT(RangePlanCount),0)-1,MATCH(P$1,Items[#Headers],0)-1,1,1)&gt;0,$J29="LPSM"),"ALL",TEXT(OFFSET(Items[],MATCH($C29,INDIRECT(RangePlanCount),0)-1,MATCH(P$1,Items[#Headers],0)-1,1,1),"###,###,##0"&amp;IF(OFFSET(Items[],MATCH($C29,INDIRECT(RangePlanCount),0)-1,MATCH(Decimals,Items[#Headers],0)-1,1,1)&gt;0,"."&amp;REPT("0",OFFSET(Items[],MATCH($C29,INDIRECT(RangePlanCount),0)-1,MATCH(Decimals,Items[#Headers],0)-1,1,1)),""))))</f>
        <v/>
      </c>
      <c r="Q29" s="302" t="str">
        <f ca="1">IF(OR($C29=OFFSET($C29,1,0),$A29&gt;End,IFERROR(OFFSET(Items[],MATCH($C29,INDIRECT(RangePlanCount),0)-1,MATCH(Q$1,Items[#Headers],0)-1,1,1)=0,TRUE)),"",IF(AND(OFFSET(Items[],MATCH($C29,INDIRECT(RangePlanCount),0)-1,MATCH(Q$1,Items[#Headers],0)-1,1,1)&gt;0,$J29="LPSM"),"ALL",TEXT(OFFSET(Items[],MATCH($C29,INDIRECT(RangePlanCount),0)-1,MATCH(Q$1,Items[#Headers],0)-1,1,1),"###,###,##0"&amp;IF(OFFSET(Items[],MATCH($C29,INDIRECT(RangePlanCount),0)-1,MATCH(Decimals,Items[#Headers],0)-1,1,1)&gt;0,"."&amp;REPT("0",OFFSET(Items[],MATCH($C29,INDIRECT(RangePlanCount),0)-1,MATCH(Decimals,Items[#Headers],0)-1,1,1)),""))))</f>
        <v/>
      </c>
      <c r="R29" s="302" t="str">
        <f ca="1">IF(OR($C29=OFFSET($C29,1,0),$A29&gt;End,IFERROR(OFFSET(Items[],MATCH($C29,INDIRECT(RangePlanCount),0)-1,MATCH(R$1,Items[#Headers],0)-1,1,1)=0,TRUE)),"",IF(AND(OFFSET(Items[],MATCH($C29,INDIRECT(RangePlanCount),0)-1,MATCH(R$1,Items[#Headers],0)-1,1,1)&gt;0,$J29="LPSM"),"ALL",TEXT(OFFSET(Items[],MATCH($C29,INDIRECT(RangePlanCount),0)-1,MATCH(R$1,Items[#Headers],0)-1,1,1),"###,###,##0"&amp;IF(OFFSET(Items[],MATCH($C29,INDIRECT(RangePlanCount),0)-1,MATCH(Decimals,Items[#Headers],0)-1,1,1)&gt;0,"."&amp;REPT("0",OFFSET(Items[],MATCH($C29,INDIRECT(RangePlanCount),0)-1,MATCH(Decimals,Items[#Headers],0)-1,1,1)),""))))</f>
        <v/>
      </c>
      <c r="S29" s="302" t="str">
        <f ca="1">IF(OR($C29=OFFSET($C29,1,0),$A29&gt;End,IFERROR(OFFSET(Items[],MATCH($C29,INDIRECT(RangePlanCount),0)-1,MATCH(S$1,Items[#Headers],0)-1,1,1)=0,TRUE)),"",IF(AND(OFFSET(Items[],MATCH($C29,INDIRECT(RangePlanCount),0)-1,MATCH(S$1,Items[#Headers],0)-1,1,1)&gt;0,$J29="LPSM"),"ALL",TEXT(OFFSET(Items[],MATCH($C29,INDIRECT(RangePlanCount),0)-1,MATCH(S$1,Items[#Headers],0)-1,1,1),"###,###,##0"&amp;IF(OFFSET(Items[],MATCH($C29,INDIRECT(RangePlanCount),0)-1,MATCH(Decimals,Items[#Headers],0)-1,1,1)&gt;0,"."&amp;REPT("0",OFFSET(Items[],MATCH($C29,INDIRECT(RangePlanCount),0)-1,MATCH(Decimals,Items[#Headers],0)-1,1,1)),""))))</f>
        <v/>
      </c>
      <c r="T29" s="302" t="str">
        <f ca="1">IF(OR($C29=OFFSET($C29,1,0),$A29&gt;End,IFERROR(OFFSET(Items[],MATCH($C29,INDIRECT(RangePlanCount),0)-1,MATCH(T$1,Items[#Headers],0)-1,1,1)=0,TRUE)),"",IF(AND(OFFSET(Items[],MATCH($C29,INDIRECT(RangePlanCount),0)-1,MATCH(T$1,Items[#Headers],0)-1,1,1)&gt;0,$J29="LPSM"),"ALL",TEXT(OFFSET(Items[],MATCH($C29,INDIRECT(RangePlanCount),0)-1,MATCH(T$1,Items[#Headers],0)-1,1,1),"###,###,##0"&amp;IF(OFFSET(Items[],MATCH($C29,INDIRECT(RangePlanCount),0)-1,MATCH(Decimals,Items[#Headers],0)-1,1,1)&gt;0,"."&amp;REPT("0",OFFSET(Items[],MATCH($C29,INDIRECT(RangePlanCount),0)-1,MATCH(Decimals,Items[#Headers],0)-1,1,1)),""))))</f>
        <v/>
      </c>
      <c r="U29" s="302" t="str">
        <f ca="1">IF(OR($C29=OFFSET($C29,1,0),$A29&gt;End,IFERROR(OFFSET(Items[],MATCH($C29,INDIRECT(RangePlanCount),0)-1,MATCH(U$1,Items[#Headers],0)-1,1,1)=0,TRUE)),"",IF(AND(OFFSET(Items[],MATCH($C29,INDIRECT(RangePlanCount),0)-1,MATCH(U$1,Items[#Headers],0)-1,1,1)&gt;0,$J29="LPSM"),"ALL",TEXT(OFFSET(Items[],MATCH($C29,INDIRECT(RangePlanCount),0)-1,MATCH(U$1,Items[#Headers],0)-1,1,1),"###,###,##0"&amp;IF(OFFSET(Items[],MATCH($C29,INDIRECT(RangePlanCount),0)-1,MATCH(Decimals,Items[#Headers],0)-1,1,1)&gt;0,"."&amp;REPT("0",OFFSET(Items[],MATCH($C29,INDIRECT(RangePlanCount),0)-1,MATCH(Decimals,Items[#Headers],0)-1,1,1)),""))))</f>
        <v/>
      </c>
      <c r="V29" s="302" t="str">
        <f ca="1">IF(OR($C29=OFFSET($C29,1,0),$A29&gt;End,IFERROR(OFFSET(Items[],MATCH($C29,INDIRECT(RangePlanCount),0)-1,MATCH(V$1,Items[#Headers],0)-1,1,1)=0,TRUE)),"",IF(AND(OFFSET(Items[],MATCH($C29,INDIRECT(RangePlanCount),0)-1,MATCH(V$1,Items[#Headers],0)-1,1,1)&gt;0,$J29="LPSM"),"ALL",TEXT(OFFSET(Items[],MATCH($C29,INDIRECT(RangePlanCount),0)-1,MATCH(V$1,Items[#Headers],0)-1,1,1),"###,###,##0"&amp;IF(OFFSET(Items[],MATCH($C29,INDIRECT(RangePlanCount),0)-1,MATCH(Decimals,Items[#Headers],0)-1,1,1)&gt;0,"."&amp;REPT("0",OFFSET(Items[],MATCH($C29,INDIRECT(RangePlanCount),0)-1,MATCH(Decimals,Items[#Headers],0)-1,1,1)),""))))</f>
        <v/>
      </c>
      <c r="W29" s="304" t="str">
        <f ca="1">IF(OR($C29=OFFSET($C29,1,0),$A29&gt;End,IFERROR(OFFSET(Items[],MATCH($C29,INDIRECT(RangePlanCount),0)-1,MATCH(W$1,Items[#Headers],0)-1,1,1)=0,TRUE)),"",IF(AND(OFFSET(Items[],MATCH($C29,INDIRECT(RangePlanCount),0)-1,MATCH(W$1,Items[#Headers],0)-1,1,1)&gt;0,$J29="LPSM"),"ALL",TEXT(OFFSET(Items[],MATCH($C29,INDIRECT(RangePlanCount),0)-1,MATCH(W$1,Items[#Headers],0)-1,1,1),"###,###,##0"&amp;IF(OFFSET(Items[],MATCH($C29,INDIRECT(RangePlanCount),0)-1,MATCH(Decimals,Items[#Headers],0)-1,1,1)&gt;0,"."&amp;REPT("0",OFFSET(Items[],MATCH($C29,INDIRECT(RangePlanCount),0)-1,MATCH(Decimals,Items[#Headers],0)-1,1,1)),""))))</f>
        <v/>
      </c>
      <c r="X29" s="305" t="str">
        <f ca="1">IF(OR($C29=OFFSET($C29,1,0),$A29&gt;End,IFERROR(OFFSET(Items[],MATCH($C29,INDIRECT(RangePlanCount),0)-1,MATCH(X$1,Items[#Headers],0)-1,1,1)=0,TRUE)),"",IF(AND(OFFSET(Items[],MATCH($C29,INDIRECT(RangePlanCount),0)-1,MATCH(X$1,Items[#Headers],0)-1,1,1)&gt;0,$J29="LPSM"),"ALL",TEXT(OFFSET(Items[],MATCH($C29,INDIRECT(RangePlanCount),0)-1,MATCH(X$1,Items[#Headers],0)-1,1,1),"###,###,##0"&amp;IF(OFFSET(Items[],MATCH($C29,INDIRECT(RangePlanCount),0)-1,MATCH(Decimals,Items[#Headers],0)-1,1,1)&gt;0,"."&amp;REPT("0",OFFSET(Items[],MATCH($C29,INDIRECT(RangePlanCount),0)-1,MATCH(Decimals,Items[#Headers],0)-1,1,1)),""))))</f>
        <v/>
      </c>
      <c r="Y29" s="306" t="str">
        <f ca="1">IF(OR($A29&gt;End,COUNTIF($C$7:$C29,$C29)&gt;lines_R),"",IF(COUNTIF($C$7:$C29,$C29)=1,LEFT(VLOOKUP($C29,Calcs[],col_Remarks,0),VLOOKUP($C29,Calcs[],col_R,0)),MID(VLOOKUP($C29,Calcs[],col_Remarks,0),VLOOKUP($C29,Calcs[],col_R+COUNTIF($C$7:$C29,$C29)-2,0)+1,VLOOKUP($C29,Calcs[],col_R+COUNTIF($C$7:$C29,$C29)-1,0)-VLOOKUP($C29,Calcs[],col_R+COUNTIF($C$7:$C29,$C29)-2,0))))</f>
        <v/>
      </c>
      <c r="Z29" s="300"/>
      <c r="AA29" s="1"/>
    </row>
    <row r="30" spans="1:27" ht="15" customHeight="1" x14ac:dyDescent="0.15">
      <c r="A30" s="58">
        <f t="shared" ca="1" si="1"/>
        <v>23</v>
      </c>
      <c r="C30" s="58">
        <f ca="1">IFERROR(VLOOKUP(A30,Calcs[],1,0),OFFSET(C30,1,0))</f>
        <v>0</v>
      </c>
      <c r="D30" s="342"/>
      <c r="E30" s="59"/>
      <c r="F30" s="301" t="str">
        <f ca="1">IF(OR($C30=OFFSET($C30,-1,0),$A30&gt;End),"",_xlfn.XLOOKUP($C30,Items[PlanCounter],Items[Amend],_xlfn.XLOOKUP($C30,Proposed[PlanCounter],Proposed[Amend])))</f>
        <v/>
      </c>
      <c r="G30" s="302" t="str">
        <f ca="1">IF(OR($C30=OFFSET($C30,-1,0),$A30&gt;End),"",_xlfn.XLOOKUP($C30,Calcs[Counter],Calcs[Line]))</f>
        <v/>
      </c>
      <c r="H30" s="302" t="str" cm="1">
        <f t="array" aca="1" ref="H30" ca="1">IF(OR($C30=OFFSET($C30,-1,0),$A30&gt;End),"",_xlfn.XLOOKUP($C30,INDIRECT(RangePlanCount),INDIRECT(RangeItems)))</f>
        <v/>
      </c>
      <c r="I30" s="294" t="str">
        <f ca="1">IF(OR($A30&gt;End,COUNTIF($C$7:$C30,$C30)&gt;lines_D),"",IF(COUNTIF($C$7:$C30,$C30)=1,LEFT(VLOOKUP($C30,Calcs[],col_Description,0),VLOOKUP($C30,Calcs[],col_D,0)),MID(VLOOKUP($C30,Calcs[],col_Description,0),VLOOKUP($C30,Calcs[],col_D+COUNTIF($C$7:$C30,$C30)-2,0)+1,VLOOKUP($C30,Calcs[],col_D+COUNTIF($C$7:$C30,$C30)-1,0)-VLOOKUP($C30,Calcs[],col_D+COUNTIF($C$7:$C30,$C30)-2,0))))</f>
        <v/>
      </c>
      <c r="J30" s="295" t="str" cm="1">
        <f t="array" aca="1" ref="J30" ca="1">IF(OR($C30=OFFSET($C30,1,0),$A30&gt;End),"",_xlfn.XLOOKUP($C30,INDIRECT(RangePlanCount),INDIRECT(RangeUnit)))</f>
        <v/>
      </c>
      <c r="K30" s="303" t="str">
        <f ca="1">IF(OR($C30=OFFSET($C30,1,0),$A30&gt;End,IFERROR(OFFSET(Items[],MATCH($C30,INDIRECT(RangePlanCount),0)-1,MATCH(K$1,Items[#Headers],0)-1,1,1)=0,TRUE)),"",IF(AND(OFFSET(Items[],MATCH($C30,INDIRECT(RangePlanCount),0)-1,MATCH(K$1,Items[#Headers],0)-1,1,1)&gt;0,$J30="LPSM"),"ALL",TEXT(OFFSET(Items[],MATCH($C30,INDIRECT(RangePlanCount),0)-1,MATCH(K$1,Items[#Headers],0)-1,1,1),"###,###,##0"&amp;IF(OFFSET(Items[],MATCH($C30,INDIRECT(RangePlanCount),0)-1,MATCH(Decimals,Items[#Headers],0)-1,1,1)&gt;0,"."&amp;REPT("0",OFFSET(Items[],MATCH($C30,INDIRECT(RangePlanCount),0)-1,MATCH(Decimals,Items[#Headers],0)-1,1,1)),""))))</f>
        <v/>
      </c>
      <c r="L30" s="302" t="str">
        <f ca="1">IF(OR($C30=OFFSET($C30,1,0),$A30&gt;End,IFERROR(OFFSET(Items[],MATCH($C30,INDIRECT(RangePlanCount),0)-1,MATCH(L$1,Items[#Headers],0)-1,1,1)=0,TRUE)),"",IF(AND(OFFSET(Items[],MATCH($C30,INDIRECT(RangePlanCount),0)-1,MATCH(L$1,Items[#Headers],0)-1,1,1)&gt;0,$J30="LPSM"),"ALL",TEXT(OFFSET(Items[],MATCH($C30,INDIRECT(RangePlanCount),0)-1,MATCH(L$1,Items[#Headers],0)-1,1,1),"###,###,##0"&amp;IF(OFFSET(Items[],MATCH($C30,INDIRECT(RangePlanCount),0)-1,MATCH(Decimals,Items[#Headers],0)-1,1,1)&gt;0,"."&amp;REPT("0",OFFSET(Items[],MATCH($C30,INDIRECT(RangePlanCount),0)-1,MATCH(Decimals,Items[#Headers],0)-1,1,1)),""))))</f>
        <v/>
      </c>
      <c r="M30" s="302" t="str">
        <f ca="1">IF(OR($C30=OFFSET($C30,1,0),$A30&gt;End,IFERROR(OFFSET(Items[],MATCH($C30,INDIRECT(RangePlanCount),0)-1,MATCH(M$1,Items[#Headers],0)-1,1,1)=0,TRUE)),"",IF(AND(OFFSET(Items[],MATCH($C30,INDIRECT(RangePlanCount),0)-1,MATCH(M$1,Items[#Headers],0)-1,1,1)&gt;0,$J30="LPSM"),"ALL",TEXT(OFFSET(Items[],MATCH($C30,INDIRECT(RangePlanCount),0)-1,MATCH(M$1,Items[#Headers],0)-1,1,1),"###,###,##0"&amp;IF(OFFSET(Items[],MATCH($C30,INDIRECT(RangePlanCount),0)-1,MATCH(Decimals,Items[#Headers],0)-1,1,1)&gt;0,"."&amp;REPT("0",OFFSET(Items[],MATCH($C30,INDIRECT(RangePlanCount),0)-1,MATCH(Decimals,Items[#Headers],0)-1,1,1)),""))))</f>
        <v/>
      </c>
      <c r="N30" s="302" t="str">
        <f ca="1">IF(OR($C30=OFFSET($C30,1,0),$A30&gt;End,IFERROR(OFFSET(Items[],MATCH($C30,INDIRECT(RangePlanCount),0)-1,MATCH(N$1,Items[#Headers],0)-1,1,1)=0,TRUE)),"",IF(AND(OFFSET(Items[],MATCH($C30,INDIRECT(RangePlanCount),0)-1,MATCH(N$1,Items[#Headers],0)-1,1,1)&gt;0,$J30="LPSM"),"ALL",TEXT(OFFSET(Items[],MATCH($C30,INDIRECT(RangePlanCount),0)-1,MATCH(N$1,Items[#Headers],0)-1,1,1),"###,###,##0"&amp;IF(OFFSET(Items[],MATCH($C30,INDIRECT(RangePlanCount),0)-1,MATCH(Decimals,Items[#Headers],0)-1,1,1)&gt;0,"."&amp;REPT("0",OFFSET(Items[],MATCH($C30,INDIRECT(RangePlanCount),0)-1,MATCH(Decimals,Items[#Headers],0)-1,1,1)),""))))</f>
        <v/>
      </c>
      <c r="O30" s="302" t="str">
        <f ca="1">IF(OR($C30=OFFSET($C30,1,0),$A30&gt;End,IFERROR(OFFSET(Items[],MATCH($C30,INDIRECT(RangePlanCount),0)-1,MATCH(O$1,Items[#Headers],0)-1,1,1)=0,TRUE)),"",IF(AND(OFFSET(Items[],MATCH($C30,INDIRECT(RangePlanCount),0)-1,MATCH(O$1,Items[#Headers],0)-1,1,1)&gt;0,$J30="LPSM"),"ALL",TEXT(OFFSET(Items[],MATCH($C30,INDIRECT(RangePlanCount),0)-1,MATCH(O$1,Items[#Headers],0)-1,1,1),"###,###,##0"&amp;IF(OFFSET(Items[],MATCH($C30,INDIRECT(RangePlanCount),0)-1,MATCH(Decimals,Items[#Headers],0)-1,1,1)&gt;0,"."&amp;REPT("0",OFFSET(Items[],MATCH($C30,INDIRECT(RangePlanCount),0)-1,MATCH(Decimals,Items[#Headers],0)-1,1,1)),""))))</f>
        <v/>
      </c>
      <c r="P30" s="302" t="str">
        <f ca="1">IF(OR($C30=OFFSET($C30,1,0),$A30&gt;End,IFERROR(OFFSET(Items[],MATCH($C30,INDIRECT(RangePlanCount),0)-1,MATCH(P$1,Items[#Headers],0)-1,1,1)=0,TRUE)),"",IF(AND(OFFSET(Items[],MATCH($C30,INDIRECT(RangePlanCount),0)-1,MATCH(P$1,Items[#Headers],0)-1,1,1)&gt;0,$J30="LPSM"),"ALL",TEXT(OFFSET(Items[],MATCH($C30,INDIRECT(RangePlanCount),0)-1,MATCH(P$1,Items[#Headers],0)-1,1,1),"###,###,##0"&amp;IF(OFFSET(Items[],MATCH($C30,INDIRECT(RangePlanCount),0)-1,MATCH(Decimals,Items[#Headers],0)-1,1,1)&gt;0,"."&amp;REPT("0",OFFSET(Items[],MATCH($C30,INDIRECT(RangePlanCount),0)-1,MATCH(Decimals,Items[#Headers],0)-1,1,1)),""))))</f>
        <v/>
      </c>
      <c r="Q30" s="302" t="str">
        <f ca="1">IF(OR($C30=OFFSET($C30,1,0),$A30&gt;End,IFERROR(OFFSET(Items[],MATCH($C30,INDIRECT(RangePlanCount),0)-1,MATCH(Q$1,Items[#Headers],0)-1,1,1)=0,TRUE)),"",IF(AND(OFFSET(Items[],MATCH($C30,INDIRECT(RangePlanCount),0)-1,MATCH(Q$1,Items[#Headers],0)-1,1,1)&gt;0,$J30="LPSM"),"ALL",TEXT(OFFSET(Items[],MATCH($C30,INDIRECT(RangePlanCount),0)-1,MATCH(Q$1,Items[#Headers],0)-1,1,1),"###,###,##0"&amp;IF(OFFSET(Items[],MATCH($C30,INDIRECT(RangePlanCount),0)-1,MATCH(Decimals,Items[#Headers],0)-1,1,1)&gt;0,"."&amp;REPT("0",OFFSET(Items[],MATCH($C30,INDIRECT(RangePlanCount),0)-1,MATCH(Decimals,Items[#Headers],0)-1,1,1)),""))))</f>
        <v/>
      </c>
      <c r="R30" s="302" t="str">
        <f ca="1">IF(OR($C30=OFFSET($C30,1,0),$A30&gt;End,IFERROR(OFFSET(Items[],MATCH($C30,INDIRECT(RangePlanCount),0)-1,MATCH(R$1,Items[#Headers],0)-1,1,1)=0,TRUE)),"",IF(AND(OFFSET(Items[],MATCH($C30,INDIRECT(RangePlanCount),0)-1,MATCH(R$1,Items[#Headers],0)-1,1,1)&gt;0,$J30="LPSM"),"ALL",TEXT(OFFSET(Items[],MATCH($C30,INDIRECT(RangePlanCount),0)-1,MATCH(R$1,Items[#Headers],0)-1,1,1),"###,###,##0"&amp;IF(OFFSET(Items[],MATCH($C30,INDIRECT(RangePlanCount),0)-1,MATCH(Decimals,Items[#Headers],0)-1,1,1)&gt;0,"."&amp;REPT("0",OFFSET(Items[],MATCH($C30,INDIRECT(RangePlanCount),0)-1,MATCH(Decimals,Items[#Headers],0)-1,1,1)),""))))</f>
        <v/>
      </c>
      <c r="S30" s="302" t="str">
        <f ca="1">IF(OR($C30=OFFSET($C30,1,0),$A30&gt;End,IFERROR(OFFSET(Items[],MATCH($C30,INDIRECT(RangePlanCount),0)-1,MATCH(S$1,Items[#Headers],0)-1,1,1)=0,TRUE)),"",IF(AND(OFFSET(Items[],MATCH($C30,INDIRECT(RangePlanCount),0)-1,MATCH(S$1,Items[#Headers],0)-1,1,1)&gt;0,$J30="LPSM"),"ALL",TEXT(OFFSET(Items[],MATCH($C30,INDIRECT(RangePlanCount),0)-1,MATCH(S$1,Items[#Headers],0)-1,1,1),"###,###,##0"&amp;IF(OFFSET(Items[],MATCH($C30,INDIRECT(RangePlanCount),0)-1,MATCH(Decimals,Items[#Headers],0)-1,1,1)&gt;0,"."&amp;REPT("0",OFFSET(Items[],MATCH($C30,INDIRECT(RangePlanCount),0)-1,MATCH(Decimals,Items[#Headers],0)-1,1,1)),""))))</f>
        <v/>
      </c>
      <c r="T30" s="302" t="str">
        <f ca="1">IF(OR($C30=OFFSET($C30,1,0),$A30&gt;End,IFERROR(OFFSET(Items[],MATCH($C30,INDIRECT(RangePlanCount),0)-1,MATCH(T$1,Items[#Headers],0)-1,1,1)=0,TRUE)),"",IF(AND(OFFSET(Items[],MATCH($C30,INDIRECT(RangePlanCount),0)-1,MATCH(T$1,Items[#Headers],0)-1,1,1)&gt;0,$J30="LPSM"),"ALL",TEXT(OFFSET(Items[],MATCH($C30,INDIRECT(RangePlanCount),0)-1,MATCH(T$1,Items[#Headers],0)-1,1,1),"###,###,##0"&amp;IF(OFFSET(Items[],MATCH($C30,INDIRECT(RangePlanCount),0)-1,MATCH(Decimals,Items[#Headers],0)-1,1,1)&gt;0,"."&amp;REPT("0",OFFSET(Items[],MATCH($C30,INDIRECT(RangePlanCount),0)-1,MATCH(Decimals,Items[#Headers],0)-1,1,1)),""))))</f>
        <v/>
      </c>
      <c r="U30" s="302" t="str">
        <f ca="1">IF(OR($C30=OFFSET($C30,1,0),$A30&gt;End,IFERROR(OFFSET(Items[],MATCH($C30,INDIRECT(RangePlanCount),0)-1,MATCH(U$1,Items[#Headers],0)-1,1,1)=0,TRUE)),"",IF(AND(OFFSET(Items[],MATCH($C30,INDIRECT(RangePlanCount),0)-1,MATCH(U$1,Items[#Headers],0)-1,1,1)&gt;0,$J30="LPSM"),"ALL",TEXT(OFFSET(Items[],MATCH($C30,INDIRECT(RangePlanCount),0)-1,MATCH(U$1,Items[#Headers],0)-1,1,1),"###,###,##0"&amp;IF(OFFSET(Items[],MATCH($C30,INDIRECT(RangePlanCount),0)-1,MATCH(Decimals,Items[#Headers],0)-1,1,1)&gt;0,"."&amp;REPT("0",OFFSET(Items[],MATCH($C30,INDIRECT(RangePlanCount),0)-1,MATCH(Decimals,Items[#Headers],0)-1,1,1)),""))))</f>
        <v/>
      </c>
      <c r="V30" s="302" t="str">
        <f ca="1">IF(OR($C30=OFFSET($C30,1,0),$A30&gt;End,IFERROR(OFFSET(Items[],MATCH($C30,INDIRECT(RangePlanCount),0)-1,MATCH(V$1,Items[#Headers],0)-1,1,1)=0,TRUE)),"",IF(AND(OFFSET(Items[],MATCH($C30,INDIRECT(RangePlanCount),0)-1,MATCH(V$1,Items[#Headers],0)-1,1,1)&gt;0,$J30="LPSM"),"ALL",TEXT(OFFSET(Items[],MATCH($C30,INDIRECT(RangePlanCount),0)-1,MATCH(V$1,Items[#Headers],0)-1,1,1),"###,###,##0"&amp;IF(OFFSET(Items[],MATCH($C30,INDIRECT(RangePlanCount),0)-1,MATCH(Decimals,Items[#Headers],0)-1,1,1)&gt;0,"."&amp;REPT("0",OFFSET(Items[],MATCH($C30,INDIRECT(RangePlanCount),0)-1,MATCH(Decimals,Items[#Headers],0)-1,1,1)),""))))</f>
        <v/>
      </c>
      <c r="W30" s="304" t="str">
        <f ca="1">IF(OR($C30=OFFSET($C30,1,0),$A30&gt;End,IFERROR(OFFSET(Items[],MATCH($C30,INDIRECT(RangePlanCount),0)-1,MATCH(W$1,Items[#Headers],0)-1,1,1)=0,TRUE)),"",IF(AND(OFFSET(Items[],MATCH($C30,INDIRECT(RangePlanCount),0)-1,MATCH(W$1,Items[#Headers],0)-1,1,1)&gt;0,$J30="LPSM"),"ALL",TEXT(OFFSET(Items[],MATCH($C30,INDIRECT(RangePlanCount),0)-1,MATCH(W$1,Items[#Headers],0)-1,1,1),"###,###,##0"&amp;IF(OFFSET(Items[],MATCH($C30,INDIRECT(RangePlanCount),0)-1,MATCH(Decimals,Items[#Headers],0)-1,1,1)&gt;0,"."&amp;REPT("0",OFFSET(Items[],MATCH($C30,INDIRECT(RangePlanCount),0)-1,MATCH(Decimals,Items[#Headers],0)-1,1,1)),""))))</f>
        <v/>
      </c>
      <c r="X30" s="305" t="str">
        <f ca="1">IF(OR($C30=OFFSET($C30,1,0),$A30&gt;End,IFERROR(OFFSET(Items[],MATCH($C30,INDIRECT(RangePlanCount),0)-1,MATCH(X$1,Items[#Headers],0)-1,1,1)=0,TRUE)),"",IF(AND(OFFSET(Items[],MATCH($C30,INDIRECT(RangePlanCount),0)-1,MATCH(X$1,Items[#Headers],0)-1,1,1)&gt;0,$J30="LPSM"),"ALL",TEXT(OFFSET(Items[],MATCH($C30,INDIRECT(RangePlanCount),0)-1,MATCH(X$1,Items[#Headers],0)-1,1,1),"###,###,##0"&amp;IF(OFFSET(Items[],MATCH($C30,INDIRECT(RangePlanCount),0)-1,MATCH(Decimals,Items[#Headers],0)-1,1,1)&gt;0,"."&amp;REPT("0",OFFSET(Items[],MATCH($C30,INDIRECT(RangePlanCount),0)-1,MATCH(Decimals,Items[#Headers],0)-1,1,1)),""))))</f>
        <v/>
      </c>
      <c r="Y30" s="306" t="str">
        <f ca="1">IF(OR($A30&gt;End,COUNTIF($C$7:$C30,$C30)&gt;lines_R),"",IF(COUNTIF($C$7:$C30,$C30)=1,LEFT(VLOOKUP($C30,Calcs[],col_Remarks,0),VLOOKUP($C30,Calcs[],col_R,0)),MID(VLOOKUP($C30,Calcs[],col_Remarks,0),VLOOKUP($C30,Calcs[],col_R+COUNTIF($C$7:$C30,$C30)-2,0)+1,VLOOKUP($C30,Calcs[],col_R+COUNTIF($C$7:$C30,$C30)-1,0)-VLOOKUP($C30,Calcs[],col_R+COUNTIF($C$7:$C30,$C30)-2,0))))</f>
        <v/>
      </c>
      <c r="Z30" s="300"/>
      <c r="AA30" s="1"/>
    </row>
    <row r="31" spans="1:27" ht="15" customHeight="1" x14ac:dyDescent="0.15">
      <c r="A31" s="58">
        <f t="shared" ca="1" si="1"/>
        <v>24</v>
      </c>
      <c r="C31" s="58">
        <f ca="1">IFERROR(VLOOKUP(A31,Calcs[],1,0),OFFSET(C31,1,0))</f>
        <v>0</v>
      </c>
      <c r="D31" s="342"/>
      <c r="E31" s="59"/>
      <c r="F31" s="301" t="str">
        <f ca="1">IF(OR($C31=OFFSET($C31,-1,0),$A31&gt;End),"",_xlfn.XLOOKUP($C31,Items[PlanCounter],Items[Amend],_xlfn.XLOOKUP($C31,Proposed[PlanCounter],Proposed[Amend])))</f>
        <v/>
      </c>
      <c r="G31" s="302" t="str">
        <f ca="1">IF(OR($C31=OFFSET($C31,-1,0),$A31&gt;End),"",_xlfn.XLOOKUP($C31,Calcs[Counter],Calcs[Line]))</f>
        <v/>
      </c>
      <c r="H31" s="302" t="str" cm="1">
        <f t="array" aca="1" ref="H31" ca="1">IF(OR($C31=OFFSET($C31,-1,0),$A31&gt;End),"",_xlfn.XLOOKUP($C31,INDIRECT(RangePlanCount),INDIRECT(RangeItems)))</f>
        <v/>
      </c>
      <c r="I31" s="294" t="str">
        <f ca="1">IF(OR($A31&gt;End,COUNTIF($C$7:$C31,$C31)&gt;lines_D),"",IF(COUNTIF($C$7:$C31,$C31)=1,LEFT(VLOOKUP($C31,Calcs[],col_Description,0),VLOOKUP($C31,Calcs[],col_D,0)),MID(VLOOKUP($C31,Calcs[],col_Description,0),VLOOKUP($C31,Calcs[],col_D+COUNTIF($C$7:$C31,$C31)-2,0)+1,VLOOKUP($C31,Calcs[],col_D+COUNTIF($C$7:$C31,$C31)-1,0)-VLOOKUP($C31,Calcs[],col_D+COUNTIF($C$7:$C31,$C31)-2,0))))</f>
        <v/>
      </c>
      <c r="J31" s="295" t="str" cm="1">
        <f t="array" aca="1" ref="J31" ca="1">IF(OR($C31=OFFSET($C31,1,0),$A31&gt;End),"",_xlfn.XLOOKUP($C31,INDIRECT(RangePlanCount),INDIRECT(RangeUnit)))</f>
        <v/>
      </c>
      <c r="K31" s="303" t="str">
        <f ca="1">IF(OR($C31=OFFSET($C31,1,0),$A31&gt;End,IFERROR(OFFSET(Items[],MATCH($C31,INDIRECT(RangePlanCount),0)-1,MATCH(K$1,Items[#Headers],0)-1,1,1)=0,TRUE)),"",IF(AND(OFFSET(Items[],MATCH($C31,INDIRECT(RangePlanCount),0)-1,MATCH(K$1,Items[#Headers],0)-1,1,1)&gt;0,$J31="LPSM"),"ALL",TEXT(OFFSET(Items[],MATCH($C31,INDIRECT(RangePlanCount),0)-1,MATCH(K$1,Items[#Headers],0)-1,1,1),"###,###,##0"&amp;IF(OFFSET(Items[],MATCH($C31,INDIRECT(RangePlanCount),0)-1,MATCH(Decimals,Items[#Headers],0)-1,1,1)&gt;0,"."&amp;REPT("0",OFFSET(Items[],MATCH($C31,INDIRECT(RangePlanCount),0)-1,MATCH(Decimals,Items[#Headers],0)-1,1,1)),""))))</f>
        <v/>
      </c>
      <c r="L31" s="302" t="str">
        <f ca="1">IF(OR($C31=OFFSET($C31,1,0),$A31&gt;End,IFERROR(OFFSET(Items[],MATCH($C31,INDIRECT(RangePlanCount),0)-1,MATCH(L$1,Items[#Headers],0)-1,1,1)=0,TRUE)),"",IF(AND(OFFSET(Items[],MATCH($C31,INDIRECT(RangePlanCount),0)-1,MATCH(L$1,Items[#Headers],0)-1,1,1)&gt;0,$J31="LPSM"),"ALL",TEXT(OFFSET(Items[],MATCH($C31,INDIRECT(RangePlanCount),0)-1,MATCH(L$1,Items[#Headers],0)-1,1,1),"###,###,##0"&amp;IF(OFFSET(Items[],MATCH($C31,INDIRECT(RangePlanCount),0)-1,MATCH(Decimals,Items[#Headers],0)-1,1,1)&gt;0,"."&amp;REPT("0",OFFSET(Items[],MATCH($C31,INDIRECT(RangePlanCount),0)-1,MATCH(Decimals,Items[#Headers],0)-1,1,1)),""))))</f>
        <v/>
      </c>
      <c r="M31" s="302" t="str">
        <f ca="1">IF(OR($C31=OFFSET($C31,1,0),$A31&gt;End,IFERROR(OFFSET(Items[],MATCH($C31,INDIRECT(RangePlanCount),0)-1,MATCH(M$1,Items[#Headers],0)-1,1,1)=0,TRUE)),"",IF(AND(OFFSET(Items[],MATCH($C31,INDIRECT(RangePlanCount),0)-1,MATCH(M$1,Items[#Headers],0)-1,1,1)&gt;0,$J31="LPSM"),"ALL",TEXT(OFFSET(Items[],MATCH($C31,INDIRECT(RangePlanCount),0)-1,MATCH(M$1,Items[#Headers],0)-1,1,1),"###,###,##0"&amp;IF(OFFSET(Items[],MATCH($C31,INDIRECT(RangePlanCount),0)-1,MATCH(Decimals,Items[#Headers],0)-1,1,1)&gt;0,"."&amp;REPT("0",OFFSET(Items[],MATCH($C31,INDIRECT(RangePlanCount),0)-1,MATCH(Decimals,Items[#Headers],0)-1,1,1)),""))))</f>
        <v/>
      </c>
      <c r="N31" s="302" t="str">
        <f ca="1">IF(OR($C31=OFFSET($C31,1,0),$A31&gt;End,IFERROR(OFFSET(Items[],MATCH($C31,INDIRECT(RangePlanCount),0)-1,MATCH(N$1,Items[#Headers],0)-1,1,1)=0,TRUE)),"",IF(AND(OFFSET(Items[],MATCH($C31,INDIRECT(RangePlanCount),0)-1,MATCH(N$1,Items[#Headers],0)-1,1,1)&gt;0,$J31="LPSM"),"ALL",TEXT(OFFSET(Items[],MATCH($C31,INDIRECT(RangePlanCount),0)-1,MATCH(N$1,Items[#Headers],0)-1,1,1),"###,###,##0"&amp;IF(OFFSET(Items[],MATCH($C31,INDIRECT(RangePlanCount),0)-1,MATCH(Decimals,Items[#Headers],0)-1,1,1)&gt;0,"."&amp;REPT("0",OFFSET(Items[],MATCH($C31,INDIRECT(RangePlanCount),0)-1,MATCH(Decimals,Items[#Headers],0)-1,1,1)),""))))</f>
        <v/>
      </c>
      <c r="O31" s="302" t="str">
        <f ca="1">IF(OR($C31=OFFSET($C31,1,0),$A31&gt;End,IFERROR(OFFSET(Items[],MATCH($C31,INDIRECT(RangePlanCount),0)-1,MATCH(O$1,Items[#Headers],0)-1,1,1)=0,TRUE)),"",IF(AND(OFFSET(Items[],MATCH($C31,INDIRECT(RangePlanCount),0)-1,MATCH(O$1,Items[#Headers],0)-1,1,1)&gt;0,$J31="LPSM"),"ALL",TEXT(OFFSET(Items[],MATCH($C31,INDIRECT(RangePlanCount),0)-1,MATCH(O$1,Items[#Headers],0)-1,1,1),"###,###,##0"&amp;IF(OFFSET(Items[],MATCH($C31,INDIRECT(RangePlanCount),0)-1,MATCH(Decimals,Items[#Headers],0)-1,1,1)&gt;0,"."&amp;REPT("0",OFFSET(Items[],MATCH($C31,INDIRECT(RangePlanCount),0)-1,MATCH(Decimals,Items[#Headers],0)-1,1,1)),""))))</f>
        <v/>
      </c>
      <c r="P31" s="302" t="str">
        <f ca="1">IF(OR($C31=OFFSET($C31,1,0),$A31&gt;End,IFERROR(OFFSET(Items[],MATCH($C31,INDIRECT(RangePlanCount),0)-1,MATCH(P$1,Items[#Headers],0)-1,1,1)=0,TRUE)),"",IF(AND(OFFSET(Items[],MATCH($C31,INDIRECT(RangePlanCount),0)-1,MATCH(P$1,Items[#Headers],0)-1,1,1)&gt;0,$J31="LPSM"),"ALL",TEXT(OFFSET(Items[],MATCH($C31,INDIRECT(RangePlanCount),0)-1,MATCH(P$1,Items[#Headers],0)-1,1,1),"###,###,##0"&amp;IF(OFFSET(Items[],MATCH($C31,INDIRECT(RangePlanCount),0)-1,MATCH(Decimals,Items[#Headers],0)-1,1,1)&gt;0,"."&amp;REPT("0",OFFSET(Items[],MATCH($C31,INDIRECT(RangePlanCount),0)-1,MATCH(Decimals,Items[#Headers],0)-1,1,1)),""))))</f>
        <v/>
      </c>
      <c r="Q31" s="302" t="str">
        <f ca="1">IF(OR($C31=OFFSET($C31,1,0),$A31&gt;End,IFERROR(OFFSET(Items[],MATCH($C31,INDIRECT(RangePlanCount),0)-1,MATCH(Q$1,Items[#Headers],0)-1,1,1)=0,TRUE)),"",IF(AND(OFFSET(Items[],MATCH($C31,INDIRECT(RangePlanCount),0)-1,MATCH(Q$1,Items[#Headers],0)-1,1,1)&gt;0,$J31="LPSM"),"ALL",TEXT(OFFSET(Items[],MATCH($C31,INDIRECT(RangePlanCount),0)-1,MATCH(Q$1,Items[#Headers],0)-1,1,1),"###,###,##0"&amp;IF(OFFSET(Items[],MATCH($C31,INDIRECT(RangePlanCount),0)-1,MATCH(Decimals,Items[#Headers],0)-1,1,1)&gt;0,"."&amp;REPT("0",OFFSET(Items[],MATCH($C31,INDIRECT(RangePlanCount),0)-1,MATCH(Decimals,Items[#Headers],0)-1,1,1)),""))))</f>
        <v/>
      </c>
      <c r="R31" s="302" t="str">
        <f ca="1">IF(OR($C31=OFFSET($C31,1,0),$A31&gt;End,IFERROR(OFFSET(Items[],MATCH($C31,INDIRECT(RangePlanCount),0)-1,MATCH(R$1,Items[#Headers],0)-1,1,1)=0,TRUE)),"",IF(AND(OFFSET(Items[],MATCH($C31,INDIRECT(RangePlanCount),0)-1,MATCH(R$1,Items[#Headers],0)-1,1,1)&gt;0,$J31="LPSM"),"ALL",TEXT(OFFSET(Items[],MATCH($C31,INDIRECT(RangePlanCount),0)-1,MATCH(R$1,Items[#Headers],0)-1,1,1),"###,###,##0"&amp;IF(OFFSET(Items[],MATCH($C31,INDIRECT(RangePlanCount),0)-1,MATCH(Decimals,Items[#Headers],0)-1,1,1)&gt;0,"."&amp;REPT("0",OFFSET(Items[],MATCH($C31,INDIRECT(RangePlanCount),0)-1,MATCH(Decimals,Items[#Headers],0)-1,1,1)),""))))</f>
        <v/>
      </c>
      <c r="S31" s="302" t="str">
        <f ca="1">IF(OR($C31=OFFSET($C31,1,0),$A31&gt;End,IFERROR(OFFSET(Items[],MATCH($C31,INDIRECT(RangePlanCount),0)-1,MATCH(S$1,Items[#Headers],0)-1,1,1)=0,TRUE)),"",IF(AND(OFFSET(Items[],MATCH($C31,INDIRECT(RangePlanCount),0)-1,MATCH(S$1,Items[#Headers],0)-1,1,1)&gt;0,$J31="LPSM"),"ALL",TEXT(OFFSET(Items[],MATCH($C31,INDIRECT(RangePlanCount),0)-1,MATCH(S$1,Items[#Headers],0)-1,1,1),"###,###,##0"&amp;IF(OFFSET(Items[],MATCH($C31,INDIRECT(RangePlanCount),0)-1,MATCH(Decimals,Items[#Headers],0)-1,1,1)&gt;0,"."&amp;REPT("0",OFFSET(Items[],MATCH($C31,INDIRECT(RangePlanCount),0)-1,MATCH(Decimals,Items[#Headers],0)-1,1,1)),""))))</f>
        <v/>
      </c>
      <c r="T31" s="302" t="str">
        <f ca="1">IF(OR($C31=OFFSET($C31,1,0),$A31&gt;End,IFERROR(OFFSET(Items[],MATCH($C31,INDIRECT(RangePlanCount),0)-1,MATCH(T$1,Items[#Headers],0)-1,1,1)=0,TRUE)),"",IF(AND(OFFSET(Items[],MATCH($C31,INDIRECT(RangePlanCount),0)-1,MATCH(T$1,Items[#Headers],0)-1,1,1)&gt;0,$J31="LPSM"),"ALL",TEXT(OFFSET(Items[],MATCH($C31,INDIRECT(RangePlanCount),0)-1,MATCH(T$1,Items[#Headers],0)-1,1,1),"###,###,##0"&amp;IF(OFFSET(Items[],MATCH($C31,INDIRECT(RangePlanCount),0)-1,MATCH(Decimals,Items[#Headers],0)-1,1,1)&gt;0,"."&amp;REPT("0",OFFSET(Items[],MATCH($C31,INDIRECT(RangePlanCount),0)-1,MATCH(Decimals,Items[#Headers],0)-1,1,1)),""))))</f>
        <v/>
      </c>
      <c r="U31" s="302" t="str">
        <f ca="1">IF(OR($C31=OFFSET($C31,1,0),$A31&gt;End,IFERROR(OFFSET(Items[],MATCH($C31,INDIRECT(RangePlanCount),0)-1,MATCH(U$1,Items[#Headers],0)-1,1,1)=0,TRUE)),"",IF(AND(OFFSET(Items[],MATCH($C31,INDIRECT(RangePlanCount),0)-1,MATCH(U$1,Items[#Headers],0)-1,1,1)&gt;0,$J31="LPSM"),"ALL",TEXT(OFFSET(Items[],MATCH($C31,INDIRECT(RangePlanCount),0)-1,MATCH(U$1,Items[#Headers],0)-1,1,1),"###,###,##0"&amp;IF(OFFSET(Items[],MATCH($C31,INDIRECT(RangePlanCount),0)-1,MATCH(Decimals,Items[#Headers],0)-1,1,1)&gt;0,"."&amp;REPT("0",OFFSET(Items[],MATCH($C31,INDIRECT(RangePlanCount),0)-1,MATCH(Decimals,Items[#Headers],0)-1,1,1)),""))))</f>
        <v/>
      </c>
      <c r="V31" s="302" t="str">
        <f ca="1">IF(OR($C31=OFFSET($C31,1,0),$A31&gt;End,IFERROR(OFFSET(Items[],MATCH($C31,INDIRECT(RangePlanCount),0)-1,MATCH(V$1,Items[#Headers],0)-1,1,1)=0,TRUE)),"",IF(AND(OFFSET(Items[],MATCH($C31,INDIRECT(RangePlanCount),0)-1,MATCH(V$1,Items[#Headers],0)-1,1,1)&gt;0,$J31="LPSM"),"ALL",TEXT(OFFSET(Items[],MATCH($C31,INDIRECT(RangePlanCount),0)-1,MATCH(V$1,Items[#Headers],0)-1,1,1),"###,###,##0"&amp;IF(OFFSET(Items[],MATCH($C31,INDIRECT(RangePlanCount),0)-1,MATCH(Decimals,Items[#Headers],0)-1,1,1)&gt;0,"."&amp;REPT("0",OFFSET(Items[],MATCH($C31,INDIRECT(RangePlanCount),0)-1,MATCH(Decimals,Items[#Headers],0)-1,1,1)),""))))</f>
        <v/>
      </c>
      <c r="W31" s="304" t="str">
        <f ca="1">IF(OR($C31=OFFSET($C31,1,0),$A31&gt;End,IFERROR(OFFSET(Items[],MATCH($C31,INDIRECT(RangePlanCount),0)-1,MATCH(W$1,Items[#Headers],0)-1,1,1)=0,TRUE)),"",IF(AND(OFFSET(Items[],MATCH($C31,INDIRECT(RangePlanCount),0)-1,MATCH(W$1,Items[#Headers],0)-1,1,1)&gt;0,$J31="LPSM"),"ALL",TEXT(OFFSET(Items[],MATCH($C31,INDIRECT(RangePlanCount),0)-1,MATCH(W$1,Items[#Headers],0)-1,1,1),"###,###,##0"&amp;IF(OFFSET(Items[],MATCH($C31,INDIRECT(RangePlanCount),0)-1,MATCH(Decimals,Items[#Headers],0)-1,1,1)&gt;0,"."&amp;REPT("0",OFFSET(Items[],MATCH($C31,INDIRECT(RangePlanCount),0)-1,MATCH(Decimals,Items[#Headers],0)-1,1,1)),""))))</f>
        <v/>
      </c>
      <c r="X31" s="305" t="str">
        <f ca="1">IF(OR($C31=OFFSET($C31,1,0),$A31&gt;End,IFERROR(OFFSET(Items[],MATCH($C31,INDIRECT(RangePlanCount),0)-1,MATCH(X$1,Items[#Headers],0)-1,1,1)=0,TRUE)),"",IF(AND(OFFSET(Items[],MATCH($C31,INDIRECT(RangePlanCount),0)-1,MATCH(X$1,Items[#Headers],0)-1,1,1)&gt;0,$J31="LPSM"),"ALL",TEXT(OFFSET(Items[],MATCH($C31,INDIRECT(RangePlanCount),0)-1,MATCH(X$1,Items[#Headers],0)-1,1,1),"###,###,##0"&amp;IF(OFFSET(Items[],MATCH($C31,INDIRECT(RangePlanCount),0)-1,MATCH(Decimals,Items[#Headers],0)-1,1,1)&gt;0,"."&amp;REPT("0",OFFSET(Items[],MATCH($C31,INDIRECT(RangePlanCount),0)-1,MATCH(Decimals,Items[#Headers],0)-1,1,1)),""))))</f>
        <v/>
      </c>
      <c r="Y31" s="306" t="str">
        <f ca="1">IF(OR($A31&gt;End,COUNTIF($C$7:$C31,$C31)&gt;lines_R),"",IF(COUNTIF($C$7:$C31,$C31)=1,LEFT(VLOOKUP($C31,Calcs[],col_Remarks,0),VLOOKUP($C31,Calcs[],col_R,0)),MID(VLOOKUP($C31,Calcs[],col_Remarks,0),VLOOKUP($C31,Calcs[],col_R+COUNTIF($C$7:$C31,$C31)-2,0)+1,VLOOKUP($C31,Calcs[],col_R+COUNTIF($C$7:$C31,$C31)-1,0)-VLOOKUP($C31,Calcs[],col_R+COUNTIF($C$7:$C31,$C31)-2,0))))</f>
        <v/>
      </c>
      <c r="Z31" s="300"/>
      <c r="AA31" s="1"/>
    </row>
    <row r="32" spans="1:27" ht="15" customHeight="1" x14ac:dyDescent="0.15">
      <c r="A32" s="58">
        <f t="shared" ca="1" si="1"/>
        <v>25</v>
      </c>
      <c r="C32" s="58">
        <f ca="1">IFERROR(VLOOKUP(A32,Calcs[],1,0),OFFSET(C32,1,0))</f>
        <v>0</v>
      </c>
      <c r="D32" s="342"/>
      <c r="E32" s="59"/>
      <c r="F32" s="301" t="str">
        <f ca="1">IF(OR($C32=OFFSET($C32,-1,0),$A32&gt;End),"",_xlfn.XLOOKUP($C32,Items[PlanCounter],Items[Amend],_xlfn.XLOOKUP($C32,Proposed[PlanCounter],Proposed[Amend])))</f>
        <v/>
      </c>
      <c r="G32" s="302" t="str">
        <f ca="1">IF(OR($C32=OFFSET($C32,-1,0),$A32&gt;End),"",_xlfn.XLOOKUP($C32,Calcs[Counter],Calcs[Line]))</f>
        <v/>
      </c>
      <c r="H32" s="302" t="str" cm="1">
        <f t="array" aca="1" ref="H32" ca="1">IF(OR($C32=OFFSET($C32,-1,0),$A32&gt;End),"",_xlfn.XLOOKUP($C32,INDIRECT(RangePlanCount),INDIRECT(RangeItems)))</f>
        <v/>
      </c>
      <c r="I32" s="294" t="str">
        <f ca="1">IF(OR($A32&gt;End,COUNTIF($C$7:$C32,$C32)&gt;lines_D),"",IF(COUNTIF($C$7:$C32,$C32)=1,LEFT(VLOOKUP($C32,Calcs[],col_Description,0),VLOOKUP($C32,Calcs[],col_D,0)),MID(VLOOKUP($C32,Calcs[],col_Description,0),VLOOKUP($C32,Calcs[],col_D+COUNTIF($C$7:$C32,$C32)-2,0)+1,VLOOKUP($C32,Calcs[],col_D+COUNTIF($C$7:$C32,$C32)-1,0)-VLOOKUP($C32,Calcs[],col_D+COUNTIF($C$7:$C32,$C32)-2,0))))</f>
        <v/>
      </c>
      <c r="J32" s="295" t="str" cm="1">
        <f t="array" aca="1" ref="J32" ca="1">IF(OR($C32=OFFSET($C32,1,0),$A32&gt;End),"",_xlfn.XLOOKUP($C32,INDIRECT(RangePlanCount),INDIRECT(RangeUnit)))</f>
        <v/>
      </c>
      <c r="K32" s="303" t="str">
        <f ca="1">IF(OR($C32=OFFSET($C32,1,0),$A32&gt;End,IFERROR(OFFSET(Items[],MATCH($C32,INDIRECT(RangePlanCount),0)-1,MATCH(K$1,Items[#Headers],0)-1,1,1)=0,TRUE)),"",IF(AND(OFFSET(Items[],MATCH($C32,INDIRECT(RangePlanCount),0)-1,MATCH(K$1,Items[#Headers],0)-1,1,1)&gt;0,$J32="LPSM"),"ALL",TEXT(OFFSET(Items[],MATCH($C32,INDIRECT(RangePlanCount),0)-1,MATCH(K$1,Items[#Headers],0)-1,1,1),"###,###,##0"&amp;IF(OFFSET(Items[],MATCH($C32,INDIRECT(RangePlanCount),0)-1,MATCH(Decimals,Items[#Headers],0)-1,1,1)&gt;0,"."&amp;REPT("0",OFFSET(Items[],MATCH($C32,INDIRECT(RangePlanCount),0)-1,MATCH(Decimals,Items[#Headers],0)-1,1,1)),""))))</f>
        <v/>
      </c>
      <c r="L32" s="302" t="str">
        <f ca="1">IF(OR($C32=OFFSET($C32,1,0),$A32&gt;End,IFERROR(OFFSET(Items[],MATCH($C32,INDIRECT(RangePlanCount),0)-1,MATCH(L$1,Items[#Headers],0)-1,1,1)=0,TRUE)),"",IF(AND(OFFSET(Items[],MATCH($C32,INDIRECT(RangePlanCount),0)-1,MATCH(L$1,Items[#Headers],0)-1,1,1)&gt;0,$J32="LPSM"),"ALL",TEXT(OFFSET(Items[],MATCH($C32,INDIRECT(RangePlanCount),0)-1,MATCH(L$1,Items[#Headers],0)-1,1,1),"###,###,##0"&amp;IF(OFFSET(Items[],MATCH($C32,INDIRECT(RangePlanCount),0)-1,MATCH(Decimals,Items[#Headers],0)-1,1,1)&gt;0,"."&amp;REPT("0",OFFSET(Items[],MATCH($C32,INDIRECT(RangePlanCount),0)-1,MATCH(Decimals,Items[#Headers],0)-1,1,1)),""))))</f>
        <v/>
      </c>
      <c r="M32" s="302" t="str">
        <f ca="1">IF(OR($C32=OFFSET($C32,1,0),$A32&gt;End,IFERROR(OFFSET(Items[],MATCH($C32,INDIRECT(RangePlanCount),0)-1,MATCH(M$1,Items[#Headers],0)-1,1,1)=0,TRUE)),"",IF(AND(OFFSET(Items[],MATCH($C32,INDIRECT(RangePlanCount),0)-1,MATCH(M$1,Items[#Headers],0)-1,1,1)&gt;0,$J32="LPSM"),"ALL",TEXT(OFFSET(Items[],MATCH($C32,INDIRECT(RangePlanCount),0)-1,MATCH(M$1,Items[#Headers],0)-1,1,1),"###,###,##0"&amp;IF(OFFSET(Items[],MATCH($C32,INDIRECT(RangePlanCount),0)-1,MATCH(Decimals,Items[#Headers],0)-1,1,1)&gt;0,"."&amp;REPT("0",OFFSET(Items[],MATCH($C32,INDIRECT(RangePlanCount),0)-1,MATCH(Decimals,Items[#Headers],0)-1,1,1)),""))))</f>
        <v/>
      </c>
      <c r="N32" s="302" t="str">
        <f ca="1">IF(OR($C32=OFFSET($C32,1,0),$A32&gt;End,IFERROR(OFFSET(Items[],MATCH($C32,INDIRECT(RangePlanCount),0)-1,MATCH(N$1,Items[#Headers],0)-1,1,1)=0,TRUE)),"",IF(AND(OFFSET(Items[],MATCH($C32,INDIRECT(RangePlanCount),0)-1,MATCH(N$1,Items[#Headers],0)-1,1,1)&gt;0,$J32="LPSM"),"ALL",TEXT(OFFSET(Items[],MATCH($C32,INDIRECT(RangePlanCount),0)-1,MATCH(N$1,Items[#Headers],0)-1,1,1),"###,###,##0"&amp;IF(OFFSET(Items[],MATCH($C32,INDIRECT(RangePlanCount),0)-1,MATCH(Decimals,Items[#Headers],0)-1,1,1)&gt;0,"."&amp;REPT("0",OFFSET(Items[],MATCH($C32,INDIRECT(RangePlanCount),0)-1,MATCH(Decimals,Items[#Headers],0)-1,1,1)),""))))</f>
        <v/>
      </c>
      <c r="O32" s="302" t="str">
        <f ca="1">IF(OR($C32=OFFSET($C32,1,0),$A32&gt;End,IFERROR(OFFSET(Items[],MATCH($C32,INDIRECT(RangePlanCount),0)-1,MATCH(O$1,Items[#Headers],0)-1,1,1)=0,TRUE)),"",IF(AND(OFFSET(Items[],MATCH($C32,INDIRECT(RangePlanCount),0)-1,MATCH(O$1,Items[#Headers],0)-1,1,1)&gt;0,$J32="LPSM"),"ALL",TEXT(OFFSET(Items[],MATCH($C32,INDIRECT(RangePlanCount),0)-1,MATCH(O$1,Items[#Headers],0)-1,1,1),"###,###,##0"&amp;IF(OFFSET(Items[],MATCH($C32,INDIRECT(RangePlanCount),0)-1,MATCH(Decimals,Items[#Headers],0)-1,1,1)&gt;0,"."&amp;REPT("0",OFFSET(Items[],MATCH($C32,INDIRECT(RangePlanCount),0)-1,MATCH(Decimals,Items[#Headers],0)-1,1,1)),""))))</f>
        <v/>
      </c>
      <c r="P32" s="302" t="str">
        <f ca="1">IF(OR($C32=OFFSET($C32,1,0),$A32&gt;End,IFERROR(OFFSET(Items[],MATCH($C32,INDIRECT(RangePlanCount),0)-1,MATCH(P$1,Items[#Headers],0)-1,1,1)=0,TRUE)),"",IF(AND(OFFSET(Items[],MATCH($C32,INDIRECT(RangePlanCount),0)-1,MATCH(P$1,Items[#Headers],0)-1,1,1)&gt;0,$J32="LPSM"),"ALL",TEXT(OFFSET(Items[],MATCH($C32,INDIRECT(RangePlanCount),0)-1,MATCH(P$1,Items[#Headers],0)-1,1,1),"###,###,##0"&amp;IF(OFFSET(Items[],MATCH($C32,INDIRECT(RangePlanCount),0)-1,MATCH(Decimals,Items[#Headers],0)-1,1,1)&gt;0,"."&amp;REPT("0",OFFSET(Items[],MATCH($C32,INDIRECT(RangePlanCount),0)-1,MATCH(Decimals,Items[#Headers],0)-1,1,1)),""))))</f>
        <v/>
      </c>
      <c r="Q32" s="302" t="str">
        <f ca="1">IF(OR($C32=OFFSET($C32,1,0),$A32&gt;End,IFERROR(OFFSET(Items[],MATCH($C32,INDIRECT(RangePlanCount),0)-1,MATCH(Q$1,Items[#Headers],0)-1,1,1)=0,TRUE)),"",IF(AND(OFFSET(Items[],MATCH($C32,INDIRECT(RangePlanCount),0)-1,MATCH(Q$1,Items[#Headers],0)-1,1,1)&gt;0,$J32="LPSM"),"ALL",TEXT(OFFSET(Items[],MATCH($C32,INDIRECT(RangePlanCount),0)-1,MATCH(Q$1,Items[#Headers],0)-1,1,1),"###,###,##0"&amp;IF(OFFSET(Items[],MATCH($C32,INDIRECT(RangePlanCount),0)-1,MATCH(Decimals,Items[#Headers],0)-1,1,1)&gt;0,"."&amp;REPT("0",OFFSET(Items[],MATCH($C32,INDIRECT(RangePlanCount),0)-1,MATCH(Decimals,Items[#Headers],0)-1,1,1)),""))))</f>
        <v/>
      </c>
      <c r="R32" s="302" t="str">
        <f ca="1">IF(OR($C32=OFFSET($C32,1,0),$A32&gt;End,IFERROR(OFFSET(Items[],MATCH($C32,INDIRECT(RangePlanCount),0)-1,MATCH(R$1,Items[#Headers],0)-1,1,1)=0,TRUE)),"",IF(AND(OFFSET(Items[],MATCH($C32,INDIRECT(RangePlanCount),0)-1,MATCH(R$1,Items[#Headers],0)-1,1,1)&gt;0,$J32="LPSM"),"ALL",TEXT(OFFSET(Items[],MATCH($C32,INDIRECT(RangePlanCount),0)-1,MATCH(R$1,Items[#Headers],0)-1,1,1),"###,###,##0"&amp;IF(OFFSET(Items[],MATCH($C32,INDIRECT(RangePlanCount),0)-1,MATCH(Decimals,Items[#Headers],0)-1,1,1)&gt;0,"."&amp;REPT("0",OFFSET(Items[],MATCH($C32,INDIRECT(RangePlanCount),0)-1,MATCH(Decimals,Items[#Headers],0)-1,1,1)),""))))</f>
        <v/>
      </c>
      <c r="S32" s="302" t="str">
        <f ca="1">IF(OR($C32=OFFSET($C32,1,0),$A32&gt;End,IFERROR(OFFSET(Items[],MATCH($C32,INDIRECT(RangePlanCount),0)-1,MATCH(S$1,Items[#Headers],0)-1,1,1)=0,TRUE)),"",IF(AND(OFFSET(Items[],MATCH($C32,INDIRECT(RangePlanCount),0)-1,MATCH(S$1,Items[#Headers],0)-1,1,1)&gt;0,$J32="LPSM"),"ALL",TEXT(OFFSET(Items[],MATCH($C32,INDIRECT(RangePlanCount),0)-1,MATCH(S$1,Items[#Headers],0)-1,1,1),"###,###,##0"&amp;IF(OFFSET(Items[],MATCH($C32,INDIRECT(RangePlanCount),0)-1,MATCH(Decimals,Items[#Headers],0)-1,1,1)&gt;0,"."&amp;REPT("0",OFFSET(Items[],MATCH($C32,INDIRECT(RangePlanCount),0)-1,MATCH(Decimals,Items[#Headers],0)-1,1,1)),""))))</f>
        <v/>
      </c>
      <c r="T32" s="302" t="str">
        <f ca="1">IF(OR($C32=OFFSET($C32,1,0),$A32&gt;End,IFERROR(OFFSET(Items[],MATCH($C32,INDIRECT(RangePlanCount),0)-1,MATCH(T$1,Items[#Headers],0)-1,1,1)=0,TRUE)),"",IF(AND(OFFSET(Items[],MATCH($C32,INDIRECT(RangePlanCount),0)-1,MATCH(T$1,Items[#Headers],0)-1,1,1)&gt;0,$J32="LPSM"),"ALL",TEXT(OFFSET(Items[],MATCH($C32,INDIRECT(RangePlanCount),0)-1,MATCH(T$1,Items[#Headers],0)-1,1,1),"###,###,##0"&amp;IF(OFFSET(Items[],MATCH($C32,INDIRECT(RangePlanCount),0)-1,MATCH(Decimals,Items[#Headers],0)-1,1,1)&gt;0,"."&amp;REPT("0",OFFSET(Items[],MATCH($C32,INDIRECT(RangePlanCount),0)-1,MATCH(Decimals,Items[#Headers],0)-1,1,1)),""))))</f>
        <v/>
      </c>
      <c r="U32" s="302" t="str">
        <f ca="1">IF(OR($C32=OFFSET($C32,1,0),$A32&gt;End,IFERROR(OFFSET(Items[],MATCH($C32,INDIRECT(RangePlanCount),0)-1,MATCH(U$1,Items[#Headers],0)-1,1,1)=0,TRUE)),"",IF(AND(OFFSET(Items[],MATCH($C32,INDIRECT(RangePlanCount),0)-1,MATCH(U$1,Items[#Headers],0)-1,1,1)&gt;0,$J32="LPSM"),"ALL",TEXT(OFFSET(Items[],MATCH($C32,INDIRECT(RangePlanCount),0)-1,MATCH(U$1,Items[#Headers],0)-1,1,1),"###,###,##0"&amp;IF(OFFSET(Items[],MATCH($C32,INDIRECT(RangePlanCount),0)-1,MATCH(Decimals,Items[#Headers],0)-1,1,1)&gt;0,"."&amp;REPT("0",OFFSET(Items[],MATCH($C32,INDIRECT(RangePlanCount),0)-1,MATCH(Decimals,Items[#Headers],0)-1,1,1)),""))))</f>
        <v/>
      </c>
      <c r="V32" s="302" t="str">
        <f ca="1">IF(OR($C32=OFFSET($C32,1,0),$A32&gt;End,IFERROR(OFFSET(Items[],MATCH($C32,INDIRECT(RangePlanCount),0)-1,MATCH(V$1,Items[#Headers],0)-1,1,1)=0,TRUE)),"",IF(AND(OFFSET(Items[],MATCH($C32,INDIRECT(RangePlanCount),0)-1,MATCH(V$1,Items[#Headers],0)-1,1,1)&gt;0,$J32="LPSM"),"ALL",TEXT(OFFSET(Items[],MATCH($C32,INDIRECT(RangePlanCount),0)-1,MATCH(V$1,Items[#Headers],0)-1,1,1),"###,###,##0"&amp;IF(OFFSET(Items[],MATCH($C32,INDIRECT(RangePlanCount),0)-1,MATCH(Decimals,Items[#Headers],0)-1,1,1)&gt;0,"."&amp;REPT("0",OFFSET(Items[],MATCH($C32,INDIRECT(RangePlanCount),0)-1,MATCH(Decimals,Items[#Headers],0)-1,1,1)),""))))</f>
        <v/>
      </c>
      <c r="W32" s="304" t="str">
        <f ca="1">IF(OR($C32=OFFSET($C32,1,0),$A32&gt;End,IFERROR(OFFSET(Items[],MATCH($C32,INDIRECT(RangePlanCount),0)-1,MATCH(W$1,Items[#Headers],0)-1,1,1)=0,TRUE)),"",IF(AND(OFFSET(Items[],MATCH($C32,INDIRECT(RangePlanCount),0)-1,MATCH(W$1,Items[#Headers],0)-1,1,1)&gt;0,$J32="LPSM"),"ALL",TEXT(OFFSET(Items[],MATCH($C32,INDIRECT(RangePlanCount),0)-1,MATCH(W$1,Items[#Headers],0)-1,1,1),"###,###,##0"&amp;IF(OFFSET(Items[],MATCH($C32,INDIRECT(RangePlanCount),0)-1,MATCH(Decimals,Items[#Headers],0)-1,1,1)&gt;0,"."&amp;REPT("0",OFFSET(Items[],MATCH($C32,INDIRECT(RangePlanCount),0)-1,MATCH(Decimals,Items[#Headers],0)-1,1,1)),""))))</f>
        <v/>
      </c>
      <c r="X32" s="305" t="str">
        <f ca="1">IF(OR($C32=OFFSET($C32,1,0),$A32&gt;End,IFERROR(OFFSET(Items[],MATCH($C32,INDIRECT(RangePlanCount),0)-1,MATCH(X$1,Items[#Headers],0)-1,1,1)=0,TRUE)),"",IF(AND(OFFSET(Items[],MATCH($C32,INDIRECT(RangePlanCount),0)-1,MATCH(X$1,Items[#Headers],0)-1,1,1)&gt;0,$J32="LPSM"),"ALL",TEXT(OFFSET(Items[],MATCH($C32,INDIRECT(RangePlanCount),0)-1,MATCH(X$1,Items[#Headers],0)-1,1,1),"###,###,##0"&amp;IF(OFFSET(Items[],MATCH($C32,INDIRECT(RangePlanCount),0)-1,MATCH(Decimals,Items[#Headers],0)-1,1,1)&gt;0,"."&amp;REPT("0",OFFSET(Items[],MATCH($C32,INDIRECT(RangePlanCount),0)-1,MATCH(Decimals,Items[#Headers],0)-1,1,1)),""))))</f>
        <v/>
      </c>
      <c r="Y32" s="306" t="str">
        <f ca="1">IF(OR($A32&gt;End,COUNTIF($C$7:$C32,$C32)&gt;lines_R),"",IF(COUNTIF($C$7:$C32,$C32)=1,LEFT(VLOOKUP($C32,Calcs[],col_Remarks,0),VLOOKUP($C32,Calcs[],col_R,0)),MID(VLOOKUP($C32,Calcs[],col_Remarks,0),VLOOKUP($C32,Calcs[],col_R+COUNTIF($C$7:$C32,$C32)-2,0)+1,VLOOKUP($C32,Calcs[],col_R+COUNTIF($C$7:$C32,$C32)-1,0)-VLOOKUP($C32,Calcs[],col_R+COUNTIF($C$7:$C32,$C32)-2,0))))</f>
        <v/>
      </c>
      <c r="Z32" s="300"/>
      <c r="AA32" s="1"/>
    </row>
    <row r="33" spans="1:27" ht="15" customHeight="1" x14ac:dyDescent="0.15">
      <c r="A33" s="58">
        <f t="shared" ca="1" si="1"/>
        <v>26</v>
      </c>
      <c r="C33" s="58">
        <f ca="1">IFERROR(VLOOKUP(A33,Calcs[],1,0),OFFSET(C33,1,0))</f>
        <v>0</v>
      </c>
      <c r="D33" s="342"/>
      <c r="E33" s="59"/>
      <c r="F33" s="301" t="str">
        <f ca="1">IF(OR($C33=OFFSET($C33,-1,0),$A33&gt;End),"",_xlfn.XLOOKUP($C33,Items[PlanCounter],Items[Amend],_xlfn.XLOOKUP($C33,Proposed[PlanCounter],Proposed[Amend])))</f>
        <v/>
      </c>
      <c r="G33" s="302" t="str">
        <f ca="1">IF(OR($C33=OFFSET($C33,-1,0),$A33&gt;End),"",_xlfn.XLOOKUP($C33,Calcs[Counter],Calcs[Line]))</f>
        <v/>
      </c>
      <c r="H33" s="302" t="str" cm="1">
        <f t="array" aca="1" ref="H33" ca="1">IF(OR($C33=OFFSET($C33,-1,0),$A33&gt;End),"",_xlfn.XLOOKUP($C33,INDIRECT(RangePlanCount),INDIRECT(RangeItems)))</f>
        <v/>
      </c>
      <c r="I33" s="294" t="str">
        <f ca="1">IF(OR($A33&gt;End,COUNTIF($C$7:$C33,$C33)&gt;lines_D),"",IF(COUNTIF($C$7:$C33,$C33)=1,LEFT(VLOOKUP($C33,Calcs[],col_Description,0),VLOOKUP($C33,Calcs[],col_D,0)),MID(VLOOKUP($C33,Calcs[],col_Description,0),VLOOKUP($C33,Calcs[],col_D+COUNTIF($C$7:$C33,$C33)-2,0)+1,VLOOKUP($C33,Calcs[],col_D+COUNTIF($C$7:$C33,$C33)-1,0)-VLOOKUP($C33,Calcs[],col_D+COUNTIF($C$7:$C33,$C33)-2,0))))</f>
        <v/>
      </c>
      <c r="J33" s="295" t="str" cm="1">
        <f t="array" aca="1" ref="J33" ca="1">IF(OR($C33=OFFSET($C33,1,0),$A33&gt;End),"",_xlfn.XLOOKUP($C33,INDIRECT(RangePlanCount),INDIRECT(RangeUnit)))</f>
        <v/>
      </c>
      <c r="K33" s="303" t="str">
        <f ca="1">IF(OR($C33=OFFSET($C33,1,0),$A33&gt;End,IFERROR(OFFSET(Items[],MATCH($C33,INDIRECT(RangePlanCount),0)-1,MATCH(K$1,Items[#Headers],0)-1,1,1)=0,TRUE)),"",IF(AND(OFFSET(Items[],MATCH($C33,INDIRECT(RangePlanCount),0)-1,MATCH(K$1,Items[#Headers],0)-1,1,1)&gt;0,$J33="LPSM"),"ALL",TEXT(OFFSET(Items[],MATCH($C33,INDIRECT(RangePlanCount),0)-1,MATCH(K$1,Items[#Headers],0)-1,1,1),"###,###,##0"&amp;IF(OFFSET(Items[],MATCH($C33,INDIRECT(RangePlanCount),0)-1,MATCH(Decimals,Items[#Headers],0)-1,1,1)&gt;0,"."&amp;REPT("0",OFFSET(Items[],MATCH($C33,INDIRECT(RangePlanCount),0)-1,MATCH(Decimals,Items[#Headers],0)-1,1,1)),""))))</f>
        <v/>
      </c>
      <c r="L33" s="302" t="str">
        <f ca="1">IF(OR($C33=OFFSET($C33,1,0),$A33&gt;End,IFERROR(OFFSET(Items[],MATCH($C33,INDIRECT(RangePlanCount),0)-1,MATCH(L$1,Items[#Headers],0)-1,1,1)=0,TRUE)),"",IF(AND(OFFSET(Items[],MATCH($C33,INDIRECT(RangePlanCount),0)-1,MATCH(L$1,Items[#Headers],0)-1,1,1)&gt;0,$J33="LPSM"),"ALL",TEXT(OFFSET(Items[],MATCH($C33,INDIRECT(RangePlanCount),0)-1,MATCH(L$1,Items[#Headers],0)-1,1,1),"###,###,##0"&amp;IF(OFFSET(Items[],MATCH($C33,INDIRECT(RangePlanCount),0)-1,MATCH(Decimals,Items[#Headers],0)-1,1,1)&gt;0,"."&amp;REPT("0",OFFSET(Items[],MATCH($C33,INDIRECT(RangePlanCount),0)-1,MATCH(Decimals,Items[#Headers],0)-1,1,1)),""))))</f>
        <v/>
      </c>
      <c r="M33" s="302" t="str">
        <f ca="1">IF(OR($C33=OFFSET($C33,1,0),$A33&gt;End,IFERROR(OFFSET(Items[],MATCH($C33,INDIRECT(RangePlanCount),0)-1,MATCH(M$1,Items[#Headers],0)-1,1,1)=0,TRUE)),"",IF(AND(OFFSET(Items[],MATCH($C33,INDIRECT(RangePlanCount),0)-1,MATCH(M$1,Items[#Headers],0)-1,1,1)&gt;0,$J33="LPSM"),"ALL",TEXT(OFFSET(Items[],MATCH($C33,INDIRECT(RangePlanCount),0)-1,MATCH(M$1,Items[#Headers],0)-1,1,1),"###,###,##0"&amp;IF(OFFSET(Items[],MATCH($C33,INDIRECT(RangePlanCount),0)-1,MATCH(Decimals,Items[#Headers],0)-1,1,1)&gt;0,"."&amp;REPT("0",OFFSET(Items[],MATCH($C33,INDIRECT(RangePlanCount),0)-1,MATCH(Decimals,Items[#Headers],0)-1,1,1)),""))))</f>
        <v/>
      </c>
      <c r="N33" s="302" t="str">
        <f ca="1">IF(OR($C33=OFFSET($C33,1,0),$A33&gt;End,IFERROR(OFFSET(Items[],MATCH($C33,INDIRECT(RangePlanCount),0)-1,MATCH(N$1,Items[#Headers],0)-1,1,1)=0,TRUE)),"",IF(AND(OFFSET(Items[],MATCH($C33,INDIRECT(RangePlanCount),0)-1,MATCH(N$1,Items[#Headers],0)-1,1,1)&gt;0,$J33="LPSM"),"ALL",TEXT(OFFSET(Items[],MATCH($C33,INDIRECT(RangePlanCount),0)-1,MATCH(N$1,Items[#Headers],0)-1,1,1),"###,###,##0"&amp;IF(OFFSET(Items[],MATCH($C33,INDIRECT(RangePlanCount),0)-1,MATCH(Decimals,Items[#Headers],0)-1,1,1)&gt;0,"."&amp;REPT("0",OFFSET(Items[],MATCH($C33,INDIRECT(RangePlanCount),0)-1,MATCH(Decimals,Items[#Headers],0)-1,1,1)),""))))</f>
        <v/>
      </c>
      <c r="O33" s="302" t="str">
        <f ca="1">IF(OR($C33=OFFSET($C33,1,0),$A33&gt;End,IFERROR(OFFSET(Items[],MATCH($C33,INDIRECT(RangePlanCount),0)-1,MATCH(O$1,Items[#Headers],0)-1,1,1)=0,TRUE)),"",IF(AND(OFFSET(Items[],MATCH($C33,INDIRECT(RangePlanCount),0)-1,MATCH(O$1,Items[#Headers],0)-1,1,1)&gt;0,$J33="LPSM"),"ALL",TEXT(OFFSET(Items[],MATCH($C33,INDIRECT(RangePlanCount),0)-1,MATCH(O$1,Items[#Headers],0)-1,1,1),"###,###,##0"&amp;IF(OFFSET(Items[],MATCH($C33,INDIRECT(RangePlanCount),0)-1,MATCH(Decimals,Items[#Headers],0)-1,1,1)&gt;0,"."&amp;REPT("0",OFFSET(Items[],MATCH($C33,INDIRECT(RangePlanCount),0)-1,MATCH(Decimals,Items[#Headers],0)-1,1,1)),""))))</f>
        <v/>
      </c>
      <c r="P33" s="302" t="str">
        <f ca="1">IF(OR($C33=OFFSET($C33,1,0),$A33&gt;End,IFERROR(OFFSET(Items[],MATCH($C33,INDIRECT(RangePlanCount),0)-1,MATCH(P$1,Items[#Headers],0)-1,1,1)=0,TRUE)),"",IF(AND(OFFSET(Items[],MATCH($C33,INDIRECT(RangePlanCount),0)-1,MATCH(P$1,Items[#Headers],0)-1,1,1)&gt;0,$J33="LPSM"),"ALL",TEXT(OFFSET(Items[],MATCH($C33,INDIRECT(RangePlanCount),0)-1,MATCH(P$1,Items[#Headers],0)-1,1,1),"###,###,##0"&amp;IF(OFFSET(Items[],MATCH($C33,INDIRECT(RangePlanCount),0)-1,MATCH(Decimals,Items[#Headers],0)-1,1,1)&gt;0,"."&amp;REPT("0",OFFSET(Items[],MATCH($C33,INDIRECT(RangePlanCount),0)-1,MATCH(Decimals,Items[#Headers],0)-1,1,1)),""))))</f>
        <v/>
      </c>
      <c r="Q33" s="302" t="str">
        <f ca="1">IF(OR($C33=OFFSET($C33,1,0),$A33&gt;End,IFERROR(OFFSET(Items[],MATCH($C33,INDIRECT(RangePlanCount),0)-1,MATCH(Q$1,Items[#Headers],0)-1,1,1)=0,TRUE)),"",IF(AND(OFFSET(Items[],MATCH($C33,INDIRECT(RangePlanCount),0)-1,MATCH(Q$1,Items[#Headers],0)-1,1,1)&gt;0,$J33="LPSM"),"ALL",TEXT(OFFSET(Items[],MATCH($C33,INDIRECT(RangePlanCount),0)-1,MATCH(Q$1,Items[#Headers],0)-1,1,1),"###,###,##0"&amp;IF(OFFSET(Items[],MATCH($C33,INDIRECT(RangePlanCount),0)-1,MATCH(Decimals,Items[#Headers],0)-1,1,1)&gt;0,"."&amp;REPT("0",OFFSET(Items[],MATCH($C33,INDIRECT(RangePlanCount),0)-1,MATCH(Decimals,Items[#Headers],0)-1,1,1)),""))))</f>
        <v/>
      </c>
      <c r="R33" s="302" t="str">
        <f ca="1">IF(OR($C33=OFFSET($C33,1,0),$A33&gt;End,IFERROR(OFFSET(Items[],MATCH($C33,INDIRECT(RangePlanCount),0)-1,MATCH(R$1,Items[#Headers],0)-1,1,1)=0,TRUE)),"",IF(AND(OFFSET(Items[],MATCH($C33,INDIRECT(RangePlanCount),0)-1,MATCH(R$1,Items[#Headers],0)-1,1,1)&gt;0,$J33="LPSM"),"ALL",TEXT(OFFSET(Items[],MATCH($C33,INDIRECT(RangePlanCount),0)-1,MATCH(R$1,Items[#Headers],0)-1,1,1),"###,###,##0"&amp;IF(OFFSET(Items[],MATCH($C33,INDIRECT(RangePlanCount),0)-1,MATCH(Decimals,Items[#Headers],0)-1,1,1)&gt;0,"."&amp;REPT("0",OFFSET(Items[],MATCH($C33,INDIRECT(RangePlanCount),0)-1,MATCH(Decimals,Items[#Headers],0)-1,1,1)),""))))</f>
        <v/>
      </c>
      <c r="S33" s="302" t="str">
        <f ca="1">IF(OR($C33=OFFSET($C33,1,0),$A33&gt;End,IFERROR(OFFSET(Items[],MATCH($C33,INDIRECT(RangePlanCount),0)-1,MATCH(S$1,Items[#Headers],0)-1,1,1)=0,TRUE)),"",IF(AND(OFFSET(Items[],MATCH($C33,INDIRECT(RangePlanCount),0)-1,MATCH(S$1,Items[#Headers],0)-1,1,1)&gt;0,$J33="LPSM"),"ALL",TEXT(OFFSET(Items[],MATCH($C33,INDIRECT(RangePlanCount),0)-1,MATCH(S$1,Items[#Headers],0)-1,1,1),"###,###,##0"&amp;IF(OFFSET(Items[],MATCH($C33,INDIRECT(RangePlanCount),0)-1,MATCH(Decimals,Items[#Headers],0)-1,1,1)&gt;0,"."&amp;REPT("0",OFFSET(Items[],MATCH($C33,INDIRECT(RangePlanCount),0)-1,MATCH(Decimals,Items[#Headers],0)-1,1,1)),""))))</f>
        <v/>
      </c>
      <c r="T33" s="302" t="str">
        <f ca="1">IF(OR($C33=OFFSET($C33,1,0),$A33&gt;End,IFERROR(OFFSET(Items[],MATCH($C33,INDIRECT(RangePlanCount),0)-1,MATCH(T$1,Items[#Headers],0)-1,1,1)=0,TRUE)),"",IF(AND(OFFSET(Items[],MATCH($C33,INDIRECT(RangePlanCount),0)-1,MATCH(T$1,Items[#Headers],0)-1,1,1)&gt;0,$J33="LPSM"),"ALL",TEXT(OFFSET(Items[],MATCH($C33,INDIRECT(RangePlanCount),0)-1,MATCH(T$1,Items[#Headers],0)-1,1,1),"###,###,##0"&amp;IF(OFFSET(Items[],MATCH($C33,INDIRECT(RangePlanCount),0)-1,MATCH(Decimals,Items[#Headers],0)-1,1,1)&gt;0,"."&amp;REPT("0",OFFSET(Items[],MATCH($C33,INDIRECT(RangePlanCount),0)-1,MATCH(Decimals,Items[#Headers],0)-1,1,1)),""))))</f>
        <v/>
      </c>
      <c r="U33" s="302" t="str">
        <f ca="1">IF(OR($C33=OFFSET($C33,1,0),$A33&gt;End,IFERROR(OFFSET(Items[],MATCH($C33,INDIRECT(RangePlanCount),0)-1,MATCH(U$1,Items[#Headers],0)-1,1,1)=0,TRUE)),"",IF(AND(OFFSET(Items[],MATCH($C33,INDIRECT(RangePlanCount),0)-1,MATCH(U$1,Items[#Headers],0)-1,1,1)&gt;0,$J33="LPSM"),"ALL",TEXT(OFFSET(Items[],MATCH($C33,INDIRECT(RangePlanCount),0)-1,MATCH(U$1,Items[#Headers],0)-1,1,1),"###,###,##0"&amp;IF(OFFSET(Items[],MATCH($C33,INDIRECT(RangePlanCount),0)-1,MATCH(Decimals,Items[#Headers],0)-1,1,1)&gt;0,"."&amp;REPT("0",OFFSET(Items[],MATCH($C33,INDIRECT(RangePlanCount),0)-1,MATCH(Decimals,Items[#Headers],0)-1,1,1)),""))))</f>
        <v/>
      </c>
      <c r="V33" s="302" t="str">
        <f ca="1">IF(OR($C33=OFFSET($C33,1,0),$A33&gt;End,IFERROR(OFFSET(Items[],MATCH($C33,INDIRECT(RangePlanCount),0)-1,MATCH(V$1,Items[#Headers],0)-1,1,1)=0,TRUE)),"",IF(AND(OFFSET(Items[],MATCH($C33,INDIRECT(RangePlanCount),0)-1,MATCH(V$1,Items[#Headers],0)-1,1,1)&gt;0,$J33="LPSM"),"ALL",TEXT(OFFSET(Items[],MATCH($C33,INDIRECT(RangePlanCount),0)-1,MATCH(V$1,Items[#Headers],0)-1,1,1),"###,###,##0"&amp;IF(OFFSET(Items[],MATCH($C33,INDIRECT(RangePlanCount),0)-1,MATCH(Decimals,Items[#Headers],0)-1,1,1)&gt;0,"."&amp;REPT("0",OFFSET(Items[],MATCH($C33,INDIRECT(RangePlanCount),0)-1,MATCH(Decimals,Items[#Headers],0)-1,1,1)),""))))</f>
        <v/>
      </c>
      <c r="W33" s="304" t="str">
        <f ca="1">IF(OR($C33=OFFSET($C33,1,0),$A33&gt;End,IFERROR(OFFSET(Items[],MATCH($C33,INDIRECT(RangePlanCount),0)-1,MATCH(W$1,Items[#Headers],0)-1,1,1)=0,TRUE)),"",IF(AND(OFFSET(Items[],MATCH($C33,INDIRECT(RangePlanCount),0)-1,MATCH(W$1,Items[#Headers],0)-1,1,1)&gt;0,$J33="LPSM"),"ALL",TEXT(OFFSET(Items[],MATCH($C33,INDIRECT(RangePlanCount),0)-1,MATCH(W$1,Items[#Headers],0)-1,1,1),"###,###,##0"&amp;IF(OFFSET(Items[],MATCH($C33,INDIRECT(RangePlanCount),0)-1,MATCH(Decimals,Items[#Headers],0)-1,1,1)&gt;0,"."&amp;REPT("0",OFFSET(Items[],MATCH($C33,INDIRECT(RangePlanCount),0)-1,MATCH(Decimals,Items[#Headers],0)-1,1,1)),""))))</f>
        <v/>
      </c>
      <c r="X33" s="305" t="str">
        <f ca="1">IF(OR($C33=OFFSET($C33,1,0),$A33&gt;End,IFERROR(OFFSET(Items[],MATCH($C33,INDIRECT(RangePlanCount),0)-1,MATCH(X$1,Items[#Headers],0)-1,1,1)=0,TRUE)),"",IF(AND(OFFSET(Items[],MATCH($C33,INDIRECT(RangePlanCount),0)-1,MATCH(X$1,Items[#Headers],0)-1,1,1)&gt;0,$J33="LPSM"),"ALL",TEXT(OFFSET(Items[],MATCH($C33,INDIRECT(RangePlanCount),0)-1,MATCH(X$1,Items[#Headers],0)-1,1,1),"###,###,##0"&amp;IF(OFFSET(Items[],MATCH($C33,INDIRECT(RangePlanCount),0)-1,MATCH(Decimals,Items[#Headers],0)-1,1,1)&gt;0,"."&amp;REPT("0",OFFSET(Items[],MATCH($C33,INDIRECT(RangePlanCount),0)-1,MATCH(Decimals,Items[#Headers],0)-1,1,1)),""))))</f>
        <v/>
      </c>
      <c r="Y33" s="306" t="str">
        <f ca="1">IF(OR($A33&gt;End,COUNTIF($C$7:$C33,$C33)&gt;lines_R),"",IF(COUNTIF($C$7:$C33,$C33)=1,LEFT(VLOOKUP($C33,Calcs[],col_Remarks,0),VLOOKUP($C33,Calcs[],col_R,0)),MID(VLOOKUP($C33,Calcs[],col_Remarks,0),VLOOKUP($C33,Calcs[],col_R+COUNTIF($C$7:$C33,$C33)-2,0)+1,VLOOKUP($C33,Calcs[],col_R+COUNTIF($C$7:$C33,$C33)-1,0)-VLOOKUP($C33,Calcs[],col_R+COUNTIF($C$7:$C33,$C33)-2,0))))</f>
        <v/>
      </c>
      <c r="Z33" s="300"/>
      <c r="AA33" s="1"/>
    </row>
    <row r="34" spans="1:27" ht="15" customHeight="1" x14ac:dyDescent="0.15">
      <c r="A34" s="58">
        <f t="shared" ca="1" si="1"/>
        <v>27</v>
      </c>
      <c r="C34" s="58">
        <f ca="1">IFERROR(VLOOKUP(A34,Calcs[],1,0),OFFSET(C34,1,0))</f>
        <v>0</v>
      </c>
      <c r="D34" s="342"/>
      <c r="E34" s="59"/>
      <c r="F34" s="301" t="str">
        <f ca="1">IF(OR($C34=OFFSET($C34,-1,0),$A34&gt;End),"",_xlfn.XLOOKUP($C34,Items[PlanCounter],Items[Amend],_xlfn.XLOOKUP($C34,Proposed[PlanCounter],Proposed[Amend])))</f>
        <v/>
      </c>
      <c r="G34" s="302" t="str">
        <f ca="1">IF(OR($C34=OFFSET($C34,-1,0),$A34&gt;End),"",_xlfn.XLOOKUP($C34,Calcs[Counter],Calcs[Line]))</f>
        <v/>
      </c>
      <c r="H34" s="302" t="str" cm="1">
        <f t="array" aca="1" ref="H34" ca="1">IF(OR($C34=OFFSET($C34,-1,0),$A34&gt;End),"",_xlfn.XLOOKUP($C34,INDIRECT(RangePlanCount),INDIRECT(RangeItems)))</f>
        <v/>
      </c>
      <c r="I34" s="294" t="str">
        <f ca="1">IF(OR($A34&gt;End,COUNTIF($C$7:$C34,$C34)&gt;lines_D),"",IF(COUNTIF($C$7:$C34,$C34)=1,LEFT(VLOOKUP($C34,Calcs[],col_Description,0),VLOOKUP($C34,Calcs[],col_D,0)),MID(VLOOKUP($C34,Calcs[],col_Description,0),VLOOKUP($C34,Calcs[],col_D+COUNTIF($C$7:$C34,$C34)-2,0)+1,VLOOKUP($C34,Calcs[],col_D+COUNTIF($C$7:$C34,$C34)-1,0)-VLOOKUP($C34,Calcs[],col_D+COUNTIF($C$7:$C34,$C34)-2,0))))</f>
        <v/>
      </c>
      <c r="J34" s="295" t="str" cm="1">
        <f t="array" aca="1" ref="J34" ca="1">IF(OR($C34=OFFSET($C34,1,0),$A34&gt;End),"",_xlfn.XLOOKUP($C34,INDIRECT(RangePlanCount),INDIRECT(RangeUnit)))</f>
        <v/>
      </c>
      <c r="K34" s="303" t="str">
        <f ca="1">IF(OR($C34=OFFSET($C34,1,0),$A34&gt;End,IFERROR(OFFSET(Items[],MATCH($C34,INDIRECT(RangePlanCount),0)-1,MATCH(K$1,Items[#Headers],0)-1,1,1)=0,TRUE)),"",IF(AND(OFFSET(Items[],MATCH($C34,INDIRECT(RangePlanCount),0)-1,MATCH(K$1,Items[#Headers],0)-1,1,1)&gt;0,$J34="LPSM"),"ALL",TEXT(OFFSET(Items[],MATCH($C34,INDIRECT(RangePlanCount),0)-1,MATCH(K$1,Items[#Headers],0)-1,1,1),"###,###,##0"&amp;IF(OFFSET(Items[],MATCH($C34,INDIRECT(RangePlanCount),0)-1,MATCH(Decimals,Items[#Headers],0)-1,1,1)&gt;0,"."&amp;REPT("0",OFFSET(Items[],MATCH($C34,INDIRECT(RangePlanCount),0)-1,MATCH(Decimals,Items[#Headers],0)-1,1,1)),""))))</f>
        <v/>
      </c>
      <c r="L34" s="302" t="str">
        <f ca="1">IF(OR($C34=OFFSET($C34,1,0),$A34&gt;End,IFERROR(OFFSET(Items[],MATCH($C34,INDIRECT(RangePlanCount),0)-1,MATCH(L$1,Items[#Headers],0)-1,1,1)=0,TRUE)),"",IF(AND(OFFSET(Items[],MATCH($C34,INDIRECT(RangePlanCount),0)-1,MATCH(L$1,Items[#Headers],0)-1,1,1)&gt;0,$J34="LPSM"),"ALL",TEXT(OFFSET(Items[],MATCH($C34,INDIRECT(RangePlanCount),0)-1,MATCH(L$1,Items[#Headers],0)-1,1,1),"###,###,##0"&amp;IF(OFFSET(Items[],MATCH($C34,INDIRECT(RangePlanCount),0)-1,MATCH(Decimals,Items[#Headers],0)-1,1,1)&gt;0,"."&amp;REPT("0",OFFSET(Items[],MATCH($C34,INDIRECT(RangePlanCount),0)-1,MATCH(Decimals,Items[#Headers],0)-1,1,1)),""))))</f>
        <v/>
      </c>
      <c r="M34" s="302" t="str">
        <f ca="1">IF(OR($C34=OFFSET($C34,1,0),$A34&gt;End,IFERROR(OFFSET(Items[],MATCH($C34,INDIRECT(RangePlanCount),0)-1,MATCH(M$1,Items[#Headers],0)-1,1,1)=0,TRUE)),"",IF(AND(OFFSET(Items[],MATCH($C34,INDIRECT(RangePlanCount),0)-1,MATCH(M$1,Items[#Headers],0)-1,1,1)&gt;0,$J34="LPSM"),"ALL",TEXT(OFFSET(Items[],MATCH($C34,INDIRECT(RangePlanCount),0)-1,MATCH(M$1,Items[#Headers],0)-1,1,1),"###,###,##0"&amp;IF(OFFSET(Items[],MATCH($C34,INDIRECT(RangePlanCount),0)-1,MATCH(Decimals,Items[#Headers],0)-1,1,1)&gt;0,"."&amp;REPT("0",OFFSET(Items[],MATCH($C34,INDIRECT(RangePlanCount),0)-1,MATCH(Decimals,Items[#Headers],0)-1,1,1)),""))))</f>
        <v/>
      </c>
      <c r="N34" s="302" t="str">
        <f ca="1">IF(OR($C34=OFFSET($C34,1,0),$A34&gt;End,IFERROR(OFFSET(Items[],MATCH($C34,INDIRECT(RangePlanCount),0)-1,MATCH(N$1,Items[#Headers],0)-1,1,1)=0,TRUE)),"",IF(AND(OFFSET(Items[],MATCH($C34,INDIRECT(RangePlanCount),0)-1,MATCH(N$1,Items[#Headers],0)-1,1,1)&gt;0,$J34="LPSM"),"ALL",TEXT(OFFSET(Items[],MATCH($C34,INDIRECT(RangePlanCount),0)-1,MATCH(N$1,Items[#Headers],0)-1,1,1),"###,###,##0"&amp;IF(OFFSET(Items[],MATCH($C34,INDIRECT(RangePlanCount),0)-1,MATCH(Decimals,Items[#Headers],0)-1,1,1)&gt;0,"."&amp;REPT("0",OFFSET(Items[],MATCH($C34,INDIRECT(RangePlanCount),0)-1,MATCH(Decimals,Items[#Headers],0)-1,1,1)),""))))</f>
        <v/>
      </c>
      <c r="O34" s="302" t="str">
        <f ca="1">IF(OR($C34=OFFSET($C34,1,0),$A34&gt;End,IFERROR(OFFSET(Items[],MATCH($C34,INDIRECT(RangePlanCount),0)-1,MATCH(O$1,Items[#Headers],0)-1,1,1)=0,TRUE)),"",IF(AND(OFFSET(Items[],MATCH($C34,INDIRECT(RangePlanCount),0)-1,MATCH(O$1,Items[#Headers],0)-1,1,1)&gt;0,$J34="LPSM"),"ALL",TEXT(OFFSET(Items[],MATCH($C34,INDIRECT(RangePlanCount),0)-1,MATCH(O$1,Items[#Headers],0)-1,1,1),"###,###,##0"&amp;IF(OFFSET(Items[],MATCH($C34,INDIRECT(RangePlanCount),0)-1,MATCH(Decimals,Items[#Headers],0)-1,1,1)&gt;0,"."&amp;REPT("0",OFFSET(Items[],MATCH($C34,INDIRECT(RangePlanCount),0)-1,MATCH(Decimals,Items[#Headers],0)-1,1,1)),""))))</f>
        <v/>
      </c>
      <c r="P34" s="302" t="str">
        <f ca="1">IF(OR($C34=OFFSET($C34,1,0),$A34&gt;End,IFERROR(OFFSET(Items[],MATCH($C34,INDIRECT(RangePlanCount),0)-1,MATCH(P$1,Items[#Headers],0)-1,1,1)=0,TRUE)),"",IF(AND(OFFSET(Items[],MATCH($C34,INDIRECT(RangePlanCount),0)-1,MATCH(P$1,Items[#Headers],0)-1,1,1)&gt;0,$J34="LPSM"),"ALL",TEXT(OFFSET(Items[],MATCH($C34,INDIRECT(RangePlanCount),0)-1,MATCH(P$1,Items[#Headers],0)-1,1,1),"###,###,##0"&amp;IF(OFFSET(Items[],MATCH($C34,INDIRECT(RangePlanCount),0)-1,MATCH(Decimals,Items[#Headers],0)-1,1,1)&gt;0,"."&amp;REPT("0",OFFSET(Items[],MATCH($C34,INDIRECT(RangePlanCount),0)-1,MATCH(Decimals,Items[#Headers],0)-1,1,1)),""))))</f>
        <v/>
      </c>
      <c r="Q34" s="302" t="str">
        <f ca="1">IF(OR($C34=OFFSET($C34,1,0),$A34&gt;End,IFERROR(OFFSET(Items[],MATCH($C34,INDIRECT(RangePlanCount),0)-1,MATCH(Q$1,Items[#Headers],0)-1,1,1)=0,TRUE)),"",IF(AND(OFFSET(Items[],MATCH($C34,INDIRECT(RangePlanCount),0)-1,MATCH(Q$1,Items[#Headers],0)-1,1,1)&gt;0,$J34="LPSM"),"ALL",TEXT(OFFSET(Items[],MATCH($C34,INDIRECT(RangePlanCount),0)-1,MATCH(Q$1,Items[#Headers],0)-1,1,1),"###,###,##0"&amp;IF(OFFSET(Items[],MATCH($C34,INDIRECT(RangePlanCount),0)-1,MATCH(Decimals,Items[#Headers],0)-1,1,1)&gt;0,"."&amp;REPT("0",OFFSET(Items[],MATCH($C34,INDIRECT(RangePlanCount),0)-1,MATCH(Decimals,Items[#Headers],0)-1,1,1)),""))))</f>
        <v/>
      </c>
      <c r="R34" s="302" t="str">
        <f ca="1">IF(OR($C34=OFFSET($C34,1,0),$A34&gt;End,IFERROR(OFFSET(Items[],MATCH($C34,INDIRECT(RangePlanCount),0)-1,MATCH(R$1,Items[#Headers],0)-1,1,1)=0,TRUE)),"",IF(AND(OFFSET(Items[],MATCH($C34,INDIRECT(RangePlanCount),0)-1,MATCH(R$1,Items[#Headers],0)-1,1,1)&gt;0,$J34="LPSM"),"ALL",TEXT(OFFSET(Items[],MATCH($C34,INDIRECT(RangePlanCount),0)-1,MATCH(R$1,Items[#Headers],0)-1,1,1),"###,###,##0"&amp;IF(OFFSET(Items[],MATCH($C34,INDIRECT(RangePlanCount),0)-1,MATCH(Decimals,Items[#Headers],0)-1,1,1)&gt;0,"."&amp;REPT("0",OFFSET(Items[],MATCH($C34,INDIRECT(RangePlanCount),0)-1,MATCH(Decimals,Items[#Headers],0)-1,1,1)),""))))</f>
        <v/>
      </c>
      <c r="S34" s="302" t="str">
        <f ca="1">IF(OR($C34=OFFSET($C34,1,0),$A34&gt;End,IFERROR(OFFSET(Items[],MATCH($C34,INDIRECT(RangePlanCount),0)-1,MATCH(S$1,Items[#Headers],0)-1,1,1)=0,TRUE)),"",IF(AND(OFFSET(Items[],MATCH($C34,INDIRECT(RangePlanCount),0)-1,MATCH(S$1,Items[#Headers],0)-1,1,1)&gt;0,$J34="LPSM"),"ALL",TEXT(OFFSET(Items[],MATCH($C34,INDIRECT(RangePlanCount),0)-1,MATCH(S$1,Items[#Headers],0)-1,1,1),"###,###,##0"&amp;IF(OFFSET(Items[],MATCH($C34,INDIRECT(RangePlanCount),0)-1,MATCH(Decimals,Items[#Headers],0)-1,1,1)&gt;0,"."&amp;REPT("0",OFFSET(Items[],MATCH($C34,INDIRECT(RangePlanCount),0)-1,MATCH(Decimals,Items[#Headers],0)-1,1,1)),""))))</f>
        <v/>
      </c>
      <c r="T34" s="302" t="str">
        <f ca="1">IF(OR($C34=OFFSET($C34,1,0),$A34&gt;End,IFERROR(OFFSET(Items[],MATCH($C34,INDIRECT(RangePlanCount),0)-1,MATCH(T$1,Items[#Headers],0)-1,1,1)=0,TRUE)),"",IF(AND(OFFSET(Items[],MATCH($C34,INDIRECT(RangePlanCount),0)-1,MATCH(T$1,Items[#Headers],0)-1,1,1)&gt;0,$J34="LPSM"),"ALL",TEXT(OFFSET(Items[],MATCH($C34,INDIRECT(RangePlanCount),0)-1,MATCH(T$1,Items[#Headers],0)-1,1,1),"###,###,##0"&amp;IF(OFFSET(Items[],MATCH($C34,INDIRECT(RangePlanCount),0)-1,MATCH(Decimals,Items[#Headers],0)-1,1,1)&gt;0,"."&amp;REPT("0",OFFSET(Items[],MATCH($C34,INDIRECT(RangePlanCount),0)-1,MATCH(Decimals,Items[#Headers],0)-1,1,1)),""))))</f>
        <v/>
      </c>
      <c r="U34" s="302" t="str">
        <f ca="1">IF(OR($C34=OFFSET($C34,1,0),$A34&gt;End,IFERROR(OFFSET(Items[],MATCH($C34,INDIRECT(RangePlanCount),0)-1,MATCH(U$1,Items[#Headers],0)-1,1,1)=0,TRUE)),"",IF(AND(OFFSET(Items[],MATCH($C34,INDIRECT(RangePlanCount),0)-1,MATCH(U$1,Items[#Headers],0)-1,1,1)&gt;0,$J34="LPSM"),"ALL",TEXT(OFFSET(Items[],MATCH($C34,INDIRECT(RangePlanCount),0)-1,MATCH(U$1,Items[#Headers],0)-1,1,1),"###,###,##0"&amp;IF(OFFSET(Items[],MATCH($C34,INDIRECT(RangePlanCount),0)-1,MATCH(Decimals,Items[#Headers],0)-1,1,1)&gt;0,"."&amp;REPT("0",OFFSET(Items[],MATCH($C34,INDIRECT(RangePlanCount),0)-1,MATCH(Decimals,Items[#Headers],0)-1,1,1)),""))))</f>
        <v/>
      </c>
      <c r="V34" s="302" t="str">
        <f ca="1">IF(OR($C34=OFFSET($C34,1,0),$A34&gt;End,IFERROR(OFFSET(Items[],MATCH($C34,INDIRECT(RangePlanCount),0)-1,MATCH(V$1,Items[#Headers],0)-1,1,1)=0,TRUE)),"",IF(AND(OFFSET(Items[],MATCH($C34,INDIRECT(RangePlanCount),0)-1,MATCH(V$1,Items[#Headers],0)-1,1,1)&gt;0,$J34="LPSM"),"ALL",TEXT(OFFSET(Items[],MATCH($C34,INDIRECT(RangePlanCount),0)-1,MATCH(V$1,Items[#Headers],0)-1,1,1),"###,###,##0"&amp;IF(OFFSET(Items[],MATCH($C34,INDIRECT(RangePlanCount),0)-1,MATCH(Decimals,Items[#Headers],0)-1,1,1)&gt;0,"."&amp;REPT("0",OFFSET(Items[],MATCH($C34,INDIRECT(RangePlanCount),0)-1,MATCH(Decimals,Items[#Headers],0)-1,1,1)),""))))</f>
        <v/>
      </c>
      <c r="W34" s="304" t="str">
        <f ca="1">IF(OR($C34=OFFSET($C34,1,0),$A34&gt;End,IFERROR(OFFSET(Items[],MATCH($C34,INDIRECT(RangePlanCount),0)-1,MATCH(W$1,Items[#Headers],0)-1,1,1)=0,TRUE)),"",IF(AND(OFFSET(Items[],MATCH($C34,INDIRECT(RangePlanCount),0)-1,MATCH(W$1,Items[#Headers],0)-1,1,1)&gt;0,$J34="LPSM"),"ALL",TEXT(OFFSET(Items[],MATCH($C34,INDIRECT(RangePlanCount),0)-1,MATCH(W$1,Items[#Headers],0)-1,1,1),"###,###,##0"&amp;IF(OFFSET(Items[],MATCH($C34,INDIRECT(RangePlanCount),0)-1,MATCH(Decimals,Items[#Headers],0)-1,1,1)&gt;0,"."&amp;REPT("0",OFFSET(Items[],MATCH($C34,INDIRECT(RangePlanCount),0)-1,MATCH(Decimals,Items[#Headers],0)-1,1,1)),""))))</f>
        <v/>
      </c>
      <c r="X34" s="305" t="str">
        <f ca="1">IF(OR($C34=OFFSET($C34,1,0),$A34&gt;End,IFERROR(OFFSET(Items[],MATCH($C34,INDIRECT(RangePlanCount),0)-1,MATCH(X$1,Items[#Headers],0)-1,1,1)=0,TRUE)),"",IF(AND(OFFSET(Items[],MATCH($C34,INDIRECT(RangePlanCount),0)-1,MATCH(X$1,Items[#Headers],0)-1,1,1)&gt;0,$J34="LPSM"),"ALL",TEXT(OFFSET(Items[],MATCH($C34,INDIRECT(RangePlanCount),0)-1,MATCH(X$1,Items[#Headers],0)-1,1,1),"###,###,##0"&amp;IF(OFFSET(Items[],MATCH($C34,INDIRECT(RangePlanCount),0)-1,MATCH(Decimals,Items[#Headers],0)-1,1,1)&gt;0,"."&amp;REPT("0",OFFSET(Items[],MATCH($C34,INDIRECT(RangePlanCount),0)-1,MATCH(Decimals,Items[#Headers],0)-1,1,1)),""))))</f>
        <v/>
      </c>
      <c r="Y34" s="306" t="str">
        <f ca="1">IF(OR($A34&gt;End,COUNTIF($C$7:$C34,$C34)&gt;lines_R),"",IF(COUNTIF($C$7:$C34,$C34)=1,LEFT(VLOOKUP($C34,Calcs[],col_Remarks,0),VLOOKUP($C34,Calcs[],col_R,0)),MID(VLOOKUP($C34,Calcs[],col_Remarks,0),VLOOKUP($C34,Calcs[],col_R+COUNTIF($C$7:$C34,$C34)-2,0)+1,VLOOKUP($C34,Calcs[],col_R+COUNTIF($C$7:$C34,$C34)-1,0)-VLOOKUP($C34,Calcs[],col_R+COUNTIF($C$7:$C34,$C34)-2,0))))</f>
        <v/>
      </c>
      <c r="Z34" s="300"/>
      <c r="AA34" s="1"/>
    </row>
    <row r="35" spans="1:27" ht="15" customHeight="1" x14ac:dyDescent="0.15">
      <c r="A35" s="58">
        <f t="shared" ca="1" si="1"/>
        <v>28</v>
      </c>
      <c r="C35" s="58">
        <f ca="1">IFERROR(VLOOKUP(A35,Calcs[],1,0),OFFSET(C35,1,0))</f>
        <v>0</v>
      </c>
      <c r="D35" s="342"/>
      <c r="E35" s="59"/>
      <c r="F35" s="301" t="str">
        <f ca="1">IF(OR($C35=OFFSET($C35,-1,0),$A35&gt;End),"",_xlfn.XLOOKUP($C35,Items[PlanCounter],Items[Amend],_xlfn.XLOOKUP($C35,Proposed[PlanCounter],Proposed[Amend])))</f>
        <v/>
      </c>
      <c r="G35" s="302" t="str">
        <f ca="1">IF(OR($C35=OFFSET($C35,-1,0),$A35&gt;End),"",_xlfn.XLOOKUP($C35,Calcs[Counter],Calcs[Line]))</f>
        <v/>
      </c>
      <c r="H35" s="302" t="str" cm="1">
        <f t="array" aca="1" ref="H35" ca="1">IF(OR($C35=OFFSET($C35,-1,0),$A35&gt;End),"",_xlfn.XLOOKUP($C35,INDIRECT(RangePlanCount),INDIRECT(RangeItems)))</f>
        <v/>
      </c>
      <c r="I35" s="294" t="str">
        <f ca="1">IF(OR($A35&gt;End,COUNTIF($C$7:$C35,$C35)&gt;lines_D),"",IF(COUNTIF($C$7:$C35,$C35)=1,LEFT(VLOOKUP($C35,Calcs[],col_Description,0),VLOOKUP($C35,Calcs[],col_D,0)),MID(VLOOKUP($C35,Calcs[],col_Description,0),VLOOKUP($C35,Calcs[],col_D+COUNTIF($C$7:$C35,$C35)-2,0)+1,VLOOKUP($C35,Calcs[],col_D+COUNTIF($C$7:$C35,$C35)-1,0)-VLOOKUP($C35,Calcs[],col_D+COUNTIF($C$7:$C35,$C35)-2,0))))</f>
        <v/>
      </c>
      <c r="J35" s="295" t="str" cm="1">
        <f t="array" aca="1" ref="J35" ca="1">IF(OR($C35=OFFSET($C35,1,0),$A35&gt;End),"",_xlfn.XLOOKUP($C35,INDIRECT(RangePlanCount),INDIRECT(RangeUnit)))</f>
        <v/>
      </c>
      <c r="K35" s="303" t="str">
        <f ca="1">IF(OR($C35=OFFSET($C35,1,0),$A35&gt;End,IFERROR(OFFSET(Items[],MATCH($C35,INDIRECT(RangePlanCount),0)-1,MATCH(K$1,Items[#Headers],0)-1,1,1)=0,TRUE)),"",IF(AND(OFFSET(Items[],MATCH($C35,INDIRECT(RangePlanCount),0)-1,MATCH(K$1,Items[#Headers],0)-1,1,1)&gt;0,$J35="LPSM"),"ALL",TEXT(OFFSET(Items[],MATCH($C35,INDIRECT(RangePlanCount),0)-1,MATCH(K$1,Items[#Headers],0)-1,1,1),"###,###,##0"&amp;IF(OFFSET(Items[],MATCH($C35,INDIRECT(RangePlanCount),0)-1,MATCH(Decimals,Items[#Headers],0)-1,1,1)&gt;0,"."&amp;REPT("0",OFFSET(Items[],MATCH($C35,INDIRECT(RangePlanCount),0)-1,MATCH(Decimals,Items[#Headers],0)-1,1,1)),""))))</f>
        <v/>
      </c>
      <c r="L35" s="302" t="str">
        <f ca="1">IF(OR($C35=OFFSET($C35,1,0),$A35&gt;End,IFERROR(OFFSET(Items[],MATCH($C35,INDIRECT(RangePlanCount),0)-1,MATCH(L$1,Items[#Headers],0)-1,1,1)=0,TRUE)),"",IF(AND(OFFSET(Items[],MATCH($C35,INDIRECT(RangePlanCount),0)-1,MATCH(L$1,Items[#Headers],0)-1,1,1)&gt;0,$J35="LPSM"),"ALL",TEXT(OFFSET(Items[],MATCH($C35,INDIRECT(RangePlanCount),0)-1,MATCH(L$1,Items[#Headers],0)-1,1,1),"###,###,##0"&amp;IF(OFFSET(Items[],MATCH($C35,INDIRECT(RangePlanCount),0)-1,MATCH(Decimals,Items[#Headers],0)-1,1,1)&gt;0,"."&amp;REPT("0",OFFSET(Items[],MATCH($C35,INDIRECT(RangePlanCount),0)-1,MATCH(Decimals,Items[#Headers],0)-1,1,1)),""))))</f>
        <v/>
      </c>
      <c r="M35" s="302" t="str">
        <f ca="1">IF(OR($C35=OFFSET($C35,1,0),$A35&gt;End,IFERROR(OFFSET(Items[],MATCH($C35,INDIRECT(RangePlanCount),0)-1,MATCH(M$1,Items[#Headers],0)-1,1,1)=0,TRUE)),"",IF(AND(OFFSET(Items[],MATCH($C35,INDIRECT(RangePlanCount),0)-1,MATCH(M$1,Items[#Headers],0)-1,1,1)&gt;0,$J35="LPSM"),"ALL",TEXT(OFFSET(Items[],MATCH($C35,INDIRECT(RangePlanCount),0)-1,MATCH(M$1,Items[#Headers],0)-1,1,1),"###,###,##0"&amp;IF(OFFSET(Items[],MATCH($C35,INDIRECT(RangePlanCount),0)-1,MATCH(Decimals,Items[#Headers],0)-1,1,1)&gt;0,"."&amp;REPT("0",OFFSET(Items[],MATCH($C35,INDIRECT(RangePlanCount),0)-1,MATCH(Decimals,Items[#Headers],0)-1,1,1)),""))))</f>
        <v/>
      </c>
      <c r="N35" s="302" t="str">
        <f ca="1">IF(OR($C35=OFFSET($C35,1,0),$A35&gt;End,IFERROR(OFFSET(Items[],MATCH($C35,INDIRECT(RangePlanCount),0)-1,MATCH(N$1,Items[#Headers],0)-1,1,1)=0,TRUE)),"",IF(AND(OFFSET(Items[],MATCH($C35,INDIRECT(RangePlanCount),0)-1,MATCH(N$1,Items[#Headers],0)-1,1,1)&gt;0,$J35="LPSM"),"ALL",TEXT(OFFSET(Items[],MATCH($C35,INDIRECT(RangePlanCount),0)-1,MATCH(N$1,Items[#Headers],0)-1,1,1),"###,###,##0"&amp;IF(OFFSET(Items[],MATCH($C35,INDIRECT(RangePlanCount),0)-1,MATCH(Decimals,Items[#Headers],0)-1,1,1)&gt;0,"."&amp;REPT("0",OFFSET(Items[],MATCH($C35,INDIRECT(RangePlanCount),0)-1,MATCH(Decimals,Items[#Headers],0)-1,1,1)),""))))</f>
        <v/>
      </c>
      <c r="O35" s="302" t="str">
        <f ca="1">IF(OR($C35=OFFSET($C35,1,0),$A35&gt;End,IFERROR(OFFSET(Items[],MATCH($C35,INDIRECT(RangePlanCount),0)-1,MATCH(O$1,Items[#Headers],0)-1,1,1)=0,TRUE)),"",IF(AND(OFFSET(Items[],MATCH($C35,INDIRECT(RangePlanCount),0)-1,MATCH(O$1,Items[#Headers],0)-1,1,1)&gt;0,$J35="LPSM"),"ALL",TEXT(OFFSET(Items[],MATCH($C35,INDIRECT(RangePlanCount),0)-1,MATCH(O$1,Items[#Headers],0)-1,1,1),"###,###,##0"&amp;IF(OFFSET(Items[],MATCH($C35,INDIRECT(RangePlanCount),0)-1,MATCH(Decimals,Items[#Headers],0)-1,1,1)&gt;0,"."&amp;REPT("0",OFFSET(Items[],MATCH($C35,INDIRECT(RangePlanCount),0)-1,MATCH(Decimals,Items[#Headers],0)-1,1,1)),""))))</f>
        <v/>
      </c>
      <c r="P35" s="302" t="str">
        <f ca="1">IF(OR($C35=OFFSET($C35,1,0),$A35&gt;End,IFERROR(OFFSET(Items[],MATCH($C35,INDIRECT(RangePlanCount),0)-1,MATCH(P$1,Items[#Headers],0)-1,1,1)=0,TRUE)),"",IF(AND(OFFSET(Items[],MATCH($C35,INDIRECT(RangePlanCount),0)-1,MATCH(P$1,Items[#Headers],0)-1,1,1)&gt;0,$J35="LPSM"),"ALL",TEXT(OFFSET(Items[],MATCH($C35,INDIRECT(RangePlanCount),0)-1,MATCH(P$1,Items[#Headers],0)-1,1,1),"###,###,##0"&amp;IF(OFFSET(Items[],MATCH($C35,INDIRECT(RangePlanCount),0)-1,MATCH(Decimals,Items[#Headers],0)-1,1,1)&gt;0,"."&amp;REPT("0",OFFSET(Items[],MATCH($C35,INDIRECT(RangePlanCount),0)-1,MATCH(Decimals,Items[#Headers],0)-1,1,1)),""))))</f>
        <v/>
      </c>
      <c r="Q35" s="302" t="str">
        <f ca="1">IF(OR($C35=OFFSET($C35,1,0),$A35&gt;End,IFERROR(OFFSET(Items[],MATCH($C35,INDIRECT(RangePlanCount),0)-1,MATCH(Q$1,Items[#Headers],0)-1,1,1)=0,TRUE)),"",IF(AND(OFFSET(Items[],MATCH($C35,INDIRECT(RangePlanCount),0)-1,MATCH(Q$1,Items[#Headers],0)-1,1,1)&gt;0,$J35="LPSM"),"ALL",TEXT(OFFSET(Items[],MATCH($C35,INDIRECT(RangePlanCount),0)-1,MATCH(Q$1,Items[#Headers],0)-1,1,1),"###,###,##0"&amp;IF(OFFSET(Items[],MATCH($C35,INDIRECT(RangePlanCount),0)-1,MATCH(Decimals,Items[#Headers],0)-1,1,1)&gt;0,"."&amp;REPT("0",OFFSET(Items[],MATCH($C35,INDIRECT(RangePlanCount),0)-1,MATCH(Decimals,Items[#Headers],0)-1,1,1)),""))))</f>
        <v/>
      </c>
      <c r="R35" s="302" t="str">
        <f ca="1">IF(OR($C35=OFFSET($C35,1,0),$A35&gt;End,IFERROR(OFFSET(Items[],MATCH($C35,INDIRECT(RangePlanCount),0)-1,MATCH(R$1,Items[#Headers],0)-1,1,1)=0,TRUE)),"",IF(AND(OFFSET(Items[],MATCH($C35,INDIRECT(RangePlanCount),0)-1,MATCH(R$1,Items[#Headers],0)-1,1,1)&gt;0,$J35="LPSM"),"ALL",TEXT(OFFSET(Items[],MATCH($C35,INDIRECT(RangePlanCount),0)-1,MATCH(R$1,Items[#Headers],0)-1,1,1),"###,###,##0"&amp;IF(OFFSET(Items[],MATCH($C35,INDIRECT(RangePlanCount),0)-1,MATCH(Decimals,Items[#Headers],0)-1,1,1)&gt;0,"."&amp;REPT("0",OFFSET(Items[],MATCH($C35,INDIRECT(RangePlanCount),0)-1,MATCH(Decimals,Items[#Headers],0)-1,1,1)),""))))</f>
        <v/>
      </c>
      <c r="S35" s="302" t="str">
        <f ca="1">IF(OR($C35=OFFSET($C35,1,0),$A35&gt;End,IFERROR(OFFSET(Items[],MATCH($C35,INDIRECT(RangePlanCount),0)-1,MATCH(S$1,Items[#Headers],0)-1,1,1)=0,TRUE)),"",IF(AND(OFFSET(Items[],MATCH($C35,INDIRECT(RangePlanCount),0)-1,MATCH(S$1,Items[#Headers],0)-1,1,1)&gt;0,$J35="LPSM"),"ALL",TEXT(OFFSET(Items[],MATCH($C35,INDIRECT(RangePlanCount),0)-1,MATCH(S$1,Items[#Headers],0)-1,1,1),"###,###,##0"&amp;IF(OFFSET(Items[],MATCH($C35,INDIRECT(RangePlanCount),0)-1,MATCH(Decimals,Items[#Headers],0)-1,1,1)&gt;0,"."&amp;REPT("0",OFFSET(Items[],MATCH($C35,INDIRECT(RangePlanCount),0)-1,MATCH(Decimals,Items[#Headers],0)-1,1,1)),""))))</f>
        <v/>
      </c>
      <c r="T35" s="302" t="str">
        <f ca="1">IF(OR($C35=OFFSET($C35,1,0),$A35&gt;End,IFERROR(OFFSET(Items[],MATCH($C35,INDIRECT(RangePlanCount),0)-1,MATCH(T$1,Items[#Headers],0)-1,1,1)=0,TRUE)),"",IF(AND(OFFSET(Items[],MATCH($C35,INDIRECT(RangePlanCount),0)-1,MATCH(T$1,Items[#Headers],0)-1,1,1)&gt;0,$J35="LPSM"),"ALL",TEXT(OFFSET(Items[],MATCH($C35,INDIRECT(RangePlanCount),0)-1,MATCH(T$1,Items[#Headers],0)-1,1,1),"###,###,##0"&amp;IF(OFFSET(Items[],MATCH($C35,INDIRECT(RangePlanCount),0)-1,MATCH(Decimals,Items[#Headers],0)-1,1,1)&gt;0,"."&amp;REPT("0",OFFSET(Items[],MATCH($C35,INDIRECT(RangePlanCount),0)-1,MATCH(Decimals,Items[#Headers],0)-1,1,1)),""))))</f>
        <v/>
      </c>
      <c r="U35" s="302" t="str">
        <f ca="1">IF(OR($C35=OFFSET($C35,1,0),$A35&gt;End,IFERROR(OFFSET(Items[],MATCH($C35,INDIRECT(RangePlanCount),0)-1,MATCH(U$1,Items[#Headers],0)-1,1,1)=0,TRUE)),"",IF(AND(OFFSET(Items[],MATCH($C35,INDIRECT(RangePlanCount),0)-1,MATCH(U$1,Items[#Headers],0)-1,1,1)&gt;0,$J35="LPSM"),"ALL",TEXT(OFFSET(Items[],MATCH($C35,INDIRECT(RangePlanCount),0)-1,MATCH(U$1,Items[#Headers],0)-1,1,1),"###,###,##0"&amp;IF(OFFSET(Items[],MATCH($C35,INDIRECT(RangePlanCount),0)-1,MATCH(Decimals,Items[#Headers],0)-1,1,1)&gt;0,"."&amp;REPT("0",OFFSET(Items[],MATCH($C35,INDIRECT(RangePlanCount),0)-1,MATCH(Decimals,Items[#Headers],0)-1,1,1)),""))))</f>
        <v/>
      </c>
      <c r="V35" s="302" t="str">
        <f ca="1">IF(OR($C35=OFFSET($C35,1,0),$A35&gt;End,IFERROR(OFFSET(Items[],MATCH($C35,INDIRECT(RangePlanCount),0)-1,MATCH(V$1,Items[#Headers],0)-1,1,1)=0,TRUE)),"",IF(AND(OFFSET(Items[],MATCH($C35,INDIRECT(RangePlanCount),0)-1,MATCH(V$1,Items[#Headers],0)-1,1,1)&gt;0,$J35="LPSM"),"ALL",TEXT(OFFSET(Items[],MATCH($C35,INDIRECT(RangePlanCount),0)-1,MATCH(V$1,Items[#Headers],0)-1,1,1),"###,###,##0"&amp;IF(OFFSET(Items[],MATCH($C35,INDIRECT(RangePlanCount),0)-1,MATCH(Decimals,Items[#Headers],0)-1,1,1)&gt;0,"."&amp;REPT("0",OFFSET(Items[],MATCH($C35,INDIRECT(RangePlanCount),0)-1,MATCH(Decimals,Items[#Headers],0)-1,1,1)),""))))</f>
        <v/>
      </c>
      <c r="W35" s="304" t="str">
        <f ca="1">IF(OR($C35=OFFSET($C35,1,0),$A35&gt;End,IFERROR(OFFSET(Items[],MATCH($C35,INDIRECT(RangePlanCount),0)-1,MATCH(W$1,Items[#Headers],0)-1,1,1)=0,TRUE)),"",IF(AND(OFFSET(Items[],MATCH($C35,INDIRECT(RangePlanCount),0)-1,MATCH(W$1,Items[#Headers],0)-1,1,1)&gt;0,$J35="LPSM"),"ALL",TEXT(OFFSET(Items[],MATCH($C35,INDIRECT(RangePlanCount),0)-1,MATCH(W$1,Items[#Headers],0)-1,1,1),"###,###,##0"&amp;IF(OFFSET(Items[],MATCH($C35,INDIRECT(RangePlanCount),0)-1,MATCH(Decimals,Items[#Headers],0)-1,1,1)&gt;0,"."&amp;REPT("0",OFFSET(Items[],MATCH($C35,INDIRECT(RangePlanCount),0)-1,MATCH(Decimals,Items[#Headers],0)-1,1,1)),""))))</f>
        <v/>
      </c>
      <c r="X35" s="305" t="str">
        <f ca="1">IF(OR($C35=OFFSET($C35,1,0),$A35&gt;End,IFERROR(OFFSET(Items[],MATCH($C35,INDIRECT(RangePlanCount),0)-1,MATCH(X$1,Items[#Headers],0)-1,1,1)=0,TRUE)),"",IF(AND(OFFSET(Items[],MATCH($C35,INDIRECT(RangePlanCount),0)-1,MATCH(X$1,Items[#Headers],0)-1,1,1)&gt;0,$J35="LPSM"),"ALL",TEXT(OFFSET(Items[],MATCH($C35,INDIRECT(RangePlanCount),0)-1,MATCH(X$1,Items[#Headers],0)-1,1,1),"###,###,##0"&amp;IF(OFFSET(Items[],MATCH($C35,INDIRECT(RangePlanCount),0)-1,MATCH(Decimals,Items[#Headers],0)-1,1,1)&gt;0,"."&amp;REPT("0",OFFSET(Items[],MATCH($C35,INDIRECT(RangePlanCount),0)-1,MATCH(Decimals,Items[#Headers],0)-1,1,1)),""))))</f>
        <v/>
      </c>
      <c r="Y35" s="306" t="str">
        <f ca="1">IF(OR($A35&gt;End,COUNTIF($C$7:$C35,$C35)&gt;lines_R),"",IF(COUNTIF($C$7:$C35,$C35)=1,LEFT(VLOOKUP($C35,Calcs[],col_Remarks,0),VLOOKUP($C35,Calcs[],col_R,0)),MID(VLOOKUP($C35,Calcs[],col_Remarks,0),VLOOKUP($C35,Calcs[],col_R+COUNTIF($C$7:$C35,$C35)-2,0)+1,VLOOKUP($C35,Calcs[],col_R+COUNTIF($C$7:$C35,$C35)-1,0)-VLOOKUP($C35,Calcs[],col_R+COUNTIF($C$7:$C35,$C35)-2,0))))</f>
        <v/>
      </c>
      <c r="Z35" s="300"/>
      <c r="AA35" s="1"/>
    </row>
    <row r="36" spans="1:27" ht="15" customHeight="1" x14ac:dyDescent="0.15">
      <c r="A36" s="58">
        <f t="shared" ca="1" si="1"/>
        <v>29</v>
      </c>
      <c r="C36" s="58">
        <f ca="1">IFERROR(VLOOKUP(A36,Calcs[],1,0),OFFSET(C36,1,0))</f>
        <v>0</v>
      </c>
      <c r="D36" s="342"/>
      <c r="E36" s="59"/>
      <c r="F36" s="301" t="str">
        <f ca="1">IF(OR($C36=OFFSET($C36,-1,0),$A36&gt;End),"",_xlfn.XLOOKUP($C36,Items[PlanCounter],Items[Amend],_xlfn.XLOOKUP($C36,Proposed[PlanCounter],Proposed[Amend])))</f>
        <v/>
      </c>
      <c r="G36" s="302" t="str">
        <f ca="1">IF(OR($C36=OFFSET($C36,-1,0),$A36&gt;End),"",_xlfn.XLOOKUP($C36,Calcs[Counter],Calcs[Line]))</f>
        <v/>
      </c>
      <c r="H36" s="302" t="str" cm="1">
        <f t="array" aca="1" ref="H36" ca="1">IF(OR($C36=OFFSET($C36,-1,0),$A36&gt;End),"",_xlfn.XLOOKUP($C36,INDIRECT(RangePlanCount),INDIRECT(RangeItems)))</f>
        <v/>
      </c>
      <c r="I36" s="294" t="str">
        <f ca="1">IF(OR($A36&gt;End,COUNTIF($C$7:$C36,$C36)&gt;lines_D),"",IF(COUNTIF($C$7:$C36,$C36)=1,LEFT(VLOOKUP($C36,Calcs[],col_Description,0),VLOOKUP($C36,Calcs[],col_D,0)),MID(VLOOKUP($C36,Calcs[],col_Description,0),VLOOKUP($C36,Calcs[],col_D+COUNTIF($C$7:$C36,$C36)-2,0)+1,VLOOKUP($C36,Calcs[],col_D+COUNTIF($C$7:$C36,$C36)-1,0)-VLOOKUP($C36,Calcs[],col_D+COUNTIF($C$7:$C36,$C36)-2,0))))</f>
        <v/>
      </c>
      <c r="J36" s="295" t="str" cm="1">
        <f t="array" aca="1" ref="J36" ca="1">IF(OR($C36=OFFSET($C36,1,0),$A36&gt;End),"",_xlfn.XLOOKUP($C36,INDIRECT(RangePlanCount),INDIRECT(RangeUnit)))</f>
        <v/>
      </c>
      <c r="K36" s="303" t="str">
        <f ca="1">IF(OR($C36=OFFSET($C36,1,0),$A36&gt;End,IFERROR(OFFSET(Items[],MATCH($C36,INDIRECT(RangePlanCount),0)-1,MATCH(K$1,Items[#Headers],0)-1,1,1)=0,TRUE)),"",IF(AND(OFFSET(Items[],MATCH($C36,INDIRECT(RangePlanCount),0)-1,MATCH(K$1,Items[#Headers],0)-1,1,1)&gt;0,$J36="LPSM"),"ALL",TEXT(OFFSET(Items[],MATCH($C36,INDIRECT(RangePlanCount),0)-1,MATCH(K$1,Items[#Headers],0)-1,1,1),"###,###,##0"&amp;IF(OFFSET(Items[],MATCH($C36,INDIRECT(RangePlanCount),0)-1,MATCH(Decimals,Items[#Headers],0)-1,1,1)&gt;0,"."&amp;REPT("0",OFFSET(Items[],MATCH($C36,INDIRECT(RangePlanCount),0)-1,MATCH(Decimals,Items[#Headers],0)-1,1,1)),""))))</f>
        <v/>
      </c>
      <c r="L36" s="302" t="str">
        <f ca="1">IF(OR($C36=OFFSET($C36,1,0),$A36&gt;End,IFERROR(OFFSET(Items[],MATCH($C36,INDIRECT(RangePlanCount),0)-1,MATCH(L$1,Items[#Headers],0)-1,1,1)=0,TRUE)),"",IF(AND(OFFSET(Items[],MATCH($C36,INDIRECT(RangePlanCount),0)-1,MATCH(L$1,Items[#Headers],0)-1,1,1)&gt;0,$J36="LPSM"),"ALL",TEXT(OFFSET(Items[],MATCH($C36,INDIRECT(RangePlanCount),0)-1,MATCH(L$1,Items[#Headers],0)-1,1,1),"###,###,##0"&amp;IF(OFFSET(Items[],MATCH($C36,INDIRECT(RangePlanCount),0)-1,MATCH(Decimals,Items[#Headers],0)-1,1,1)&gt;0,"."&amp;REPT("0",OFFSET(Items[],MATCH($C36,INDIRECT(RangePlanCount),0)-1,MATCH(Decimals,Items[#Headers],0)-1,1,1)),""))))</f>
        <v/>
      </c>
      <c r="M36" s="302" t="str">
        <f ca="1">IF(OR($C36=OFFSET($C36,1,0),$A36&gt;End,IFERROR(OFFSET(Items[],MATCH($C36,INDIRECT(RangePlanCount),0)-1,MATCH(M$1,Items[#Headers],0)-1,1,1)=0,TRUE)),"",IF(AND(OFFSET(Items[],MATCH($C36,INDIRECT(RangePlanCount),0)-1,MATCH(M$1,Items[#Headers],0)-1,1,1)&gt;0,$J36="LPSM"),"ALL",TEXT(OFFSET(Items[],MATCH($C36,INDIRECT(RangePlanCount),0)-1,MATCH(M$1,Items[#Headers],0)-1,1,1),"###,###,##0"&amp;IF(OFFSET(Items[],MATCH($C36,INDIRECT(RangePlanCount),0)-1,MATCH(Decimals,Items[#Headers],0)-1,1,1)&gt;0,"."&amp;REPT("0",OFFSET(Items[],MATCH($C36,INDIRECT(RangePlanCount),0)-1,MATCH(Decimals,Items[#Headers],0)-1,1,1)),""))))</f>
        <v/>
      </c>
      <c r="N36" s="302" t="str">
        <f ca="1">IF(OR($C36=OFFSET($C36,1,0),$A36&gt;End,IFERROR(OFFSET(Items[],MATCH($C36,INDIRECT(RangePlanCount),0)-1,MATCH(N$1,Items[#Headers],0)-1,1,1)=0,TRUE)),"",IF(AND(OFFSET(Items[],MATCH($C36,INDIRECT(RangePlanCount),0)-1,MATCH(N$1,Items[#Headers],0)-1,1,1)&gt;0,$J36="LPSM"),"ALL",TEXT(OFFSET(Items[],MATCH($C36,INDIRECT(RangePlanCount),0)-1,MATCH(N$1,Items[#Headers],0)-1,1,1),"###,###,##0"&amp;IF(OFFSET(Items[],MATCH($C36,INDIRECT(RangePlanCount),0)-1,MATCH(Decimals,Items[#Headers],0)-1,1,1)&gt;0,"."&amp;REPT("0",OFFSET(Items[],MATCH($C36,INDIRECT(RangePlanCount),0)-1,MATCH(Decimals,Items[#Headers],0)-1,1,1)),""))))</f>
        <v/>
      </c>
      <c r="O36" s="302" t="str">
        <f ca="1">IF(OR($C36=OFFSET($C36,1,0),$A36&gt;End,IFERROR(OFFSET(Items[],MATCH($C36,INDIRECT(RangePlanCount),0)-1,MATCH(O$1,Items[#Headers],0)-1,1,1)=0,TRUE)),"",IF(AND(OFFSET(Items[],MATCH($C36,INDIRECT(RangePlanCount),0)-1,MATCH(O$1,Items[#Headers],0)-1,1,1)&gt;0,$J36="LPSM"),"ALL",TEXT(OFFSET(Items[],MATCH($C36,INDIRECT(RangePlanCount),0)-1,MATCH(O$1,Items[#Headers],0)-1,1,1),"###,###,##0"&amp;IF(OFFSET(Items[],MATCH($C36,INDIRECT(RangePlanCount),0)-1,MATCH(Decimals,Items[#Headers],0)-1,1,1)&gt;0,"."&amp;REPT("0",OFFSET(Items[],MATCH($C36,INDIRECT(RangePlanCount),0)-1,MATCH(Decimals,Items[#Headers],0)-1,1,1)),""))))</f>
        <v/>
      </c>
      <c r="P36" s="302" t="str">
        <f ca="1">IF(OR($C36=OFFSET($C36,1,0),$A36&gt;End,IFERROR(OFFSET(Items[],MATCH($C36,INDIRECT(RangePlanCount),0)-1,MATCH(P$1,Items[#Headers],0)-1,1,1)=0,TRUE)),"",IF(AND(OFFSET(Items[],MATCH($C36,INDIRECT(RangePlanCount),0)-1,MATCH(P$1,Items[#Headers],0)-1,1,1)&gt;0,$J36="LPSM"),"ALL",TEXT(OFFSET(Items[],MATCH($C36,INDIRECT(RangePlanCount),0)-1,MATCH(P$1,Items[#Headers],0)-1,1,1),"###,###,##0"&amp;IF(OFFSET(Items[],MATCH($C36,INDIRECT(RangePlanCount),0)-1,MATCH(Decimals,Items[#Headers],0)-1,1,1)&gt;0,"."&amp;REPT("0",OFFSET(Items[],MATCH($C36,INDIRECT(RangePlanCount),0)-1,MATCH(Decimals,Items[#Headers],0)-1,1,1)),""))))</f>
        <v/>
      </c>
      <c r="Q36" s="302" t="str">
        <f ca="1">IF(OR($C36=OFFSET($C36,1,0),$A36&gt;End,IFERROR(OFFSET(Items[],MATCH($C36,INDIRECT(RangePlanCount),0)-1,MATCH(Q$1,Items[#Headers],0)-1,1,1)=0,TRUE)),"",IF(AND(OFFSET(Items[],MATCH($C36,INDIRECT(RangePlanCount),0)-1,MATCH(Q$1,Items[#Headers],0)-1,1,1)&gt;0,$J36="LPSM"),"ALL",TEXT(OFFSET(Items[],MATCH($C36,INDIRECT(RangePlanCount),0)-1,MATCH(Q$1,Items[#Headers],0)-1,1,1),"###,###,##0"&amp;IF(OFFSET(Items[],MATCH($C36,INDIRECT(RangePlanCount),0)-1,MATCH(Decimals,Items[#Headers],0)-1,1,1)&gt;0,"."&amp;REPT("0",OFFSET(Items[],MATCH($C36,INDIRECT(RangePlanCount),0)-1,MATCH(Decimals,Items[#Headers],0)-1,1,1)),""))))</f>
        <v/>
      </c>
      <c r="R36" s="302" t="str">
        <f ca="1">IF(OR($C36=OFFSET($C36,1,0),$A36&gt;End,IFERROR(OFFSET(Items[],MATCH($C36,INDIRECT(RangePlanCount),0)-1,MATCH(R$1,Items[#Headers],0)-1,1,1)=0,TRUE)),"",IF(AND(OFFSET(Items[],MATCH($C36,INDIRECT(RangePlanCount),0)-1,MATCH(R$1,Items[#Headers],0)-1,1,1)&gt;0,$J36="LPSM"),"ALL",TEXT(OFFSET(Items[],MATCH($C36,INDIRECT(RangePlanCount),0)-1,MATCH(R$1,Items[#Headers],0)-1,1,1),"###,###,##0"&amp;IF(OFFSET(Items[],MATCH($C36,INDIRECT(RangePlanCount),0)-1,MATCH(Decimals,Items[#Headers],0)-1,1,1)&gt;0,"."&amp;REPT("0",OFFSET(Items[],MATCH($C36,INDIRECT(RangePlanCount),0)-1,MATCH(Decimals,Items[#Headers],0)-1,1,1)),""))))</f>
        <v/>
      </c>
      <c r="S36" s="302" t="str">
        <f ca="1">IF(OR($C36=OFFSET($C36,1,0),$A36&gt;End,IFERROR(OFFSET(Items[],MATCH($C36,INDIRECT(RangePlanCount),0)-1,MATCH(S$1,Items[#Headers],0)-1,1,1)=0,TRUE)),"",IF(AND(OFFSET(Items[],MATCH($C36,INDIRECT(RangePlanCount),0)-1,MATCH(S$1,Items[#Headers],0)-1,1,1)&gt;0,$J36="LPSM"),"ALL",TEXT(OFFSET(Items[],MATCH($C36,INDIRECT(RangePlanCount),0)-1,MATCH(S$1,Items[#Headers],0)-1,1,1),"###,###,##0"&amp;IF(OFFSET(Items[],MATCH($C36,INDIRECT(RangePlanCount),0)-1,MATCH(Decimals,Items[#Headers],0)-1,1,1)&gt;0,"."&amp;REPT("0",OFFSET(Items[],MATCH($C36,INDIRECT(RangePlanCount),0)-1,MATCH(Decimals,Items[#Headers],0)-1,1,1)),""))))</f>
        <v/>
      </c>
      <c r="T36" s="302" t="str">
        <f ca="1">IF(OR($C36=OFFSET($C36,1,0),$A36&gt;End,IFERROR(OFFSET(Items[],MATCH($C36,INDIRECT(RangePlanCount),0)-1,MATCH(T$1,Items[#Headers],0)-1,1,1)=0,TRUE)),"",IF(AND(OFFSET(Items[],MATCH($C36,INDIRECT(RangePlanCount),0)-1,MATCH(T$1,Items[#Headers],0)-1,1,1)&gt;0,$J36="LPSM"),"ALL",TEXT(OFFSET(Items[],MATCH($C36,INDIRECT(RangePlanCount),0)-1,MATCH(T$1,Items[#Headers],0)-1,1,1),"###,###,##0"&amp;IF(OFFSET(Items[],MATCH($C36,INDIRECT(RangePlanCount),0)-1,MATCH(Decimals,Items[#Headers],0)-1,1,1)&gt;0,"."&amp;REPT("0",OFFSET(Items[],MATCH($C36,INDIRECT(RangePlanCount),0)-1,MATCH(Decimals,Items[#Headers],0)-1,1,1)),""))))</f>
        <v/>
      </c>
      <c r="U36" s="302" t="str">
        <f ca="1">IF(OR($C36=OFFSET($C36,1,0),$A36&gt;End,IFERROR(OFFSET(Items[],MATCH($C36,INDIRECT(RangePlanCount),0)-1,MATCH(U$1,Items[#Headers],0)-1,1,1)=0,TRUE)),"",IF(AND(OFFSET(Items[],MATCH($C36,INDIRECT(RangePlanCount),0)-1,MATCH(U$1,Items[#Headers],0)-1,1,1)&gt;0,$J36="LPSM"),"ALL",TEXT(OFFSET(Items[],MATCH($C36,INDIRECT(RangePlanCount),0)-1,MATCH(U$1,Items[#Headers],0)-1,1,1),"###,###,##0"&amp;IF(OFFSET(Items[],MATCH($C36,INDIRECT(RangePlanCount),0)-1,MATCH(Decimals,Items[#Headers],0)-1,1,1)&gt;0,"."&amp;REPT("0",OFFSET(Items[],MATCH($C36,INDIRECT(RangePlanCount),0)-1,MATCH(Decimals,Items[#Headers],0)-1,1,1)),""))))</f>
        <v/>
      </c>
      <c r="V36" s="302" t="str">
        <f ca="1">IF(OR($C36=OFFSET($C36,1,0),$A36&gt;End,IFERROR(OFFSET(Items[],MATCH($C36,INDIRECT(RangePlanCount),0)-1,MATCH(V$1,Items[#Headers],0)-1,1,1)=0,TRUE)),"",IF(AND(OFFSET(Items[],MATCH($C36,INDIRECT(RangePlanCount),0)-1,MATCH(V$1,Items[#Headers],0)-1,1,1)&gt;0,$J36="LPSM"),"ALL",TEXT(OFFSET(Items[],MATCH($C36,INDIRECT(RangePlanCount),0)-1,MATCH(V$1,Items[#Headers],0)-1,1,1),"###,###,##0"&amp;IF(OFFSET(Items[],MATCH($C36,INDIRECT(RangePlanCount),0)-1,MATCH(Decimals,Items[#Headers],0)-1,1,1)&gt;0,"."&amp;REPT("0",OFFSET(Items[],MATCH($C36,INDIRECT(RangePlanCount),0)-1,MATCH(Decimals,Items[#Headers],0)-1,1,1)),""))))</f>
        <v/>
      </c>
      <c r="W36" s="304" t="str">
        <f ca="1">IF(OR($C36=OFFSET($C36,1,0),$A36&gt;End,IFERROR(OFFSET(Items[],MATCH($C36,INDIRECT(RangePlanCount),0)-1,MATCH(W$1,Items[#Headers],0)-1,1,1)=0,TRUE)),"",IF(AND(OFFSET(Items[],MATCH($C36,INDIRECT(RangePlanCount),0)-1,MATCH(W$1,Items[#Headers],0)-1,1,1)&gt;0,$J36="LPSM"),"ALL",TEXT(OFFSET(Items[],MATCH($C36,INDIRECT(RangePlanCount),0)-1,MATCH(W$1,Items[#Headers],0)-1,1,1),"###,###,##0"&amp;IF(OFFSET(Items[],MATCH($C36,INDIRECT(RangePlanCount),0)-1,MATCH(Decimals,Items[#Headers],0)-1,1,1)&gt;0,"."&amp;REPT("0",OFFSET(Items[],MATCH($C36,INDIRECT(RangePlanCount),0)-1,MATCH(Decimals,Items[#Headers],0)-1,1,1)),""))))</f>
        <v/>
      </c>
      <c r="X36" s="305" t="str">
        <f ca="1">IF(OR($C36=OFFSET($C36,1,0),$A36&gt;End,IFERROR(OFFSET(Items[],MATCH($C36,INDIRECT(RangePlanCount),0)-1,MATCH(X$1,Items[#Headers],0)-1,1,1)=0,TRUE)),"",IF(AND(OFFSET(Items[],MATCH($C36,INDIRECT(RangePlanCount),0)-1,MATCH(X$1,Items[#Headers],0)-1,1,1)&gt;0,$J36="LPSM"),"ALL",TEXT(OFFSET(Items[],MATCH($C36,INDIRECT(RangePlanCount),0)-1,MATCH(X$1,Items[#Headers],0)-1,1,1),"###,###,##0"&amp;IF(OFFSET(Items[],MATCH($C36,INDIRECT(RangePlanCount),0)-1,MATCH(Decimals,Items[#Headers],0)-1,1,1)&gt;0,"."&amp;REPT("0",OFFSET(Items[],MATCH($C36,INDIRECT(RangePlanCount),0)-1,MATCH(Decimals,Items[#Headers],0)-1,1,1)),""))))</f>
        <v/>
      </c>
      <c r="Y36" s="306" t="str">
        <f ca="1">IF(OR($A36&gt;End,COUNTIF($C$7:$C36,$C36)&gt;lines_R),"",IF(COUNTIF($C$7:$C36,$C36)=1,LEFT(VLOOKUP($C36,Calcs[],col_Remarks,0),VLOOKUP($C36,Calcs[],col_R,0)),MID(VLOOKUP($C36,Calcs[],col_Remarks,0),VLOOKUP($C36,Calcs[],col_R+COUNTIF($C$7:$C36,$C36)-2,0)+1,VLOOKUP($C36,Calcs[],col_R+COUNTIF($C$7:$C36,$C36)-1,0)-VLOOKUP($C36,Calcs[],col_R+COUNTIF($C$7:$C36,$C36)-2,0))))</f>
        <v/>
      </c>
      <c r="Z36" s="300"/>
      <c r="AA36" s="1"/>
    </row>
    <row r="37" spans="1:27" ht="15" customHeight="1" x14ac:dyDescent="0.15">
      <c r="A37" s="58">
        <f t="shared" ca="1" si="1"/>
        <v>30</v>
      </c>
      <c r="C37" s="58">
        <f ca="1">IFERROR(VLOOKUP(A37,Calcs[],1,0),OFFSET(C37,1,0))</f>
        <v>0</v>
      </c>
      <c r="D37" s="342"/>
      <c r="E37" s="59"/>
      <c r="F37" s="301" t="str">
        <f ca="1">IF(OR($C37=OFFSET($C37,-1,0),$A37&gt;End),"",_xlfn.XLOOKUP($C37,Items[PlanCounter],Items[Amend],_xlfn.XLOOKUP($C37,Proposed[PlanCounter],Proposed[Amend])))</f>
        <v/>
      </c>
      <c r="G37" s="302" t="str">
        <f ca="1">IF(OR($C37=OFFSET($C37,-1,0),$A37&gt;End),"",_xlfn.XLOOKUP($C37,Calcs[Counter],Calcs[Line]))</f>
        <v/>
      </c>
      <c r="H37" s="302" t="str" cm="1">
        <f t="array" aca="1" ref="H37" ca="1">IF(OR($C37=OFFSET($C37,-1,0),$A37&gt;End),"",_xlfn.XLOOKUP($C37,INDIRECT(RangePlanCount),INDIRECT(RangeItems)))</f>
        <v/>
      </c>
      <c r="I37" s="294" t="str">
        <f ca="1">IF(OR($A37&gt;End,COUNTIF($C$7:$C37,$C37)&gt;lines_D),"",IF(COUNTIF($C$7:$C37,$C37)=1,LEFT(VLOOKUP($C37,Calcs[],col_Description,0),VLOOKUP($C37,Calcs[],col_D,0)),MID(VLOOKUP($C37,Calcs[],col_Description,0),VLOOKUP($C37,Calcs[],col_D+COUNTIF($C$7:$C37,$C37)-2,0)+1,VLOOKUP($C37,Calcs[],col_D+COUNTIF($C$7:$C37,$C37)-1,0)-VLOOKUP($C37,Calcs[],col_D+COUNTIF($C$7:$C37,$C37)-2,0))))</f>
        <v/>
      </c>
      <c r="J37" s="295" t="str" cm="1">
        <f t="array" aca="1" ref="J37" ca="1">IF(OR($C37=OFFSET($C37,1,0),$A37&gt;End),"",_xlfn.XLOOKUP($C37,INDIRECT(RangePlanCount),INDIRECT(RangeUnit)))</f>
        <v/>
      </c>
      <c r="K37" s="303" t="str">
        <f ca="1">IF(OR($C37=OFFSET($C37,1,0),$A37&gt;End,IFERROR(OFFSET(Items[],MATCH($C37,INDIRECT(RangePlanCount),0)-1,MATCH(K$1,Items[#Headers],0)-1,1,1)=0,TRUE)),"",IF(AND(OFFSET(Items[],MATCH($C37,INDIRECT(RangePlanCount),0)-1,MATCH(K$1,Items[#Headers],0)-1,1,1)&gt;0,$J37="LPSM"),"ALL",TEXT(OFFSET(Items[],MATCH($C37,INDIRECT(RangePlanCount),0)-1,MATCH(K$1,Items[#Headers],0)-1,1,1),"###,###,##0"&amp;IF(OFFSET(Items[],MATCH($C37,INDIRECT(RangePlanCount),0)-1,MATCH(Decimals,Items[#Headers],0)-1,1,1)&gt;0,"."&amp;REPT("0",OFFSET(Items[],MATCH($C37,INDIRECT(RangePlanCount),0)-1,MATCH(Decimals,Items[#Headers],0)-1,1,1)),""))))</f>
        <v/>
      </c>
      <c r="L37" s="302" t="str">
        <f ca="1">IF(OR($C37=OFFSET($C37,1,0),$A37&gt;End,IFERROR(OFFSET(Items[],MATCH($C37,INDIRECT(RangePlanCount),0)-1,MATCH(L$1,Items[#Headers],0)-1,1,1)=0,TRUE)),"",IF(AND(OFFSET(Items[],MATCH($C37,INDIRECT(RangePlanCount),0)-1,MATCH(L$1,Items[#Headers],0)-1,1,1)&gt;0,$J37="LPSM"),"ALL",TEXT(OFFSET(Items[],MATCH($C37,INDIRECT(RangePlanCount),0)-1,MATCH(L$1,Items[#Headers],0)-1,1,1),"###,###,##0"&amp;IF(OFFSET(Items[],MATCH($C37,INDIRECT(RangePlanCount),0)-1,MATCH(Decimals,Items[#Headers],0)-1,1,1)&gt;0,"."&amp;REPT("0",OFFSET(Items[],MATCH($C37,INDIRECT(RangePlanCount),0)-1,MATCH(Decimals,Items[#Headers],0)-1,1,1)),""))))</f>
        <v/>
      </c>
      <c r="M37" s="302" t="str">
        <f ca="1">IF(OR($C37=OFFSET($C37,1,0),$A37&gt;End,IFERROR(OFFSET(Items[],MATCH($C37,INDIRECT(RangePlanCount),0)-1,MATCH(M$1,Items[#Headers],0)-1,1,1)=0,TRUE)),"",IF(AND(OFFSET(Items[],MATCH($C37,INDIRECT(RangePlanCount),0)-1,MATCH(M$1,Items[#Headers],0)-1,1,1)&gt;0,$J37="LPSM"),"ALL",TEXT(OFFSET(Items[],MATCH($C37,INDIRECT(RangePlanCount),0)-1,MATCH(M$1,Items[#Headers],0)-1,1,1),"###,###,##0"&amp;IF(OFFSET(Items[],MATCH($C37,INDIRECT(RangePlanCount),0)-1,MATCH(Decimals,Items[#Headers],0)-1,1,1)&gt;0,"."&amp;REPT("0",OFFSET(Items[],MATCH($C37,INDIRECT(RangePlanCount),0)-1,MATCH(Decimals,Items[#Headers],0)-1,1,1)),""))))</f>
        <v/>
      </c>
      <c r="N37" s="302" t="str">
        <f ca="1">IF(OR($C37=OFFSET($C37,1,0),$A37&gt;End,IFERROR(OFFSET(Items[],MATCH($C37,INDIRECT(RangePlanCount),0)-1,MATCH(N$1,Items[#Headers],0)-1,1,1)=0,TRUE)),"",IF(AND(OFFSET(Items[],MATCH($C37,INDIRECT(RangePlanCount),0)-1,MATCH(N$1,Items[#Headers],0)-1,1,1)&gt;0,$J37="LPSM"),"ALL",TEXT(OFFSET(Items[],MATCH($C37,INDIRECT(RangePlanCount),0)-1,MATCH(N$1,Items[#Headers],0)-1,1,1),"###,###,##0"&amp;IF(OFFSET(Items[],MATCH($C37,INDIRECT(RangePlanCount),0)-1,MATCH(Decimals,Items[#Headers],0)-1,1,1)&gt;0,"."&amp;REPT("0",OFFSET(Items[],MATCH($C37,INDIRECT(RangePlanCount),0)-1,MATCH(Decimals,Items[#Headers],0)-1,1,1)),""))))</f>
        <v/>
      </c>
      <c r="O37" s="302" t="str">
        <f ca="1">IF(OR($C37=OFFSET($C37,1,0),$A37&gt;End,IFERROR(OFFSET(Items[],MATCH($C37,INDIRECT(RangePlanCount),0)-1,MATCH(O$1,Items[#Headers],0)-1,1,1)=0,TRUE)),"",IF(AND(OFFSET(Items[],MATCH($C37,INDIRECT(RangePlanCount),0)-1,MATCH(O$1,Items[#Headers],0)-1,1,1)&gt;0,$J37="LPSM"),"ALL",TEXT(OFFSET(Items[],MATCH($C37,INDIRECT(RangePlanCount),0)-1,MATCH(O$1,Items[#Headers],0)-1,1,1),"###,###,##0"&amp;IF(OFFSET(Items[],MATCH($C37,INDIRECT(RangePlanCount),0)-1,MATCH(Decimals,Items[#Headers],0)-1,1,1)&gt;0,"."&amp;REPT("0",OFFSET(Items[],MATCH($C37,INDIRECT(RangePlanCount),0)-1,MATCH(Decimals,Items[#Headers],0)-1,1,1)),""))))</f>
        <v/>
      </c>
      <c r="P37" s="302" t="str">
        <f ca="1">IF(OR($C37=OFFSET($C37,1,0),$A37&gt;End,IFERROR(OFFSET(Items[],MATCH($C37,INDIRECT(RangePlanCount),0)-1,MATCH(P$1,Items[#Headers],0)-1,1,1)=0,TRUE)),"",IF(AND(OFFSET(Items[],MATCH($C37,INDIRECT(RangePlanCount),0)-1,MATCH(P$1,Items[#Headers],0)-1,1,1)&gt;0,$J37="LPSM"),"ALL",TEXT(OFFSET(Items[],MATCH($C37,INDIRECT(RangePlanCount),0)-1,MATCH(P$1,Items[#Headers],0)-1,1,1),"###,###,##0"&amp;IF(OFFSET(Items[],MATCH($C37,INDIRECT(RangePlanCount),0)-1,MATCH(Decimals,Items[#Headers],0)-1,1,1)&gt;0,"."&amp;REPT("0",OFFSET(Items[],MATCH($C37,INDIRECT(RangePlanCount),0)-1,MATCH(Decimals,Items[#Headers],0)-1,1,1)),""))))</f>
        <v/>
      </c>
      <c r="Q37" s="302" t="str">
        <f ca="1">IF(OR($C37=OFFSET($C37,1,0),$A37&gt;End,IFERROR(OFFSET(Items[],MATCH($C37,INDIRECT(RangePlanCount),0)-1,MATCH(Q$1,Items[#Headers],0)-1,1,1)=0,TRUE)),"",IF(AND(OFFSET(Items[],MATCH($C37,INDIRECT(RangePlanCount),0)-1,MATCH(Q$1,Items[#Headers],0)-1,1,1)&gt;0,$J37="LPSM"),"ALL",TEXT(OFFSET(Items[],MATCH($C37,INDIRECT(RangePlanCount),0)-1,MATCH(Q$1,Items[#Headers],0)-1,1,1),"###,###,##0"&amp;IF(OFFSET(Items[],MATCH($C37,INDIRECT(RangePlanCount),0)-1,MATCH(Decimals,Items[#Headers],0)-1,1,1)&gt;0,"."&amp;REPT("0",OFFSET(Items[],MATCH($C37,INDIRECT(RangePlanCount),0)-1,MATCH(Decimals,Items[#Headers],0)-1,1,1)),""))))</f>
        <v/>
      </c>
      <c r="R37" s="302" t="str">
        <f ca="1">IF(OR($C37=OFFSET($C37,1,0),$A37&gt;End,IFERROR(OFFSET(Items[],MATCH($C37,INDIRECT(RangePlanCount),0)-1,MATCH(R$1,Items[#Headers],0)-1,1,1)=0,TRUE)),"",IF(AND(OFFSET(Items[],MATCH($C37,INDIRECT(RangePlanCount),0)-1,MATCH(R$1,Items[#Headers],0)-1,1,1)&gt;0,$J37="LPSM"),"ALL",TEXT(OFFSET(Items[],MATCH($C37,INDIRECT(RangePlanCount),0)-1,MATCH(R$1,Items[#Headers],0)-1,1,1),"###,###,##0"&amp;IF(OFFSET(Items[],MATCH($C37,INDIRECT(RangePlanCount),0)-1,MATCH(Decimals,Items[#Headers],0)-1,1,1)&gt;0,"."&amp;REPT("0",OFFSET(Items[],MATCH($C37,INDIRECT(RangePlanCount),0)-1,MATCH(Decimals,Items[#Headers],0)-1,1,1)),""))))</f>
        <v/>
      </c>
      <c r="S37" s="302" t="str">
        <f ca="1">IF(OR($C37=OFFSET($C37,1,0),$A37&gt;End,IFERROR(OFFSET(Items[],MATCH($C37,INDIRECT(RangePlanCount),0)-1,MATCH(S$1,Items[#Headers],0)-1,1,1)=0,TRUE)),"",IF(AND(OFFSET(Items[],MATCH($C37,INDIRECT(RangePlanCount),0)-1,MATCH(S$1,Items[#Headers],0)-1,1,1)&gt;0,$J37="LPSM"),"ALL",TEXT(OFFSET(Items[],MATCH($C37,INDIRECT(RangePlanCount),0)-1,MATCH(S$1,Items[#Headers],0)-1,1,1),"###,###,##0"&amp;IF(OFFSET(Items[],MATCH($C37,INDIRECT(RangePlanCount),0)-1,MATCH(Decimals,Items[#Headers],0)-1,1,1)&gt;0,"."&amp;REPT("0",OFFSET(Items[],MATCH($C37,INDIRECT(RangePlanCount),0)-1,MATCH(Decimals,Items[#Headers],0)-1,1,1)),""))))</f>
        <v/>
      </c>
      <c r="T37" s="302" t="str">
        <f ca="1">IF(OR($C37=OFFSET($C37,1,0),$A37&gt;End,IFERROR(OFFSET(Items[],MATCH($C37,INDIRECT(RangePlanCount),0)-1,MATCH(T$1,Items[#Headers],0)-1,1,1)=0,TRUE)),"",IF(AND(OFFSET(Items[],MATCH($C37,INDIRECT(RangePlanCount),0)-1,MATCH(T$1,Items[#Headers],0)-1,1,1)&gt;0,$J37="LPSM"),"ALL",TEXT(OFFSET(Items[],MATCH($C37,INDIRECT(RangePlanCount),0)-1,MATCH(T$1,Items[#Headers],0)-1,1,1),"###,###,##0"&amp;IF(OFFSET(Items[],MATCH($C37,INDIRECT(RangePlanCount),0)-1,MATCH(Decimals,Items[#Headers],0)-1,1,1)&gt;0,"."&amp;REPT("0",OFFSET(Items[],MATCH($C37,INDIRECT(RangePlanCount),0)-1,MATCH(Decimals,Items[#Headers],0)-1,1,1)),""))))</f>
        <v/>
      </c>
      <c r="U37" s="302" t="str">
        <f ca="1">IF(OR($C37=OFFSET($C37,1,0),$A37&gt;End,IFERROR(OFFSET(Items[],MATCH($C37,INDIRECT(RangePlanCount),0)-1,MATCH(U$1,Items[#Headers],0)-1,1,1)=0,TRUE)),"",IF(AND(OFFSET(Items[],MATCH($C37,INDIRECT(RangePlanCount),0)-1,MATCH(U$1,Items[#Headers],0)-1,1,1)&gt;0,$J37="LPSM"),"ALL",TEXT(OFFSET(Items[],MATCH($C37,INDIRECT(RangePlanCount),0)-1,MATCH(U$1,Items[#Headers],0)-1,1,1),"###,###,##0"&amp;IF(OFFSET(Items[],MATCH($C37,INDIRECT(RangePlanCount),0)-1,MATCH(Decimals,Items[#Headers],0)-1,1,1)&gt;0,"."&amp;REPT("0",OFFSET(Items[],MATCH($C37,INDIRECT(RangePlanCount),0)-1,MATCH(Decimals,Items[#Headers],0)-1,1,1)),""))))</f>
        <v/>
      </c>
      <c r="V37" s="302" t="str">
        <f ca="1">IF(OR($C37=OFFSET($C37,1,0),$A37&gt;End,IFERROR(OFFSET(Items[],MATCH($C37,INDIRECT(RangePlanCount),0)-1,MATCH(V$1,Items[#Headers],0)-1,1,1)=0,TRUE)),"",IF(AND(OFFSET(Items[],MATCH($C37,INDIRECT(RangePlanCount),0)-1,MATCH(V$1,Items[#Headers],0)-1,1,1)&gt;0,$J37="LPSM"),"ALL",TEXT(OFFSET(Items[],MATCH($C37,INDIRECT(RangePlanCount),0)-1,MATCH(V$1,Items[#Headers],0)-1,1,1),"###,###,##0"&amp;IF(OFFSET(Items[],MATCH($C37,INDIRECT(RangePlanCount),0)-1,MATCH(Decimals,Items[#Headers],0)-1,1,1)&gt;0,"."&amp;REPT("0",OFFSET(Items[],MATCH($C37,INDIRECT(RangePlanCount),0)-1,MATCH(Decimals,Items[#Headers],0)-1,1,1)),""))))</f>
        <v/>
      </c>
      <c r="W37" s="304" t="str">
        <f ca="1">IF(OR($C37=OFFSET($C37,1,0),$A37&gt;End,IFERROR(OFFSET(Items[],MATCH($C37,INDIRECT(RangePlanCount),0)-1,MATCH(W$1,Items[#Headers],0)-1,1,1)=0,TRUE)),"",IF(AND(OFFSET(Items[],MATCH($C37,INDIRECT(RangePlanCount),0)-1,MATCH(W$1,Items[#Headers],0)-1,1,1)&gt;0,$J37="LPSM"),"ALL",TEXT(OFFSET(Items[],MATCH($C37,INDIRECT(RangePlanCount),0)-1,MATCH(W$1,Items[#Headers],0)-1,1,1),"###,###,##0"&amp;IF(OFFSET(Items[],MATCH($C37,INDIRECT(RangePlanCount),0)-1,MATCH(Decimals,Items[#Headers],0)-1,1,1)&gt;0,"."&amp;REPT("0",OFFSET(Items[],MATCH($C37,INDIRECT(RangePlanCount),0)-1,MATCH(Decimals,Items[#Headers],0)-1,1,1)),""))))</f>
        <v/>
      </c>
      <c r="X37" s="305" t="str">
        <f ca="1">IF(OR($C37=OFFSET($C37,1,0),$A37&gt;End,IFERROR(OFFSET(Items[],MATCH($C37,INDIRECT(RangePlanCount),0)-1,MATCH(X$1,Items[#Headers],0)-1,1,1)=0,TRUE)),"",IF(AND(OFFSET(Items[],MATCH($C37,INDIRECT(RangePlanCount),0)-1,MATCH(X$1,Items[#Headers],0)-1,1,1)&gt;0,$J37="LPSM"),"ALL",TEXT(OFFSET(Items[],MATCH($C37,INDIRECT(RangePlanCount),0)-1,MATCH(X$1,Items[#Headers],0)-1,1,1),"###,###,##0"&amp;IF(OFFSET(Items[],MATCH($C37,INDIRECT(RangePlanCount),0)-1,MATCH(Decimals,Items[#Headers],0)-1,1,1)&gt;0,"."&amp;REPT("0",OFFSET(Items[],MATCH($C37,INDIRECT(RangePlanCount),0)-1,MATCH(Decimals,Items[#Headers],0)-1,1,1)),""))))</f>
        <v/>
      </c>
      <c r="Y37" s="306" t="str">
        <f ca="1">IF(OR($A37&gt;End,COUNTIF($C$7:$C37,$C37)&gt;lines_R),"",IF(COUNTIF($C$7:$C37,$C37)=1,LEFT(VLOOKUP($C37,Calcs[],col_Remarks,0),VLOOKUP($C37,Calcs[],col_R,0)),MID(VLOOKUP($C37,Calcs[],col_Remarks,0),VLOOKUP($C37,Calcs[],col_R+COUNTIF($C$7:$C37,$C37)-2,0)+1,VLOOKUP($C37,Calcs[],col_R+COUNTIF($C$7:$C37,$C37)-1,0)-VLOOKUP($C37,Calcs[],col_R+COUNTIF($C$7:$C37,$C37)-2,0))))</f>
        <v/>
      </c>
      <c r="Z37" s="300"/>
      <c r="AA37" s="1"/>
    </row>
    <row r="38" spans="1:27" ht="15" customHeight="1" x14ac:dyDescent="0.15">
      <c r="A38" s="58">
        <f t="shared" ca="1" si="1"/>
        <v>31</v>
      </c>
      <c r="C38" s="58">
        <f ca="1">IFERROR(VLOOKUP(A38,Calcs[],1,0),OFFSET(C38,1,0))</f>
        <v>0</v>
      </c>
      <c r="D38" s="342"/>
      <c r="E38" s="59"/>
      <c r="F38" s="301" t="str">
        <f ca="1">IF(OR($C38=OFFSET($C38,-1,0),$A38&gt;End),"",_xlfn.XLOOKUP($C38,Items[PlanCounter],Items[Amend],_xlfn.XLOOKUP($C38,Proposed[PlanCounter],Proposed[Amend])))</f>
        <v/>
      </c>
      <c r="G38" s="302" t="str">
        <f ca="1">IF(OR($C38=OFFSET($C38,-1,0),$A38&gt;End),"",_xlfn.XLOOKUP($C38,Calcs[Counter],Calcs[Line]))</f>
        <v/>
      </c>
      <c r="H38" s="302" t="str" cm="1">
        <f t="array" aca="1" ref="H38" ca="1">IF(OR($C38=OFFSET($C38,-1,0),$A38&gt;End),"",_xlfn.XLOOKUP($C38,INDIRECT(RangePlanCount),INDIRECT(RangeItems)))</f>
        <v/>
      </c>
      <c r="I38" s="294" t="str">
        <f ca="1">IF(OR($A38&gt;End,COUNTIF($C$7:$C38,$C38)&gt;lines_D),"",IF(COUNTIF($C$7:$C38,$C38)=1,LEFT(VLOOKUP($C38,Calcs[],col_Description,0),VLOOKUP($C38,Calcs[],col_D,0)),MID(VLOOKUP($C38,Calcs[],col_Description,0),VLOOKUP($C38,Calcs[],col_D+COUNTIF($C$7:$C38,$C38)-2,0)+1,VLOOKUP($C38,Calcs[],col_D+COUNTIF($C$7:$C38,$C38)-1,0)-VLOOKUP($C38,Calcs[],col_D+COUNTIF($C$7:$C38,$C38)-2,0))))</f>
        <v/>
      </c>
      <c r="J38" s="295" t="str" cm="1">
        <f t="array" aca="1" ref="J38" ca="1">IF(OR($C38=OFFSET($C38,1,0),$A38&gt;End),"",_xlfn.XLOOKUP($C38,INDIRECT(RangePlanCount),INDIRECT(RangeUnit)))</f>
        <v/>
      </c>
      <c r="K38" s="303" t="str">
        <f ca="1">IF(OR($C38=OFFSET($C38,1,0),$A38&gt;End,IFERROR(OFFSET(Items[],MATCH($C38,INDIRECT(RangePlanCount),0)-1,MATCH(K$1,Items[#Headers],0)-1,1,1)=0,TRUE)),"",IF(AND(OFFSET(Items[],MATCH($C38,INDIRECT(RangePlanCount),0)-1,MATCH(K$1,Items[#Headers],0)-1,1,1)&gt;0,$J38="LPSM"),"ALL",TEXT(OFFSET(Items[],MATCH($C38,INDIRECT(RangePlanCount),0)-1,MATCH(K$1,Items[#Headers],0)-1,1,1),"###,###,##0"&amp;IF(OFFSET(Items[],MATCH($C38,INDIRECT(RangePlanCount),0)-1,MATCH(Decimals,Items[#Headers],0)-1,1,1)&gt;0,"."&amp;REPT("0",OFFSET(Items[],MATCH($C38,INDIRECT(RangePlanCount),0)-1,MATCH(Decimals,Items[#Headers],0)-1,1,1)),""))))</f>
        <v/>
      </c>
      <c r="L38" s="302" t="str">
        <f ca="1">IF(OR($C38=OFFSET($C38,1,0),$A38&gt;End,IFERROR(OFFSET(Items[],MATCH($C38,INDIRECT(RangePlanCount),0)-1,MATCH(L$1,Items[#Headers],0)-1,1,1)=0,TRUE)),"",IF(AND(OFFSET(Items[],MATCH($C38,INDIRECT(RangePlanCount),0)-1,MATCH(L$1,Items[#Headers],0)-1,1,1)&gt;0,$J38="LPSM"),"ALL",TEXT(OFFSET(Items[],MATCH($C38,INDIRECT(RangePlanCount),0)-1,MATCH(L$1,Items[#Headers],0)-1,1,1),"###,###,##0"&amp;IF(OFFSET(Items[],MATCH($C38,INDIRECT(RangePlanCount),0)-1,MATCH(Decimals,Items[#Headers],0)-1,1,1)&gt;0,"."&amp;REPT("0",OFFSET(Items[],MATCH($C38,INDIRECT(RangePlanCount),0)-1,MATCH(Decimals,Items[#Headers],0)-1,1,1)),""))))</f>
        <v/>
      </c>
      <c r="M38" s="302" t="str">
        <f ca="1">IF(OR($C38=OFFSET($C38,1,0),$A38&gt;End,IFERROR(OFFSET(Items[],MATCH($C38,INDIRECT(RangePlanCount),0)-1,MATCH(M$1,Items[#Headers],0)-1,1,1)=0,TRUE)),"",IF(AND(OFFSET(Items[],MATCH($C38,INDIRECT(RangePlanCount),0)-1,MATCH(M$1,Items[#Headers],0)-1,1,1)&gt;0,$J38="LPSM"),"ALL",TEXT(OFFSET(Items[],MATCH($C38,INDIRECT(RangePlanCount),0)-1,MATCH(M$1,Items[#Headers],0)-1,1,1),"###,###,##0"&amp;IF(OFFSET(Items[],MATCH($C38,INDIRECT(RangePlanCount),0)-1,MATCH(Decimals,Items[#Headers],0)-1,1,1)&gt;0,"."&amp;REPT("0",OFFSET(Items[],MATCH($C38,INDIRECT(RangePlanCount),0)-1,MATCH(Decimals,Items[#Headers],0)-1,1,1)),""))))</f>
        <v/>
      </c>
      <c r="N38" s="302" t="str">
        <f ca="1">IF(OR($C38=OFFSET($C38,1,0),$A38&gt;End,IFERROR(OFFSET(Items[],MATCH($C38,INDIRECT(RangePlanCount),0)-1,MATCH(N$1,Items[#Headers],0)-1,1,1)=0,TRUE)),"",IF(AND(OFFSET(Items[],MATCH($C38,INDIRECT(RangePlanCount),0)-1,MATCH(N$1,Items[#Headers],0)-1,1,1)&gt;0,$J38="LPSM"),"ALL",TEXT(OFFSET(Items[],MATCH($C38,INDIRECT(RangePlanCount),0)-1,MATCH(N$1,Items[#Headers],0)-1,1,1),"###,###,##0"&amp;IF(OFFSET(Items[],MATCH($C38,INDIRECT(RangePlanCount),0)-1,MATCH(Decimals,Items[#Headers],0)-1,1,1)&gt;0,"."&amp;REPT("0",OFFSET(Items[],MATCH($C38,INDIRECT(RangePlanCount),0)-1,MATCH(Decimals,Items[#Headers],0)-1,1,1)),""))))</f>
        <v/>
      </c>
      <c r="O38" s="302" t="str">
        <f ca="1">IF(OR($C38=OFFSET($C38,1,0),$A38&gt;End,IFERROR(OFFSET(Items[],MATCH($C38,INDIRECT(RangePlanCount),0)-1,MATCH(O$1,Items[#Headers],0)-1,1,1)=0,TRUE)),"",IF(AND(OFFSET(Items[],MATCH($C38,INDIRECT(RangePlanCount),0)-1,MATCH(O$1,Items[#Headers],0)-1,1,1)&gt;0,$J38="LPSM"),"ALL",TEXT(OFFSET(Items[],MATCH($C38,INDIRECT(RangePlanCount),0)-1,MATCH(O$1,Items[#Headers],0)-1,1,1),"###,###,##0"&amp;IF(OFFSET(Items[],MATCH($C38,INDIRECT(RangePlanCount),0)-1,MATCH(Decimals,Items[#Headers],0)-1,1,1)&gt;0,"."&amp;REPT("0",OFFSET(Items[],MATCH($C38,INDIRECT(RangePlanCount),0)-1,MATCH(Decimals,Items[#Headers],0)-1,1,1)),""))))</f>
        <v/>
      </c>
      <c r="P38" s="302" t="str">
        <f ca="1">IF(OR($C38=OFFSET($C38,1,0),$A38&gt;End,IFERROR(OFFSET(Items[],MATCH($C38,INDIRECT(RangePlanCount),0)-1,MATCH(P$1,Items[#Headers],0)-1,1,1)=0,TRUE)),"",IF(AND(OFFSET(Items[],MATCH($C38,INDIRECT(RangePlanCount),0)-1,MATCH(P$1,Items[#Headers],0)-1,1,1)&gt;0,$J38="LPSM"),"ALL",TEXT(OFFSET(Items[],MATCH($C38,INDIRECT(RangePlanCount),0)-1,MATCH(P$1,Items[#Headers],0)-1,1,1),"###,###,##0"&amp;IF(OFFSET(Items[],MATCH($C38,INDIRECT(RangePlanCount),0)-1,MATCH(Decimals,Items[#Headers],0)-1,1,1)&gt;0,"."&amp;REPT("0",OFFSET(Items[],MATCH($C38,INDIRECT(RangePlanCount),0)-1,MATCH(Decimals,Items[#Headers],0)-1,1,1)),""))))</f>
        <v/>
      </c>
      <c r="Q38" s="302" t="str">
        <f ca="1">IF(OR($C38=OFFSET($C38,1,0),$A38&gt;End,IFERROR(OFFSET(Items[],MATCH($C38,INDIRECT(RangePlanCount),0)-1,MATCH(Q$1,Items[#Headers],0)-1,1,1)=0,TRUE)),"",IF(AND(OFFSET(Items[],MATCH($C38,INDIRECT(RangePlanCount),0)-1,MATCH(Q$1,Items[#Headers],0)-1,1,1)&gt;0,$J38="LPSM"),"ALL",TEXT(OFFSET(Items[],MATCH($C38,INDIRECT(RangePlanCount),0)-1,MATCH(Q$1,Items[#Headers],0)-1,1,1),"###,###,##0"&amp;IF(OFFSET(Items[],MATCH($C38,INDIRECT(RangePlanCount),0)-1,MATCH(Decimals,Items[#Headers],0)-1,1,1)&gt;0,"."&amp;REPT("0",OFFSET(Items[],MATCH($C38,INDIRECT(RangePlanCount),0)-1,MATCH(Decimals,Items[#Headers],0)-1,1,1)),""))))</f>
        <v/>
      </c>
      <c r="R38" s="302" t="str">
        <f ca="1">IF(OR($C38=OFFSET($C38,1,0),$A38&gt;End,IFERROR(OFFSET(Items[],MATCH($C38,INDIRECT(RangePlanCount),0)-1,MATCH(R$1,Items[#Headers],0)-1,1,1)=0,TRUE)),"",IF(AND(OFFSET(Items[],MATCH($C38,INDIRECT(RangePlanCount),0)-1,MATCH(R$1,Items[#Headers],0)-1,1,1)&gt;0,$J38="LPSM"),"ALL",TEXT(OFFSET(Items[],MATCH($C38,INDIRECT(RangePlanCount),0)-1,MATCH(R$1,Items[#Headers],0)-1,1,1),"###,###,##0"&amp;IF(OFFSET(Items[],MATCH($C38,INDIRECT(RangePlanCount),0)-1,MATCH(Decimals,Items[#Headers],0)-1,1,1)&gt;0,"."&amp;REPT("0",OFFSET(Items[],MATCH($C38,INDIRECT(RangePlanCount),0)-1,MATCH(Decimals,Items[#Headers],0)-1,1,1)),""))))</f>
        <v/>
      </c>
      <c r="S38" s="302" t="str">
        <f ca="1">IF(OR($C38=OFFSET($C38,1,0),$A38&gt;End,IFERROR(OFFSET(Items[],MATCH($C38,INDIRECT(RangePlanCount),0)-1,MATCH(S$1,Items[#Headers],0)-1,1,1)=0,TRUE)),"",IF(AND(OFFSET(Items[],MATCH($C38,INDIRECT(RangePlanCount),0)-1,MATCH(S$1,Items[#Headers],0)-1,1,1)&gt;0,$J38="LPSM"),"ALL",TEXT(OFFSET(Items[],MATCH($C38,INDIRECT(RangePlanCount),0)-1,MATCH(S$1,Items[#Headers],0)-1,1,1),"###,###,##0"&amp;IF(OFFSET(Items[],MATCH($C38,INDIRECT(RangePlanCount),0)-1,MATCH(Decimals,Items[#Headers],0)-1,1,1)&gt;0,"."&amp;REPT("0",OFFSET(Items[],MATCH($C38,INDIRECT(RangePlanCount),0)-1,MATCH(Decimals,Items[#Headers],0)-1,1,1)),""))))</f>
        <v/>
      </c>
      <c r="T38" s="302" t="str">
        <f ca="1">IF(OR($C38=OFFSET($C38,1,0),$A38&gt;End,IFERROR(OFFSET(Items[],MATCH($C38,INDIRECT(RangePlanCount),0)-1,MATCH(T$1,Items[#Headers],0)-1,1,1)=0,TRUE)),"",IF(AND(OFFSET(Items[],MATCH($C38,INDIRECT(RangePlanCount),0)-1,MATCH(T$1,Items[#Headers],0)-1,1,1)&gt;0,$J38="LPSM"),"ALL",TEXT(OFFSET(Items[],MATCH($C38,INDIRECT(RangePlanCount),0)-1,MATCH(T$1,Items[#Headers],0)-1,1,1),"###,###,##0"&amp;IF(OFFSET(Items[],MATCH($C38,INDIRECT(RangePlanCount),0)-1,MATCH(Decimals,Items[#Headers],0)-1,1,1)&gt;0,"."&amp;REPT("0",OFFSET(Items[],MATCH($C38,INDIRECT(RangePlanCount),0)-1,MATCH(Decimals,Items[#Headers],0)-1,1,1)),""))))</f>
        <v/>
      </c>
      <c r="U38" s="302" t="str">
        <f ca="1">IF(OR($C38=OFFSET($C38,1,0),$A38&gt;End,IFERROR(OFFSET(Items[],MATCH($C38,INDIRECT(RangePlanCount),0)-1,MATCH(U$1,Items[#Headers],0)-1,1,1)=0,TRUE)),"",IF(AND(OFFSET(Items[],MATCH($C38,INDIRECT(RangePlanCount),0)-1,MATCH(U$1,Items[#Headers],0)-1,1,1)&gt;0,$J38="LPSM"),"ALL",TEXT(OFFSET(Items[],MATCH($C38,INDIRECT(RangePlanCount),0)-1,MATCH(U$1,Items[#Headers],0)-1,1,1),"###,###,##0"&amp;IF(OFFSET(Items[],MATCH($C38,INDIRECT(RangePlanCount),0)-1,MATCH(Decimals,Items[#Headers],0)-1,1,1)&gt;0,"."&amp;REPT("0",OFFSET(Items[],MATCH($C38,INDIRECT(RangePlanCount),0)-1,MATCH(Decimals,Items[#Headers],0)-1,1,1)),""))))</f>
        <v/>
      </c>
      <c r="V38" s="302" t="str">
        <f ca="1">IF(OR($C38=OFFSET($C38,1,0),$A38&gt;End,IFERROR(OFFSET(Items[],MATCH($C38,INDIRECT(RangePlanCount),0)-1,MATCH(V$1,Items[#Headers],0)-1,1,1)=0,TRUE)),"",IF(AND(OFFSET(Items[],MATCH($C38,INDIRECT(RangePlanCount),0)-1,MATCH(V$1,Items[#Headers],0)-1,1,1)&gt;0,$J38="LPSM"),"ALL",TEXT(OFFSET(Items[],MATCH($C38,INDIRECT(RangePlanCount),0)-1,MATCH(V$1,Items[#Headers],0)-1,1,1),"###,###,##0"&amp;IF(OFFSET(Items[],MATCH($C38,INDIRECT(RangePlanCount),0)-1,MATCH(Decimals,Items[#Headers],0)-1,1,1)&gt;0,"."&amp;REPT("0",OFFSET(Items[],MATCH($C38,INDIRECT(RangePlanCount),0)-1,MATCH(Decimals,Items[#Headers],0)-1,1,1)),""))))</f>
        <v/>
      </c>
      <c r="W38" s="304" t="str">
        <f ca="1">IF(OR($C38=OFFSET($C38,1,0),$A38&gt;End,IFERROR(OFFSET(Items[],MATCH($C38,INDIRECT(RangePlanCount),0)-1,MATCH(W$1,Items[#Headers],0)-1,1,1)=0,TRUE)),"",IF(AND(OFFSET(Items[],MATCH($C38,INDIRECT(RangePlanCount),0)-1,MATCH(W$1,Items[#Headers],0)-1,1,1)&gt;0,$J38="LPSM"),"ALL",TEXT(OFFSET(Items[],MATCH($C38,INDIRECT(RangePlanCount),0)-1,MATCH(W$1,Items[#Headers],0)-1,1,1),"###,###,##0"&amp;IF(OFFSET(Items[],MATCH($C38,INDIRECT(RangePlanCount),0)-1,MATCH(Decimals,Items[#Headers],0)-1,1,1)&gt;0,"."&amp;REPT("0",OFFSET(Items[],MATCH($C38,INDIRECT(RangePlanCount),0)-1,MATCH(Decimals,Items[#Headers],0)-1,1,1)),""))))</f>
        <v/>
      </c>
      <c r="X38" s="305" t="str">
        <f ca="1">IF(OR($C38=OFFSET($C38,1,0),$A38&gt;End,IFERROR(OFFSET(Items[],MATCH($C38,INDIRECT(RangePlanCount),0)-1,MATCH(X$1,Items[#Headers],0)-1,1,1)=0,TRUE)),"",IF(AND(OFFSET(Items[],MATCH($C38,INDIRECT(RangePlanCount),0)-1,MATCH(X$1,Items[#Headers],0)-1,1,1)&gt;0,$J38="LPSM"),"ALL",TEXT(OFFSET(Items[],MATCH($C38,INDIRECT(RangePlanCount),0)-1,MATCH(X$1,Items[#Headers],0)-1,1,1),"###,###,##0"&amp;IF(OFFSET(Items[],MATCH($C38,INDIRECT(RangePlanCount),0)-1,MATCH(Decimals,Items[#Headers],0)-1,1,1)&gt;0,"."&amp;REPT("0",OFFSET(Items[],MATCH($C38,INDIRECT(RangePlanCount),0)-1,MATCH(Decimals,Items[#Headers],0)-1,1,1)),""))))</f>
        <v/>
      </c>
      <c r="Y38" s="306" t="str">
        <f ca="1">IF(OR($A38&gt;End,COUNTIF($C$7:$C38,$C38)&gt;lines_R),"",IF(COUNTIF($C$7:$C38,$C38)=1,LEFT(VLOOKUP($C38,Calcs[],col_Remarks,0),VLOOKUP($C38,Calcs[],col_R,0)),MID(VLOOKUP($C38,Calcs[],col_Remarks,0),VLOOKUP($C38,Calcs[],col_R+COUNTIF($C$7:$C38,$C38)-2,0)+1,VLOOKUP($C38,Calcs[],col_R+COUNTIF($C$7:$C38,$C38)-1,0)-VLOOKUP($C38,Calcs[],col_R+COUNTIF($C$7:$C38,$C38)-2,0))))</f>
        <v/>
      </c>
      <c r="Z38" s="300"/>
      <c r="AA38" s="1"/>
    </row>
    <row r="39" spans="1:27" ht="15" customHeight="1" x14ac:dyDescent="0.15">
      <c r="A39" s="58">
        <f t="shared" ca="1" si="1"/>
        <v>32</v>
      </c>
      <c r="C39" s="58">
        <f ca="1">IFERROR(VLOOKUP(A39,Calcs[],1,0),OFFSET(C39,1,0))</f>
        <v>0</v>
      </c>
      <c r="D39" s="342"/>
      <c r="E39" s="59"/>
      <c r="F39" s="301" t="str">
        <f ca="1">IF(OR($C39=OFFSET($C39,-1,0),$A39&gt;End),"",_xlfn.XLOOKUP($C39,Items[PlanCounter],Items[Amend],_xlfn.XLOOKUP($C39,Proposed[PlanCounter],Proposed[Amend])))</f>
        <v/>
      </c>
      <c r="G39" s="302" t="str">
        <f ca="1">IF(OR($C39=OFFSET($C39,-1,0),$A39&gt;End),"",_xlfn.XLOOKUP($C39,Calcs[Counter],Calcs[Line]))</f>
        <v/>
      </c>
      <c r="H39" s="302" t="str" cm="1">
        <f t="array" aca="1" ref="H39" ca="1">IF(OR($C39=OFFSET($C39,-1,0),$A39&gt;End),"",_xlfn.XLOOKUP($C39,INDIRECT(RangePlanCount),INDIRECT(RangeItems)))</f>
        <v/>
      </c>
      <c r="I39" s="294" t="str">
        <f ca="1">IF(OR($A39&gt;End,COUNTIF($C$7:$C39,$C39)&gt;lines_D),"",IF(COUNTIF($C$7:$C39,$C39)=1,LEFT(VLOOKUP($C39,Calcs[],col_Description,0),VLOOKUP($C39,Calcs[],col_D,0)),MID(VLOOKUP($C39,Calcs[],col_Description,0),VLOOKUP($C39,Calcs[],col_D+COUNTIF($C$7:$C39,$C39)-2,0)+1,VLOOKUP($C39,Calcs[],col_D+COUNTIF($C$7:$C39,$C39)-1,0)-VLOOKUP($C39,Calcs[],col_D+COUNTIF($C$7:$C39,$C39)-2,0))))</f>
        <v/>
      </c>
      <c r="J39" s="295" t="str" cm="1">
        <f t="array" aca="1" ref="J39" ca="1">IF(OR($C39=OFFSET($C39,1,0),$A39&gt;End),"",_xlfn.XLOOKUP($C39,INDIRECT(RangePlanCount),INDIRECT(RangeUnit)))</f>
        <v/>
      </c>
      <c r="K39" s="303" t="str">
        <f ca="1">IF(OR($C39=OFFSET($C39,1,0),$A39&gt;End,IFERROR(OFFSET(Items[],MATCH($C39,INDIRECT(RangePlanCount),0)-1,MATCH(K$1,Items[#Headers],0)-1,1,1)=0,TRUE)),"",IF(AND(OFFSET(Items[],MATCH($C39,INDIRECT(RangePlanCount),0)-1,MATCH(K$1,Items[#Headers],0)-1,1,1)&gt;0,$J39="LPSM"),"ALL",TEXT(OFFSET(Items[],MATCH($C39,INDIRECT(RangePlanCount),0)-1,MATCH(K$1,Items[#Headers],0)-1,1,1),"###,###,##0"&amp;IF(OFFSET(Items[],MATCH($C39,INDIRECT(RangePlanCount),0)-1,MATCH(Decimals,Items[#Headers],0)-1,1,1)&gt;0,"."&amp;REPT("0",OFFSET(Items[],MATCH($C39,INDIRECT(RangePlanCount),0)-1,MATCH(Decimals,Items[#Headers],0)-1,1,1)),""))))</f>
        <v/>
      </c>
      <c r="L39" s="302" t="str">
        <f ca="1">IF(OR($C39=OFFSET($C39,1,0),$A39&gt;End,IFERROR(OFFSET(Items[],MATCH($C39,INDIRECT(RangePlanCount),0)-1,MATCH(L$1,Items[#Headers],0)-1,1,1)=0,TRUE)),"",IF(AND(OFFSET(Items[],MATCH($C39,INDIRECT(RangePlanCount),0)-1,MATCH(L$1,Items[#Headers],0)-1,1,1)&gt;0,$J39="LPSM"),"ALL",TEXT(OFFSET(Items[],MATCH($C39,INDIRECT(RangePlanCount),0)-1,MATCH(L$1,Items[#Headers],0)-1,1,1),"###,###,##0"&amp;IF(OFFSET(Items[],MATCH($C39,INDIRECT(RangePlanCount),0)-1,MATCH(Decimals,Items[#Headers],0)-1,1,1)&gt;0,"."&amp;REPT("0",OFFSET(Items[],MATCH($C39,INDIRECT(RangePlanCount),0)-1,MATCH(Decimals,Items[#Headers],0)-1,1,1)),""))))</f>
        <v/>
      </c>
      <c r="M39" s="302" t="str">
        <f ca="1">IF(OR($C39=OFFSET($C39,1,0),$A39&gt;End,IFERROR(OFFSET(Items[],MATCH($C39,INDIRECT(RangePlanCount),0)-1,MATCH(M$1,Items[#Headers],0)-1,1,1)=0,TRUE)),"",IF(AND(OFFSET(Items[],MATCH($C39,INDIRECT(RangePlanCount),0)-1,MATCH(M$1,Items[#Headers],0)-1,1,1)&gt;0,$J39="LPSM"),"ALL",TEXT(OFFSET(Items[],MATCH($C39,INDIRECT(RangePlanCount),0)-1,MATCH(M$1,Items[#Headers],0)-1,1,1),"###,###,##0"&amp;IF(OFFSET(Items[],MATCH($C39,INDIRECT(RangePlanCount),0)-1,MATCH(Decimals,Items[#Headers],0)-1,1,1)&gt;0,"."&amp;REPT("0",OFFSET(Items[],MATCH($C39,INDIRECT(RangePlanCount),0)-1,MATCH(Decimals,Items[#Headers],0)-1,1,1)),""))))</f>
        <v/>
      </c>
      <c r="N39" s="302" t="str">
        <f ca="1">IF(OR($C39=OFFSET($C39,1,0),$A39&gt;End,IFERROR(OFFSET(Items[],MATCH($C39,INDIRECT(RangePlanCount),0)-1,MATCH(N$1,Items[#Headers],0)-1,1,1)=0,TRUE)),"",IF(AND(OFFSET(Items[],MATCH($C39,INDIRECT(RangePlanCount),0)-1,MATCH(N$1,Items[#Headers],0)-1,1,1)&gt;0,$J39="LPSM"),"ALL",TEXT(OFFSET(Items[],MATCH($C39,INDIRECT(RangePlanCount),0)-1,MATCH(N$1,Items[#Headers],0)-1,1,1),"###,###,##0"&amp;IF(OFFSET(Items[],MATCH($C39,INDIRECT(RangePlanCount),0)-1,MATCH(Decimals,Items[#Headers],0)-1,1,1)&gt;0,"."&amp;REPT("0",OFFSET(Items[],MATCH($C39,INDIRECT(RangePlanCount),0)-1,MATCH(Decimals,Items[#Headers],0)-1,1,1)),""))))</f>
        <v/>
      </c>
      <c r="O39" s="302" t="str">
        <f ca="1">IF(OR($C39=OFFSET($C39,1,0),$A39&gt;End,IFERROR(OFFSET(Items[],MATCH($C39,INDIRECT(RangePlanCount),0)-1,MATCH(O$1,Items[#Headers],0)-1,1,1)=0,TRUE)),"",IF(AND(OFFSET(Items[],MATCH($C39,INDIRECT(RangePlanCount),0)-1,MATCH(O$1,Items[#Headers],0)-1,1,1)&gt;0,$J39="LPSM"),"ALL",TEXT(OFFSET(Items[],MATCH($C39,INDIRECT(RangePlanCount),0)-1,MATCH(O$1,Items[#Headers],0)-1,1,1),"###,###,##0"&amp;IF(OFFSET(Items[],MATCH($C39,INDIRECT(RangePlanCount),0)-1,MATCH(Decimals,Items[#Headers],0)-1,1,1)&gt;0,"."&amp;REPT("0",OFFSET(Items[],MATCH($C39,INDIRECT(RangePlanCount),0)-1,MATCH(Decimals,Items[#Headers],0)-1,1,1)),""))))</f>
        <v/>
      </c>
      <c r="P39" s="302" t="str">
        <f ca="1">IF(OR($C39=OFFSET($C39,1,0),$A39&gt;End,IFERROR(OFFSET(Items[],MATCH($C39,INDIRECT(RangePlanCount),0)-1,MATCH(P$1,Items[#Headers],0)-1,1,1)=0,TRUE)),"",IF(AND(OFFSET(Items[],MATCH($C39,INDIRECT(RangePlanCount),0)-1,MATCH(P$1,Items[#Headers],0)-1,1,1)&gt;0,$J39="LPSM"),"ALL",TEXT(OFFSET(Items[],MATCH($C39,INDIRECT(RangePlanCount),0)-1,MATCH(P$1,Items[#Headers],0)-1,1,1),"###,###,##0"&amp;IF(OFFSET(Items[],MATCH($C39,INDIRECT(RangePlanCount),0)-1,MATCH(Decimals,Items[#Headers],0)-1,1,1)&gt;0,"."&amp;REPT("0",OFFSET(Items[],MATCH($C39,INDIRECT(RangePlanCount),0)-1,MATCH(Decimals,Items[#Headers],0)-1,1,1)),""))))</f>
        <v/>
      </c>
      <c r="Q39" s="302" t="str">
        <f ca="1">IF(OR($C39=OFFSET($C39,1,0),$A39&gt;End,IFERROR(OFFSET(Items[],MATCH($C39,INDIRECT(RangePlanCount),0)-1,MATCH(Q$1,Items[#Headers],0)-1,1,1)=0,TRUE)),"",IF(AND(OFFSET(Items[],MATCH($C39,INDIRECT(RangePlanCount),0)-1,MATCH(Q$1,Items[#Headers],0)-1,1,1)&gt;0,$J39="LPSM"),"ALL",TEXT(OFFSET(Items[],MATCH($C39,INDIRECT(RangePlanCount),0)-1,MATCH(Q$1,Items[#Headers],0)-1,1,1),"###,###,##0"&amp;IF(OFFSET(Items[],MATCH($C39,INDIRECT(RangePlanCount),0)-1,MATCH(Decimals,Items[#Headers],0)-1,1,1)&gt;0,"."&amp;REPT("0",OFFSET(Items[],MATCH($C39,INDIRECT(RangePlanCount),0)-1,MATCH(Decimals,Items[#Headers],0)-1,1,1)),""))))</f>
        <v/>
      </c>
      <c r="R39" s="302" t="str">
        <f ca="1">IF(OR($C39=OFFSET($C39,1,0),$A39&gt;End,IFERROR(OFFSET(Items[],MATCH($C39,INDIRECT(RangePlanCount),0)-1,MATCH(R$1,Items[#Headers],0)-1,1,1)=0,TRUE)),"",IF(AND(OFFSET(Items[],MATCH($C39,INDIRECT(RangePlanCount),0)-1,MATCH(R$1,Items[#Headers],0)-1,1,1)&gt;0,$J39="LPSM"),"ALL",TEXT(OFFSET(Items[],MATCH($C39,INDIRECT(RangePlanCount),0)-1,MATCH(R$1,Items[#Headers],0)-1,1,1),"###,###,##0"&amp;IF(OFFSET(Items[],MATCH($C39,INDIRECT(RangePlanCount),0)-1,MATCH(Decimals,Items[#Headers],0)-1,1,1)&gt;0,"."&amp;REPT("0",OFFSET(Items[],MATCH($C39,INDIRECT(RangePlanCount),0)-1,MATCH(Decimals,Items[#Headers],0)-1,1,1)),""))))</f>
        <v/>
      </c>
      <c r="S39" s="302" t="str">
        <f ca="1">IF(OR($C39=OFFSET($C39,1,0),$A39&gt;End,IFERROR(OFFSET(Items[],MATCH($C39,INDIRECT(RangePlanCount),0)-1,MATCH(S$1,Items[#Headers],0)-1,1,1)=0,TRUE)),"",IF(AND(OFFSET(Items[],MATCH($C39,INDIRECT(RangePlanCount),0)-1,MATCH(S$1,Items[#Headers],0)-1,1,1)&gt;0,$J39="LPSM"),"ALL",TEXT(OFFSET(Items[],MATCH($C39,INDIRECT(RangePlanCount),0)-1,MATCH(S$1,Items[#Headers],0)-1,1,1),"###,###,##0"&amp;IF(OFFSET(Items[],MATCH($C39,INDIRECT(RangePlanCount),0)-1,MATCH(Decimals,Items[#Headers],0)-1,1,1)&gt;0,"."&amp;REPT("0",OFFSET(Items[],MATCH($C39,INDIRECT(RangePlanCount),0)-1,MATCH(Decimals,Items[#Headers],0)-1,1,1)),""))))</f>
        <v/>
      </c>
      <c r="T39" s="302" t="str">
        <f ca="1">IF(OR($C39=OFFSET($C39,1,0),$A39&gt;End,IFERROR(OFFSET(Items[],MATCH($C39,INDIRECT(RangePlanCount),0)-1,MATCH(T$1,Items[#Headers],0)-1,1,1)=0,TRUE)),"",IF(AND(OFFSET(Items[],MATCH($C39,INDIRECT(RangePlanCount),0)-1,MATCH(T$1,Items[#Headers],0)-1,1,1)&gt;0,$J39="LPSM"),"ALL",TEXT(OFFSET(Items[],MATCH($C39,INDIRECT(RangePlanCount),0)-1,MATCH(T$1,Items[#Headers],0)-1,1,1),"###,###,##0"&amp;IF(OFFSET(Items[],MATCH($C39,INDIRECT(RangePlanCount),0)-1,MATCH(Decimals,Items[#Headers],0)-1,1,1)&gt;0,"."&amp;REPT("0",OFFSET(Items[],MATCH($C39,INDIRECT(RangePlanCount),0)-1,MATCH(Decimals,Items[#Headers],0)-1,1,1)),""))))</f>
        <v/>
      </c>
      <c r="U39" s="302" t="str">
        <f ca="1">IF(OR($C39=OFFSET($C39,1,0),$A39&gt;End,IFERROR(OFFSET(Items[],MATCH($C39,INDIRECT(RangePlanCount),0)-1,MATCH(U$1,Items[#Headers],0)-1,1,1)=0,TRUE)),"",IF(AND(OFFSET(Items[],MATCH($C39,INDIRECT(RangePlanCount),0)-1,MATCH(U$1,Items[#Headers],0)-1,1,1)&gt;0,$J39="LPSM"),"ALL",TEXT(OFFSET(Items[],MATCH($C39,INDIRECT(RangePlanCount),0)-1,MATCH(U$1,Items[#Headers],0)-1,1,1),"###,###,##0"&amp;IF(OFFSET(Items[],MATCH($C39,INDIRECT(RangePlanCount),0)-1,MATCH(Decimals,Items[#Headers],0)-1,1,1)&gt;0,"."&amp;REPT("0",OFFSET(Items[],MATCH($C39,INDIRECT(RangePlanCount),0)-1,MATCH(Decimals,Items[#Headers],0)-1,1,1)),""))))</f>
        <v/>
      </c>
      <c r="V39" s="302" t="str">
        <f ca="1">IF(OR($C39=OFFSET($C39,1,0),$A39&gt;End,IFERROR(OFFSET(Items[],MATCH($C39,INDIRECT(RangePlanCount),0)-1,MATCH(V$1,Items[#Headers],0)-1,1,1)=0,TRUE)),"",IF(AND(OFFSET(Items[],MATCH($C39,INDIRECT(RangePlanCount),0)-1,MATCH(V$1,Items[#Headers],0)-1,1,1)&gt;0,$J39="LPSM"),"ALL",TEXT(OFFSET(Items[],MATCH($C39,INDIRECT(RangePlanCount),0)-1,MATCH(V$1,Items[#Headers],0)-1,1,1),"###,###,##0"&amp;IF(OFFSET(Items[],MATCH($C39,INDIRECT(RangePlanCount),0)-1,MATCH(Decimals,Items[#Headers],0)-1,1,1)&gt;0,"."&amp;REPT("0",OFFSET(Items[],MATCH($C39,INDIRECT(RangePlanCount),0)-1,MATCH(Decimals,Items[#Headers],0)-1,1,1)),""))))</f>
        <v/>
      </c>
      <c r="W39" s="304" t="str">
        <f ca="1">IF(OR($C39=OFFSET($C39,1,0),$A39&gt;End,IFERROR(OFFSET(Items[],MATCH($C39,INDIRECT(RangePlanCount),0)-1,MATCH(W$1,Items[#Headers],0)-1,1,1)=0,TRUE)),"",IF(AND(OFFSET(Items[],MATCH($C39,INDIRECT(RangePlanCount),0)-1,MATCH(W$1,Items[#Headers],0)-1,1,1)&gt;0,$J39="LPSM"),"ALL",TEXT(OFFSET(Items[],MATCH($C39,INDIRECT(RangePlanCount),0)-1,MATCH(W$1,Items[#Headers],0)-1,1,1),"###,###,##0"&amp;IF(OFFSET(Items[],MATCH($C39,INDIRECT(RangePlanCount),0)-1,MATCH(Decimals,Items[#Headers],0)-1,1,1)&gt;0,"."&amp;REPT("0",OFFSET(Items[],MATCH($C39,INDIRECT(RangePlanCount),0)-1,MATCH(Decimals,Items[#Headers],0)-1,1,1)),""))))</f>
        <v/>
      </c>
      <c r="X39" s="305" t="str">
        <f ca="1">IF(OR($C39=OFFSET($C39,1,0),$A39&gt;End,IFERROR(OFFSET(Items[],MATCH($C39,INDIRECT(RangePlanCount),0)-1,MATCH(X$1,Items[#Headers],0)-1,1,1)=0,TRUE)),"",IF(AND(OFFSET(Items[],MATCH($C39,INDIRECT(RangePlanCount),0)-1,MATCH(X$1,Items[#Headers],0)-1,1,1)&gt;0,$J39="LPSM"),"ALL",TEXT(OFFSET(Items[],MATCH($C39,INDIRECT(RangePlanCount),0)-1,MATCH(X$1,Items[#Headers],0)-1,1,1),"###,###,##0"&amp;IF(OFFSET(Items[],MATCH($C39,INDIRECT(RangePlanCount),0)-1,MATCH(Decimals,Items[#Headers],0)-1,1,1)&gt;0,"."&amp;REPT("0",OFFSET(Items[],MATCH($C39,INDIRECT(RangePlanCount),0)-1,MATCH(Decimals,Items[#Headers],0)-1,1,1)),""))))</f>
        <v/>
      </c>
      <c r="Y39" s="306" t="str">
        <f ca="1">IF(OR($A39&gt;End,COUNTIF($C$7:$C39,$C39)&gt;lines_R),"",IF(COUNTIF($C$7:$C39,$C39)=1,LEFT(VLOOKUP($C39,Calcs[],col_Remarks,0),VLOOKUP($C39,Calcs[],col_R,0)),MID(VLOOKUP($C39,Calcs[],col_Remarks,0),VLOOKUP($C39,Calcs[],col_R+COUNTIF($C$7:$C39,$C39)-2,0)+1,VLOOKUP($C39,Calcs[],col_R+COUNTIF($C$7:$C39,$C39)-1,0)-VLOOKUP($C39,Calcs[],col_R+COUNTIF($C$7:$C39,$C39)-2,0))))</f>
        <v/>
      </c>
      <c r="Z39" s="300"/>
      <c r="AA39" s="1"/>
    </row>
    <row r="40" spans="1:27" ht="15" customHeight="1" x14ac:dyDescent="0.15">
      <c r="A40" s="58">
        <f t="shared" ca="1" si="1"/>
        <v>33</v>
      </c>
      <c r="C40" s="58">
        <f ca="1">IFERROR(VLOOKUP(A40,Calcs[],1,0),OFFSET(C40,1,0))</f>
        <v>0</v>
      </c>
      <c r="D40" s="342"/>
      <c r="E40" s="59"/>
      <c r="F40" s="301" t="str">
        <f ca="1">IF(OR($C40=OFFSET($C40,-1,0),$A40&gt;End),"",_xlfn.XLOOKUP($C40,Items[PlanCounter],Items[Amend],_xlfn.XLOOKUP($C40,Proposed[PlanCounter],Proposed[Amend])))</f>
        <v/>
      </c>
      <c r="G40" s="302" t="str">
        <f ca="1">IF(OR($C40=OFFSET($C40,-1,0),$A40&gt;End),"",_xlfn.XLOOKUP($C40,Calcs[Counter],Calcs[Line]))</f>
        <v/>
      </c>
      <c r="H40" s="302" t="str" cm="1">
        <f t="array" aca="1" ref="H40" ca="1">IF(OR($C40=OFFSET($C40,-1,0),$A40&gt;End),"",_xlfn.XLOOKUP($C40,INDIRECT(RangePlanCount),INDIRECT(RangeItems)))</f>
        <v/>
      </c>
      <c r="I40" s="294" t="str">
        <f ca="1">IF(OR($A40&gt;End,COUNTIF($C$7:$C40,$C40)&gt;lines_D),"",IF(COUNTIF($C$7:$C40,$C40)=1,LEFT(VLOOKUP($C40,Calcs[],col_Description,0),VLOOKUP($C40,Calcs[],col_D,0)),MID(VLOOKUP($C40,Calcs[],col_Description,0),VLOOKUP($C40,Calcs[],col_D+COUNTIF($C$7:$C40,$C40)-2,0)+1,VLOOKUP($C40,Calcs[],col_D+COUNTIF($C$7:$C40,$C40)-1,0)-VLOOKUP($C40,Calcs[],col_D+COUNTIF($C$7:$C40,$C40)-2,0))))</f>
        <v/>
      </c>
      <c r="J40" s="295" t="str" cm="1">
        <f t="array" aca="1" ref="J40" ca="1">IF(OR($C40=OFFSET($C40,1,0),$A40&gt;End),"",_xlfn.XLOOKUP($C40,INDIRECT(RangePlanCount),INDIRECT(RangeUnit)))</f>
        <v/>
      </c>
      <c r="K40" s="303" t="str">
        <f ca="1">IF(OR($C40=OFFSET($C40,1,0),$A40&gt;End,IFERROR(OFFSET(Items[],MATCH($C40,INDIRECT(RangePlanCount),0)-1,MATCH(K$1,Items[#Headers],0)-1,1,1)=0,TRUE)),"",IF(AND(OFFSET(Items[],MATCH($C40,INDIRECT(RangePlanCount),0)-1,MATCH(K$1,Items[#Headers],0)-1,1,1)&gt;0,$J40="LPSM"),"ALL",TEXT(OFFSET(Items[],MATCH($C40,INDIRECT(RangePlanCount),0)-1,MATCH(K$1,Items[#Headers],0)-1,1,1),"###,###,##0"&amp;IF(OFFSET(Items[],MATCH($C40,INDIRECT(RangePlanCount),0)-1,MATCH(Decimals,Items[#Headers],0)-1,1,1)&gt;0,"."&amp;REPT("0",OFFSET(Items[],MATCH($C40,INDIRECT(RangePlanCount),0)-1,MATCH(Decimals,Items[#Headers],0)-1,1,1)),""))))</f>
        <v/>
      </c>
      <c r="L40" s="302" t="str">
        <f ca="1">IF(OR($C40=OFFSET($C40,1,0),$A40&gt;End,IFERROR(OFFSET(Items[],MATCH($C40,INDIRECT(RangePlanCount),0)-1,MATCH(L$1,Items[#Headers],0)-1,1,1)=0,TRUE)),"",IF(AND(OFFSET(Items[],MATCH($C40,INDIRECT(RangePlanCount),0)-1,MATCH(L$1,Items[#Headers],0)-1,1,1)&gt;0,$J40="LPSM"),"ALL",TEXT(OFFSET(Items[],MATCH($C40,INDIRECT(RangePlanCount),0)-1,MATCH(L$1,Items[#Headers],0)-1,1,1),"###,###,##0"&amp;IF(OFFSET(Items[],MATCH($C40,INDIRECT(RangePlanCount),0)-1,MATCH(Decimals,Items[#Headers],0)-1,1,1)&gt;0,"."&amp;REPT("0",OFFSET(Items[],MATCH($C40,INDIRECT(RangePlanCount),0)-1,MATCH(Decimals,Items[#Headers],0)-1,1,1)),""))))</f>
        <v/>
      </c>
      <c r="M40" s="302" t="str">
        <f ca="1">IF(OR($C40=OFFSET($C40,1,0),$A40&gt;End,IFERROR(OFFSET(Items[],MATCH($C40,INDIRECT(RangePlanCount),0)-1,MATCH(M$1,Items[#Headers],0)-1,1,1)=0,TRUE)),"",IF(AND(OFFSET(Items[],MATCH($C40,INDIRECT(RangePlanCount),0)-1,MATCH(M$1,Items[#Headers],0)-1,1,1)&gt;0,$J40="LPSM"),"ALL",TEXT(OFFSET(Items[],MATCH($C40,INDIRECT(RangePlanCount),0)-1,MATCH(M$1,Items[#Headers],0)-1,1,1),"###,###,##0"&amp;IF(OFFSET(Items[],MATCH($C40,INDIRECT(RangePlanCount),0)-1,MATCH(Decimals,Items[#Headers],0)-1,1,1)&gt;0,"."&amp;REPT("0",OFFSET(Items[],MATCH($C40,INDIRECT(RangePlanCount),0)-1,MATCH(Decimals,Items[#Headers],0)-1,1,1)),""))))</f>
        <v/>
      </c>
      <c r="N40" s="302" t="str">
        <f ca="1">IF(OR($C40=OFFSET($C40,1,0),$A40&gt;End,IFERROR(OFFSET(Items[],MATCH($C40,INDIRECT(RangePlanCount),0)-1,MATCH(N$1,Items[#Headers],0)-1,1,1)=0,TRUE)),"",IF(AND(OFFSET(Items[],MATCH($C40,INDIRECT(RangePlanCount),0)-1,MATCH(N$1,Items[#Headers],0)-1,1,1)&gt;0,$J40="LPSM"),"ALL",TEXT(OFFSET(Items[],MATCH($C40,INDIRECT(RangePlanCount),0)-1,MATCH(N$1,Items[#Headers],0)-1,1,1),"###,###,##0"&amp;IF(OFFSET(Items[],MATCH($C40,INDIRECT(RangePlanCount),0)-1,MATCH(Decimals,Items[#Headers],0)-1,1,1)&gt;0,"."&amp;REPT("0",OFFSET(Items[],MATCH($C40,INDIRECT(RangePlanCount),0)-1,MATCH(Decimals,Items[#Headers],0)-1,1,1)),""))))</f>
        <v/>
      </c>
      <c r="O40" s="302" t="str">
        <f ca="1">IF(OR($C40=OFFSET($C40,1,0),$A40&gt;End,IFERROR(OFFSET(Items[],MATCH($C40,INDIRECT(RangePlanCount),0)-1,MATCH(O$1,Items[#Headers],0)-1,1,1)=0,TRUE)),"",IF(AND(OFFSET(Items[],MATCH($C40,INDIRECT(RangePlanCount),0)-1,MATCH(O$1,Items[#Headers],0)-1,1,1)&gt;0,$J40="LPSM"),"ALL",TEXT(OFFSET(Items[],MATCH($C40,INDIRECT(RangePlanCount),0)-1,MATCH(O$1,Items[#Headers],0)-1,1,1),"###,###,##0"&amp;IF(OFFSET(Items[],MATCH($C40,INDIRECT(RangePlanCount),0)-1,MATCH(Decimals,Items[#Headers],0)-1,1,1)&gt;0,"."&amp;REPT("0",OFFSET(Items[],MATCH($C40,INDIRECT(RangePlanCount),0)-1,MATCH(Decimals,Items[#Headers],0)-1,1,1)),""))))</f>
        <v/>
      </c>
      <c r="P40" s="302" t="str">
        <f ca="1">IF(OR($C40=OFFSET($C40,1,0),$A40&gt;End,IFERROR(OFFSET(Items[],MATCH($C40,INDIRECT(RangePlanCount),0)-1,MATCH(P$1,Items[#Headers],0)-1,1,1)=0,TRUE)),"",IF(AND(OFFSET(Items[],MATCH($C40,INDIRECT(RangePlanCount),0)-1,MATCH(P$1,Items[#Headers],0)-1,1,1)&gt;0,$J40="LPSM"),"ALL",TEXT(OFFSET(Items[],MATCH($C40,INDIRECT(RangePlanCount),0)-1,MATCH(P$1,Items[#Headers],0)-1,1,1),"###,###,##0"&amp;IF(OFFSET(Items[],MATCH($C40,INDIRECT(RangePlanCount),0)-1,MATCH(Decimals,Items[#Headers],0)-1,1,1)&gt;0,"."&amp;REPT("0",OFFSET(Items[],MATCH($C40,INDIRECT(RangePlanCount),0)-1,MATCH(Decimals,Items[#Headers],0)-1,1,1)),""))))</f>
        <v/>
      </c>
      <c r="Q40" s="302" t="str">
        <f ca="1">IF(OR($C40=OFFSET($C40,1,0),$A40&gt;End,IFERROR(OFFSET(Items[],MATCH($C40,INDIRECT(RangePlanCount),0)-1,MATCH(Q$1,Items[#Headers],0)-1,1,1)=0,TRUE)),"",IF(AND(OFFSET(Items[],MATCH($C40,INDIRECT(RangePlanCount),0)-1,MATCH(Q$1,Items[#Headers],0)-1,1,1)&gt;0,$J40="LPSM"),"ALL",TEXT(OFFSET(Items[],MATCH($C40,INDIRECT(RangePlanCount),0)-1,MATCH(Q$1,Items[#Headers],0)-1,1,1),"###,###,##0"&amp;IF(OFFSET(Items[],MATCH($C40,INDIRECT(RangePlanCount),0)-1,MATCH(Decimals,Items[#Headers],0)-1,1,1)&gt;0,"."&amp;REPT("0",OFFSET(Items[],MATCH($C40,INDIRECT(RangePlanCount),0)-1,MATCH(Decimals,Items[#Headers],0)-1,1,1)),""))))</f>
        <v/>
      </c>
      <c r="R40" s="302" t="str">
        <f ca="1">IF(OR($C40=OFFSET($C40,1,0),$A40&gt;End,IFERROR(OFFSET(Items[],MATCH($C40,INDIRECT(RangePlanCount),0)-1,MATCH(R$1,Items[#Headers],0)-1,1,1)=0,TRUE)),"",IF(AND(OFFSET(Items[],MATCH($C40,INDIRECT(RangePlanCount),0)-1,MATCH(R$1,Items[#Headers],0)-1,1,1)&gt;0,$J40="LPSM"),"ALL",TEXT(OFFSET(Items[],MATCH($C40,INDIRECT(RangePlanCount),0)-1,MATCH(R$1,Items[#Headers],0)-1,1,1),"###,###,##0"&amp;IF(OFFSET(Items[],MATCH($C40,INDIRECT(RangePlanCount),0)-1,MATCH(Decimals,Items[#Headers],0)-1,1,1)&gt;0,"."&amp;REPT("0",OFFSET(Items[],MATCH($C40,INDIRECT(RangePlanCount),0)-1,MATCH(Decimals,Items[#Headers],0)-1,1,1)),""))))</f>
        <v/>
      </c>
      <c r="S40" s="302" t="str">
        <f ca="1">IF(OR($C40=OFFSET($C40,1,0),$A40&gt;End,IFERROR(OFFSET(Items[],MATCH($C40,INDIRECT(RangePlanCount),0)-1,MATCH(S$1,Items[#Headers],0)-1,1,1)=0,TRUE)),"",IF(AND(OFFSET(Items[],MATCH($C40,INDIRECT(RangePlanCount),0)-1,MATCH(S$1,Items[#Headers],0)-1,1,1)&gt;0,$J40="LPSM"),"ALL",TEXT(OFFSET(Items[],MATCH($C40,INDIRECT(RangePlanCount),0)-1,MATCH(S$1,Items[#Headers],0)-1,1,1),"###,###,##0"&amp;IF(OFFSET(Items[],MATCH($C40,INDIRECT(RangePlanCount),0)-1,MATCH(Decimals,Items[#Headers],0)-1,1,1)&gt;0,"."&amp;REPT("0",OFFSET(Items[],MATCH($C40,INDIRECT(RangePlanCount),0)-1,MATCH(Decimals,Items[#Headers],0)-1,1,1)),""))))</f>
        <v/>
      </c>
      <c r="T40" s="302" t="str">
        <f ca="1">IF(OR($C40=OFFSET($C40,1,0),$A40&gt;End,IFERROR(OFFSET(Items[],MATCH($C40,INDIRECT(RangePlanCount),0)-1,MATCH(T$1,Items[#Headers],0)-1,1,1)=0,TRUE)),"",IF(AND(OFFSET(Items[],MATCH($C40,INDIRECT(RangePlanCount),0)-1,MATCH(T$1,Items[#Headers],0)-1,1,1)&gt;0,$J40="LPSM"),"ALL",TEXT(OFFSET(Items[],MATCH($C40,INDIRECT(RangePlanCount),0)-1,MATCH(T$1,Items[#Headers],0)-1,1,1),"###,###,##0"&amp;IF(OFFSET(Items[],MATCH($C40,INDIRECT(RangePlanCount),0)-1,MATCH(Decimals,Items[#Headers],0)-1,1,1)&gt;0,"."&amp;REPT("0",OFFSET(Items[],MATCH($C40,INDIRECT(RangePlanCount),0)-1,MATCH(Decimals,Items[#Headers],0)-1,1,1)),""))))</f>
        <v/>
      </c>
      <c r="U40" s="302" t="str">
        <f ca="1">IF(OR($C40=OFFSET($C40,1,0),$A40&gt;End,IFERROR(OFFSET(Items[],MATCH($C40,INDIRECT(RangePlanCount),0)-1,MATCH(U$1,Items[#Headers],0)-1,1,1)=0,TRUE)),"",IF(AND(OFFSET(Items[],MATCH($C40,INDIRECT(RangePlanCount),0)-1,MATCH(U$1,Items[#Headers],0)-1,1,1)&gt;0,$J40="LPSM"),"ALL",TEXT(OFFSET(Items[],MATCH($C40,INDIRECT(RangePlanCount),0)-1,MATCH(U$1,Items[#Headers],0)-1,1,1),"###,###,##0"&amp;IF(OFFSET(Items[],MATCH($C40,INDIRECT(RangePlanCount),0)-1,MATCH(Decimals,Items[#Headers],0)-1,1,1)&gt;0,"."&amp;REPT("0",OFFSET(Items[],MATCH($C40,INDIRECT(RangePlanCount),0)-1,MATCH(Decimals,Items[#Headers],0)-1,1,1)),""))))</f>
        <v/>
      </c>
      <c r="V40" s="302" t="str">
        <f ca="1">IF(OR($C40=OFFSET($C40,1,0),$A40&gt;End,IFERROR(OFFSET(Items[],MATCH($C40,INDIRECT(RangePlanCount),0)-1,MATCH(V$1,Items[#Headers],0)-1,1,1)=0,TRUE)),"",IF(AND(OFFSET(Items[],MATCH($C40,INDIRECT(RangePlanCount),0)-1,MATCH(V$1,Items[#Headers],0)-1,1,1)&gt;0,$J40="LPSM"),"ALL",TEXT(OFFSET(Items[],MATCH($C40,INDIRECT(RangePlanCount),0)-1,MATCH(V$1,Items[#Headers],0)-1,1,1),"###,###,##0"&amp;IF(OFFSET(Items[],MATCH($C40,INDIRECT(RangePlanCount),0)-1,MATCH(Decimals,Items[#Headers],0)-1,1,1)&gt;0,"."&amp;REPT("0",OFFSET(Items[],MATCH($C40,INDIRECT(RangePlanCount),0)-1,MATCH(Decimals,Items[#Headers],0)-1,1,1)),""))))</f>
        <v/>
      </c>
      <c r="W40" s="304" t="str">
        <f ca="1">IF(OR($C40=OFFSET($C40,1,0),$A40&gt;End,IFERROR(OFFSET(Items[],MATCH($C40,INDIRECT(RangePlanCount),0)-1,MATCH(W$1,Items[#Headers],0)-1,1,1)=0,TRUE)),"",IF(AND(OFFSET(Items[],MATCH($C40,INDIRECT(RangePlanCount),0)-1,MATCH(W$1,Items[#Headers],0)-1,1,1)&gt;0,$J40="LPSM"),"ALL",TEXT(OFFSET(Items[],MATCH($C40,INDIRECT(RangePlanCount),0)-1,MATCH(W$1,Items[#Headers],0)-1,1,1),"###,###,##0"&amp;IF(OFFSET(Items[],MATCH($C40,INDIRECT(RangePlanCount),0)-1,MATCH(Decimals,Items[#Headers],0)-1,1,1)&gt;0,"."&amp;REPT("0",OFFSET(Items[],MATCH($C40,INDIRECT(RangePlanCount),0)-1,MATCH(Decimals,Items[#Headers],0)-1,1,1)),""))))</f>
        <v/>
      </c>
      <c r="X40" s="305" t="str">
        <f ca="1">IF(OR($C40=OFFSET($C40,1,0),$A40&gt;End,IFERROR(OFFSET(Items[],MATCH($C40,INDIRECT(RangePlanCount),0)-1,MATCH(X$1,Items[#Headers],0)-1,1,1)=0,TRUE)),"",IF(AND(OFFSET(Items[],MATCH($C40,INDIRECT(RangePlanCount),0)-1,MATCH(X$1,Items[#Headers],0)-1,1,1)&gt;0,$J40="LPSM"),"ALL",TEXT(OFFSET(Items[],MATCH($C40,INDIRECT(RangePlanCount),0)-1,MATCH(X$1,Items[#Headers],0)-1,1,1),"###,###,##0"&amp;IF(OFFSET(Items[],MATCH($C40,INDIRECT(RangePlanCount),0)-1,MATCH(Decimals,Items[#Headers],0)-1,1,1)&gt;0,"."&amp;REPT("0",OFFSET(Items[],MATCH($C40,INDIRECT(RangePlanCount),0)-1,MATCH(Decimals,Items[#Headers],0)-1,1,1)),""))))</f>
        <v/>
      </c>
      <c r="Y40" s="306" t="str">
        <f ca="1">IF(OR($A40&gt;End,COUNTIF($C$7:$C40,$C40)&gt;lines_R),"",IF(COUNTIF($C$7:$C40,$C40)=1,LEFT(VLOOKUP($C40,Calcs[],col_Remarks,0),VLOOKUP($C40,Calcs[],col_R,0)),MID(VLOOKUP($C40,Calcs[],col_Remarks,0),VLOOKUP($C40,Calcs[],col_R+COUNTIF($C$7:$C40,$C40)-2,0)+1,VLOOKUP($C40,Calcs[],col_R+COUNTIF($C$7:$C40,$C40)-1,0)-VLOOKUP($C40,Calcs[],col_R+COUNTIF($C$7:$C40,$C40)-2,0))))</f>
        <v/>
      </c>
      <c r="Z40" s="300"/>
      <c r="AA40" s="1"/>
    </row>
    <row r="41" spans="1:27" ht="15" customHeight="1" x14ac:dyDescent="0.15">
      <c r="A41" s="58">
        <f t="shared" ca="1" si="1"/>
        <v>34</v>
      </c>
      <c r="C41" s="58">
        <f ca="1">IFERROR(VLOOKUP(A41,Calcs[],1,0),OFFSET(C41,1,0))</f>
        <v>0</v>
      </c>
      <c r="D41" s="342"/>
      <c r="E41" s="59"/>
      <c r="F41" s="301" t="str">
        <f ca="1">IF(OR($C41=OFFSET($C41,-1,0),$A41&gt;End),"",_xlfn.XLOOKUP($C41,Items[PlanCounter],Items[Amend],_xlfn.XLOOKUP($C41,Proposed[PlanCounter],Proposed[Amend])))</f>
        <v/>
      </c>
      <c r="G41" s="302" t="str">
        <f ca="1">IF(OR($C41=OFFSET($C41,-1,0),$A41&gt;End),"",_xlfn.XLOOKUP($C41,Calcs[Counter],Calcs[Line]))</f>
        <v/>
      </c>
      <c r="H41" s="302" t="str" cm="1">
        <f t="array" aca="1" ref="H41" ca="1">IF(OR($C41=OFFSET($C41,-1,0),$A41&gt;End),"",_xlfn.XLOOKUP($C41,INDIRECT(RangePlanCount),INDIRECT(RangeItems)))</f>
        <v/>
      </c>
      <c r="I41" s="294" t="str">
        <f ca="1">IF(OR($A41&gt;End,COUNTIF($C$7:$C41,$C41)&gt;lines_D),"",IF(COUNTIF($C$7:$C41,$C41)=1,LEFT(VLOOKUP($C41,Calcs[],col_Description,0),VLOOKUP($C41,Calcs[],col_D,0)),MID(VLOOKUP($C41,Calcs[],col_Description,0),VLOOKUP($C41,Calcs[],col_D+COUNTIF($C$7:$C41,$C41)-2,0)+1,VLOOKUP($C41,Calcs[],col_D+COUNTIF($C$7:$C41,$C41)-1,0)-VLOOKUP($C41,Calcs[],col_D+COUNTIF($C$7:$C41,$C41)-2,0))))</f>
        <v/>
      </c>
      <c r="J41" s="295" t="str" cm="1">
        <f t="array" aca="1" ref="J41" ca="1">IF(OR($C41=OFFSET($C41,1,0),$A41&gt;End),"",_xlfn.XLOOKUP($C41,INDIRECT(RangePlanCount),INDIRECT(RangeUnit)))</f>
        <v/>
      </c>
      <c r="K41" s="303" t="str">
        <f ca="1">IF(OR($C41=OFFSET($C41,1,0),$A41&gt;End,IFERROR(OFFSET(Items[],MATCH($C41,INDIRECT(RangePlanCount),0)-1,MATCH(K$1,Items[#Headers],0)-1,1,1)=0,TRUE)),"",IF(AND(OFFSET(Items[],MATCH($C41,INDIRECT(RangePlanCount),0)-1,MATCH(K$1,Items[#Headers],0)-1,1,1)&gt;0,$J41="LPSM"),"ALL",TEXT(OFFSET(Items[],MATCH($C41,INDIRECT(RangePlanCount),0)-1,MATCH(K$1,Items[#Headers],0)-1,1,1),"###,###,##0"&amp;IF(OFFSET(Items[],MATCH($C41,INDIRECT(RangePlanCount),0)-1,MATCH(Decimals,Items[#Headers],0)-1,1,1)&gt;0,"."&amp;REPT("0",OFFSET(Items[],MATCH($C41,INDIRECT(RangePlanCount),0)-1,MATCH(Decimals,Items[#Headers],0)-1,1,1)),""))))</f>
        <v/>
      </c>
      <c r="L41" s="302" t="str">
        <f ca="1">IF(OR($C41=OFFSET($C41,1,0),$A41&gt;End,IFERROR(OFFSET(Items[],MATCH($C41,INDIRECT(RangePlanCount),0)-1,MATCH(L$1,Items[#Headers],0)-1,1,1)=0,TRUE)),"",IF(AND(OFFSET(Items[],MATCH($C41,INDIRECT(RangePlanCount),0)-1,MATCH(L$1,Items[#Headers],0)-1,1,1)&gt;0,$J41="LPSM"),"ALL",TEXT(OFFSET(Items[],MATCH($C41,INDIRECT(RangePlanCount),0)-1,MATCH(L$1,Items[#Headers],0)-1,1,1),"###,###,##0"&amp;IF(OFFSET(Items[],MATCH($C41,INDIRECT(RangePlanCount),0)-1,MATCH(Decimals,Items[#Headers],0)-1,1,1)&gt;0,"."&amp;REPT("0",OFFSET(Items[],MATCH($C41,INDIRECT(RangePlanCount),0)-1,MATCH(Decimals,Items[#Headers],0)-1,1,1)),""))))</f>
        <v/>
      </c>
      <c r="M41" s="302" t="str">
        <f ca="1">IF(OR($C41=OFFSET($C41,1,0),$A41&gt;End,IFERROR(OFFSET(Items[],MATCH($C41,INDIRECT(RangePlanCount),0)-1,MATCH(M$1,Items[#Headers],0)-1,1,1)=0,TRUE)),"",IF(AND(OFFSET(Items[],MATCH($C41,INDIRECT(RangePlanCount),0)-1,MATCH(M$1,Items[#Headers],0)-1,1,1)&gt;0,$J41="LPSM"),"ALL",TEXT(OFFSET(Items[],MATCH($C41,INDIRECT(RangePlanCount),0)-1,MATCH(M$1,Items[#Headers],0)-1,1,1),"###,###,##0"&amp;IF(OFFSET(Items[],MATCH($C41,INDIRECT(RangePlanCount),0)-1,MATCH(Decimals,Items[#Headers],0)-1,1,1)&gt;0,"."&amp;REPT("0",OFFSET(Items[],MATCH($C41,INDIRECT(RangePlanCount),0)-1,MATCH(Decimals,Items[#Headers],0)-1,1,1)),""))))</f>
        <v/>
      </c>
      <c r="N41" s="302" t="str">
        <f ca="1">IF(OR($C41=OFFSET($C41,1,0),$A41&gt;End,IFERROR(OFFSET(Items[],MATCH($C41,INDIRECT(RangePlanCount),0)-1,MATCH(N$1,Items[#Headers],0)-1,1,1)=0,TRUE)),"",IF(AND(OFFSET(Items[],MATCH($C41,INDIRECT(RangePlanCount),0)-1,MATCH(N$1,Items[#Headers],0)-1,1,1)&gt;0,$J41="LPSM"),"ALL",TEXT(OFFSET(Items[],MATCH($C41,INDIRECT(RangePlanCount),0)-1,MATCH(N$1,Items[#Headers],0)-1,1,1),"###,###,##0"&amp;IF(OFFSET(Items[],MATCH($C41,INDIRECT(RangePlanCount),0)-1,MATCH(Decimals,Items[#Headers],0)-1,1,1)&gt;0,"."&amp;REPT("0",OFFSET(Items[],MATCH($C41,INDIRECT(RangePlanCount),0)-1,MATCH(Decimals,Items[#Headers],0)-1,1,1)),""))))</f>
        <v/>
      </c>
      <c r="O41" s="302" t="str">
        <f ca="1">IF(OR($C41=OFFSET($C41,1,0),$A41&gt;End,IFERROR(OFFSET(Items[],MATCH($C41,INDIRECT(RangePlanCount),0)-1,MATCH(O$1,Items[#Headers],0)-1,1,1)=0,TRUE)),"",IF(AND(OFFSET(Items[],MATCH($C41,INDIRECT(RangePlanCount),0)-1,MATCH(O$1,Items[#Headers],0)-1,1,1)&gt;0,$J41="LPSM"),"ALL",TEXT(OFFSET(Items[],MATCH($C41,INDIRECT(RangePlanCount),0)-1,MATCH(O$1,Items[#Headers],0)-1,1,1),"###,###,##0"&amp;IF(OFFSET(Items[],MATCH($C41,INDIRECT(RangePlanCount),0)-1,MATCH(Decimals,Items[#Headers],0)-1,1,1)&gt;0,"."&amp;REPT("0",OFFSET(Items[],MATCH($C41,INDIRECT(RangePlanCount),0)-1,MATCH(Decimals,Items[#Headers],0)-1,1,1)),""))))</f>
        <v/>
      </c>
      <c r="P41" s="302" t="str">
        <f ca="1">IF(OR($C41=OFFSET($C41,1,0),$A41&gt;End,IFERROR(OFFSET(Items[],MATCH($C41,INDIRECT(RangePlanCount),0)-1,MATCH(P$1,Items[#Headers],0)-1,1,1)=0,TRUE)),"",IF(AND(OFFSET(Items[],MATCH($C41,INDIRECT(RangePlanCount),0)-1,MATCH(P$1,Items[#Headers],0)-1,1,1)&gt;0,$J41="LPSM"),"ALL",TEXT(OFFSET(Items[],MATCH($C41,INDIRECT(RangePlanCount),0)-1,MATCH(P$1,Items[#Headers],0)-1,1,1),"###,###,##0"&amp;IF(OFFSET(Items[],MATCH($C41,INDIRECT(RangePlanCount),0)-1,MATCH(Decimals,Items[#Headers],0)-1,1,1)&gt;0,"."&amp;REPT("0",OFFSET(Items[],MATCH($C41,INDIRECT(RangePlanCount),0)-1,MATCH(Decimals,Items[#Headers],0)-1,1,1)),""))))</f>
        <v/>
      </c>
      <c r="Q41" s="302" t="str">
        <f ca="1">IF(OR($C41=OFFSET($C41,1,0),$A41&gt;End,IFERROR(OFFSET(Items[],MATCH($C41,INDIRECT(RangePlanCount),0)-1,MATCH(Q$1,Items[#Headers],0)-1,1,1)=0,TRUE)),"",IF(AND(OFFSET(Items[],MATCH($C41,INDIRECT(RangePlanCount),0)-1,MATCH(Q$1,Items[#Headers],0)-1,1,1)&gt;0,$J41="LPSM"),"ALL",TEXT(OFFSET(Items[],MATCH($C41,INDIRECT(RangePlanCount),0)-1,MATCH(Q$1,Items[#Headers],0)-1,1,1),"###,###,##0"&amp;IF(OFFSET(Items[],MATCH($C41,INDIRECT(RangePlanCount),0)-1,MATCH(Decimals,Items[#Headers],0)-1,1,1)&gt;0,"."&amp;REPT("0",OFFSET(Items[],MATCH($C41,INDIRECT(RangePlanCount),0)-1,MATCH(Decimals,Items[#Headers],0)-1,1,1)),""))))</f>
        <v/>
      </c>
      <c r="R41" s="302" t="str">
        <f ca="1">IF(OR($C41=OFFSET($C41,1,0),$A41&gt;End,IFERROR(OFFSET(Items[],MATCH($C41,INDIRECT(RangePlanCount),0)-1,MATCH(R$1,Items[#Headers],0)-1,1,1)=0,TRUE)),"",IF(AND(OFFSET(Items[],MATCH($C41,INDIRECT(RangePlanCount),0)-1,MATCH(R$1,Items[#Headers],0)-1,1,1)&gt;0,$J41="LPSM"),"ALL",TEXT(OFFSET(Items[],MATCH($C41,INDIRECT(RangePlanCount),0)-1,MATCH(R$1,Items[#Headers],0)-1,1,1),"###,###,##0"&amp;IF(OFFSET(Items[],MATCH($C41,INDIRECT(RangePlanCount),0)-1,MATCH(Decimals,Items[#Headers],0)-1,1,1)&gt;0,"."&amp;REPT("0",OFFSET(Items[],MATCH($C41,INDIRECT(RangePlanCount),0)-1,MATCH(Decimals,Items[#Headers],0)-1,1,1)),""))))</f>
        <v/>
      </c>
      <c r="S41" s="302" t="str">
        <f ca="1">IF(OR($C41=OFFSET($C41,1,0),$A41&gt;End,IFERROR(OFFSET(Items[],MATCH($C41,INDIRECT(RangePlanCount),0)-1,MATCH(S$1,Items[#Headers],0)-1,1,1)=0,TRUE)),"",IF(AND(OFFSET(Items[],MATCH($C41,INDIRECT(RangePlanCount),0)-1,MATCH(S$1,Items[#Headers],0)-1,1,1)&gt;0,$J41="LPSM"),"ALL",TEXT(OFFSET(Items[],MATCH($C41,INDIRECT(RangePlanCount),0)-1,MATCH(S$1,Items[#Headers],0)-1,1,1),"###,###,##0"&amp;IF(OFFSET(Items[],MATCH($C41,INDIRECT(RangePlanCount),0)-1,MATCH(Decimals,Items[#Headers],0)-1,1,1)&gt;0,"."&amp;REPT("0",OFFSET(Items[],MATCH($C41,INDIRECT(RangePlanCount),0)-1,MATCH(Decimals,Items[#Headers],0)-1,1,1)),""))))</f>
        <v/>
      </c>
      <c r="T41" s="302" t="str">
        <f ca="1">IF(OR($C41=OFFSET($C41,1,0),$A41&gt;End,IFERROR(OFFSET(Items[],MATCH($C41,INDIRECT(RangePlanCount),0)-1,MATCH(T$1,Items[#Headers],0)-1,1,1)=0,TRUE)),"",IF(AND(OFFSET(Items[],MATCH($C41,INDIRECT(RangePlanCount),0)-1,MATCH(T$1,Items[#Headers],0)-1,1,1)&gt;0,$J41="LPSM"),"ALL",TEXT(OFFSET(Items[],MATCH($C41,INDIRECT(RangePlanCount),0)-1,MATCH(T$1,Items[#Headers],0)-1,1,1),"###,###,##0"&amp;IF(OFFSET(Items[],MATCH($C41,INDIRECT(RangePlanCount),0)-1,MATCH(Decimals,Items[#Headers],0)-1,1,1)&gt;0,"."&amp;REPT("0",OFFSET(Items[],MATCH($C41,INDIRECT(RangePlanCount),0)-1,MATCH(Decimals,Items[#Headers],0)-1,1,1)),""))))</f>
        <v/>
      </c>
      <c r="U41" s="302" t="str">
        <f ca="1">IF(OR($C41=OFFSET($C41,1,0),$A41&gt;End,IFERROR(OFFSET(Items[],MATCH($C41,INDIRECT(RangePlanCount),0)-1,MATCH(U$1,Items[#Headers],0)-1,1,1)=0,TRUE)),"",IF(AND(OFFSET(Items[],MATCH($C41,INDIRECT(RangePlanCount),0)-1,MATCH(U$1,Items[#Headers],0)-1,1,1)&gt;0,$J41="LPSM"),"ALL",TEXT(OFFSET(Items[],MATCH($C41,INDIRECT(RangePlanCount),0)-1,MATCH(U$1,Items[#Headers],0)-1,1,1),"###,###,##0"&amp;IF(OFFSET(Items[],MATCH($C41,INDIRECT(RangePlanCount),0)-1,MATCH(Decimals,Items[#Headers],0)-1,1,1)&gt;0,"."&amp;REPT("0",OFFSET(Items[],MATCH($C41,INDIRECT(RangePlanCount),0)-1,MATCH(Decimals,Items[#Headers],0)-1,1,1)),""))))</f>
        <v/>
      </c>
      <c r="V41" s="302" t="str">
        <f ca="1">IF(OR($C41=OFFSET($C41,1,0),$A41&gt;End,IFERROR(OFFSET(Items[],MATCH($C41,INDIRECT(RangePlanCount),0)-1,MATCH(V$1,Items[#Headers],0)-1,1,1)=0,TRUE)),"",IF(AND(OFFSET(Items[],MATCH($C41,INDIRECT(RangePlanCount),0)-1,MATCH(V$1,Items[#Headers],0)-1,1,1)&gt;0,$J41="LPSM"),"ALL",TEXT(OFFSET(Items[],MATCH($C41,INDIRECT(RangePlanCount),0)-1,MATCH(V$1,Items[#Headers],0)-1,1,1),"###,###,##0"&amp;IF(OFFSET(Items[],MATCH($C41,INDIRECT(RangePlanCount),0)-1,MATCH(Decimals,Items[#Headers],0)-1,1,1)&gt;0,"."&amp;REPT("0",OFFSET(Items[],MATCH($C41,INDIRECT(RangePlanCount),0)-1,MATCH(Decimals,Items[#Headers],0)-1,1,1)),""))))</f>
        <v/>
      </c>
      <c r="W41" s="304" t="str">
        <f ca="1">IF(OR($C41=OFFSET($C41,1,0),$A41&gt;End,IFERROR(OFFSET(Items[],MATCH($C41,INDIRECT(RangePlanCount),0)-1,MATCH(W$1,Items[#Headers],0)-1,1,1)=0,TRUE)),"",IF(AND(OFFSET(Items[],MATCH($C41,INDIRECT(RangePlanCount),0)-1,MATCH(W$1,Items[#Headers],0)-1,1,1)&gt;0,$J41="LPSM"),"ALL",TEXT(OFFSET(Items[],MATCH($C41,INDIRECT(RangePlanCount),0)-1,MATCH(W$1,Items[#Headers],0)-1,1,1),"###,###,##0"&amp;IF(OFFSET(Items[],MATCH($C41,INDIRECT(RangePlanCount),0)-1,MATCH(Decimals,Items[#Headers],0)-1,1,1)&gt;0,"."&amp;REPT("0",OFFSET(Items[],MATCH($C41,INDIRECT(RangePlanCount),0)-1,MATCH(Decimals,Items[#Headers],0)-1,1,1)),""))))</f>
        <v/>
      </c>
      <c r="X41" s="305" t="str">
        <f ca="1">IF(OR($C41=OFFSET($C41,1,0),$A41&gt;End,IFERROR(OFFSET(Items[],MATCH($C41,INDIRECT(RangePlanCount),0)-1,MATCH(X$1,Items[#Headers],0)-1,1,1)=0,TRUE)),"",IF(AND(OFFSET(Items[],MATCH($C41,INDIRECT(RangePlanCount),0)-1,MATCH(X$1,Items[#Headers],0)-1,1,1)&gt;0,$J41="LPSM"),"ALL",TEXT(OFFSET(Items[],MATCH($C41,INDIRECT(RangePlanCount),0)-1,MATCH(X$1,Items[#Headers],0)-1,1,1),"###,###,##0"&amp;IF(OFFSET(Items[],MATCH($C41,INDIRECT(RangePlanCount),0)-1,MATCH(Decimals,Items[#Headers],0)-1,1,1)&gt;0,"."&amp;REPT("0",OFFSET(Items[],MATCH($C41,INDIRECT(RangePlanCount),0)-1,MATCH(Decimals,Items[#Headers],0)-1,1,1)),""))))</f>
        <v/>
      </c>
      <c r="Y41" s="306" t="str">
        <f ca="1">IF(OR($A41&gt;End,COUNTIF($C$7:$C41,$C41)&gt;lines_R),"",IF(COUNTIF($C$7:$C41,$C41)=1,LEFT(VLOOKUP($C41,Calcs[],col_Remarks,0),VLOOKUP($C41,Calcs[],col_R,0)),MID(VLOOKUP($C41,Calcs[],col_Remarks,0),VLOOKUP($C41,Calcs[],col_R+COUNTIF($C$7:$C41,$C41)-2,0)+1,VLOOKUP($C41,Calcs[],col_R+COUNTIF($C$7:$C41,$C41)-1,0)-VLOOKUP($C41,Calcs[],col_R+COUNTIF($C$7:$C41,$C41)-2,0))))</f>
        <v/>
      </c>
      <c r="Z41" s="300"/>
      <c r="AA41" s="1"/>
    </row>
    <row r="42" spans="1:27" ht="15" customHeight="1" x14ac:dyDescent="0.15">
      <c r="A42" s="58">
        <f t="shared" ca="1" si="1"/>
        <v>35</v>
      </c>
      <c r="C42" s="58">
        <f ca="1">IFERROR(VLOOKUP(A42,Calcs[],1,0),OFFSET(C42,1,0))</f>
        <v>0</v>
      </c>
      <c r="D42" s="60"/>
      <c r="E42" s="59"/>
      <c r="F42" s="301" t="str">
        <f ca="1">IF(OR($C42=OFFSET($C42,-1,0),$A42&gt;End),"",_xlfn.XLOOKUP($C42,Items[PlanCounter],Items[Amend],_xlfn.XLOOKUP($C42,Proposed[PlanCounter],Proposed[Amend])))</f>
        <v/>
      </c>
      <c r="G42" s="302" t="str">
        <f ca="1">IF(OR($C42=OFFSET($C42,-1,0),$A42&gt;End),"",_xlfn.XLOOKUP($C42,Calcs[Counter],Calcs[Line]))</f>
        <v/>
      </c>
      <c r="H42" s="302" t="str" cm="1">
        <f t="array" aca="1" ref="H42" ca="1">IF(OR($C42=OFFSET($C42,-1,0),$A42&gt;End),"",_xlfn.XLOOKUP($C42,INDIRECT(RangePlanCount),INDIRECT(RangeItems)))</f>
        <v/>
      </c>
      <c r="I42" s="294" t="str">
        <f ca="1">IF(OR($A42&gt;End,COUNTIF($C$7:$C42,$C42)&gt;lines_D),"",IF(COUNTIF($C$7:$C42,$C42)=1,LEFT(VLOOKUP($C42,Calcs[],col_Description,0),VLOOKUP($C42,Calcs[],col_D,0)),MID(VLOOKUP($C42,Calcs[],col_Description,0),VLOOKUP($C42,Calcs[],col_D+COUNTIF($C$7:$C42,$C42)-2,0)+1,VLOOKUP($C42,Calcs[],col_D+COUNTIF($C$7:$C42,$C42)-1,0)-VLOOKUP($C42,Calcs[],col_D+COUNTIF($C$7:$C42,$C42)-2,0))))</f>
        <v/>
      </c>
      <c r="J42" s="295" t="str" cm="1">
        <f t="array" aca="1" ref="J42" ca="1">IF(OR($C42=OFFSET($C42,1,0),$A42&gt;End),"",_xlfn.XLOOKUP($C42,INDIRECT(RangePlanCount),INDIRECT(RangeUnit)))</f>
        <v/>
      </c>
      <c r="K42" s="303" t="str">
        <f ca="1">IF(OR($C42=OFFSET($C42,1,0),$A42&gt;End,IFERROR(OFFSET(Items[],MATCH($C42,INDIRECT(RangePlanCount),0)-1,MATCH(K$1,Items[#Headers],0)-1,1,1)=0,TRUE)),"",IF(AND(OFFSET(Items[],MATCH($C42,INDIRECT(RangePlanCount),0)-1,MATCH(K$1,Items[#Headers],0)-1,1,1)&gt;0,$J42="LPSM"),"ALL",TEXT(OFFSET(Items[],MATCH($C42,INDIRECT(RangePlanCount),0)-1,MATCH(K$1,Items[#Headers],0)-1,1,1),"###,###,##0"&amp;IF(OFFSET(Items[],MATCH($C42,INDIRECT(RangePlanCount),0)-1,MATCH(Decimals,Items[#Headers],0)-1,1,1)&gt;0,"."&amp;REPT("0",OFFSET(Items[],MATCH($C42,INDIRECT(RangePlanCount),0)-1,MATCH(Decimals,Items[#Headers],0)-1,1,1)),""))))</f>
        <v/>
      </c>
      <c r="L42" s="302" t="str">
        <f ca="1">IF(OR($C42=OFFSET($C42,1,0),$A42&gt;End,IFERROR(OFFSET(Items[],MATCH($C42,INDIRECT(RangePlanCount),0)-1,MATCH(L$1,Items[#Headers],0)-1,1,1)=0,TRUE)),"",IF(AND(OFFSET(Items[],MATCH($C42,INDIRECT(RangePlanCount),0)-1,MATCH(L$1,Items[#Headers],0)-1,1,1)&gt;0,$J42="LPSM"),"ALL",TEXT(OFFSET(Items[],MATCH($C42,INDIRECT(RangePlanCount),0)-1,MATCH(L$1,Items[#Headers],0)-1,1,1),"###,###,##0"&amp;IF(OFFSET(Items[],MATCH($C42,INDIRECT(RangePlanCount),0)-1,MATCH(Decimals,Items[#Headers],0)-1,1,1)&gt;0,"."&amp;REPT("0",OFFSET(Items[],MATCH($C42,INDIRECT(RangePlanCount),0)-1,MATCH(Decimals,Items[#Headers],0)-1,1,1)),""))))</f>
        <v/>
      </c>
      <c r="M42" s="302" t="str">
        <f ca="1">IF(OR($C42=OFFSET($C42,1,0),$A42&gt;End,IFERROR(OFFSET(Items[],MATCH($C42,INDIRECT(RangePlanCount),0)-1,MATCH(M$1,Items[#Headers],0)-1,1,1)=0,TRUE)),"",IF(AND(OFFSET(Items[],MATCH($C42,INDIRECT(RangePlanCount),0)-1,MATCH(M$1,Items[#Headers],0)-1,1,1)&gt;0,$J42="LPSM"),"ALL",TEXT(OFFSET(Items[],MATCH($C42,INDIRECT(RangePlanCount),0)-1,MATCH(M$1,Items[#Headers],0)-1,1,1),"###,###,##0"&amp;IF(OFFSET(Items[],MATCH($C42,INDIRECT(RangePlanCount),0)-1,MATCH(Decimals,Items[#Headers],0)-1,1,1)&gt;0,"."&amp;REPT("0",OFFSET(Items[],MATCH($C42,INDIRECT(RangePlanCount),0)-1,MATCH(Decimals,Items[#Headers],0)-1,1,1)),""))))</f>
        <v/>
      </c>
      <c r="N42" s="302" t="str">
        <f ca="1">IF(OR($C42=OFFSET($C42,1,0),$A42&gt;End,IFERROR(OFFSET(Items[],MATCH($C42,INDIRECT(RangePlanCount),0)-1,MATCH(N$1,Items[#Headers],0)-1,1,1)=0,TRUE)),"",IF(AND(OFFSET(Items[],MATCH($C42,INDIRECT(RangePlanCount),0)-1,MATCH(N$1,Items[#Headers],0)-1,1,1)&gt;0,$J42="LPSM"),"ALL",TEXT(OFFSET(Items[],MATCH($C42,INDIRECT(RangePlanCount),0)-1,MATCH(N$1,Items[#Headers],0)-1,1,1),"###,###,##0"&amp;IF(OFFSET(Items[],MATCH($C42,INDIRECT(RangePlanCount),0)-1,MATCH(Decimals,Items[#Headers],0)-1,1,1)&gt;0,"."&amp;REPT("0",OFFSET(Items[],MATCH($C42,INDIRECT(RangePlanCount),0)-1,MATCH(Decimals,Items[#Headers],0)-1,1,1)),""))))</f>
        <v/>
      </c>
      <c r="O42" s="302" t="str">
        <f ca="1">IF(OR($C42=OFFSET($C42,1,0),$A42&gt;End,IFERROR(OFFSET(Items[],MATCH($C42,INDIRECT(RangePlanCount),0)-1,MATCH(O$1,Items[#Headers],0)-1,1,1)=0,TRUE)),"",IF(AND(OFFSET(Items[],MATCH($C42,INDIRECT(RangePlanCount),0)-1,MATCH(O$1,Items[#Headers],0)-1,1,1)&gt;0,$J42="LPSM"),"ALL",TEXT(OFFSET(Items[],MATCH($C42,INDIRECT(RangePlanCount),0)-1,MATCH(O$1,Items[#Headers],0)-1,1,1),"###,###,##0"&amp;IF(OFFSET(Items[],MATCH($C42,INDIRECT(RangePlanCount),0)-1,MATCH(Decimals,Items[#Headers],0)-1,1,1)&gt;0,"."&amp;REPT("0",OFFSET(Items[],MATCH($C42,INDIRECT(RangePlanCount),0)-1,MATCH(Decimals,Items[#Headers],0)-1,1,1)),""))))</f>
        <v/>
      </c>
      <c r="P42" s="302" t="str">
        <f ca="1">IF(OR($C42=OFFSET($C42,1,0),$A42&gt;End,IFERROR(OFFSET(Items[],MATCH($C42,INDIRECT(RangePlanCount),0)-1,MATCH(P$1,Items[#Headers],0)-1,1,1)=0,TRUE)),"",IF(AND(OFFSET(Items[],MATCH($C42,INDIRECT(RangePlanCount),0)-1,MATCH(P$1,Items[#Headers],0)-1,1,1)&gt;0,$J42="LPSM"),"ALL",TEXT(OFFSET(Items[],MATCH($C42,INDIRECT(RangePlanCount),0)-1,MATCH(P$1,Items[#Headers],0)-1,1,1),"###,###,##0"&amp;IF(OFFSET(Items[],MATCH($C42,INDIRECT(RangePlanCount),0)-1,MATCH(Decimals,Items[#Headers],0)-1,1,1)&gt;0,"."&amp;REPT("0",OFFSET(Items[],MATCH($C42,INDIRECT(RangePlanCount),0)-1,MATCH(Decimals,Items[#Headers],0)-1,1,1)),""))))</f>
        <v/>
      </c>
      <c r="Q42" s="302" t="str">
        <f ca="1">IF(OR($C42=OFFSET($C42,1,0),$A42&gt;End,IFERROR(OFFSET(Items[],MATCH($C42,INDIRECT(RangePlanCount),0)-1,MATCH(Q$1,Items[#Headers],0)-1,1,1)=0,TRUE)),"",IF(AND(OFFSET(Items[],MATCH($C42,INDIRECT(RangePlanCount),0)-1,MATCH(Q$1,Items[#Headers],0)-1,1,1)&gt;0,$J42="LPSM"),"ALL",TEXT(OFFSET(Items[],MATCH($C42,INDIRECT(RangePlanCount),0)-1,MATCH(Q$1,Items[#Headers],0)-1,1,1),"###,###,##0"&amp;IF(OFFSET(Items[],MATCH($C42,INDIRECT(RangePlanCount),0)-1,MATCH(Decimals,Items[#Headers],0)-1,1,1)&gt;0,"."&amp;REPT("0",OFFSET(Items[],MATCH($C42,INDIRECT(RangePlanCount),0)-1,MATCH(Decimals,Items[#Headers],0)-1,1,1)),""))))</f>
        <v/>
      </c>
      <c r="R42" s="302" t="str">
        <f ca="1">IF(OR($C42=OFFSET($C42,1,0),$A42&gt;End,IFERROR(OFFSET(Items[],MATCH($C42,INDIRECT(RangePlanCount),0)-1,MATCH(R$1,Items[#Headers],0)-1,1,1)=0,TRUE)),"",IF(AND(OFFSET(Items[],MATCH($C42,INDIRECT(RangePlanCount),0)-1,MATCH(R$1,Items[#Headers],0)-1,1,1)&gt;0,$J42="LPSM"),"ALL",TEXT(OFFSET(Items[],MATCH($C42,INDIRECT(RangePlanCount),0)-1,MATCH(R$1,Items[#Headers],0)-1,1,1),"###,###,##0"&amp;IF(OFFSET(Items[],MATCH($C42,INDIRECT(RangePlanCount),0)-1,MATCH(Decimals,Items[#Headers],0)-1,1,1)&gt;0,"."&amp;REPT("0",OFFSET(Items[],MATCH($C42,INDIRECT(RangePlanCount),0)-1,MATCH(Decimals,Items[#Headers],0)-1,1,1)),""))))</f>
        <v/>
      </c>
      <c r="S42" s="302" t="str">
        <f ca="1">IF(OR($C42=OFFSET($C42,1,0),$A42&gt;End,IFERROR(OFFSET(Items[],MATCH($C42,INDIRECT(RangePlanCount),0)-1,MATCH(S$1,Items[#Headers],0)-1,1,1)=0,TRUE)),"",IF(AND(OFFSET(Items[],MATCH($C42,INDIRECT(RangePlanCount),0)-1,MATCH(S$1,Items[#Headers],0)-1,1,1)&gt;0,$J42="LPSM"),"ALL",TEXT(OFFSET(Items[],MATCH($C42,INDIRECT(RangePlanCount),0)-1,MATCH(S$1,Items[#Headers],0)-1,1,1),"###,###,##0"&amp;IF(OFFSET(Items[],MATCH($C42,INDIRECT(RangePlanCount),0)-1,MATCH(Decimals,Items[#Headers],0)-1,1,1)&gt;0,"."&amp;REPT("0",OFFSET(Items[],MATCH($C42,INDIRECT(RangePlanCount),0)-1,MATCH(Decimals,Items[#Headers],0)-1,1,1)),""))))</f>
        <v/>
      </c>
      <c r="T42" s="302" t="str">
        <f ca="1">IF(OR($C42=OFFSET($C42,1,0),$A42&gt;End,IFERROR(OFFSET(Items[],MATCH($C42,INDIRECT(RangePlanCount),0)-1,MATCH(T$1,Items[#Headers],0)-1,1,1)=0,TRUE)),"",IF(AND(OFFSET(Items[],MATCH($C42,INDIRECT(RangePlanCount),0)-1,MATCH(T$1,Items[#Headers],0)-1,1,1)&gt;0,$J42="LPSM"),"ALL",TEXT(OFFSET(Items[],MATCH($C42,INDIRECT(RangePlanCount),0)-1,MATCH(T$1,Items[#Headers],0)-1,1,1),"###,###,##0"&amp;IF(OFFSET(Items[],MATCH($C42,INDIRECT(RangePlanCount),0)-1,MATCH(Decimals,Items[#Headers],0)-1,1,1)&gt;0,"."&amp;REPT("0",OFFSET(Items[],MATCH($C42,INDIRECT(RangePlanCount),0)-1,MATCH(Decimals,Items[#Headers],0)-1,1,1)),""))))</f>
        <v/>
      </c>
      <c r="U42" s="302" t="str">
        <f ca="1">IF(OR($C42=OFFSET($C42,1,0),$A42&gt;End,IFERROR(OFFSET(Items[],MATCH($C42,INDIRECT(RangePlanCount),0)-1,MATCH(U$1,Items[#Headers],0)-1,1,1)=0,TRUE)),"",IF(AND(OFFSET(Items[],MATCH($C42,INDIRECT(RangePlanCount),0)-1,MATCH(U$1,Items[#Headers],0)-1,1,1)&gt;0,$J42="LPSM"),"ALL",TEXT(OFFSET(Items[],MATCH($C42,INDIRECT(RangePlanCount),0)-1,MATCH(U$1,Items[#Headers],0)-1,1,1),"###,###,##0"&amp;IF(OFFSET(Items[],MATCH($C42,INDIRECT(RangePlanCount),0)-1,MATCH(Decimals,Items[#Headers],0)-1,1,1)&gt;0,"."&amp;REPT("0",OFFSET(Items[],MATCH($C42,INDIRECT(RangePlanCount),0)-1,MATCH(Decimals,Items[#Headers],0)-1,1,1)),""))))</f>
        <v/>
      </c>
      <c r="V42" s="302" t="str">
        <f ca="1">IF(OR($C42=OFFSET($C42,1,0),$A42&gt;End,IFERROR(OFFSET(Items[],MATCH($C42,INDIRECT(RangePlanCount),0)-1,MATCH(V$1,Items[#Headers],0)-1,1,1)=0,TRUE)),"",IF(AND(OFFSET(Items[],MATCH($C42,INDIRECT(RangePlanCount),0)-1,MATCH(V$1,Items[#Headers],0)-1,1,1)&gt;0,$J42="LPSM"),"ALL",TEXT(OFFSET(Items[],MATCH($C42,INDIRECT(RangePlanCount),0)-1,MATCH(V$1,Items[#Headers],0)-1,1,1),"###,###,##0"&amp;IF(OFFSET(Items[],MATCH($C42,INDIRECT(RangePlanCount),0)-1,MATCH(Decimals,Items[#Headers],0)-1,1,1)&gt;0,"."&amp;REPT("0",OFFSET(Items[],MATCH($C42,INDIRECT(RangePlanCount),0)-1,MATCH(Decimals,Items[#Headers],0)-1,1,1)),""))))</f>
        <v/>
      </c>
      <c r="W42" s="304" t="str">
        <f ca="1">IF(OR($C42=OFFSET($C42,1,0),$A42&gt;End,IFERROR(OFFSET(Items[],MATCH($C42,INDIRECT(RangePlanCount),0)-1,MATCH(W$1,Items[#Headers],0)-1,1,1)=0,TRUE)),"",IF(AND(OFFSET(Items[],MATCH($C42,INDIRECT(RangePlanCount),0)-1,MATCH(W$1,Items[#Headers],0)-1,1,1)&gt;0,$J42="LPSM"),"ALL",TEXT(OFFSET(Items[],MATCH($C42,INDIRECT(RangePlanCount),0)-1,MATCH(W$1,Items[#Headers],0)-1,1,1),"###,###,##0"&amp;IF(OFFSET(Items[],MATCH($C42,INDIRECT(RangePlanCount),0)-1,MATCH(Decimals,Items[#Headers],0)-1,1,1)&gt;0,"."&amp;REPT("0",OFFSET(Items[],MATCH($C42,INDIRECT(RangePlanCount),0)-1,MATCH(Decimals,Items[#Headers],0)-1,1,1)),""))))</f>
        <v/>
      </c>
      <c r="X42" s="305" t="str">
        <f ca="1">IF(OR($C42=OFFSET($C42,1,0),$A42&gt;End,IFERROR(OFFSET(Items[],MATCH($C42,INDIRECT(RangePlanCount),0)-1,MATCH(X$1,Items[#Headers],0)-1,1,1)=0,TRUE)),"",IF(AND(OFFSET(Items[],MATCH($C42,INDIRECT(RangePlanCount),0)-1,MATCH(X$1,Items[#Headers],0)-1,1,1)&gt;0,$J42="LPSM"),"ALL",TEXT(OFFSET(Items[],MATCH($C42,INDIRECT(RangePlanCount),0)-1,MATCH(X$1,Items[#Headers],0)-1,1,1),"###,###,##0"&amp;IF(OFFSET(Items[],MATCH($C42,INDIRECT(RangePlanCount),0)-1,MATCH(Decimals,Items[#Headers],0)-1,1,1)&gt;0,"."&amp;REPT("0",OFFSET(Items[],MATCH($C42,INDIRECT(RangePlanCount),0)-1,MATCH(Decimals,Items[#Headers],0)-1,1,1)),""))))</f>
        <v/>
      </c>
      <c r="Y42" s="306" t="str">
        <f ca="1">IF(OR($A42&gt;End,COUNTIF($C$7:$C42,$C42)&gt;lines_R),"",IF(COUNTIF($C$7:$C42,$C42)=1,LEFT(VLOOKUP($C42,Calcs[],col_Remarks,0),VLOOKUP($C42,Calcs[],col_R,0)),MID(VLOOKUP($C42,Calcs[],col_Remarks,0),VLOOKUP($C42,Calcs[],col_R+COUNTIF($C$7:$C42,$C42)-2,0)+1,VLOOKUP($C42,Calcs[],col_R+COUNTIF($C$7:$C42,$C42)-1,0)-VLOOKUP($C42,Calcs[],col_R+COUNTIF($C$7:$C42,$C42)-2,0))))</f>
        <v/>
      </c>
      <c r="Z42" s="300"/>
      <c r="AA42" s="1"/>
    </row>
    <row r="43" spans="1:27" ht="15" customHeight="1" x14ac:dyDescent="0.15">
      <c r="A43" s="58">
        <f t="shared" ca="1" si="1"/>
        <v>36</v>
      </c>
      <c r="C43" s="58">
        <f ca="1">IFERROR(VLOOKUP(A43,Calcs[],1,0),OFFSET(C43,1,0))</f>
        <v>0</v>
      </c>
      <c r="D43" s="342" t="str">
        <f ca="1">TEXT(NOW(),"d-mmm-yyyy h:mm AM/PM")</f>
        <v>2-Dec-2024 8:25 AM</v>
      </c>
      <c r="E43" s="59"/>
      <c r="F43" s="301" t="str">
        <f ca="1">IF(OR($C43=OFFSET($C43,-1,0),$A43&gt;End),"",_xlfn.XLOOKUP($C43,Items[PlanCounter],Items[Amend],_xlfn.XLOOKUP($C43,Proposed[PlanCounter],Proposed[Amend])))</f>
        <v/>
      </c>
      <c r="G43" s="302" t="str">
        <f ca="1">IF(OR($C43=OFFSET($C43,-1,0),$A43&gt;End),"",_xlfn.XLOOKUP($C43,Calcs[Counter],Calcs[Line]))</f>
        <v/>
      </c>
      <c r="H43" s="302" t="str" cm="1">
        <f t="array" aca="1" ref="H43" ca="1">IF(OR($C43=OFFSET($C43,-1,0),$A43&gt;End),"",_xlfn.XLOOKUP($C43,INDIRECT(RangePlanCount),INDIRECT(RangeItems)))</f>
        <v/>
      </c>
      <c r="I43" s="294" t="str">
        <f ca="1">IF(OR($A43&gt;End,COUNTIF($C$7:$C43,$C43)&gt;lines_D),"",IF(COUNTIF($C$7:$C43,$C43)=1,LEFT(VLOOKUP($C43,Calcs[],col_Description,0),VLOOKUP($C43,Calcs[],col_D,0)),MID(VLOOKUP($C43,Calcs[],col_Description,0),VLOOKUP($C43,Calcs[],col_D+COUNTIF($C$7:$C43,$C43)-2,0)+1,VLOOKUP($C43,Calcs[],col_D+COUNTIF($C$7:$C43,$C43)-1,0)-VLOOKUP($C43,Calcs[],col_D+COUNTIF($C$7:$C43,$C43)-2,0))))</f>
        <v/>
      </c>
      <c r="J43" s="295" t="str" cm="1">
        <f t="array" aca="1" ref="J43" ca="1">IF(OR($C43=OFFSET($C43,1,0),$A43&gt;End),"",_xlfn.XLOOKUP($C43,INDIRECT(RangePlanCount),INDIRECT(RangeUnit)))</f>
        <v/>
      </c>
      <c r="K43" s="303" t="str">
        <f ca="1">IF(OR($C43=OFFSET($C43,1,0),$A43&gt;End,IFERROR(OFFSET(Items[],MATCH($C43,INDIRECT(RangePlanCount),0)-1,MATCH(K$1,Items[#Headers],0)-1,1,1)=0,TRUE)),"",IF(AND(OFFSET(Items[],MATCH($C43,INDIRECT(RangePlanCount),0)-1,MATCH(K$1,Items[#Headers],0)-1,1,1)&gt;0,$J43="LPSM"),"ALL",TEXT(OFFSET(Items[],MATCH($C43,INDIRECT(RangePlanCount),0)-1,MATCH(K$1,Items[#Headers],0)-1,1,1),"###,###,##0"&amp;IF(OFFSET(Items[],MATCH($C43,INDIRECT(RangePlanCount),0)-1,MATCH(Decimals,Items[#Headers],0)-1,1,1)&gt;0,"."&amp;REPT("0",OFFSET(Items[],MATCH($C43,INDIRECT(RangePlanCount),0)-1,MATCH(Decimals,Items[#Headers],0)-1,1,1)),""))))</f>
        <v/>
      </c>
      <c r="L43" s="302" t="str">
        <f ca="1">IF(OR($C43=OFFSET($C43,1,0),$A43&gt;End,IFERROR(OFFSET(Items[],MATCH($C43,INDIRECT(RangePlanCount),0)-1,MATCH(L$1,Items[#Headers],0)-1,1,1)=0,TRUE)),"",IF(AND(OFFSET(Items[],MATCH($C43,INDIRECT(RangePlanCount),0)-1,MATCH(L$1,Items[#Headers],0)-1,1,1)&gt;0,$J43="LPSM"),"ALL",TEXT(OFFSET(Items[],MATCH($C43,INDIRECT(RangePlanCount),0)-1,MATCH(L$1,Items[#Headers],0)-1,1,1),"###,###,##0"&amp;IF(OFFSET(Items[],MATCH($C43,INDIRECT(RangePlanCount),0)-1,MATCH(Decimals,Items[#Headers],0)-1,1,1)&gt;0,"."&amp;REPT("0",OFFSET(Items[],MATCH($C43,INDIRECT(RangePlanCount),0)-1,MATCH(Decimals,Items[#Headers],0)-1,1,1)),""))))</f>
        <v/>
      </c>
      <c r="M43" s="302" t="str">
        <f ca="1">IF(OR($C43=OFFSET($C43,1,0),$A43&gt;End,IFERROR(OFFSET(Items[],MATCH($C43,INDIRECT(RangePlanCount),0)-1,MATCH(M$1,Items[#Headers],0)-1,1,1)=0,TRUE)),"",IF(AND(OFFSET(Items[],MATCH($C43,INDIRECT(RangePlanCount),0)-1,MATCH(M$1,Items[#Headers],0)-1,1,1)&gt;0,$J43="LPSM"),"ALL",TEXT(OFFSET(Items[],MATCH($C43,INDIRECT(RangePlanCount),0)-1,MATCH(M$1,Items[#Headers],0)-1,1,1),"###,###,##0"&amp;IF(OFFSET(Items[],MATCH($C43,INDIRECT(RangePlanCount),0)-1,MATCH(Decimals,Items[#Headers],0)-1,1,1)&gt;0,"."&amp;REPT("0",OFFSET(Items[],MATCH($C43,INDIRECT(RangePlanCount),0)-1,MATCH(Decimals,Items[#Headers],0)-1,1,1)),""))))</f>
        <v/>
      </c>
      <c r="N43" s="302" t="str">
        <f ca="1">IF(OR($C43=OFFSET($C43,1,0),$A43&gt;End,IFERROR(OFFSET(Items[],MATCH($C43,INDIRECT(RangePlanCount),0)-1,MATCH(N$1,Items[#Headers],0)-1,1,1)=0,TRUE)),"",IF(AND(OFFSET(Items[],MATCH($C43,INDIRECT(RangePlanCount),0)-1,MATCH(N$1,Items[#Headers],0)-1,1,1)&gt;0,$J43="LPSM"),"ALL",TEXT(OFFSET(Items[],MATCH($C43,INDIRECT(RangePlanCount),0)-1,MATCH(N$1,Items[#Headers],0)-1,1,1),"###,###,##0"&amp;IF(OFFSET(Items[],MATCH($C43,INDIRECT(RangePlanCount),0)-1,MATCH(Decimals,Items[#Headers],0)-1,1,1)&gt;0,"."&amp;REPT("0",OFFSET(Items[],MATCH($C43,INDIRECT(RangePlanCount),0)-1,MATCH(Decimals,Items[#Headers],0)-1,1,1)),""))))</f>
        <v/>
      </c>
      <c r="O43" s="302" t="str">
        <f ca="1">IF(OR($C43=OFFSET($C43,1,0),$A43&gt;End,IFERROR(OFFSET(Items[],MATCH($C43,INDIRECT(RangePlanCount),0)-1,MATCH(O$1,Items[#Headers],0)-1,1,1)=0,TRUE)),"",IF(AND(OFFSET(Items[],MATCH($C43,INDIRECT(RangePlanCount),0)-1,MATCH(O$1,Items[#Headers],0)-1,1,1)&gt;0,$J43="LPSM"),"ALL",TEXT(OFFSET(Items[],MATCH($C43,INDIRECT(RangePlanCount),0)-1,MATCH(O$1,Items[#Headers],0)-1,1,1),"###,###,##0"&amp;IF(OFFSET(Items[],MATCH($C43,INDIRECT(RangePlanCount),0)-1,MATCH(Decimals,Items[#Headers],0)-1,1,1)&gt;0,"."&amp;REPT("0",OFFSET(Items[],MATCH($C43,INDIRECT(RangePlanCount),0)-1,MATCH(Decimals,Items[#Headers],0)-1,1,1)),""))))</f>
        <v/>
      </c>
      <c r="P43" s="302" t="str">
        <f ca="1">IF(OR($C43=OFFSET($C43,1,0),$A43&gt;End,IFERROR(OFFSET(Items[],MATCH($C43,INDIRECT(RangePlanCount),0)-1,MATCH(P$1,Items[#Headers],0)-1,1,1)=0,TRUE)),"",IF(AND(OFFSET(Items[],MATCH($C43,INDIRECT(RangePlanCount),0)-1,MATCH(P$1,Items[#Headers],0)-1,1,1)&gt;0,$J43="LPSM"),"ALL",TEXT(OFFSET(Items[],MATCH($C43,INDIRECT(RangePlanCount),0)-1,MATCH(P$1,Items[#Headers],0)-1,1,1),"###,###,##0"&amp;IF(OFFSET(Items[],MATCH($C43,INDIRECT(RangePlanCount),0)-1,MATCH(Decimals,Items[#Headers],0)-1,1,1)&gt;0,"."&amp;REPT("0",OFFSET(Items[],MATCH($C43,INDIRECT(RangePlanCount),0)-1,MATCH(Decimals,Items[#Headers],0)-1,1,1)),""))))</f>
        <v/>
      </c>
      <c r="Q43" s="302" t="str">
        <f ca="1">IF(OR($C43=OFFSET($C43,1,0),$A43&gt;End,IFERROR(OFFSET(Items[],MATCH($C43,INDIRECT(RangePlanCount),0)-1,MATCH(Q$1,Items[#Headers],0)-1,1,1)=0,TRUE)),"",IF(AND(OFFSET(Items[],MATCH($C43,INDIRECT(RangePlanCount),0)-1,MATCH(Q$1,Items[#Headers],0)-1,1,1)&gt;0,$J43="LPSM"),"ALL",TEXT(OFFSET(Items[],MATCH($C43,INDIRECT(RangePlanCount),0)-1,MATCH(Q$1,Items[#Headers],0)-1,1,1),"###,###,##0"&amp;IF(OFFSET(Items[],MATCH($C43,INDIRECT(RangePlanCount),0)-1,MATCH(Decimals,Items[#Headers],0)-1,1,1)&gt;0,"."&amp;REPT("0",OFFSET(Items[],MATCH($C43,INDIRECT(RangePlanCount),0)-1,MATCH(Decimals,Items[#Headers],0)-1,1,1)),""))))</f>
        <v/>
      </c>
      <c r="R43" s="302" t="str">
        <f ca="1">IF(OR($C43=OFFSET($C43,1,0),$A43&gt;End,IFERROR(OFFSET(Items[],MATCH($C43,INDIRECT(RangePlanCount),0)-1,MATCH(R$1,Items[#Headers],0)-1,1,1)=0,TRUE)),"",IF(AND(OFFSET(Items[],MATCH($C43,INDIRECT(RangePlanCount),0)-1,MATCH(R$1,Items[#Headers],0)-1,1,1)&gt;0,$J43="LPSM"),"ALL",TEXT(OFFSET(Items[],MATCH($C43,INDIRECT(RangePlanCount),0)-1,MATCH(R$1,Items[#Headers],0)-1,1,1),"###,###,##0"&amp;IF(OFFSET(Items[],MATCH($C43,INDIRECT(RangePlanCount),0)-1,MATCH(Decimals,Items[#Headers],0)-1,1,1)&gt;0,"."&amp;REPT("0",OFFSET(Items[],MATCH($C43,INDIRECT(RangePlanCount),0)-1,MATCH(Decimals,Items[#Headers],0)-1,1,1)),""))))</f>
        <v/>
      </c>
      <c r="S43" s="302" t="str">
        <f ca="1">IF(OR($C43=OFFSET($C43,1,0),$A43&gt;End,IFERROR(OFFSET(Items[],MATCH($C43,INDIRECT(RangePlanCount),0)-1,MATCH(S$1,Items[#Headers],0)-1,1,1)=0,TRUE)),"",IF(AND(OFFSET(Items[],MATCH($C43,INDIRECT(RangePlanCount),0)-1,MATCH(S$1,Items[#Headers],0)-1,1,1)&gt;0,$J43="LPSM"),"ALL",TEXT(OFFSET(Items[],MATCH($C43,INDIRECT(RangePlanCount),0)-1,MATCH(S$1,Items[#Headers],0)-1,1,1),"###,###,##0"&amp;IF(OFFSET(Items[],MATCH($C43,INDIRECT(RangePlanCount),0)-1,MATCH(Decimals,Items[#Headers],0)-1,1,1)&gt;0,"."&amp;REPT("0",OFFSET(Items[],MATCH($C43,INDIRECT(RangePlanCount),0)-1,MATCH(Decimals,Items[#Headers],0)-1,1,1)),""))))</f>
        <v/>
      </c>
      <c r="T43" s="302" t="str">
        <f ca="1">IF(OR($C43=OFFSET($C43,1,0),$A43&gt;End,IFERROR(OFFSET(Items[],MATCH($C43,INDIRECT(RangePlanCount),0)-1,MATCH(T$1,Items[#Headers],0)-1,1,1)=0,TRUE)),"",IF(AND(OFFSET(Items[],MATCH($C43,INDIRECT(RangePlanCount),0)-1,MATCH(T$1,Items[#Headers],0)-1,1,1)&gt;0,$J43="LPSM"),"ALL",TEXT(OFFSET(Items[],MATCH($C43,INDIRECT(RangePlanCount),0)-1,MATCH(T$1,Items[#Headers],0)-1,1,1),"###,###,##0"&amp;IF(OFFSET(Items[],MATCH($C43,INDIRECT(RangePlanCount),0)-1,MATCH(Decimals,Items[#Headers],0)-1,1,1)&gt;0,"."&amp;REPT("0",OFFSET(Items[],MATCH($C43,INDIRECT(RangePlanCount),0)-1,MATCH(Decimals,Items[#Headers],0)-1,1,1)),""))))</f>
        <v/>
      </c>
      <c r="U43" s="302" t="str">
        <f ca="1">IF(OR($C43=OFFSET($C43,1,0),$A43&gt;End,IFERROR(OFFSET(Items[],MATCH($C43,INDIRECT(RangePlanCount),0)-1,MATCH(U$1,Items[#Headers],0)-1,1,1)=0,TRUE)),"",IF(AND(OFFSET(Items[],MATCH($C43,INDIRECT(RangePlanCount),0)-1,MATCH(U$1,Items[#Headers],0)-1,1,1)&gt;0,$J43="LPSM"),"ALL",TEXT(OFFSET(Items[],MATCH($C43,INDIRECT(RangePlanCount),0)-1,MATCH(U$1,Items[#Headers],0)-1,1,1),"###,###,##0"&amp;IF(OFFSET(Items[],MATCH($C43,INDIRECT(RangePlanCount),0)-1,MATCH(Decimals,Items[#Headers],0)-1,1,1)&gt;0,"."&amp;REPT("0",OFFSET(Items[],MATCH($C43,INDIRECT(RangePlanCount),0)-1,MATCH(Decimals,Items[#Headers],0)-1,1,1)),""))))</f>
        <v/>
      </c>
      <c r="V43" s="302" t="str">
        <f ca="1">IF(OR($C43=OFFSET($C43,1,0),$A43&gt;End,IFERROR(OFFSET(Items[],MATCH($C43,INDIRECT(RangePlanCount),0)-1,MATCH(V$1,Items[#Headers],0)-1,1,1)=0,TRUE)),"",IF(AND(OFFSET(Items[],MATCH($C43,INDIRECT(RangePlanCount),0)-1,MATCH(V$1,Items[#Headers],0)-1,1,1)&gt;0,$J43="LPSM"),"ALL",TEXT(OFFSET(Items[],MATCH($C43,INDIRECT(RangePlanCount),0)-1,MATCH(V$1,Items[#Headers],0)-1,1,1),"###,###,##0"&amp;IF(OFFSET(Items[],MATCH($C43,INDIRECT(RangePlanCount),0)-1,MATCH(Decimals,Items[#Headers],0)-1,1,1)&gt;0,"."&amp;REPT("0",OFFSET(Items[],MATCH($C43,INDIRECT(RangePlanCount),0)-1,MATCH(Decimals,Items[#Headers],0)-1,1,1)),""))))</f>
        <v/>
      </c>
      <c r="W43" s="304" t="str">
        <f ca="1">IF(OR($C43=OFFSET($C43,1,0),$A43&gt;End,IFERROR(OFFSET(Items[],MATCH($C43,INDIRECT(RangePlanCount),0)-1,MATCH(W$1,Items[#Headers],0)-1,1,1)=0,TRUE)),"",IF(AND(OFFSET(Items[],MATCH($C43,INDIRECT(RangePlanCount),0)-1,MATCH(W$1,Items[#Headers],0)-1,1,1)&gt;0,$J43="LPSM"),"ALL",TEXT(OFFSET(Items[],MATCH($C43,INDIRECT(RangePlanCount),0)-1,MATCH(W$1,Items[#Headers],0)-1,1,1),"###,###,##0"&amp;IF(OFFSET(Items[],MATCH($C43,INDIRECT(RangePlanCount),0)-1,MATCH(Decimals,Items[#Headers],0)-1,1,1)&gt;0,"."&amp;REPT("0",OFFSET(Items[],MATCH($C43,INDIRECT(RangePlanCount),0)-1,MATCH(Decimals,Items[#Headers],0)-1,1,1)),""))))</f>
        <v/>
      </c>
      <c r="X43" s="305" t="str">
        <f ca="1">IF(OR($C43=OFFSET($C43,1,0),$A43&gt;End,IFERROR(OFFSET(Items[],MATCH($C43,INDIRECT(RangePlanCount),0)-1,MATCH(X$1,Items[#Headers],0)-1,1,1)=0,TRUE)),"",IF(AND(OFFSET(Items[],MATCH($C43,INDIRECT(RangePlanCount),0)-1,MATCH(X$1,Items[#Headers],0)-1,1,1)&gt;0,$J43="LPSM"),"ALL",TEXT(OFFSET(Items[],MATCH($C43,INDIRECT(RangePlanCount),0)-1,MATCH(X$1,Items[#Headers],0)-1,1,1),"###,###,##0"&amp;IF(OFFSET(Items[],MATCH($C43,INDIRECT(RangePlanCount),0)-1,MATCH(Decimals,Items[#Headers],0)-1,1,1)&gt;0,"."&amp;REPT("0",OFFSET(Items[],MATCH($C43,INDIRECT(RangePlanCount),0)-1,MATCH(Decimals,Items[#Headers],0)-1,1,1)),""))))</f>
        <v/>
      </c>
      <c r="Y43" s="306" t="str">
        <f ca="1">IF(OR($A43&gt;End,COUNTIF($C$7:$C43,$C43)&gt;lines_R),"",IF(COUNTIF($C$7:$C43,$C43)=1,LEFT(VLOOKUP($C43,Calcs[],col_Remarks,0),VLOOKUP($C43,Calcs[],col_R,0)),MID(VLOOKUP($C43,Calcs[],col_Remarks,0),VLOOKUP($C43,Calcs[],col_R+COUNTIF($C$7:$C43,$C43)-2,0)+1,VLOOKUP($C43,Calcs[],col_R+COUNTIF($C$7:$C43,$C43)-1,0)-VLOOKUP($C43,Calcs[],col_R+COUNTIF($C$7:$C43,$C43)-2,0))))</f>
        <v/>
      </c>
      <c r="Z43" s="300"/>
      <c r="AA43" s="1"/>
    </row>
    <row r="44" spans="1:27" ht="15" customHeight="1" x14ac:dyDescent="0.15">
      <c r="A44" s="58">
        <f t="shared" ca="1" si="1"/>
        <v>37</v>
      </c>
      <c r="C44" s="58">
        <f ca="1">IFERROR(VLOOKUP(A44,Calcs[],1,0),OFFSET(C44,1,0))</f>
        <v>0</v>
      </c>
      <c r="D44" s="342"/>
      <c r="E44" s="59"/>
      <c r="F44" s="301" t="str">
        <f ca="1">IF(OR($C44=OFFSET($C44,-1,0),$A44&gt;End),"",_xlfn.XLOOKUP($C44,Items[PlanCounter],Items[Amend],_xlfn.XLOOKUP($C44,Proposed[PlanCounter],Proposed[Amend])))</f>
        <v/>
      </c>
      <c r="G44" s="302" t="str">
        <f ca="1">IF(OR($C44=OFFSET($C44,-1,0),$A44&gt;End),"",_xlfn.XLOOKUP($C44,Calcs[Counter],Calcs[Line]))</f>
        <v/>
      </c>
      <c r="H44" s="302" t="str" cm="1">
        <f t="array" aca="1" ref="H44" ca="1">IF(OR($C44=OFFSET($C44,-1,0),$A44&gt;End),"",_xlfn.XLOOKUP($C44,INDIRECT(RangePlanCount),INDIRECT(RangeItems)))</f>
        <v/>
      </c>
      <c r="I44" s="294" t="str">
        <f ca="1">IF(OR($A44&gt;End,COUNTIF($C$7:$C44,$C44)&gt;lines_D),"",IF(COUNTIF($C$7:$C44,$C44)=1,LEFT(VLOOKUP($C44,Calcs[],col_Description,0),VLOOKUP($C44,Calcs[],col_D,0)),MID(VLOOKUP($C44,Calcs[],col_Description,0),VLOOKUP($C44,Calcs[],col_D+COUNTIF($C$7:$C44,$C44)-2,0)+1,VLOOKUP($C44,Calcs[],col_D+COUNTIF($C$7:$C44,$C44)-1,0)-VLOOKUP($C44,Calcs[],col_D+COUNTIF($C$7:$C44,$C44)-2,0))))</f>
        <v/>
      </c>
      <c r="J44" s="295" t="str" cm="1">
        <f t="array" aca="1" ref="J44" ca="1">IF(OR($C44=OFFSET($C44,1,0),$A44&gt;End),"",_xlfn.XLOOKUP($C44,INDIRECT(RangePlanCount),INDIRECT(RangeUnit)))</f>
        <v/>
      </c>
      <c r="K44" s="303" t="str">
        <f ca="1">IF(OR($C44=OFFSET($C44,1,0),$A44&gt;End,IFERROR(OFFSET(Items[],MATCH($C44,INDIRECT(RangePlanCount),0)-1,MATCH(K$1,Items[#Headers],0)-1,1,1)=0,TRUE)),"",IF(AND(OFFSET(Items[],MATCH($C44,INDIRECT(RangePlanCount),0)-1,MATCH(K$1,Items[#Headers],0)-1,1,1)&gt;0,$J44="LPSM"),"ALL",TEXT(OFFSET(Items[],MATCH($C44,INDIRECT(RangePlanCount),0)-1,MATCH(K$1,Items[#Headers],0)-1,1,1),"###,###,##0"&amp;IF(OFFSET(Items[],MATCH($C44,INDIRECT(RangePlanCount),0)-1,MATCH(Decimals,Items[#Headers],0)-1,1,1)&gt;0,"."&amp;REPT("0",OFFSET(Items[],MATCH($C44,INDIRECT(RangePlanCount),0)-1,MATCH(Decimals,Items[#Headers],0)-1,1,1)),""))))</f>
        <v/>
      </c>
      <c r="L44" s="302" t="str">
        <f ca="1">IF(OR($C44=OFFSET($C44,1,0),$A44&gt;End,IFERROR(OFFSET(Items[],MATCH($C44,INDIRECT(RangePlanCount),0)-1,MATCH(L$1,Items[#Headers],0)-1,1,1)=0,TRUE)),"",IF(AND(OFFSET(Items[],MATCH($C44,INDIRECT(RangePlanCount),0)-1,MATCH(L$1,Items[#Headers],0)-1,1,1)&gt;0,$J44="LPSM"),"ALL",TEXT(OFFSET(Items[],MATCH($C44,INDIRECT(RangePlanCount),0)-1,MATCH(L$1,Items[#Headers],0)-1,1,1),"###,###,##0"&amp;IF(OFFSET(Items[],MATCH($C44,INDIRECT(RangePlanCount),0)-1,MATCH(Decimals,Items[#Headers],0)-1,1,1)&gt;0,"."&amp;REPT("0",OFFSET(Items[],MATCH($C44,INDIRECT(RangePlanCount),0)-1,MATCH(Decimals,Items[#Headers],0)-1,1,1)),""))))</f>
        <v/>
      </c>
      <c r="M44" s="302" t="str">
        <f ca="1">IF(OR($C44=OFFSET($C44,1,0),$A44&gt;End,IFERROR(OFFSET(Items[],MATCH($C44,INDIRECT(RangePlanCount),0)-1,MATCH(M$1,Items[#Headers],0)-1,1,1)=0,TRUE)),"",IF(AND(OFFSET(Items[],MATCH($C44,INDIRECT(RangePlanCount),0)-1,MATCH(M$1,Items[#Headers],0)-1,1,1)&gt;0,$J44="LPSM"),"ALL",TEXT(OFFSET(Items[],MATCH($C44,INDIRECT(RangePlanCount),0)-1,MATCH(M$1,Items[#Headers],0)-1,1,1),"###,###,##0"&amp;IF(OFFSET(Items[],MATCH($C44,INDIRECT(RangePlanCount),0)-1,MATCH(Decimals,Items[#Headers],0)-1,1,1)&gt;0,"."&amp;REPT("0",OFFSET(Items[],MATCH($C44,INDIRECT(RangePlanCount),0)-1,MATCH(Decimals,Items[#Headers],0)-1,1,1)),""))))</f>
        <v/>
      </c>
      <c r="N44" s="302" t="str">
        <f ca="1">IF(OR($C44=OFFSET($C44,1,0),$A44&gt;End,IFERROR(OFFSET(Items[],MATCH($C44,INDIRECT(RangePlanCount),0)-1,MATCH(N$1,Items[#Headers],0)-1,1,1)=0,TRUE)),"",IF(AND(OFFSET(Items[],MATCH($C44,INDIRECT(RangePlanCount),0)-1,MATCH(N$1,Items[#Headers],0)-1,1,1)&gt;0,$J44="LPSM"),"ALL",TEXT(OFFSET(Items[],MATCH($C44,INDIRECT(RangePlanCount),0)-1,MATCH(N$1,Items[#Headers],0)-1,1,1),"###,###,##0"&amp;IF(OFFSET(Items[],MATCH($C44,INDIRECT(RangePlanCount),0)-1,MATCH(Decimals,Items[#Headers],0)-1,1,1)&gt;0,"."&amp;REPT("0",OFFSET(Items[],MATCH($C44,INDIRECT(RangePlanCount),0)-1,MATCH(Decimals,Items[#Headers],0)-1,1,1)),""))))</f>
        <v/>
      </c>
      <c r="O44" s="302" t="str">
        <f ca="1">IF(OR($C44=OFFSET($C44,1,0),$A44&gt;End,IFERROR(OFFSET(Items[],MATCH($C44,INDIRECT(RangePlanCount),0)-1,MATCH(O$1,Items[#Headers],0)-1,1,1)=0,TRUE)),"",IF(AND(OFFSET(Items[],MATCH($C44,INDIRECT(RangePlanCount),0)-1,MATCH(O$1,Items[#Headers],0)-1,1,1)&gt;0,$J44="LPSM"),"ALL",TEXT(OFFSET(Items[],MATCH($C44,INDIRECT(RangePlanCount),0)-1,MATCH(O$1,Items[#Headers],0)-1,1,1),"###,###,##0"&amp;IF(OFFSET(Items[],MATCH($C44,INDIRECT(RangePlanCount),0)-1,MATCH(Decimals,Items[#Headers],0)-1,1,1)&gt;0,"."&amp;REPT("0",OFFSET(Items[],MATCH($C44,INDIRECT(RangePlanCount),0)-1,MATCH(Decimals,Items[#Headers],0)-1,1,1)),""))))</f>
        <v/>
      </c>
      <c r="P44" s="302" t="str">
        <f ca="1">IF(OR($C44=OFFSET($C44,1,0),$A44&gt;End,IFERROR(OFFSET(Items[],MATCH($C44,INDIRECT(RangePlanCount),0)-1,MATCH(P$1,Items[#Headers],0)-1,1,1)=0,TRUE)),"",IF(AND(OFFSET(Items[],MATCH($C44,INDIRECT(RangePlanCount),0)-1,MATCH(P$1,Items[#Headers],0)-1,1,1)&gt;0,$J44="LPSM"),"ALL",TEXT(OFFSET(Items[],MATCH($C44,INDIRECT(RangePlanCount),0)-1,MATCH(P$1,Items[#Headers],0)-1,1,1),"###,###,##0"&amp;IF(OFFSET(Items[],MATCH($C44,INDIRECT(RangePlanCount),0)-1,MATCH(Decimals,Items[#Headers],0)-1,1,1)&gt;0,"."&amp;REPT("0",OFFSET(Items[],MATCH($C44,INDIRECT(RangePlanCount),0)-1,MATCH(Decimals,Items[#Headers],0)-1,1,1)),""))))</f>
        <v/>
      </c>
      <c r="Q44" s="302" t="str">
        <f ca="1">IF(OR($C44=OFFSET($C44,1,0),$A44&gt;End,IFERROR(OFFSET(Items[],MATCH($C44,INDIRECT(RangePlanCount),0)-1,MATCH(Q$1,Items[#Headers],0)-1,1,1)=0,TRUE)),"",IF(AND(OFFSET(Items[],MATCH($C44,INDIRECT(RangePlanCount),0)-1,MATCH(Q$1,Items[#Headers],0)-1,1,1)&gt;0,$J44="LPSM"),"ALL",TEXT(OFFSET(Items[],MATCH($C44,INDIRECT(RangePlanCount),0)-1,MATCH(Q$1,Items[#Headers],0)-1,1,1),"###,###,##0"&amp;IF(OFFSET(Items[],MATCH($C44,INDIRECT(RangePlanCount),0)-1,MATCH(Decimals,Items[#Headers],0)-1,1,1)&gt;0,"."&amp;REPT("0",OFFSET(Items[],MATCH($C44,INDIRECT(RangePlanCount),0)-1,MATCH(Decimals,Items[#Headers],0)-1,1,1)),""))))</f>
        <v/>
      </c>
      <c r="R44" s="302" t="str">
        <f ca="1">IF(OR($C44=OFFSET($C44,1,0),$A44&gt;End,IFERROR(OFFSET(Items[],MATCH($C44,INDIRECT(RangePlanCount),0)-1,MATCH(R$1,Items[#Headers],0)-1,1,1)=0,TRUE)),"",IF(AND(OFFSET(Items[],MATCH($C44,INDIRECT(RangePlanCount),0)-1,MATCH(R$1,Items[#Headers],0)-1,1,1)&gt;0,$J44="LPSM"),"ALL",TEXT(OFFSET(Items[],MATCH($C44,INDIRECT(RangePlanCount),0)-1,MATCH(R$1,Items[#Headers],0)-1,1,1),"###,###,##0"&amp;IF(OFFSET(Items[],MATCH($C44,INDIRECT(RangePlanCount),0)-1,MATCH(Decimals,Items[#Headers],0)-1,1,1)&gt;0,"."&amp;REPT("0",OFFSET(Items[],MATCH($C44,INDIRECT(RangePlanCount),0)-1,MATCH(Decimals,Items[#Headers],0)-1,1,1)),""))))</f>
        <v/>
      </c>
      <c r="S44" s="302" t="str">
        <f ca="1">IF(OR($C44=OFFSET($C44,1,0),$A44&gt;End,IFERROR(OFFSET(Items[],MATCH($C44,INDIRECT(RangePlanCount),0)-1,MATCH(S$1,Items[#Headers],0)-1,1,1)=0,TRUE)),"",IF(AND(OFFSET(Items[],MATCH($C44,INDIRECT(RangePlanCount),0)-1,MATCH(S$1,Items[#Headers],0)-1,1,1)&gt;0,$J44="LPSM"),"ALL",TEXT(OFFSET(Items[],MATCH($C44,INDIRECT(RangePlanCount),0)-1,MATCH(S$1,Items[#Headers],0)-1,1,1),"###,###,##0"&amp;IF(OFFSET(Items[],MATCH($C44,INDIRECT(RangePlanCount),0)-1,MATCH(Decimals,Items[#Headers],0)-1,1,1)&gt;0,"."&amp;REPT("0",OFFSET(Items[],MATCH($C44,INDIRECT(RangePlanCount),0)-1,MATCH(Decimals,Items[#Headers],0)-1,1,1)),""))))</f>
        <v/>
      </c>
      <c r="T44" s="302" t="str">
        <f ca="1">IF(OR($C44=OFFSET($C44,1,0),$A44&gt;End,IFERROR(OFFSET(Items[],MATCH($C44,INDIRECT(RangePlanCount),0)-1,MATCH(T$1,Items[#Headers],0)-1,1,1)=0,TRUE)),"",IF(AND(OFFSET(Items[],MATCH($C44,INDIRECT(RangePlanCount),0)-1,MATCH(T$1,Items[#Headers],0)-1,1,1)&gt;0,$J44="LPSM"),"ALL",TEXT(OFFSET(Items[],MATCH($C44,INDIRECT(RangePlanCount),0)-1,MATCH(T$1,Items[#Headers],0)-1,1,1),"###,###,##0"&amp;IF(OFFSET(Items[],MATCH($C44,INDIRECT(RangePlanCount),0)-1,MATCH(Decimals,Items[#Headers],0)-1,1,1)&gt;0,"."&amp;REPT("0",OFFSET(Items[],MATCH($C44,INDIRECT(RangePlanCount),0)-1,MATCH(Decimals,Items[#Headers],0)-1,1,1)),""))))</f>
        <v/>
      </c>
      <c r="U44" s="302" t="str">
        <f ca="1">IF(OR($C44=OFFSET($C44,1,0),$A44&gt;End,IFERROR(OFFSET(Items[],MATCH($C44,INDIRECT(RangePlanCount),0)-1,MATCH(U$1,Items[#Headers],0)-1,1,1)=0,TRUE)),"",IF(AND(OFFSET(Items[],MATCH($C44,INDIRECT(RangePlanCount),0)-1,MATCH(U$1,Items[#Headers],0)-1,1,1)&gt;0,$J44="LPSM"),"ALL",TEXT(OFFSET(Items[],MATCH($C44,INDIRECT(RangePlanCount),0)-1,MATCH(U$1,Items[#Headers],0)-1,1,1),"###,###,##0"&amp;IF(OFFSET(Items[],MATCH($C44,INDIRECT(RangePlanCount),0)-1,MATCH(Decimals,Items[#Headers],0)-1,1,1)&gt;0,"."&amp;REPT("0",OFFSET(Items[],MATCH($C44,INDIRECT(RangePlanCount),0)-1,MATCH(Decimals,Items[#Headers],0)-1,1,1)),""))))</f>
        <v/>
      </c>
      <c r="V44" s="302" t="str">
        <f ca="1">IF(OR($C44=OFFSET($C44,1,0),$A44&gt;End,IFERROR(OFFSET(Items[],MATCH($C44,INDIRECT(RangePlanCount),0)-1,MATCH(V$1,Items[#Headers],0)-1,1,1)=0,TRUE)),"",IF(AND(OFFSET(Items[],MATCH($C44,INDIRECT(RangePlanCount),0)-1,MATCH(V$1,Items[#Headers],0)-1,1,1)&gt;0,$J44="LPSM"),"ALL",TEXT(OFFSET(Items[],MATCH($C44,INDIRECT(RangePlanCount),0)-1,MATCH(V$1,Items[#Headers],0)-1,1,1),"###,###,##0"&amp;IF(OFFSET(Items[],MATCH($C44,INDIRECT(RangePlanCount),0)-1,MATCH(Decimals,Items[#Headers],0)-1,1,1)&gt;0,"."&amp;REPT("0",OFFSET(Items[],MATCH($C44,INDIRECT(RangePlanCount),0)-1,MATCH(Decimals,Items[#Headers],0)-1,1,1)),""))))</f>
        <v/>
      </c>
      <c r="W44" s="304" t="str">
        <f ca="1">IF(OR($C44=OFFSET($C44,1,0),$A44&gt;End,IFERROR(OFFSET(Items[],MATCH($C44,INDIRECT(RangePlanCount),0)-1,MATCH(W$1,Items[#Headers],0)-1,1,1)=0,TRUE)),"",IF(AND(OFFSET(Items[],MATCH($C44,INDIRECT(RangePlanCount),0)-1,MATCH(W$1,Items[#Headers],0)-1,1,1)&gt;0,$J44="LPSM"),"ALL",TEXT(OFFSET(Items[],MATCH($C44,INDIRECT(RangePlanCount),0)-1,MATCH(W$1,Items[#Headers],0)-1,1,1),"###,###,##0"&amp;IF(OFFSET(Items[],MATCH($C44,INDIRECT(RangePlanCount),0)-1,MATCH(Decimals,Items[#Headers],0)-1,1,1)&gt;0,"."&amp;REPT("0",OFFSET(Items[],MATCH($C44,INDIRECT(RangePlanCount),0)-1,MATCH(Decimals,Items[#Headers],0)-1,1,1)),""))))</f>
        <v/>
      </c>
      <c r="X44" s="305" t="str">
        <f ca="1">IF(OR($C44=OFFSET($C44,1,0),$A44&gt;End,IFERROR(OFFSET(Items[],MATCH($C44,INDIRECT(RangePlanCount),0)-1,MATCH(X$1,Items[#Headers],0)-1,1,1)=0,TRUE)),"",IF(AND(OFFSET(Items[],MATCH($C44,INDIRECT(RangePlanCount),0)-1,MATCH(X$1,Items[#Headers],0)-1,1,1)&gt;0,$J44="LPSM"),"ALL",TEXT(OFFSET(Items[],MATCH($C44,INDIRECT(RangePlanCount),0)-1,MATCH(X$1,Items[#Headers],0)-1,1,1),"###,###,##0"&amp;IF(OFFSET(Items[],MATCH($C44,INDIRECT(RangePlanCount),0)-1,MATCH(Decimals,Items[#Headers],0)-1,1,1)&gt;0,"."&amp;REPT("0",OFFSET(Items[],MATCH($C44,INDIRECT(RangePlanCount),0)-1,MATCH(Decimals,Items[#Headers],0)-1,1,1)),""))))</f>
        <v/>
      </c>
      <c r="Y44" s="306" t="str">
        <f ca="1">IF(OR($A44&gt;End,COUNTIF($C$7:$C44,$C44)&gt;lines_R),"",IF(COUNTIF($C$7:$C44,$C44)=1,LEFT(VLOOKUP($C44,Calcs[],col_Remarks,0),VLOOKUP($C44,Calcs[],col_R,0)),MID(VLOOKUP($C44,Calcs[],col_Remarks,0),VLOOKUP($C44,Calcs[],col_R+COUNTIF($C$7:$C44,$C44)-2,0)+1,VLOOKUP($C44,Calcs[],col_R+COUNTIF($C$7:$C44,$C44)-1,0)-VLOOKUP($C44,Calcs[],col_R+COUNTIF($C$7:$C44,$C44)-2,0))))</f>
        <v/>
      </c>
      <c r="Z44" s="300"/>
      <c r="AA44" s="1"/>
    </row>
    <row r="45" spans="1:27" ht="15" customHeight="1" x14ac:dyDescent="0.15">
      <c r="A45" s="58">
        <f t="shared" ca="1" si="1"/>
        <v>38</v>
      </c>
      <c r="C45" s="58">
        <f ca="1">IFERROR(VLOOKUP(A45,Calcs[],1,0),OFFSET(C45,1,0))</f>
        <v>0</v>
      </c>
      <c r="D45" s="342"/>
      <c r="E45" s="59"/>
      <c r="F45" s="301" t="str">
        <f ca="1">IF(OR($C45=OFFSET($C45,-1,0),$A45&gt;End),"",_xlfn.XLOOKUP($C45,Items[PlanCounter],Items[Amend],_xlfn.XLOOKUP($C45,Proposed[PlanCounter],Proposed[Amend])))</f>
        <v/>
      </c>
      <c r="G45" s="302" t="str">
        <f ca="1">IF(OR($C45=OFFSET($C45,-1,0),$A45&gt;End),"",_xlfn.XLOOKUP($C45,Calcs[Counter],Calcs[Line]))</f>
        <v/>
      </c>
      <c r="H45" s="302" t="str" cm="1">
        <f t="array" aca="1" ref="H45" ca="1">IF(OR($C45=OFFSET($C45,-1,0),$A45&gt;End),"",_xlfn.XLOOKUP($C45,INDIRECT(RangePlanCount),INDIRECT(RangeItems)))</f>
        <v/>
      </c>
      <c r="I45" s="294" t="str">
        <f ca="1">IF(OR($A45&gt;End,COUNTIF($C$7:$C45,$C45)&gt;lines_D),"",IF(COUNTIF($C$7:$C45,$C45)=1,LEFT(VLOOKUP($C45,Calcs[],col_Description,0),VLOOKUP($C45,Calcs[],col_D,0)),MID(VLOOKUP($C45,Calcs[],col_Description,0),VLOOKUP($C45,Calcs[],col_D+COUNTIF($C$7:$C45,$C45)-2,0)+1,VLOOKUP($C45,Calcs[],col_D+COUNTIF($C$7:$C45,$C45)-1,0)-VLOOKUP($C45,Calcs[],col_D+COUNTIF($C$7:$C45,$C45)-2,0))))</f>
        <v/>
      </c>
      <c r="J45" s="295" t="str" cm="1">
        <f t="array" aca="1" ref="J45" ca="1">IF(OR($C45=OFFSET($C45,1,0),$A45&gt;End),"",_xlfn.XLOOKUP($C45,INDIRECT(RangePlanCount),INDIRECT(RangeUnit)))</f>
        <v/>
      </c>
      <c r="K45" s="303" t="str">
        <f ca="1">IF(OR($C45=OFFSET($C45,1,0),$A45&gt;End,IFERROR(OFFSET(Items[],MATCH($C45,INDIRECT(RangePlanCount),0)-1,MATCH(K$1,Items[#Headers],0)-1,1,1)=0,TRUE)),"",IF(AND(OFFSET(Items[],MATCH($C45,INDIRECT(RangePlanCount),0)-1,MATCH(K$1,Items[#Headers],0)-1,1,1)&gt;0,$J45="LPSM"),"ALL",TEXT(OFFSET(Items[],MATCH($C45,INDIRECT(RangePlanCount),0)-1,MATCH(K$1,Items[#Headers],0)-1,1,1),"###,###,##0"&amp;IF(OFFSET(Items[],MATCH($C45,INDIRECT(RangePlanCount),0)-1,MATCH(Decimals,Items[#Headers],0)-1,1,1)&gt;0,"."&amp;REPT("0",OFFSET(Items[],MATCH($C45,INDIRECT(RangePlanCount),0)-1,MATCH(Decimals,Items[#Headers],0)-1,1,1)),""))))</f>
        <v/>
      </c>
      <c r="L45" s="302" t="str">
        <f ca="1">IF(OR($C45=OFFSET($C45,1,0),$A45&gt;End,IFERROR(OFFSET(Items[],MATCH($C45,INDIRECT(RangePlanCount),0)-1,MATCH(L$1,Items[#Headers],0)-1,1,1)=0,TRUE)),"",IF(AND(OFFSET(Items[],MATCH($C45,INDIRECT(RangePlanCount),0)-1,MATCH(L$1,Items[#Headers],0)-1,1,1)&gt;0,$J45="LPSM"),"ALL",TEXT(OFFSET(Items[],MATCH($C45,INDIRECT(RangePlanCount),0)-1,MATCH(L$1,Items[#Headers],0)-1,1,1),"###,###,##0"&amp;IF(OFFSET(Items[],MATCH($C45,INDIRECT(RangePlanCount),0)-1,MATCH(Decimals,Items[#Headers],0)-1,1,1)&gt;0,"."&amp;REPT("0",OFFSET(Items[],MATCH($C45,INDIRECT(RangePlanCount),0)-1,MATCH(Decimals,Items[#Headers],0)-1,1,1)),""))))</f>
        <v/>
      </c>
      <c r="M45" s="302" t="str">
        <f ca="1">IF(OR($C45=OFFSET($C45,1,0),$A45&gt;End,IFERROR(OFFSET(Items[],MATCH($C45,INDIRECT(RangePlanCount),0)-1,MATCH(M$1,Items[#Headers],0)-1,1,1)=0,TRUE)),"",IF(AND(OFFSET(Items[],MATCH($C45,INDIRECT(RangePlanCount),0)-1,MATCH(M$1,Items[#Headers],0)-1,1,1)&gt;0,$J45="LPSM"),"ALL",TEXT(OFFSET(Items[],MATCH($C45,INDIRECT(RangePlanCount),0)-1,MATCH(M$1,Items[#Headers],0)-1,1,1),"###,###,##0"&amp;IF(OFFSET(Items[],MATCH($C45,INDIRECT(RangePlanCount),0)-1,MATCH(Decimals,Items[#Headers],0)-1,1,1)&gt;0,"."&amp;REPT("0",OFFSET(Items[],MATCH($C45,INDIRECT(RangePlanCount),0)-1,MATCH(Decimals,Items[#Headers],0)-1,1,1)),""))))</f>
        <v/>
      </c>
      <c r="N45" s="302" t="str">
        <f ca="1">IF(OR($C45=OFFSET($C45,1,0),$A45&gt;End,IFERROR(OFFSET(Items[],MATCH($C45,INDIRECT(RangePlanCount),0)-1,MATCH(N$1,Items[#Headers],0)-1,1,1)=0,TRUE)),"",IF(AND(OFFSET(Items[],MATCH($C45,INDIRECT(RangePlanCount),0)-1,MATCH(N$1,Items[#Headers],0)-1,1,1)&gt;0,$J45="LPSM"),"ALL",TEXT(OFFSET(Items[],MATCH($C45,INDIRECT(RangePlanCount),0)-1,MATCH(N$1,Items[#Headers],0)-1,1,1),"###,###,##0"&amp;IF(OFFSET(Items[],MATCH($C45,INDIRECT(RangePlanCount),0)-1,MATCH(Decimals,Items[#Headers],0)-1,1,1)&gt;0,"."&amp;REPT("0",OFFSET(Items[],MATCH($C45,INDIRECT(RangePlanCount),0)-1,MATCH(Decimals,Items[#Headers],0)-1,1,1)),""))))</f>
        <v/>
      </c>
      <c r="O45" s="302" t="str">
        <f ca="1">IF(OR($C45=OFFSET($C45,1,0),$A45&gt;End,IFERROR(OFFSET(Items[],MATCH($C45,INDIRECT(RangePlanCount),0)-1,MATCH(O$1,Items[#Headers],0)-1,1,1)=0,TRUE)),"",IF(AND(OFFSET(Items[],MATCH($C45,INDIRECT(RangePlanCount),0)-1,MATCH(O$1,Items[#Headers],0)-1,1,1)&gt;0,$J45="LPSM"),"ALL",TEXT(OFFSET(Items[],MATCH($C45,INDIRECT(RangePlanCount),0)-1,MATCH(O$1,Items[#Headers],0)-1,1,1),"###,###,##0"&amp;IF(OFFSET(Items[],MATCH($C45,INDIRECT(RangePlanCount),0)-1,MATCH(Decimals,Items[#Headers],0)-1,1,1)&gt;0,"."&amp;REPT("0",OFFSET(Items[],MATCH($C45,INDIRECT(RangePlanCount),0)-1,MATCH(Decimals,Items[#Headers],0)-1,1,1)),""))))</f>
        <v/>
      </c>
      <c r="P45" s="302" t="str">
        <f ca="1">IF(OR($C45=OFFSET($C45,1,0),$A45&gt;End,IFERROR(OFFSET(Items[],MATCH($C45,INDIRECT(RangePlanCount),0)-1,MATCH(P$1,Items[#Headers],0)-1,1,1)=0,TRUE)),"",IF(AND(OFFSET(Items[],MATCH($C45,INDIRECT(RangePlanCount),0)-1,MATCH(P$1,Items[#Headers],0)-1,1,1)&gt;0,$J45="LPSM"),"ALL",TEXT(OFFSET(Items[],MATCH($C45,INDIRECT(RangePlanCount),0)-1,MATCH(P$1,Items[#Headers],0)-1,1,1),"###,###,##0"&amp;IF(OFFSET(Items[],MATCH($C45,INDIRECT(RangePlanCount),0)-1,MATCH(Decimals,Items[#Headers],0)-1,1,1)&gt;0,"."&amp;REPT("0",OFFSET(Items[],MATCH($C45,INDIRECT(RangePlanCount),0)-1,MATCH(Decimals,Items[#Headers],0)-1,1,1)),""))))</f>
        <v/>
      </c>
      <c r="Q45" s="302" t="str">
        <f ca="1">IF(OR($C45=OFFSET($C45,1,0),$A45&gt;End,IFERROR(OFFSET(Items[],MATCH($C45,INDIRECT(RangePlanCount),0)-1,MATCH(Q$1,Items[#Headers],0)-1,1,1)=0,TRUE)),"",IF(AND(OFFSET(Items[],MATCH($C45,INDIRECT(RangePlanCount),0)-1,MATCH(Q$1,Items[#Headers],0)-1,1,1)&gt;0,$J45="LPSM"),"ALL",TEXT(OFFSET(Items[],MATCH($C45,INDIRECT(RangePlanCount),0)-1,MATCH(Q$1,Items[#Headers],0)-1,1,1),"###,###,##0"&amp;IF(OFFSET(Items[],MATCH($C45,INDIRECT(RangePlanCount),0)-1,MATCH(Decimals,Items[#Headers],0)-1,1,1)&gt;0,"."&amp;REPT("0",OFFSET(Items[],MATCH($C45,INDIRECT(RangePlanCount),0)-1,MATCH(Decimals,Items[#Headers],0)-1,1,1)),""))))</f>
        <v/>
      </c>
      <c r="R45" s="302" t="str">
        <f ca="1">IF(OR($C45=OFFSET($C45,1,0),$A45&gt;End,IFERROR(OFFSET(Items[],MATCH($C45,INDIRECT(RangePlanCount),0)-1,MATCH(R$1,Items[#Headers],0)-1,1,1)=0,TRUE)),"",IF(AND(OFFSET(Items[],MATCH($C45,INDIRECT(RangePlanCount),0)-1,MATCH(R$1,Items[#Headers],0)-1,1,1)&gt;0,$J45="LPSM"),"ALL",TEXT(OFFSET(Items[],MATCH($C45,INDIRECT(RangePlanCount),0)-1,MATCH(R$1,Items[#Headers],0)-1,1,1),"###,###,##0"&amp;IF(OFFSET(Items[],MATCH($C45,INDIRECT(RangePlanCount),0)-1,MATCH(Decimals,Items[#Headers],0)-1,1,1)&gt;0,"."&amp;REPT("0",OFFSET(Items[],MATCH($C45,INDIRECT(RangePlanCount),0)-1,MATCH(Decimals,Items[#Headers],0)-1,1,1)),""))))</f>
        <v/>
      </c>
      <c r="S45" s="302" t="str">
        <f ca="1">IF(OR($C45=OFFSET($C45,1,0),$A45&gt;End,IFERROR(OFFSET(Items[],MATCH($C45,INDIRECT(RangePlanCount),0)-1,MATCH(S$1,Items[#Headers],0)-1,1,1)=0,TRUE)),"",IF(AND(OFFSET(Items[],MATCH($C45,INDIRECT(RangePlanCount),0)-1,MATCH(S$1,Items[#Headers],0)-1,1,1)&gt;0,$J45="LPSM"),"ALL",TEXT(OFFSET(Items[],MATCH($C45,INDIRECT(RangePlanCount),0)-1,MATCH(S$1,Items[#Headers],0)-1,1,1),"###,###,##0"&amp;IF(OFFSET(Items[],MATCH($C45,INDIRECT(RangePlanCount),0)-1,MATCH(Decimals,Items[#Headers],0)-1,1,1)&gt;0,"."&amp;REPT("0",OFFSET(Items[],MATCH($C45,INDIRECT(RangePlanCount),0)-1,MATCH(Decimals,Items[#Headers],0)-1,1,1)),""))))</f>
        <v/>
      </c>
      <c r="T45" s="302" t="str">
        <f ca="1">IF(OR($C45=OFFSET($C45,1,0),$A45&gt;End,IFERROR(OFFSET(Items[],MATCH($C45,INDIRECT(RangePlanCount),0)-1,MATCH(T$1,Items[#Headers],0)-1,1,1)=0,TRUE)),"",IF(AND(OFFSET(Items[],MATCH($C45,INDIRECT(RangePlanCount),0)-1,MATCH(T$1,Items[#Headers],0)-1,1,1)&gt;0,$J45="LPSM"),"ALL",TEXT(OFFSET(Items[],MATCH($C45,INDIRECT(RangePlanCount),0)-1,MATCH(T$1,Items[#Headers],0)-1,1,1),"###,###,##0"&amp;IF(OFFSET(Items[],MATCH($C45,INDIRECT(RangePlanCount),0)-1,MATCH(Decimals,Items[#Headers],0)-1,1,1)&gt;0,"."&amp;REPT("0",OFFSET(Items[],MATCH($C45,INDIRECT(RangePlanCount),0)-1,MATCH(Decimals,Items[#Headers],0)-1,1,1)),""))))</f>
        <v/>
      </c>
      <c r="U45" s="302" t="str">
        <f ca="1">IF(OR($C45=OFFSET($C45,1,0),$A45&gt;End,IFERROR(OFFSET(Items[],MATCH($C45,INDIRECT(RangePlanCount),0)-1,MATCH(U$1,Items[#Headers],0)-1,1,1)=0,TRUE)),"",IF(AND(OFFSET(Items[],MATCH($C45,INDIRECT(RangePlanCount),0)-1,MATCH(U$1,Items[#Headers],0)-1,1,1)&gt;0,$J45="LPSM"),"ALL",TEXT(OFFSET(Items[],MATCH($C45,INDIRECT(RangePlanCount),0)-1,MATCH(U$1,Items[#Headers],0)-1,1,1),"###,###,##0"&amp;IF(OFFSET(Items[],MATCH($C45,INDIRECT(RangePlanCount),0)-1,MATCH(Decimals,Items[#Headers],0)-1,1,1)&gt;0,"."&amp;REPT("0",OFFSET(Items[],MATCH($C45,INDIRECT(RangePlanCount),0)-1,MATCH(Decimals,Items[#Headers],0)-1,1,1)),""))))</f>
        <v/>
      </c>
      <c r="V45" s="302" t="str">
        <f ca="1">IF(OR($C45=OFFSET($C45,1,0),$A45&gt;End,IFERROR(OFFSET(Items[],MATCH($C45,INDIRECT(RangePlanCount),0)-1,MATCH(V$1,Items[#Headers],0)-1,1,1)=0,TRUE)),"",IF(AND(OFFSET(Items[],MATCH($C45,INDIRECT(RangePlanCount),0)-1,MATCH(V$1,Items[#Headers],0)-1,1,1)&gt;0,$J45="LPSM"),"ALL",TEXT(OFFSET(Items[],MATCH($C45,INDIRECT(RangePlanCount),0)-1,MATCH(V$1,Items[#Headers],0)-1,1,1),"###,###,##0"&amp;IF(OFFSET(Items[],MATCH($C45,INDIRECT(RangePlanCount),0)-1,MATCH(Decimals,Items[#Headers],0)-1,1,1)&gt;0,"."&amp;REPT("0",OFFSET(Items[],MATCH($C45,INDIRECT(RangePlanCount),0)-1,MATCH(Decimals,Items[#Headers],0)-1,1,1)),""))))</f>
        <v/>
      </c>
      <c r="W45" s="304" t="str">
        <f ca="1">IF(OR($C45=OFFSET($C45,1,0),$A45&gt;End,IFERROR(OFFSET(Items[],MATCH($C45,INDIRECT(RangePlanCount),0)-1,MATCH(W$1,Items[#Headers],0)-1,1,1)=0,TRUE)),"",IF(AND(OFFSET(Items[],MATCH($C45,INDIRECT(RangePlanCount),0)-1,MATCH(W$1,Items[#Headers],0)-1,1,1)&gt;0,$J45="LPSM"),"ALL",TEXT(OFFSET(Items[],MATCH($C45,INDIRECT(RangePlanCount),0)-1,MATCH(W$1,Items[#Headers],0)-1,1,1),"###,###,##0"&amp;IF(OFFSET(Items[],MATCH($C45,INDIRECT(RangePlanCount),0)-1,MATCH(Decimals,Items[#Headers],0)-1,1,1)&gt;0,"."&amp;REPT("0",OFFSET(Items[],MATCH($C45,INDIRECT(RangePlanCount),0)-1,MATCH(Decimals,Items[#Headers],0)-1,1,1)),""))))</f>
        <v/>
      </c>
      <c r="X45" s="305" t="str">
        <f ca="1">IF(OR($C45=OFFSET($C45,1,0),$A45&gt;End,IFERROR(OFFSET(Items[],MATCH($C45,INDIRECT(RangePlanCount),0)-1,MATCH(X$1,Items[#Headers],0)-1,1,1)=0,TRUE)),"",IF(AND(OFFSET(Items[],MATCH($C45,INDIRECT(RangePlanCount),0)-1,MATCH(X$1,Items[#Headers],0)-1,1,1)&gt;0,$J45="LPSM"),"ALL",TEXT(OFFSET(Items[],MATCH($C45,INDIRECT(RangePlanCount),0)-1,MATCH(X$1,Items[#Headers],0)-1,1,1),"###,###,##0"&amp;IF(OFFSET(Items[],MATCH($C45,INDIRECT(RangePlanCount),0)-1,MATCH(Decimals,Items[#Headers],0)-1,1,1)&gt;0,"."&amp;REPT("0",OFFSET(Items[],MATCH($C45,INDIRECT(RangePlanCount),0)-1,MATCH(Decimals,Items[#Headers],0)-1,1,1)),""))))</f>
        <v/>
      </c>
      <c r="Y45" s="306" t="str">
        <f ca="1">IF(OR($A45&gt;End,COUNTIF($C$7:$C45,$C45)&gt;lines_R),"",IF(COUNTIF($C$7:$C45,$C45)=1,LEFT(VLOOKUP($C45,Calcs[],col_Remarks,0),VLOOKUP($C45,Calcs[],col_R,0)),MID(VLOOKUP($C45,Calcs[],col_Remarks,0),VLOOKUP($C45,Calcs[],col_R+COUNTIF($C$7:$C45,$C45)-2,0)+1,VLOOKUP($C45,Calcs[],col_R+COUNTIF($C$7:$C45,$C45)-1,0)-VLOOKUP($C45,Calcs[],col_R+COUNTIF($C$7:$C45,$C45)-2,0))))</f>
        <v/>
      </c>
      <c r="Z45" s="300"/>
      <c r="AA45" s="1"/>
    </row>
    <row r="46" spans="1:27" ht="15" customHeight="1" x14ac:dyDescent="0.15">
      <c r="A46" s="58">
        <f t="shared" ca="1" si="1"/>
        <v>39</v>
      </c>
      <c r="C46" s="58">
        <f ca="1">IFERROR(VLOOKUP(A46,Calcs[],1,0),OFFSET(C46,1,0))</f>
        <v>0</v>
      </c>
      <c r="D46" s="342"/>
      <c r="E46" s="59"/>
      <c r="F46" s="301" t="str">
        <f ca="1">IF(OR($C46=OFFSET($C46,-1,0),$A46&gt;End),"",_xlfn.XLOOKUP($C46,Items[PlanCounter],Items[Amend],_xlfn.XLOOKUP($C46,Proposed[PlanCounter],Proposed[Amend])))</f>
        <v/>
      </c>
      <c r="G46" s="302" t="str">
        <f ca="1">IF(OR($C46=OFFSET($C46,-1,0),$A46&gt;End),"",_xlfn.XLOOKUP($C46,Calcs[Counter],Calcs[Line]))</f>
        <v/>
      </c>
      <c r="H46" s="302" t="str" cm="1">
        <f t="array" aca="1" ref="H46" ca="1">IF(OR($C46=OFFSET($C46,-1,0),$A46&gt;End),"",_xlfn.XLOOKUP($C46,INDIRECT(RangePlanCount),INDIRECT(RangeItems)))</f>
        <v/>
      </c>
      <c r="I46" s="294" t="str">
        <f ca="1">IF(OR($A46&gt;End,COUNTIF($C$7:$C46,$C46)&gt;lines_D),"",IF(COUNTIF($C$7:$C46,$C46)=1,LEFT(VLOOKUP($C46,Calcs[],col_Description,0),VLOOKUP($C46,Calcs[],col_D,0)),MID(VLOOKUP($C46,Calcs[],col_Description,0),VLOOKUP($C46,Calcs[],col_D+COUNTIF($C$7:$C46,$C46)-2,0)+1,VLOOKUP($C46,Calcs[],col_D+COUNTIF($C$7:$C46,$C46)-1,0)-VLOOKUP($C46,Calcs[],col_D+COUNTIF($C$7:$C46,$C46)-2,0))))</f>
        <v/>
      </c>
      <c r="J46" s="295" t="str" cm="1">
        <f t="array" aca="1" ref="J46" ca="1">IF(OR($C46=OFFSET($C46,1,0),$A46&gt;End),"",_xlfn.XLOOKUP($C46,INDIRECT(RangePlanCount),INDIRECT(RangeUnit)))</f>
        <v/>
      </c>
      <c r="K46" s="303" t="str">
        <f ca="1">IF(OR($C46=OFFSET($C46,1,0),$A46&gt;End,IFERROR(OFFSET(Items[],MATCH($C46,INDIRECT(RangePlanCount),0)-1,MATCH(K$1,Items[#Headers],0)-1,1,1)=0,TRUE)),"",IF(AND(OFFSET(Items[],MATCH($C46,INDIRECT(RangePlanCount),0)-1,MATCH(K$1,Items[#Headers],0)-1,1,1)&gt;0,$J46="LPSM"),"ALL",TEXT(OFFSET(Items[],MATCH($C46,INDIRECT(RangePlanCount),0)-1,MATCH(K$1,Items[#Headers],0)-1,1,1),"###,###,##0"&amp;IF(OFFSET(Items[],MATCH($C46,INDIRECT(RangePlanCount),0)-1,MATCH(Decimals,Items[#Headers],0)-1,1,1)&gt;0,"."&amp;REPT("0",OFFSET(Items[],MATCH($C46,INDIRECT(RangePlanCount),0)-1,MATCH(Decimals,Items[#Headers],0)-1,1,1)),""))))</f>
        <v/>
      </c>
      <c r="L46" s="302" t="str">
        <f ca="1">IF(OR($C46=OFFSET($C46,1,0),$A46&gt;End,IFERROR(OFFSET(Items[],MATCH($C46,INDIRECT(RangePlanCount),0)-1,MATCH(L$1,Items[#Headers],0)-1,1,1)=0,TRUE)),"",IF(AND(OFFSET(Items[],MATCH($C46,INDIRECT(RangePlanCount),0)-1,MATCH(L$1,Items[#Headers],0)-1,1,1)&gt;0,$J46="LPSM"),"ALL",TEXT(OFFSET(Items[],MATCH($C46,INDIRECT(RangePlanCount),0)-1,MATCH(L$1,Items[#Headers],0)-1,1,1),"###,###,##0"&amp;IF(OFFSET(Items[],MATCH($C46,INDIRECT(RangePlanCount),0)-1,MATCH(Decimals,Items[#Headers],0)-1,1,1)&gt;0,"."&amp;REPT("0",OFFSET(Items[],MATCH($C46,INDIRECT(RangePlanCount),0)-1,MATCH(Decimals,Items[#Headers],0)-1,1,1)),""))))</f>
        <v/>
      </c>
      <c r="M46" s="302" t="str">
        <f ca="1">IF(OR($C46=OFFSET($C46,1,0),$A46&gt;End,IFERROR(OFFSET(Items[],MATCH($C46,INDIRECT(RangePlanCount),0)-1,MATCH(M$1,Items[#Headers],0)-1,1,1)=0,TRUE)),"",IF(AND(OFFSET(Items[],MATCH($C46,INDIRECT(RangePlanCount),0)-1,MATCH(M$1,Items[#Headers],0)-1,1,1)&gt;0,$J46="LPSM"),"ALL",TEXT(OFFSET(Items[],MATCH($C46,INDIRECT(RangePlanCount),0)-1,MATCH(M$1,Items[#Headers],0)-1,1,1),"###,###,##0"&amp;IF(OFFSET(Items[],MATCH($C46,INDIRECT(RangePlanCount),0)-1,MATCH(Decimals,Items[#Headers],0)-1,1,1)&gt;0,"."&amp;REPT("0",OFFSET(Items[],MATCH($C46,INDIRECT(RangePlanCount),0)-1,MATCH(Decimals,Items[#Headers],0)-1,1,1)),""))))</f>
        <v/>
      </c>
      <c r="N46" s="302" t="str">
        <f ca="1">IF(OR($C46=OFFSET($C46,1,0),$A46&gt;End,IFERROR(OFFSET(Items[],MATCH($C46,INDIRECT(RangePlanCount),0)-1,MATCH(N$1,Items[#Headers],0)-1,1,1)=0,TRUE)),"",IF(AND(OFFSET(Items[],MATCH($C46,INDIRECT(RangePlanCount),0)-1,MATCH(N$1,Items[#Headers],0)-1,1,1)&gt;0,$J46="LPSM"),"ALL",TEXT(OFFSET(Items[],MATCH($C46,INDIRECT(RangePlanCount),0)-1,MATCH(N$1,Items[#Headers],0)-1,1,1),"###,###,##0"&amp;IF(OFFSET(Items[],MATCH($C46,INDIRECT(RangePlanCount),0)-1,MATCH(Decimals,Items[#Headers],0)-1,1,1)&gt;0,"."&amp;REPT("0",OFFSET(Items[],MATCH($C46,INDIRECT(RangePlanCount),0)-1,MATCH(Decimals,Items[#Headers],0)-1,1,1)),""))))</f>
        <v/>
      </c>
      <c r="O46" s="302" t="str">
        <f ca="1">IF(OR($C46=OFFSET($C46,1,0),$A46&gt;End,IFERROR(OFFSET(Items[],MATCH($C46,INDIRECT(RangePlanCount),0)-1,MATCH(O$1,Items[#Headers],0)-1,1,1)=0,TRUE)),"",IF(AND(OFFSET(Items[],MATCH($C46,INDIRECT(RangePlanCount),0)-1,MATCH(O$1,Items[#Headers],0)-1,1,1)&gt;0,$J46="LPSM"),"ALL",TEXT(OFFSET(Items[],MATCH($C46,INDIRECT(RangePlanCount),0)-1,MATCH(O$1,Items[#Headers],0)-1,1,1),"###,###,##0"&amp;IF(OFFSET(Items[],MATCH($C46,INDIRECT(RangePlanCount),0)-1,MATCH(Decimals,Items[#Headers],0)-1,1,1)&gt;0,"."&amp;REPT("0",OFFSET(Items[],MATCH($C46,INDIRECT(RangePlanCount),0)-1,MATCH(Decimals,Items[#Headers],0)-1,1,1)),""))))</f>
        <v/>
      </c>
      <c r="P46" s="302" t="str">
        <f ca="1">IF(OR($C46=OFFSET($C46,1,0),$A46&gt;End,IFERROR(OFFSET(Items[],MATCH($C46,INDIRECT(RangePlanCount),0)-1,MATCH(P$1,Items[#Headers],0)-1,1,1)=0,TRUE)),"",IF(AND(OFFSET(Items[],MATCH($C46,INDIRECT(RangePlanCount),0)-1,MATCH(P$1,Items[#Headers],0)-1,1,1)&gt;0,$J46="LPSM"),"ALL",TEXT(OFFSET(Items[],MATCH($C46,INDIRECT(RangePlanCount),0)-1,MATCH(P$1,Items[#Headers],0)-1,1,1),"###,###,##0"&amp;IF(OFFSET(Items[],MATCH($C46,INDIRECT(RangePlanCount),0)-1,MATCH(Decimals,Items[#Headers],0)-1,1,1)&gt;0,"."&amp;REPT("0",OFFSET(Items[],MATCH($C46,INDIRECT(RangePlanCount),0)-1,MATCH(Decimals,Items[#Headers],0)-1,1,1)),""))))</f>
        <v/>
      </c>
      <c r="Q46" s="302" t="str">
        <f ca="1">IF(OR($C46=OFFSET($C46,1,0),$A46&gt;End,IFERROR(OFFSET(Items[],MATCH($C46,INDIRECT(RangePlanCount),0)-1,MATCH(Q$1,Items[#Headers],0)-1,1,1)=0,TRUE)),"",IF(AND(OFFSET(Items[],MATCH($C46,INDIRECT(RangePlanCount),0)-1,MATCH(Q$1,Items[#Headers],0)-1,1,1)&gt;0,$J46="LPSM"),"ALL",TEXT(OFFSET(Items[],MATCH($C46,INDIRECT(RangePlanCount),0)-1,MATCH(Q$1,Items[#Headers],0)-1,1,1),"###,###,##0"&amp;IF(OFFSET(Items[],MATCH($C46,INDIRECT(RangePlanCount),0)-1,MATCH(Decimals,Items[#Headers],0)-1,1,1)&gt;0,"."&amp;REPT("0",OFFSET(Items[],MATCH($C46,INDIRECT(RangePlanCount),0)-1,MATCH(Decimals,Items[#Headers],0)-1,1,1)),""))))</f>
        <v/>
      </c>
      <c r="R46" s="302" t="str">
        <f ca="1">IF(OR($C46=OFFSET($C46,1,0),$A46&gt;End,IFERROR(OFFSET(Items[],MATCH($C46,INDIRECT(RangePlanCount),0)-1,MATCH(R$1,Items[#Headers],0)-1,1,1)=0,TRUE)),"",IF(AND(OFFSET(Items[],MATCH($C46,INDIRECT(RangePlanCount),0)-1,MATCH(R$1,Items[#Headers],0)-1,1,1)&gt;0,$J46="LPSM"),"ALL",TEXT(OFFSET(Items[],MATCH($C46,INDIRECT(RangePlanCount),0)-1,MATCH(R$1,Items[#Headers],0)-1,1,1),"###,###,##0"&amp;IF(OFFSET(Items[],MATCH($C46,INDIRECT(RangePlanCount),0)-1,MATCH(Decimals,Items[#Headers],0)-1,1,1)&gt;0,"."&amp;REPT("0",OFFSET(Items[],MATCH($C46,INDIRECT(RangePlanCount),0)-1,MATCH(Decimals,Items[#Headers],0)-1,1,1)),""))))</f>
        <v/>
      </c>
      <c r="S46" s="302" t="str">
        <f ca="1">IF(OR($C46=OFFSET($C46,1,0),$A46&gt;End,IFERROR(OFFSET(Items[],MATCH($C46,INDIRECT(RangePlanCount),0)-1,MATCH(S$1,Items[#Headers],0)-1,1,1)=0,TRUE)),"",IF(AND(OFFSET(Items[],MATCH($C46,INDIRECT(RangePlanCount),0)-1,MATCH(S$1,Items[#Headers],0)-1,1,1)&gt;0,$J46="LPSM"),"ALL",TEXT(OFFSET(Items[],MATCH($C46,INDIRECT(RangePlanCount),0)-1,MATCH(S$1,Items[#Headers],0)-1,1,1),"###,###,##0"&amp;IF(OFFSET(Items[],MATCH($C46,INDIRECT(RangePlanCount),0)-1,MATCH(Decimals,Items[#Headers],0)-1,1,1)&gt;0,"."&amp;REPT("0",OFFSET(Items[],MATCH($C46,INDIRECT(RangePlanCount),0)-1,MATCH(Decimals,Items[#Headers],0)-1,1,1)),""))))</f>
        <v/>
      </c>
      <c r="T46" s="302" t="str">
        <f ca="1">IF(OR($C46=OFFSET($C46,1,0),$A46&gt;End,IFERROR(OFFSET(Items[],MATCH($C46,INDIRECT(RangePlanCount),0)-1,MATCH(T$1,Items[#Headers],0)-1,1,1)=0,TRUE)),"",IF(AND(OFFSET(Items[],MATCH($C46,INDIRECT(RangePlanCount),0)-1,MATCH(T$1,Items[#Headers],0)-1,1,1)&gt;0,$J46="LPSM"),"ALL",TEXT(OFFSET(Items[],MATCH($C46,INDIRECT(RangePlanCount),0)-1,MATCH(T$1,Items[#Headers],0)-1,1,1),"###,###,##0"&amp;IF(OFFSET(Items[],MATCH($C46,INDIRECT(RangePlanCount),0)-1,MATCH(Decimals,Items[#Headers],0)-1,1,1)&gt;0,"."&amp;REPT("0",OFFSET(Items[],MATCH($C46,INDIRECT(RangePlanCount),0)-1,MATCH(Decimals,Items[#Headers],0)-1,1,1)),""))))</f>
        <v/>
      </c>
      <c r="U46" s="302" t="str">
        <f ca="1">IF(OR($C46=OFFSET($C46,1,0),$A46&gt;End,IFERROR(OFFSET(Items[],MATCH($C46,INDIRECT(RangePlanCount),0)-1,MATCH(U$1,Items[#Headers],0)-1,1,1)=0,TRUE)),"",IF(AND(OFFSET(Items[],MATCH($C46,INDIRECT(RangePlanCount),0)-1,MATCH(U$1,Items[#Headers],0)-1,1,1)&gt;0,$J46="LPSM"),"ALL",TEXT(OFFSET(Items[],MATCH($C46,INDIRECT(RangePlanCount),0)-1,MATCH(U$1,Items[#Headers],0)-1,1,1),"###,###,##0"&amp;IF(OFFSET(Items[],MATCH($C46,INDIRECT(RangePlanCount),0)-1,MATCH(Decimals,Items[#Headers],0)-1,1,1)&gt;0,"."&amp;REPT("0",OFFSET(Items[],MATCH($C46,INDIRECT(RangePlanCount),0)-1,MATCH(Decimals,Items[#Headers],0)-1,1,1)),""))))</f>
        <v/>
      </c>
      <c r="V46" s="302" t="str">
        <f ca="1">IF(OR($C46=OFFSET($C46,1,0),$A46&gt;End,IFERROR(OFFSET(Items[],MATCH($C46,INDIRECT(RangePlanCount),0)-1,MATCH(V$1,Items[#Headers],0)-1,1,1)=0,TRUE)),"",IF(AND(OFFSET(Items[],MATCH($C46,INDIRECT(RangePlanCount),0)-1,MATCH(V$1,Items[#Headers],0)-1,1,1)&gt;0,$J46="LPSM"),"ALL",TEXT(OFFSET(Items[],MATCH($C46,INDIRECT(RangePlanCount),0)-1,MATCH(V$1,Items[#Headers],0)-1,1,1),"###,###,##0"&amp;IF(OFFSET(Items[],MATCH($C46,INDIRECT(RangePlanCount),0)-1,MATCH(Decimals,Items[#Headers],0)-1,1,1)&gt;0,"."&amp;REPT("0",OFFSET(Items[],MATCH($C46,INDIRECT(RangePlanCount),0)-1,MATCH(Decimals,Items[#Headers],0)-1,1,1)),""))))</f>
        <v/>
      </c>
      <c r="W46" s="304" t="str">
        <f ca="1">IF(OR($C46=OFFSET($C46,1,0),$A46&gt;End,IFERROR(OFFSET(Items[],MATCH($C46,INDIRECT(RangePlanCount),0)-1,MATCH(W$1,Items[#Headers],0)-1,1,1)=0,TRUE)),"",IF(AND(OFFSET(Items[],MATCH($C46,INDIRECT(RangePlanCount),0)-1,MATCH(W$1,Items[#Headers],0)-1,1,1)&gt;0,$J46="LPSM"),"ALL",TEXT(OFFSET(Items[],MATCH($C46,INDIRECT(RangePlanCount),0)-1,MATCH(W$1,Items[#Headers],0)-1,1,1),"###,###,##0"&amp;IF(OFFSET(Items[],MATCH($C46,INDIRECT(RangePlanCount),0)-1,MATCH(Decimals,Items[#Headers],0)-1,1,1)&gt;0,"."&amp;REPT("0",OFFSET(Items[],MATCH($C46,INDIRECT(RangePlanCount),0)-1,MATCH(Decimals,Items[#Headers],0)-1,1,1)),""))))</f>
        <v/>
      </c>
      <c r="X46" s="305" t="str">
        <f ca="1">IF(OR($C46=OFFSET($C46,1,0),$A46&gt;End,IFERROR(OFFSET(Items[],MATCH($C46,INDIRECT(RangePlanCount),0)-1,MATCH(X$1,Items[#Headers],0)-1,1,1)=0,TRUE)),"",IF(AND(OFFSET(Items[],MATCH($C46,INDIRECT(RangePlanCount),0)-1,MATCH(X$1,Items[#Headers],0)-1,1,1)&gt;0,$J46="LPSM"),"ALL",TEXT(OFFSET(Items[],MATCH($C46,INDIRECT(RangePlanCount),0)-1,MATCH(X$1,Items[#Headers],0)-1,1,1),"###,###,##0"&amp;IF(OFFSET(Items[],MATCH($C46,INDIRECT(RangePlanCount),0)-1,MATCH(Decimals,Items[#Headers],0)-1,1,1)&gt;0,"."&amp;REPT("0",OFFSET(Items[],MATCH($C46,INDIRECT(RangePlanCount),0)-1,MATCH(Decimals,Items[#Headers],0)-1,1,1)),""))))</f>
        <v/>
      </c>
      <c r="Y46" s="306" t="str">
        <f ca="1">IF(OR($A46&gt;End,COUNTIF($C$7:$C46,$C46)&gt;lines_R),"",IF(COUNTIF($C$7:$C46,$C46)=1,LEFT(VLOOKUP($C46,Calcs[],col_Remarks,0),VLOOKUP($C46,Calcs[],col_R,0)),MID(VLOOKUP($C46,Calcs[],col_Remarks,0),VLOOKUP($C46,Calcs[],col_R+COUNTIF($C$7:$C46,$C46)-2,0)+1,VLOOKUP($C46,Calcs[],col_R+COUNTIF($C$7:$C46,$C46)-1,0)-VLOOKUP($C46,Calcs[],col_R+COUNTIF($C$7:$C46,$C46)-2,0))))</f>
        <v/>
      </c>
      <c r="Z46" s="300"/>
      <c r="AA46" s="1"/>
    </row>
    <row r="47" spans="1:27" ht="15" customHeight="1" x14ac:dyDescent="0.15">
      <c r="A47" s="58">
        <f t="shared" ca="1" si="1"/>
        <v>40</v>
      </c>
      <c r="C47" s="58">
        <f ca="1">IFERROR(VLOOKUP(A47,Calcs[],1,0),OFFSET(C47,1,0))</f>
        <v>0</v>
      </c>
      <c r="D47" s="342"/>
      <c r="E47" s="59"/>
      <c r="F47" s="301" t="str">
        <f ca="1">IF(OR($C47=OFFSET($C47,-1,0),$A47&gt;End),"",_xlfn.XLOOKUP($C47,Items[PlanCounter],Items[Amend],_xlfn.XLOOKUP($C47,Proposed[PlanCounter],Proposed[Amend])))</f>
        <v/>
      </c>
      <c r="G47" s="302" t="str">
        <f ca="1">IF(OR($C47=OFFSET($C47,-1,0),$A47&gt;End),"",_xlfn.XLOOKUP($C47,Calcs[Counter],Calcs[Line]))</f>
        <v/>
      </c>
      <c r="H47" s="302" t="str" cm="1">
        <f t="array" aca="1" ref="H47" ca="1">IF(OR($C47=OFFSET($C47,-1,0),$A47&gt;End),"",_xlfn.XLOOKUP($C47,INDIRECT(RangePlanCount),INDIRECT(RangeItems)))</f>
        <v/>
      </c>
      <c r="I47" s="294" t="str">
        <f ca="1">IF(OR($A47&gt;End,COUNTIF($C$7:$C47,$C47)&gt;lines_D),"",IF(COUNTIF($C$7:$C47,$C47)=1,LEFT(VLOOKUP($C47,Calcs[],col_Description,0),VLOOKUP($C47,Calcs[],col_D,0)),MID(VLOOKUP($C47,Calcs[],col_Description,0),VLOOKUP($C47,Calcs[],col_D+COUNTIF($C$7:$C47,$C47)-2,0)+1,VLOOKUP($C47,Calcs[],col_D+COUNTIF($C$7:$C47,$C47)-1,0)-VLOOKUP($C47,Calcs[],col_D+COUNTIF($C$7:$C47,$C47)-2,0))))</f>
        <v/>
      </c>
      <c r="J47" s="295" t="str" cm="1">
        <f t="array" aca="1" ref="J47" ca="1">IF(OR($C47=OFFSET($C47,1,0),$A47&gt;End),"",_xlfn.XLOOKUP($C47,INDIRECT(RangePlanCount),INDIRECT(RangeUnit)))</f>
        <v/>
      </c>
      <c r="K47" s="303" t="str">
        <f ca="1">IF(OR($C47=OFFSET($C47,1,0),$A47&gt;End,IFERROR(OFFSET(Items[],MATCH($C47,INDIRECT(RangePlanCount),0)-1,MATCH(K$1,Items[#Headers],0)-1,1,1)=0,TRUE)),"",IF(AND(OFFSET(Items[],MATCH($C47,INDIRECT(RangePlanCount),0)-1,MATCH(K$1,Items[#Headers],0)-1,1,1)&gt;0,$J47="LPSM"),"ALL",TEXT(OFFSET(Items[],MATCH($C47,INDIRECT(RangePlanCount),0)-1,MATCH(K$1,Items[#Headers],0)-1,1,1),"###,###,##0"&amp;IF(OFFSET(Items[],MATCH($C47,INDIRECT(RangePlanCount),0)-1,MATCH(Decimals,Items[#Headers],0)-1,1,1)&gt;0,"."&amp;REPT("0",OFFSET(Items[],MATCH($C47,INDIRECT(RangePlanCount),0)-1,MATCH(Decimals,Items[#Headers],0)-1,1,1)),""))))</f>
        <v/>
      </c>
      <c r="L47" s="302" t="str">
        <f ca="1">IF(OR($C47=OFFSET($C47,1,0),$A47&gt;End,IFERROR(OFFSET(Items[],MATCH($C47,INDIRECT(RangePlanCount),0)-1,MATCH(L$1,Items[#Headers],0)-1,1,1)=0,TRUE)),"",IF(AND(OFFSET(Items[],MATCH($C47,INDIRECT(RangePlanCount),0)-1,MATCH(L$1,Items[#Headers],0)-1,1,1)&gt;0,$J47="LPSM"),"ALL",TEXT(OFFSET(Items[],MATCH($C47,INDIRECT(RangePlanCount),0)-1,MATCH(L$1,Items[#Headers],0)-1,1,1),"###,###,##0"&amp;IF(OFFSET(Items[],MATCH($C47,INDIRECT(RangePlanCount),0)-1,MATCH(Decimals,Items[#Headers],0)-1,1,1)&gt;0,"."&amp;REPT("0",OFFSET(Items[],MATCH($C47,INDIRECT(RangePlanCount),0)-1,MATCH(Decimals,Items[#Headers],0)-1,1,1)),""))))</f>
        <v/>
      </c>
      <c r="M47" s="302" t="str">
        <f ca="1">IF(OR($C47=OFFSET($C47,1,0),$A47&gt;End,IFERROR(OFFSET(Items[],MATCH($C47,INDIRECT(RangePlanCount),0)-1,MATCH(M$1,Items[#Headers],0)-1,1,1)=0,TRUE)),"",IF(AND(OFFSET(Items[],MATCH($C47,INDIRECT(RangePlanCount),0)-1,MATCH(M$1,Items[#Headers],0)-1,1,1)&gt;0,$J47="LPSM"),"ALL",TEXT(OFFSET(Items[],MATCH($C47,INDIRECT(RangePlanCount),0)-1,MATCH(M$1,Items[#Headers],0)-1,1,1),"###,###,##0"&amp;IF(OFFSET(Items[],MATCH($C47,INDIRECT(RangePlanCount),0)-1,MATCH(Decimals,Items[#Headers],0)-1,1,1)&gt;0,"."&amp;REPT("0",OFFSET(Items[],MATCH($C47,INDIRECT(RangePlanCount),0)-1,MATCH(Decimals,Items[#Headers],0)-1,1,1)),""))))</f>
        <v/>
      </c>
      <c r="N47" s="302" t="str">
        <f ca="1">IF(OR($C47=OFFSET($C47,1,0),$A47&gt;End,IFERROR(OFFSET(Items[],MATCH($C47,INDIRECT(RangePlanCount),0)-1,MATCH(N$1,Items[#Headers],0)-1,1,1)=0,TRUE)),"",IF(AND(OFFSET(Items[],MATCH($C47,INDIRECT(RangePlanCount),0)-1,MATCH(N$1,Items[#Headers],0)-1,1,1)&gt;0,$J47="LPSM"),"ALL",TEXT(OFFSET(Items[],MATCH($C47,INDIRECT(RangePlanCount),0)-1,MATCH(N$1,Items[#Headers],0)-1,1,1),"###,###,##0"&amp;IF(OFFSET(Items[],MATCH($C47,INDIRECT(RangePlanCount),0)-1,MATCH(Decimals,Items[#Headers],0)-1,1,1)&gt;0,"."&amp;REPT("0",OFFSET(Items[],MATCH($C47,INDIRECT(RangePlanCount),0)-1,MATCH(Decimals,Items[#Headers],0)-1,1,1)),""))))</f>
        <v/>
      </c>
      <c r="O47" s="302" t="str">
        <f ca="1">IF(OR($C47=OFFSET($C47,1,0),$A47&gt;End,IFERROR(OFFSET(Items[],MATCH($C47,INDIRECT(RangePlanCount),0)-1,MATCH(O$1,Items[#Headers],0)-1,1,1)=0,TRUE)),"",IF(AND(OFFSET(Items[],MATCH($C47,INDIRECT(RangePlanCount),0)-1,MATCH(O$1,Items[#Headers],0)-1,1,1)&gt;0,$J47="LPSM"),"ALL",TEXT(OFFSET(Items[],MATCH($C47,INDIRECT(RangePlanCount),0)-1,MATCH(O$1,Items[#Headers],0)-1,1,1),"###,###,##0"&amp;IF(OFFSET(Items[],MATCH($C47,INDIRECT(RangePlanCount),0)-1,MATCH(Decimals,Items[#Headers],0)-1,1,1)&gt;0,"."&amp;REPT("0",OFFSET(Items[],MATCH($C47,INDIRECT(RangePlanCount),0)-1,MATCH(Decimals,Items[#Headers],0)-1,1,1)),""))))</f>
        <v/>
      </c>
      <c r="P47" s="302" t="str">
        <f ca="1">IF(OR($C47=OFFSET($C47,1,0),$A47&gt;End,IFERROR(OFFSET(Items[],MATCH($C47,INDIRECT(RangePlanCount),0)-1,MATCH(P$1,Items[#Headers],0)-1,1,1)=0,TRUE)),"",IF(AND(OFFSET(Items[],MATCH($C47,INDIRECT(RangePlanCount),0)-1,MATCH(P$1,Items[#Headers],0)-1,1,1)&gt;0,$J47="LPSM"),"ALL",TEXT(OFFSET(Items[],MATCH($C47,INDIRECT(RangePlanCount),0)-1,MATCH(P$1,Items[#Headers],0)-1,1,1),"###,###,##0"&amp;IF(OFFSET(Items[],MATCH($C47,INDIRECT(RangePlanCount),0)-1,MATCH(Decimals,Items[#Headers],0)-1,1,1)&gt;0,"."&amp;REPT("0",OFFSET(Items[],MATCH($C47,INDIRECT(RangePlanCount),0)-1,MATCH(Decimals,Items[#Headers],0)-1,1,1)),""))))</f>
        <v/>
      </c>
      <c r="Q47" s="302" t="str">
        <f ca="1">IF(OR($C47=OFFSET($C47,1,0),$A47&gt;End,IFERROR(OFFSET(Items[],MATCH($C47,INDIRECT(RangePlanCount),0)-1,MATCH(Q$1,Items[#Headers],0)-1,1,1)=0,TRUE)),"",IF(AND(OFFSET(Items[],MATCH($C47,INDIRECT(RangePlanCount),0)-1,MATCH(Q$1,Items[#Headers],0)-1,1,1)&gt;0,$J47="LPSM"),"ALL",TEXT(OFFSET(Items[],MATCH($C47,INDIRECT(RangePlanCount),0)-1,MATCH(Q$1,Items[#Headers],0)-1,1,1),"###,###,##0"&amp;IF(OFFSET(Items[],MATCH($C47,INDIRECT(RangePlanCount),0)-1,MATCH(Decimals,Items[#Headers],0)-1,1,1)&gt;0,"."&amp;REPT("0",OFFSET(Items[],MATCH($C47,INDIRECT(RangePlanCount),0)-1,MATCH(Decimals,Items[#Headers],0)-1,1,1)),""))))</f>
        <v/>
      </c>
      <c r="R47" s="302" t="str">
        <f ca="1">IF(OR($C47=OFFSET($C47,1,0),$A47&gt;End,IFERROR(OFFSET(Items[],MATCH($C47,INDIRECT(RangePlanCount),0)-1,MATCH(R$1,Items[#Headers],0)-1,1,1)=0,TRUE)),"",IF(AND(OFFSET(Items[],MATCH($C47,INDIRECT(RangePlanCount),0)-1,MATCH(R$1,Items[#Headers],0)-1,1,1)&gt;0,$J47="LPSM"),"ALL",TEXT(OFFSET(Items[],MATCH($C47,INDIRECT(RangePlanCount),0)-1,MATCH(R$1,Items[#Headers],0)-1,1,1),"###,###,##0"&amp;IF(OFFSET(Items[],MATCH($C47,INDIRECT(RangePlanCount),0)-1,MATCH(Decimals,Items[#Headers],0)-1,1,1)&gt;0,"."&amp;REPT("0",OFFSET(Items[],MATCH($C47,INDIRECT(RangePlanCount),0)-1,MATCH(Decimals,Items[#Headers],0)-1,1,1)),""))))</f>
        <v/>
      </c>
      <c r="S47" s="302" t="str">
        <f ca="1">IF(OR($C47=OFFSET($C47,1,0),$A47&gt;End,IFERROR(OFFSET(Items[],MATCH($C47,INDIRECT(RangePlanCount),0)-1,MATCH(S$1,Items[#Headers],0)-1,1,1)=0,TRUE)),"",IF(AND(OFFSET(Items[],MATCH($C47,INDIRECT(RangePlanCount),0)-1,MATCH(S$1,Items[#Headers],0)-1,1,1)&gt;0,$J47="LPSM"),"ALL",TEXT(OFFSET(Items[],MATCH($C47,INDIRECT(RangePlanCount),0)-1,MATCH(S$1,Items[#Headers],0)-1,1,1),"###,###,##0"&amp;IF(OFFSET(Items[],MATCH($C47,INDIRECT(RangePlanCount),0)-1,MATCH(Decimals,Items[#Headers],0)-1,1,1)&gt;0,"."&amp;REPT("0",OFFSET(Items[],MATCH($C47,INDIRECT(RangePlanCount),0)-1,MATCH(Decimals,Items[#Headers],0)-1,1,1)),""))))</f>
        <v/>
      </c>
      <c r="T47" s="302" t="str">
        <f ca="1">IF(OR($C47=OFFSET($C47,1,0),$A47&gt;End,IFERROR(OFFSET(Items[],MATCH($C47,INDIRECT(RangePlanCount),0)-1,MATCH(T$1,Items[#Headers],0)-1,1,1)=0,TRUE)),"",IF(AND(OFFSET(Items[],MATCH($C47,INDIRECT(RangePlanCount),0)-1,MATCH(T$1,Items[#Headers],0)-1,1,1)&gt;0,$J47="LPSM"),"ALL",TEXT(OFFSET(Items[],MATCH($C47,INDIRECT(RangePlanCount),0)-1,MATCH(T$1,Items[#Headers],0)-1,1,1),"###,###,##0"&amp;IF(OFFSET(Items[],MATCH($C47,INDIRECT(RangePlanCount),0)-1,MATCH(Decimals,Items[#Headers],0)-1,1,1)&gt;0,"."&amp;REPT("0",OFFSET(Items[],MATCH($C47,INDIRECT(RangePlanCount),0)-1,MATCH(Decimals,Items[#Headers],0)-1,1,1)),""))))</f>
        <v/>
      </c>
      <c r="U47" s="302" t="str">
        <f ca="1">IF(OR($C47=OFFSET($C47,1,0),$A47&gt;End,IFERROR(OFFSET(Items[],MATCH($C47,INDIRECT(RangePlanCount),0)-1,MATCH(U$1,Items[#Headers],0)-1,1,1)=0,TRUE)),"",IF(AND(OFFSET(Items[],MATCH($C47,INDIRECT(RangePlanCount),0)-1,MATCH(U$1,Items[#Headers],0)-1,1,1)&gt;0,$J47="LPSM"),"ALL",TEXT(OFFSET(Items[],MATCH($C47,INDIRECT(RangePlanCount),0)-1,MATCH(U$1,Items[#Headers],0)-1,1,1),"###,###,##0"&amp;IF(OFFSET(Items[],MATCH($C47,INDIRECT(RangePlanCount),0)-1,MATCH(Decimals,Items[#Headers],0)-1,1,1)&gt;0,"."&amp;REPT("0",OFFSET(Items[],MATCH($C47,INDIRECT(RangePlanCount),0)-1,MATCH(Decimals,Items[#Headers],0)-1,1,1)),""))))</f>
        <v/>
      </c>
      <c r="V47" s="302" t="str">
        <f ca="1">IF(OR($C47=OFFSET($C47,1,0),$A47&gt;End,IFERROR(OFFSET(Items[],MATCH($C47,INDIRECT(RangePlanCount),0)-1,MATCH(V$1,Items[#Headers],0)-1,1,1)=0,TRUE)),"",IF(AND(OFFSET(Items[],MATCH($C47,INDIRECT(RangePlanCount),0)-1,MATCH(V$1,Items[#Headers],0)-1,1,1)&gt;0,$J47="LPSM"),"ALL",TEXT(OFFSET(Items[],MATCH($C47,INDIRECT(RangePlanCount),0)-1,MATCH(V$1,Items[#Headers],0)-1,1,1),"###,###,##0"&amp;IF(OFFSET(Items[],MATCH($C47,INDIRECT(RangePlanCount),0)-1,MATCH(Decimals,Items[#Headers],0)-1,1,1)&gt;0,"."&amp;REPT("0",OFFSET(Items[],MATCH($C47,INDIRECT(RangePlanCount),0)-1,MATCH(Decimals,Items[#Headers],0)-1,1,1)),""))))</f>
        <v/>
      </c>
      <c r="W47" s="304" t="str">
        <f ca="1">IF(OR($C47=OFFSET($C47,1,0),$A47&gt;End,IFERROR(OFFSET(Items[],MATCH($C47,INDIRECT(RangePlanCount),0)-1,MATCH(W$1,Items[#Headers],0)-1,1,1)=0,TRUE)),"",IF(AND(OFFSET(Items[],MATCH($C47,INDIRECT(RangePlanCount),0)-1,MATCH(W$1,Items[#Headers],0)-1,1,1)&gt;0,$J47="LPSM"),"ALL",TEXT(OFFSET(Items[],MATCH($C47,INDIRECT(RangePlanCount),0)-1,MATCH(W$1,Items[#Headers],0)-1,1,1),"###,###,##0"&amp;IF(OFFSET(Items[],MATCH($C47,INDIRECT(RangePlanCount),0)-1,MATCH(Decimals,Items[#Headers],0)-1,1,1)&gt;0,"."&amp;REPT("0",OFFSET(Items[],MATCH($C47,INDIRECT(RangePlanCount),0)-1,MATCH(Decimals,Items[#Headers],0)-1,1,1)),""))))</f>
        <v/>
      </c>
      <c r="X47" s="305" t="str">
        <f ca="1">IF(OR($C47=OFFSET($C47,1,0),$A47&gt;End,IFERROR(OFFSET(Items[],MATCH($C47,INDIRECT(RangePlanCount),0)-1,MATCH(X$1,Items[#Headers],0)-1,1,1)=0,TRUE)),"",IF(AND(OFFSET(Items[],MATCH($C47,INDIRECT(RangePlanCount),0)-1,MATCH(X$1,Items[#Headers],0)-1,1,1)&gt;0,$J47="LPSM"),"ALL",TEXT(OFFSET(Items[],MATCH($C47,INDIRECT(RangePlanCount),0)-1,MATCH(X$1,Items[#Headers],0)-1,1,1),"###,###,##0"&amp;IF(OFFSET(Items[],MATCH($C47,INDIRECT(RangePlanCount),0)-1,MATCH(Decimals,Items[#Headers],0)-1,1,1)&gt;0,"."&amp;REPT("0",OFFSET(Items[],MATCH($C47,INDIRECT(RangePlanCount),0)-1,MATCH(Decimals,Items[#Headers],0)-1,1,1)),""))))</f>
        <v/>
      </c>
      <c r="Y47" s="306" t="str">
        <f ca="1">IF(OR($A47&gt;End,COUNTIF($C$7:$C47,$C47)&gt;lines_R),"",IF(COUNTIF($C$7:$C47,$C47)=1,LEFT(VLOOKUP($C47,Calcs[],col_Remarks,0),VLOOKUP($C47,Calcs[],col_R,0)),MID(VLOOKUP($C47,Calcs[],col_Remarks,0),VLOOKUP($C47,Calcs[],col_R+COUNTIF($C$7:$C47,$C47)-2,0)+1,VLOOKUP($C47,Calcs[],col_R+COUNTIF($C$7:$C47,$C47)-1,0)-VLOOKUP($C47,Calcs[],col_R+COUNTIF($C$7:$C47,$C47)-2,0))))</f>
        <v/>
      </c>
      <c r="Z47" s="300"/>
      <c r="AA47" s="1"/>
    </row>
    <row r="48" spans="1:27" ht="30.75" customHeight="1" x14ac:dyDescent="0.15">
      <c r="A48" s="307">
        <f ca="1">_xlfn.XLOOKUP(SheetTab,SheetNames[Worksheet],SheetNames[Ends])</f>
        <v>10</v>
      </c>
      <c r="C48" s="55"/>
      <c r="D48" s="342"/>
      <c r="E48" s="59"/>
      <c r="F48" s="59"/>
      <c r="G48" s="280"/>
      <c r="H48" s="280"/>
      <c r="I48" s="280"/>
      <c r="J48" s="280"/>
      <c r="K48" s="61"/>
      <c r="L48" s="61"/>
      <c r="M48" s="61"/>
      <c r="N48" s="61"/>
      <c r="O48" s="61"/>
      <c r="P48" s="61"/>
      <c r="Q48" s="61"/>
      <c r="R48" s="61"/>
      <c r="S48" s="61"/>
      <c r="T48" s="61"/>
      <c r="U48" s="61"/>
      <c r="V48" s="61"/>
      <c r="W48" s="61"/>
      <c r="X48" s="61"/>
      <c r="Y48" s="62"/>
      <c r="Z48" s="63"/>
      <c r="AA48" s="1"/>
    </row>
    <row r="49" spans="4:27" s="285" customFormat="1" ht="8.25" x14ac:dyDescent="0.15">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row>
  </sheetData>
  <sheetProtection sheet="1" formatColumns="0"/>
  <mergeCells count="13">
    <mergeCell ref="X5:X6"/>
    <mergeCell ref="Y5:Y7"/>
    <mergeCell ref="D43:D48"/>
    <mergeCell ref="A1:C2"/>
    <mergeCell ref="A4:B4"/>
    <mergeCell ref="D4:D41"/>
    <mergeCell ref="F4:Y4"/>
    <mergeCell ref="A5:B5"/>
    <mergeCell ref="F5:F7"/>
    <mergeCell ref="G5:G7"/>
    <mergeCell ref="H5:H7"/>
    <mergeCell ref="I5:I7"/>
    <mergeCell ref="J5:J7"/>
  </mergeCells>
  <conditionalFormatting sqref="F8:Y47">
    <cfRule type="expression" dxfId="186" priority="3" stopIfTrue="1">
      <formula>$A8&gt;End</formula>
    </cfRule>
    <cfRule type="expression" dxfId="185" priority="5" stopIfTrue="1">
      <formula>$C8&lt;&gt;OFFSET($C8,1,0)</formula>
    </cfRule>
  </conditionalFormatting>
  <conditionalFormatting sqref="G8:Y47">
    <cfRule type="expression" dxfId="184" priority="4">
      <formula>$B8</formula>
    </cfRule>
  </conditionalFormatting>
  <conditionalFormatting sqref="K1:W1">
    <cfRule type="expression" dxfId="183" priority="1">
      <formula>CELL("width",OFFSET(K1,0,1))=0</formula>
    </cfRule>
    <cfRule type="expression" dxfId="182" priority="2">
      <formula>CELL("width",OFFSET(K1,0,-1))=0</formula>
    </cfRule>
  </conditionalFormatting>
  <printOptions horizontalCentered="1" verticalCentered="1"/>
  <pageMargins left="0" right="0" top="0" bottom="0" header="0" footer="0"/>
  <pageSetup paperSize="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6"/>
  <sheetViews>
    <sheetView showGridLines="0" workbookViewId="0">
      <selection activeCell="D1" sqref="D1"/>
    </sheetView>
  </sheetViews>
  <sheetFormatPr defaultRowHeight="10.5" x14ac:dyDescent="0.15"/>
  <cols>
    <col min="1" max="1" width="9.140625" style="1"/>
    <col min="2" max="2" width="15.7109375" style="1" customWidth="1"/>
    <col min="3" max="6" width="20.7109375" style="1" customWidth="1"/>
    <col min="7" max="16384" width="9.140625" style="1"/>
  </cols>
  <sheetData>
    <row r="1" spans="2:9" ht="12.75" x14ac:dyDescent="0.2">
      <c r="C1" s="17" t="s">
        <v>217</v>
      </c>
      <c r="D1" s="157" t="b">
        <v>0</v>
      </c>
      <c r="F1" s="1" t="str">
        <f ca="1">ADDRESS(ROW(D13),COLUMN(D13),1,1,REPLACE(CELL("filename",D13),1,FIND("]",CELL("filename",D13)),""))&amp;":"&amp;ADDRESS(ROW(D13)+COUNTA(OFFSET(D13,0,0,MaxAccts+1,1))-1,COLUMN(D13),1,1)</f>
        <v>EE_Summary!$D$13:$D$15</v>
      </c>
    </row>
    <row r="2" spans="2:9" ht="15" x14ac:dyDescent="0.2">
      <c r="B2" s="21" t="s">
        <v>218</v>
      </c>
      <c r="C2" s="21"/>
      <c r="D2" s="21"/>
      <c r="E2" s="21"/>
      <c r="F2" s="21"/>
    </row>
    <row r="3" spans="2:9" ht="12.75" x14ac:dyDescent="0.2">
      <c r="B3" s="276" t="str">
        <f>IF(LEFT(SchedOpt,1)&lt;&gt;"&lt;",SchedOpt&amp;" " &amp;Letter,"")</f>
        <v/>
      </c>
      <c r="C3" s="16"/>
      <c r="D3" s="16"/>
      <c r="E3" s="16" t="str">
        <f>Division&amp;" Federal Lands Highway Division"</f>
        <v>Western Federal Lands Highway Division</v>
      </c>
      <c r="F3" s="16"/>
    </row>
    <row r="4" spans="2:9" ht="12.75" x14ac:dyDescent="0.2">
      <c r="B4" s="17" t="s">
        <v>219</v>
      </c>
      <c r="C4" s="247" t="str">
        <f>_xlfn.TEXTBEFORE(Project,CHAR(10),,,TRUE)</f>
        <v>AZ FTNP GRCA 13(1)</v>
      </c>
      <c r="D4" s="16"/>
      <c r="E4" s="246" t="str">
        <f>IF(LEN(TRIM(NPS.PMIS))&gt;12,"FLMA No: "&amp;NPS.PMIS,"")</f>
        <v/>
      </c>
      <c r="F4" s="16"/>
      <c r="G4"/>
      <c r="H4"/>
      <c r="I4"/>
    </row>
    <row r="5" spans="2:9" ht="12.75" x14ac:dyDescent="0.2">
      <c r="B5" s="16"/>
      <c r="C5" s="16" t="str">
        <f>_xlfn.TEXTAFTER(Project,CHAR(10),,,,"")</f>
        <v>MT OMAD 18(38)</v>
      </c>
      <c r="D5" s="16"/>
      <c r="E5" s="16" t="str">
        <f>IF(LEN(TRIM(NPS.Drwg))&gt;12,REPT(" ",5)&amp;" "&amp;NPS.Drwg,"")</f>
        <v/>
      </c>
      <c r="F5" s="16"/>
      <c r="G5"/>
      <c r="H5"/>
      <c r="I5"/>
    </row>
    <row r="6" spans="2:9" ht="12.75" x14ac:dyDescent="0.2">
      <c r="B6" s="17" t="s">
        <v>220</v>
      </c>
      <c r="C6" s="247">
        <f>Name</f>
        <v>0</v>
      </c>
      <c r="D6" s="16"/>
      <c r="E6" s="16"/>
      <c r="F6" s="16"/>
    </row>
    <row r="7" spans="2:9" ht="12.75" x14ac:dyDescent="0.2">
      <c r="B7" s="16"/>
      <c r="C7" s="16"/>
      <c r="D7" s="16"/>
      <c r="E7" s="16"/>
      <c r="F7" s="16"/>
    </row>
    <row r="8" spans="2:9" ht="12.75" x14ac:dyDescent="0.2">
      <c r="B8"/>
      <c r="C8"/>
      <c r="D8" s="131" t="s">
        <v>221</v>
      </c>
      <c r="E8" s="273"/>
      <c r="F8" s="113"/>
    </row>
    <row r="9" spans="2:9" ht="12.75" x14ac:dyDescent="0.2">
      <c r="B9" s="16"/>
      <c r="C9" s="17" t="s">
        <v>222</v>
      </c>
      <c r="D9" s="363"/>
      <c r="E9" s="363"/>
      <c r="F9" s="363"/>
    </row>
    <row r="10" spans="2:9" ht="12.75" x14ac:dyDescent="0.2">
      <c r="B10" s="16"/>
      <c r="C10" s="17" t="s">
        <v>223</v>
      </c>
      <c r="D10" s="363"/>
      <c r="E10" s="363"/>
      <c r="F10" s="363"/>
    </row>
    <row r="11" spans="2:9" ht="13.5" thickBot="1" x14ac:dyDescent="0.25">
      <c r="B11" s="16"/>
      <c r="C11" s="16"/>
      <c r="D11" s="16"/>
      <c r="E11" s="16"/>
      <c r="F11" s="16"/>
    </row>
    <row r="12" spans="2:9" ht="18" customHeight="1" thickTop="1" thickBot="1" x14ac:dyDescent="0.2">
      <c r="B12" s="20" t="s">
        <v>224</v>
      </c>
      <c r="C12" s="20"/>
      <c r="D12" s="20"/>
      <c r="E12" s="20"/>
      <c r="F12" s="20"/>
    </row>
    <row r="13" spans="2:9" ht="13.5" thickTop="1" x14ac:dyDescent="0.2">
      <c r="B13" s="16"/>
      <c r="C13" s="16"/>
      <c r="D13" s="193" t="s">
        <v>225</v>
      </c>
      <c r="E13" s="16"/>
      <c r="F13" s="16"/>
    </row>
    <row r="14" spans="2:9" ht="12.75" x14ac:dyDescent="0.2">
      <c r="B14" s="16"/>
      <c r="C14" s="17" t="s">
        <v>226</v>
      </c>
      <c r="D14" s="364" t="s">
        <v>227</v>
      </c>
      <c r="E14" s="364"/>
      <c r="F14" s="195" t="str">
        <f>IF(Account=D14,"&lt;=","")</f>
        <v/>
      </c>
    </row>
    <row r="15" spans="2:9" ht="12.75" x14ac:dyDescent="0.2">
      <c r="B15" s="16"/>
      <c r="C15" s="17"/>
      <c r="D15" s="364" t="s">
        <v>228</v>
      </c>
      <c r="E15" s="364"/>
      <c r="F15" s="195" t="str">
        <f>IF(Account=D15,"&lt;=","")</f>
        <v/>
      </c>
    </row>
    <row r="16" spans="2:9" ht="12.75" x14ac:dyDescent="0.2">
      <c r="B16" s="16"/>
      <c r="C16" s="17"/>
      <c r="D16" s="364"/>
      <c r="E16" s="364"/>
      <c r="F16" s="195" t="str">
        <f>IF(Account=D16,"&lt;=","")</f>
        <v/>
      </c>
    </row>
    <row r="17" spans="2:6" ht="12.75" x14ac:dyDescent="0.2">
      <c r="B17" s="16"/>
      <c r="C17" s="17"/>
      <c r="D17" s="274"/>
      <c r="E17" s="274"/>
      <c r="F17" s="195"/>
    </row>
    <row r="18" spans="2:6" ht="12.75" x14ac:dyDescent="0.2">
      <c r="B18" s="16"/>
      <c r="C18" s="17"/>
      <c r="D18" s="274"/>
      <c r="E18" s="274"/>
      <c r="F18" s="195"/>
    </row>
    <row r="19" spans="2:6" ht="12.75" x14ac:dyDescent="0.2">
      <c r="B19" s="16"/>
      <c r="C19" s="17"/>
      <c r="D19" s="274"/>
      <c r="E19" s="274"/>
      <c r="F19" s="195"/>
    </row>
    <row r="20" spans="2:6" ht="12.75" x14ac:dyDescent="0.2">
      <c r="B20" s="16"/>
      <c r="C20" s="17"/>
      <c r="D20" s="364"/>
      <c r="E20" s="364"/>
      <c r="F20" s="195" t="str">
        <f>IF(Account=D20,"&lt;=","")</f>
        <v/>
      </c>
    </row>
    <row r="21" spans="2:6" ht="12.75" x14ac:dyDescent="0.2">
      <c r="B21" s="16"/>
      <c r="C21" s="16"/>
      <c r="D21" s="16"/>
      <c r="E21" s="16"/>
      <c r="F21" s="16"/>
    </row>
    <row r="22" spans="2:6" ht="12.75" x14ac:dyDescent="0.2">
      <c r="B22" s="19" t="s">
        <v>229</v>
      </c>
      <c r="C22" s="19"/>
      <c r="D22" s="19"/>
      <c r="E22" s="16"/>
      <c r="F22" s="276" t="str">
        <f>"Project Length ("&amp;IF(Units="Metric","km","miles")&amp;")"</f>
        <v>Project Length (miles)</v>
      </c>
    </row>
    <row r="23" spans="2:6" ht="12.75" x14ac:dyDescent="0.2">
      <c r="B23" s="361"/>
      <c r="C23" s="362"/>
      <c r="D23" s="362"/>
      <c r="E23" s="16"/>
      <c r="F23" s="271"/>
    </row>
    <row r="24" spans="2:6" ht="12.75" x14ac:dyDescent="0.2">
      <c r="B24" s="361"/>
      <c r="C24" s="362"/>
      <c r="D24" s="362"/>
      <c r="E24" s="16"/>
      <c r="F24" s="271"/>
    </row>
    <row r="25" spans="2:6" ht="12.75" x14ac:dyDescent="0.2">
      <c r="B25" s="361"/>
      <c r="C25" s="362"/>
      <c r="D25" s="362"/>
      <c r="E25" s="16"/>
      <c r="F25" s="271"/>
    </row>
    <row r="27" spans="2:6" ht="12.75" x14ac:dyDescent="0.2">
      <c r="B27" s="16"/>
      <c r="C27" s="16"/>
      <c r="D27" s="16"/>
      <c r="E27" s="17" t="str">
        <f>"Total of Bid Items"&amp;IF(Account&lt;&gt;"ALL"," for Account "&amp;Account,"")&amp;":"</f>
        <v>Total of Bid Items:</v>
      </c>
      <c r="F27" s="18">
        <f ca="1">SUMPRODUCT(OFFSET(INDIRECT(RangeQuantity),0,MATCH(Account,Accounts,0)-1,ROWS(INDIRECT(RangeQuantity)),1),INDIRECT(RangeUnitPrice))</f>
        <v>0</v>
      </c>
    </row>
    <row r="28" spans="2:6" ht="12.75" x14ac:dyDescent="0.2">
      <c r="B28" s="16"/>
      <c r="C28" s="16"/>
      <c r="D28" s="16"/>
      <c r="E28" s="16"/>
      <c r="F28" s="16"/>
    </row>
    <row r="29" spans="2:6" ht="12.75" x14ac:dyDescent="0.2">
      <c r="B29" s="16"/>
      <c r="C29" s="16" t="s">
        <v>230</v>
      </c>
      <c r="D29" s="16"/>
      <c r="E29" s="16"/>
      <c r="F29" s="16"/>
    </row>
    <row r="30" spans="2:6" ht="12.75" x14ac:dyDescent="0.2">
      <c r="B30" s="16"/>
      <c r="C30" s="16" t="s">
        <v>231</v>
      </c>
      <c r="D30" s="16"/>
      <c r="E30" s="16"/>
      <c r="F30" s="133">
        <v>0</v>
      </c>
    </row>
    <row r="31" spans="2:6" ht="12.75" x14ac:dyDescent="0.2">
      <c r="B31" s="16"/>
      <c r="C31" s="16" t="s">
        <v>232</v>
      </c>
      <c r="D31" s="16"/>
      <c r="E31" s="16"/>
      <c r="F31" s="133">
        <v>0</v>
      </c>
    </row>
    <row r="32" spans="2:6" ht="12.75" x14ac:dyDescent="0.2">
      <c r="B32" s="16"/>
      <c r="C32" s="16"/>
      <c r="D32" s="16"/>
      <c r="E32" s="16"/>
      <c r="F32" s="18"/>
    </row>
    <row r="33" spans="1:6" ht="12.75" x14ac:dyDescent="0.2">
      <c r="B33" s="16"/>
      <c r="C33" s="16" t="s">
        <v>233</v>
      </c>
      <c r="D33" s="16"/>
      <c r="E33" s="16"/>
      <c r="F33" s="18"/>
    </row>
    <row r="34" spans="1:6" ht="12.75" x14ac:dyDescent="0.2">
      <c r="B34" s="16"/>
      <c r="C34" s="16" t="s">
        <v>234</v>
      </c>
      <c r="D34" s="16"/>
      <c r="E34" s="16"/>
      <c r="F34" s="133">
        <v>0</v>
      </c>
    </row>
    <row r="35" spans="1:6" ht="12.75" x14ac:dyDescent="0.2">
      <c r="B35" s="16"/>
      <c r="C35" s="16" t="s">
        <v>235</v>
      </c>
      <c r="D35" s="16"/>
      <c r="E35" s="16"/>
      <c r="F35" s="133">
        <v>0</v>
      </c>
    </row>
    <row r="36" spans="1:6" ht="12.75" x14ac:dyDescent="0.2">
      <c r="B36" s="16"/>
      <c r="C36" s="16"/>
      <c r="D36" s="16"/>
      <c r="E36" s="16"/>
      <c r="F36" s="16"/>
    </row>
    <row r="37" spans="1:6" ht="12.75" x14ac:dyDescent="0.2">
      <c r="B37" s="16"/>
      <c r="C37" s="16"/>
      <c r="D37" s="16"/>
      <c r="E37" s="16"/>
      <c r="F37" s="16"/>
    </row>
    <row r="38" spans="1:6" ht="12.75" x14ac:dyDescent="0.2">
      <c r="B38" s="16"/>
      <c r="C38" s="16"/>
      <c r="D38" s="16"/>
      <c r="E38" s="17" t="s">
        <v>236</v>
      </c>
      <c r="F38" s="18">
        <f ca="1">SUM(F27:F37)</f>
        <v>0</v>
      </c>
    </row>
    <row r="40" spans="1:6" ht="12.75" x14ac:dyDescent="0.2">
      <c r="E40" s="17" t="s">
        <v>237</v>
      </c>
      <c r="F40" s="133">
        <v>0</v>
      </c>
    </row>
    <row r="41" spans="1:6" ht="12.75" x14ac:dyDescent="0.2">
      <c r="C41" s="16"/>
      <c r="D41" s="16"/>
      <c r="E41" s="16"/>
      <c r="F41" s="16"/>
    </row>
    <row r="42" spans="1:6" ht="12.75" x14ac:dyDescent="0.2">
      <c r="E42" s="17" t="s">
        <v>238</v>
      </c>
      <c r="F42" s="18">
        <f ca="1">F38+F40</f>
        <v>0</v>
      </c>
    </row>
    <row r="43" spans="1:6" ht="12.75" x14ac:dyDescent="0.2">
      <c r="B43" s="16"/>
      <c r="C43" s="16"/>
      <c r="D43" s="16"/>
      <c r="E43" s="16"/>
      <c r="F43" s="16"/>
    </row>
    <row r="44" spans="1:6" ht="12.75" x14ac:dyDescent="0.2">
      <c r="B44" s="17" t="s">
        <v>239</v>
      </c>
      <c r="C44" s="360"/>
      <c r="D44" s="360"/>
      <c r="E44" s="360"/>
      <c r="F44" s="360"/>
    </row>
    <row r="45" spans="1:6" ht="12.75" x14ac:dyDescent="0.2">
      <c r="B45" s="16"/>
      <c r="C45" s="360"/>
      <c r="D45" s="360"/>
      <c r="E45" s="360"/>
      <c r="F45" s="360"/>
    </row>
    <row r="46" spans="1:6" ht="12.75" x14ac:dyDescent="0.2">
      <c r="B46" s="16" t="s">
        <v>240</v>
      </c>
      <c r="C46" s="16"/>
      <c r="D46" s="16"/>
      <c r="E46" s="16"/>
      <c r="F46" s="16"/>
    </row>
    <row r="47" spans="1:6" ht="12.75" x14ac:dyDescent="0.2">
      <c r="A47" s="1">
        <v>0</v>
      </c>
      <c r="B47" s="16"/>
      <c r="C47" s="15" t="str">
        <f ca="1">IF($A47+COLUMN(C47)-COLUMN($A47)-1&lt;=MAX(Calcs[ContrQty]),INDEX(OFFSET(Items[Item],0,0,ROW(Proposed[])-ROW(Items[])+ROWS(Proposed[]),1),MATCH(INDEX(Calcs[Line],MATCH($A47+COLUMN(C47)-COLUMN($A47)-1,Calcs[ContrQty],0)),OFFSET(Items[Line],0,0,ROW(Proposed[])-ROW(Items[])+ROWS(Proposed[]),1),0)),"")</f>
        <v/>
      </c>
      <c r="D47" s="15" t="str">
        <f ca="1">IF($A47+COLUMN(D47)-COLUMN($A47)-1&lt;=MAX(Calcs[ContrQty]),INDEX(OFFSET(Items[Item],0,0,ROW(Proposed[])-ROW(Items[])+ROWS(Proposed[]),1),MATCH(INDEX(Calcs[Line],MATCH($A47+COLUMN(D47)-COLUMN($A47)-1,Calcs[ContrQty],0)),OFFSET(Items[Line],0,0,ROW(Proposed[])-ROW(Items[])+ROWS(Proposed[]),1),0)),"")</f>
        <v/>
      </c>
      <c r="E47" s="15" t="str">
        <f ca="1">IF($A47+COLUMN(E47)-COLUMN($A47)-1&lt;=MAX(Calcs[ContrQty]),INDEX(OFFSET(Items[Item],0,0,ROW(Proposed[])-ROW(Items[])+ROWS(Proposed[]),1),MATCH(INDEX(Calcs[Line],MATCH($A47+COLUMN(E47)-COLUMN($A47)-1,Calcs[ContrQty],0)),OFFSET(Items[Line],0,0,ROW(Proposed[])-ROW(Items[])+ROWS(Proposed[]),1),0)),"")</f>
        <v/>
      </c>
      <c r="F47" s="15" t="str">
        <f ca="1">IF($A47+COLUMN(F47)-COLUMN($A47)-1&lt;=MAX(Calcs[ContrQty]),INDEX(OFFSET(Items[Item],0,0,ROW(Proposed[])-ROW(Items[])+ROWS(Proposed[]),1),MATCH(INDEX(Calcs[Line],MATCH($A47+COLUMN(F47)-COLUMN($A47)-1,Calcs[ContrQty],0)),OFFSET(Items[Line],0,0,ROW(Proposed[])-ROW(Items[])+ROWS(Proposed[]),1),0)),"")</f>
        <v/>
      </c>
    </row>
    <row r="48" spans="1:6" ht="12.75" x14ac:dyDescent="0.2">
      <c r="A48" s="1">
        <v>4</v>
      </c>
      <c r="B48" s="16"/>
      <c r="C48" s="15" t="str">
        <f ca="1">IF($A48+COLUMN(C48)-COLUMN($A48)-1&lt;=MAX(Calcs[ContrQty]),INDEX(OFFSET(Items[Item],0,0,ROW(Proposed[])-ROW(Items[])+ROWS(Proposed[]),1),MATCH(INDEX(Calcs[Line],MATCH($A48+COLUMN(C48)-COLUMN($A48)-1,Calcs[ContrQty],0)),OFFSET(Items[Line],0,0,ROW(Proposed[])-ROW(Items[])+ROWS(Proposed[]),1),0)),"")</f>
        <v/>
      </c>
      <c r="D48" s="15" t="str">
        <f ca="1">IF($A48+COLUMN(D48)-COLUMN($A48)-1&lt;=MAX(Calcs[ContrQty]),INDEX(OFFSET(Items[Item],0,0,ROW(Proposed[])-ROW(Items[])+ROWS(Proposed[]),1),MATCH(INDEX(Calcs[Line],MATCH($A48+COLUMN(D48)-COLUMN($A48)-1,Calcs[ContrQty],0)),OFFSET(Items[Line],0,0,ROW(Proposed[])-ROW(Items[])+ROWS(Proposed[]),1),0)),"")</f>
        <v/>
      </c>
      <c r="E48" s="15" t="str">
        <f ca="1">IF($A48+COLUMN(E48)-COLUMN($A48)-1&lt;=MAX(Calcs[ContrQty]),INDEX(OFFSET(Items[Item],0,0,ROW(Proposed[])-ROW(Items[])+ROWS(Proposed[]),1),MATCH(INDEX(Calcs[Line],MATCH($A48+COLUMN(E48)-COLUMN($A48)-1,Calcs[ContrQty],0)),OFFSET(Items[Line],0,0,ROW(Proposed[])-ROW(Items[])+ROWS(Proposed[]),1),0)),"")</f>
        <v/>
      </c>
      <c r="F48" s="15" t="str">
        <f ca="1">IF($A48+COLUMN(F48)-COLUMN($A48)-1&lt;=MAX(Calcs[ContrQty]),INDEX(OFFSET(Items[Item],0,0,ROW(Proposed[])-ROW(Items[])+ROWS(Proposed[]),1),MATCH(INDEX(Calcs[Line],MATCH($A48+COLUMN(F48)-COLUMN($A48)-1,Calcs[ContrQty],0)),OFFSET(Items[Line],0,0,ROW(Proposed[])-ROW(Items[])+ROWS(Proposed[]),1),0)),"")</f>
        <v/>
      </c>
    </row>
    <row r="49" spans="1:6" ht="12.75" x14ac:dyDescent="0.2">
      <c r="A49" s="1">
        <v>8</v>
      </c>
      <c r="B49" s="16"/>
      <c r="C49" s="15" t="str">
        <f ca="1">IF($A49+COLUMN(C49)-COLUMN($A49)-1&lt;=MAX(Calcs[ContrQty]),INDEX(OFFSET(Items[Item],0,0,ROW(Proposed[])-ROW(Items[])+ROWS(Proposed[]),1),MATCH(INDEX(Calcs[Line],MATCH($A49+COLUMN(C49)-COLUMN($A49)-1,Calcs[ContrQty],0)),OFFSET(Items[Line],0,0,ROW(Proposed[])-ROW(Items[])+ROWS(Proposed[]),1),0)),"")</f>
        <v/>
      </c>
      <c r="D49" s="15" t="str">
        <f ca="1">IF($A49+COLUMN(D49)-COLUMN($A49)-1&lt;=MAX(Calcs[ContrQty]),INDEX(OFFSET(Items[Item],0,0,ROW(Proposed[])-ROW(Items[])+ROWS(Proposed[]),1),MATCH(INDEX(Calcs[Line],MATCH($A49+COLUMN(D49)-COLUMN($A49)-1,Calcs[ContrQty],0)),OFFSET(Items[Line],0,0,ROW(Proposed[])-ROW(Items[])+ROWS(Proposed[]),1),0)),"")</f>
        <v/>
      </c>
      <c r="E49" s="15" t="str">
        <f ca="1">IF($A49+COLUMN(E49)-COLUMN($A49)-1&lt;=MAX(Calcs[ContrQty]),INDEX(OFFSET(Items[Item],0,0,ROW(Proposed[])-ROW(Items[])+ROWS(Proposed[]),1),MATCH(INDEX(Calcs[Line],MATCH($A49+COLUMN(E49)-COLUMN($A49)-1,Calcs[ContrQty],0)),OFFSET(Items[Line],0,0,ROW(Proposed[])-ROW(Items[])+ROWS(Proposed[]),1),0)),"")</f>
        <v/>
      </c>
      <c r="F49" s="15" t="str">
        <f ca="1">IF($A49+COLUMN(F49)-COLUMN($A49)-1&lt;=MAX(Calcs[ContrQty]),INDEX(OFFSET(Items[Item],0,0,ROW(Proposed[])-ROW(Items[])+ROWS(Proposed[]),1),MATCH(INDEX(Calcs[Line],MATCH($A49+COLUMN(F49)-COLUMN($A49)-1,Calcs[ContrQty],0)),OFFSET(Items[Line],0,0,ROW(Proposed[])-ROW(Items[])+ROWS(Proposed[]),1),0)),"")</f>
        <v/>
      </c>
    </row>
    <row r="50" spans="1:6" ht="12.75" x14ac:dyDescent="0.2">
      <c r="A50" s="1">
        <v>12</v>
      </c>
      <c r="B50" s="16"/>
      <c r="C50" s="15" t="str">
        <f ca="1">IF($A50+COLUMN(C50)-COLUMN($A50)-1&lt;=MAX(Calcs[ContrQty]),INDEX(OFFSET(Items[Item],0,0,ROW(Proposed[])-ROW(Items[])+ROWS(Proposed[]),1),MATCH(INDEX(Calcs[Line],MATCH($A50+COLUMN(C50)-COLUMN($A50)-1,Calcs[ContrQty],0)),OFFSET(Items[Line],0,0,ROW(Proposed[])-ROW(Items[])+ROWS(Proposed[]),1),0)),"")</f>
        <v/>
      </c>
      <c r="D50" s="15" t="str">
        <f ca="1">IF($A50+COLUMN(D50)-COLUMN($A50)-1&lt;=MAX(Calcs[ContrQty]),INDEX(OFFSET(Items[Item],0,0,ROW(Proposed[])-ROW(Items[])+ROWS(Proposed[]),1),MATCH(INDEX(Calcs[Line],MATCH($A50+COLUMN(D50)-COLUMN($A50)-1,Calcs[ContrQty],0)),OFFSET(Items[Line],0,0,ROW(Proposed[])-ROW(Items[])+ROWS(Proposed[]),1),0)),"")</f>
        <v/>
      </c>
      <c r="E50" s="15" t="str">
        <f ca="1">IF($A50+COLUMN(E50)-COLUMN($A50)-1&lt;=MAX(Calcs[ContrQty]),INDEX(OFFSET(Items[Item],0,0,ROW(Proposed[])-ROW(Items[])+ROWS(Proposed[]),1),MATCH(INDEX(Calcs[Line],MATCH($A50+COLUMN(E50)-COLUMN($A50)-1,Calcs[ContrQty],0)),OFFSET(Items[Line],0,0,ROW(Proposed[])-ROW(Items[])+ROWS(Proposed[]),1),0)),"")</f>
        <v/>
      </c>
      <c r="F50" s="15" t="str">
        <f ca="1">IF($A50+COLUMN(F50)-COLUMN($A50)-1&lt;=MAX(Calcs[ContrQty]),INDEX(OFFSET(Items[Item],0,0,ROW(Proposed[])-ROW(Items[])+ROWS(Proposed[]),1),MATCH(INDEX(Calcs[Line],MATCH($A50+COLUMN(F50)-COLUMN($A50)-1,Calcs[ContrQty],0)),OFFSET(Items[Line],0,0,ROW(Proposed[])-ROW(Items[])+ROWS(Proposed[]),1),0)),"")</f>
        <v/>
      </c>
    </row>
    <row r="51" spans="1:6" ht="12.75" x14ac:dyDescent="0.2">
      <c r="A51" s="1">
        <v>16</v>
      </c>
      <c r="B51" s="16"/>
      <c r="C51" s="15" t="str">
        <f ca="1">IF($A51+COLUMN(C51)-COLUMN($A51)-1&lt;=MAX(Calcs[ContrQty]),INDEX(OFFSET(Items[Item],0,0,ROW(Proposed[])-ROW(Items[])+ROWS(Proposed[]),1),MATCH(INDEX(Calcs[Line],MATCH($A51+COLUMN(C51)-COLUMN($A51)-1,Calcs[ContrQty],0)),OFFSET(Items[Line],0,0,ROW(Proposed[])-ROW(Items[])+ROWS(Proposed[]),1),0)),"")</f>
        <v/>
      </c>
      <c r="D51" s="15" t="str">
        <f ca="1">IF($A51+COLUMN(D51)-COLUMN($A51)-1&lt;=MAX(Calcs[ContrQty]),INDEX(OFFSET(Items[Item],0,0,ROW(Proposed[])-ROW(Items[])+ROWS(Proposed[]),1),MATCH(INDEX(Calcs[Line],MATCH($A51+COLUMN(D51)-COLUMN($A51)-1,Calcs[ContrQty],0)),OFFSET(Items[Line],0,0,ROW(Proposed[])-ROW(Items[])+ROWS(Proposed[]),1),0)),"")</f>
        <v/>
      </c>
      <c r="E51" s="15" t="str">
        <f ca="1">IF($A51+COLUMN(E51)-COLUMN($A51)-1&lt;=MAX(Calcs[ContrQty]),INDEX(OFFSET(Items[Item],0,0,ROW(Proposed[])-ROW(Items[])+ROWS(Proposed[]),1),MATCH(INDEX(Calcs[Line],MATCH($A51+COLUMN(E51)-COLUMN($A51)-1,Calcs[ContrQty],0)),OFFSET(Items[Line],0,0,ROW(Proposed[])-ROW(Items[])+ROWS(Proposed[]),1),0)),"")</f>
        <v/>
      </c>
      <c r="F51" s="15" t="str">
        <f ca="1">IF($A51+COLUMN(F51)-COLUMN($A51)-1&lt;=MAX(Calcs[ContrQty]),INDEX(OFFSET(Items[Item],0,0,ROW(Proposed[])-ROW(Items[])+ROWS(Proposed[]),1),MATCH(INDEX(Calcs[Line],MATCH($A51+COLUMN(F51)-COLUMN($A51)-1,Calcs[ContrQty],0)),OFFSET(Items[Line],0,0,ROW(Proposed[])-ROW(Items[])+ROWS(Proposed[]),1),0)),"")</f>
        <v/>
      </c>
    </row>
    <row r="52" spans="1:6" ht="12.75" x14ac:dyDescent="0.2">
      <c r="A52" s="1">
        <v>20</v>
      </c>
      <c r="B52" s="16"/>
      <c r="C52" s="15" t="str">
        <f ca="1">IF($A52+COLUMN(C52)-COLUMN($A52)-1&lt;=MAX(Calcs[ContrQty]),INDEX(OFFSET(Items[Item],0,0,ROW(Proposed[])-ROW(Items[])+ROWS(Proposed[]),1),MATCH(INDEX(Calcs[Line],MATCH($A52+COLUMN(C52)-COLUMN($A52)-1,Calcs[ContrQty],0)),OFFSET(Items[Line],0,0,ROW(Proposed[])-ROW(Items[])+ROWS(Proposed[]),1),0)),"")</f>
        <v/>
      </c>
      <c r="D52" s="15" t="str">
        <f ca="1">IF($A52+COLUMN(D52)-COLUMN($A52)-1&lt;=MAX(Calcs[ContrQty]),INDEX(OFFSET(Items[Item],0,0,ROW(Proposed[])-ROW(Items[])+ROWS(Proposed[]),1),MATCH(INDEX(Calcs[Line],MATCH($A52+COLUMN(D52)-COLUMN($A52)-1,Calcs[ContrQty],0)),OFFSET(Items[Line],0,0,ROW(Proposed[])-ROW(Items[])+ROWS(Proposed[]),1),0)),"")</f>
        <v/>
      </c>
      <c r="E52" s="15" t="str">
        <f ca="1">IF($A52+COLUMN(E52)-COLUMN($A52)-1&lt;=MAX(Calcs[ContrQty]),INDEX(OFFSET(Items[Item],0,0,ROW(Proposed[])-ROW(Items[])+ROWS(Proposed[]),1),MATCH(INDEX(Calcs[Line],MATCH($A52+COLUMN(E52)-COLUMN($A52)-1,Calcs[ContrQty],0)),OFFSET(Items[Line],0,0,ROW(Proposed[])-ROW(Items[])+ROWS(Proposed[]),1),0)),"")</f>
        <v/>
      </c>
      <c r="F52" s="15" t="str">
        <f ca="1">IF($A52+COLUMN(F52)-COLUMN($A52)-1&lt;=MAX(Calcs[ContrQty]),INDEX(OFFSET(Items[Item],0,0,ROW(Proposed[])-ROW(Items[])+ROWS(Proposed[]),1),MATCH(INDEX(Calcs[Line],MATCH($A52+COLUMN(F52)-COLUMN($A52)-1,Calcs[ContrQty],0)),OFFSET(Items[Line],0,0,ROW(Proposed[])-ROW(Items[])+ROWS(Proposed[]),1),0)),"")</f>
        <v/>
      </c>
    </row>
    <row r="53" spans="1:6" ht="12.75" x14ac:dyDescent="0.2">
      <c r="A53" s="1">
        <v>21</v>
      </c>
      <c r="B53" s="16"/>
      <c r="C53" s="15" t="str">
        <f ca="1">IF($A53+COLUMN(C53)-COLUMN($A53)-1&lt;=MAX(Calcs[ContrQty]),INDEX(OFFSET(Items[Item],0,0,ROW(Proposed[])-ROW(Items[])+ROWS(Proposed[]),1),MATCH(INDEX(Calcs[Line],MATCH($A53+COLUMN(C53)-COLUMN($A53)-1,Calcs[ContrQty],0)),OFFSET(Items[Line],0,0,ROW(Proposed[])-ROW(Items[])+ROWS(Proposed[]),1),0)),"")</f>
        <v/>
      </c>
      <c r="D53" s="15" t="str">
        <f ca="1">IF($A53+COLUMN(D53)-COLUMN($A53)-1&lt;=MAX(Calcs[ContrQty]),INDEX(OFFSET(Items[Item],0,0,ROW(Proposed[])-ROW(Items[])+ROWS(Proposed[]),1),MATCH(INDEX(Calcs[Line],MATCH($A53+COLUMN(D53)-COLUMN($A53)-1,Calcs[ContrQty],0)),OFFSET(Items[Line],0,0,ROW(Proposed[])-ROW(Items[])+ROWS(Proposed[]),1),0)),"")</f>
        <v/>
      </c>
      <c r="E53" s="15" t="str">
        <f ca="1">IF($A53+COLUMN(E53)-COLUMN($A53)-1&lt;=MAX(Calcs[ContrQty]),INDEX(OFFSET(Items[Item],0,0,ROW(Proposed[])-ROW(Items[])+ROWS(Proposed[]),1),MATCH(INDEX(Calcs[Line],MATCH($A53+COLUMN(E53)-COLUMN($A53)-1,Calcs[ContrQty],0)),OFFSET(Items[Line],0,0,ROW(Proposed[])-ROW(Items[])+ROWS(Proposed[]),1),0)),"")</f>
        <v/>
      </c>
      <c r="F53" s="15" t="str">
        <f ca="1">IF($A53+COLUMN(F53)-COLUMN($A53)-1&lt;=MAX(Calcs[ContrQty]),INDEX(OFFSET(Items[Item],0,0,ROW(Proposed[])-ROW(Items[])+ROWS(Proposed[]),1),MATCH(INDEX(Calcs[Line],MATCH($A53+COLUMN(F53)-COLUMN($A53)-1,Calcs[ContrQty],0)),OFFSET(Items[Line],0,0,ROW(Proposed[])-ROW(Items[])+ROWS(Proposed[]),1),0)),"")</f>
        <v/>
      </c>
    </row>
    <row r="54" spans="1:6" ht="12.75" x14ac:dyDescent="0.2">
      <c r="A54" s="1">
        <v>22</v>
      </c>
      <c r="B54" s="16"/>
      <c r="C54" s="15" t="str">
        <f ca="1">IF($A54+COLUMN(C54)-COLUMN($A54)-1&lt;=MAX(Calcs[ContrQty]),INDEX(OFFSET(Items[Item],0,0,ROW(Proposed[])-ROW(Items[])+ROWS(Proposed[]),1),MATCH(INDEX(Calcs[Line],MATCH($A54+COLUMN(C54)-COLUMN($A54)-1,Calcs[ContrQty],0)),OFFSET(Items[Line],0,0,ROW(Proposed[])-ROW(Items[])+ROWS(Proposed[]),1),0)),"")</f>
        <v/>
      </c>
      <c r="D54" s="15" t="str">
        <f ca="1">IF($A54+COLUMN(D54)-COLUMN($A54)-1&lt;=MAX(Calcs[ContrQty]),INDEX(OFFSET(Items[Item],0,0,ROW(Proposed[])-ROW(Items[])+ROWS(Proposed[]),1),MATCH(INDEX(Calcs[Line],MATCH($A54+COLUMN(D54)-COLUMN($A54)-1,Calcs[ContrQty],0)),OFFSET(Items[Line],0,0,ROW(Proposed[])-ROW(Items[])+ROWS(Proposed[]),1),0)),"")</f>
        <v/>
      </c>
      <c r="E54" s="15" t="str">
        <f ca="1">IF($A54+COLUMN(E54)-COLUMN($A54)-1&lt;=MAX(Calcs[ContrQty]),INDEX(OFFSET(Items[Item],0,0,ROW(Proposed[])-ROW(Items[])+ROWS(Proposed[]),1),MATCH(INDEX(Calcs[Line],MATCH($A54+COLUMN(E54)-COLUMN($A54)-1,Calcs[ContrQty],0)),OFFSET(Items[Line],0,0,ROW(Proposed[])-ROW(Items[])+ROWS(Proposed[]),1),0)),"")</f>
        <v/>
      </c>
      <c r="F54" s="15" t="str">
        <f ca="1">IF($A54+COLUMN(F54)-COLUMN($A54)-1&lt;=MAX(Calcs[ContrQty]),INDEX(OFFSET(Items[Item],0,0,ROW(Proposed[])-ROW(Items[])+ROWS(Proposed[]),1),MATCH(INDEX(Calcs[Line],MATCH($A54+COLUMN(F54)-COLUMN($A54)-1,Calcs[ContrQty],0)),OFFSET(Items[Line],0,0,ROW(Proposed[])-ROW(Items[])+ROWS(Proposed[]),1),0)),"")</f>
        <v/>
      </c>
    </row>
    <row r="55" spans="1:6" ht="12.75" x14ac:dyDescent="0.2">
      <c r="A55" s="1">
        <v>23</v>
      </c>
      <c r="B55" s="16"/>
      <c r="C55" s="15" t="str">
        <f ca="1">IF($A55+COLUMN(C55)-COLUMN($A55)-1&lt;=MAX(Calcs[ContrQty]),INDEX(OFFSET(Items[Item],0,0,ROW(Proposed[])-ROW(Items[])+ROWS(Proposed[]),1),MATCH(INDEX(Calcs[Line],MATCH($A55+COLUMN(C55)-COLUMN($A55)-1,Calcs[ContrQty],0)),OFFSET(Items[Line],0,0,ROW(Proposed[])-ROW(Items[])+ROWS(Proposed[]),1),0)),"")</f>
        <v/>
      </c>
      <c r="D55" s="15" t="str">
        <f ca="1">IF($A55+COLUMN(D55)-COLUMN($A55)-1&lt;=MAX(Calcs[ContrQty]),INDEX(OFFSET(Items[Item],0,0,ROW(Proposed[])-ROW(Items[])+ROWS(Proposed[]),1),MATCH(INDEX(Calcs[Line],MATCH($A55+COLUMN(D55)-COLUMN($A55)-1,Calcs[ContrQty],0)),OFFSET(Items[Line],0,0,ROW(Proposed[])-ROW(Items[])+ROWS(Proposed[]),1),0)),"")</f>
        <v/>
      </c>
      <c r="E55" s="15" t="str">
        <f ca="1">IF($A55+COLUMN(E55)-COLUMN($A55)-1&lt;=MAX(Calcs[ContrQty]),INDEX(OFFSET(Items[Item],0,0,ROW(Proposed[])-ROW(Items[])+ROWS(Proposed[]),1),MATCH(INDEX(Calcs[Line],MATCH($A55+COLUMN(E55)-COLUMN($A55)-1,Calcs[ContrQty],0)),OFFSET(Items[Line],0,0,ROW(Proposed[])-ROW(Items[])+ROWS(Proposed[]),1),0)),"")</f>
        <v/>
      </c>
      <c r="F55" s="15" t="str">
        <f ca="1">IF($A55+COLUMN(F55)-COLUMN($A55)-1&lt;=MAX(Calcs[ContrQty]),INDEX(OFFSET(Items[Item],0,0,ROW(Proposed[])-ROW(Items[])+ROWS(Proposed[]),1),MATCH(INDEX(Calcs[Line],MATCH($A55+COLUMN(F55)-COLUMN($A55)-1,Calcs[ContrQty],0)),OFFSET(Items[Line],0,0,ROW(Proposed[])-ROW(Items[])+ROWS(Proposed[]),1),0)),"")</f>
        <v/>
      </c>
    </row>
    <row r="56" spans="1:6" ht="12.75" x14ac:dyDescent="0.2">
      <c r="A56" s="1">
        <v>24</v>
      </c>
      <c r="B56" s="16"/>
      <c r="C56" s="15" t="str">
        <f ca="1">IF($A56+COLUMN(C56)-COLUMN($A56)-1&lt;=MAX(Calcs[ContrQty]),INDEX(OFFSET(Items[Item],0,0,ROW(Proposed[])-ROW(Items[])+ROWS(Proposed[]),1),MATCH(INDEX(Calcs[Line],MATCH($A56+COLUMN(C56)-COLUMN($A56)-1,Calcs[ContrQty],0)),OFFSET(Items[Line],0,0,ROW(Proposed[])-ROW(Items[])+ROWS(Proposed[]),1),0)),"")</f>
        <v/>
      </c>
      <c r="D56" s="15" t="str">
        <f ca="1">IF($A56+COLUMN(D56)-COLUMN($A56)-1&lt;=MAX(Calcs[ContrQty]),INDEX(OFFSET(Items[Item],0,0,ROW(Proposed[])-ROW(Items[])+ROWS(Proposed[]),1),MATCH(INDEX(Calcs[Line],MATCH($A56+COLUMN(D56)-COLUMN($A56)-1,Calcs[ContrQty],0)),OFFSET(Items[Line],0,0,ROW(Proposed[])-ROW(Items[])+ROWS(Proposed[]),1),0)),"")</f>
        <v/>
      </c>
      <c r="E56" s="15" t="str">
        <f ca="1">IF($A56+COLUMN(E56)-COLUMN($A56)-1&lt;=MAX(Calcs[ContrQty]),INDEX(OFFSET(Items[Item],0,0,ROW(Proposed[])-ROW(Items[])+ROWS(Proposed[]),1),MATCH(INDEX(Calcs[Line],MATCH($A56+COLUMN(E56)-COLUMN($A56)-1,Calcs[ContrQty],0)),OFFSET(Items[Line],0,0,ROW(Proposed[])-ROW(Items[])+ROWS(Proposed[]),1),0)),"")</f>
        <v/>
      </c>
      <c r="F56" s="15" t="str">
        <f ca="1">IF($A56+COLUMN(F56)-COLUMN($A56)-1&lt;=MAX(Calcs[ContrQty]),INDEX(OFFSET(Items[Item],0,0,ROW(Proposed[])-ROW(Items[])+ROWS(Proposed[]),1),MATCH(INDEX(Calcs[Line],MATCH($A56+COLUMN(F56)-COLUMN($A56)-1,Calcs[ContrQty],0)),OFFSET(Items[Line],0,0,ROW(Proposed[])-ROW(Items[])+ROWS(Proposed[]),1),0)),"")</f>
        <v/>
      </c>
    </row>
  </sheetData>
  <sheetProtection sheet="1" objects="1" scenarios="1"/>
  <mergeCells count="11">
    <mergeCell ref="C44:F44"/>
    <mergeCell ref="C45:F45"/>
    <mergeCell ref="B25:D25"/>
    <mergeCell ref="D9:F9"/>
    <mergeCell ref="D10:F10"/>
    <mergeCell ref="B23:D23"/>
    <mergeCell ref="B24:D24"/>
    <mergeCell ref="D14:E14"/>
    <mergeCell ref="D15:E15"/>
    <mergeCell ref="D16:E16"/>
    <mergeCell ref="D20:E20"/>
  </mergeCells>
  <conditionalFormatting sqref="A46:F1048576 A44:C45 A1:F7 A9:F43 A8 D8:F8 G1:XFD3 G6:XFD1048576 J4:XFD5">
    <cfRule type="expression" dxfId="181" priority="3">
      <formula>AND(NOT(Highlights),CELL("protect",A1)=0)</formula>
    </cfRule>
  </conditionalFormatting>
  <conditionalFormatting sqref="C6 C4 E8 D9:F10">
    <cfRule type="expression" dxfId="180" priority="2">
      <formula>OR(LEN(TRIM(C4))=0,C4=0)</formula>
    </cfRule>
  </conditionalFormatting>
  <conditionalFormatting sqref="F27">
    <cfRule type="expression" dxfId="179" priority="1">
      <formula>EE.Acct&lt;&gt;EE.AcctCalc</formula>
    </cfRule>
  </conditionalFormatting>
  <dataValidations count="2">
    <dataValidation type="list" allowBlank="1" showInputMessage="1" showErrorMessage="1" sqref="D1" xr:uid="{00000000-0002-0000-0300-000000000000}">
      <formula1>"True,False"</formula1>
    </dataValidation>
    <dataValidation allowBlank="1" showInputMessage="1" showErrorMessage="1" promptTitle="Project Termini and Length" prompt="Input project termini and length for this schedule ONLY." sqref="B23:D25 F23:F25" xr:uid="{00000000-0002-0000-0300-000001000000}"/>
  </dataValidations>
  <pageMargins left="0.75" right="0.75" top="0.5" bottom="0.5" header="0.5" footer="0.25"/>
  <pageSetup fitToHeight="0" orientation="portrait" horizontalDpi="1200" verticalDpi="1200" r:id="rId1"/>
  <headerFooter alignWithMargins="0">
    <oddFooter>&amp;L&amp;D&amp;C&amp;"Verdana,Bold"FHWA Confidential&amp;RPage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'Pay Items'!$L$3:$L$91</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507"/>
  <sheetViews>
    <sheetView showGridLines="0" zoomScaleNormal="100" workbookViewId="0">
      <selection activeCell="H1" sqref="H1"/>
    </sheetView>
  </sheetViews>
  <sheetFormatPr defaultRowHeight="10.5" x14ac:dyDescent="0.15"/>
  <cols>
    <col min="1" max="1" width="4.7109375" style="1" customWidth="1"/>
    <col min="2" max="2" width="13.28515625" style="1" customWidth="1"/>
    <col min="3" max="3" width="15.7109375" style="1" customWidth="1"/>
    <col min="4" max="4" width="16.7109375" style="1" customWidth="1"/>
    <col min="5" max="5" width="10.7109375" style="1" customWidth="1"/>
    <col min="6" max="7" width="20.7109375" style="1" customWidth="1"/>
    <col min="8" max="8" width="16.7109375" style="1" customWidth="1"/>
    <col min="9" max="15" width="18.7109375" style="1" customWidth="1"/>
    <col min="16" max="16" width="9.140625" style="1"/>
    <col min="17" max="17" width="7.7109375" style="1" customWidth="1"/>
    <col min="18" max="18" width="6.7109375" style="1" bestFit="1" customWidth="1"/>
    <col min="19" max="19" width="8.140625" style="1" bestFit="1" customWidth="1"/>
    <col min="20" max="20" width="6.7109375" style="1" bestFit="1" customWidth="1"/>
    <col min="21" max="21" width="7.7109375" style="1" bestFit="1" customWidth="1"/>
    <col min="22" max="22" width="25.7109375" style="1" customWidth="1"/>
    <col min="23" max="16384" width="9.140625" style="1"/>
  </cols>
  <sheetData>
    <row r="1" spans="1:22" ht="15" x14ac:dyDescent="0.2">
      <c r="B1" s="203" t="str">
        <f ca="1">IF(NumPayItems&gt;MAX(A:A),"ADDITIONAL LINES NEEDED AT BOTTOM","")</f>
        <v/>
      </c>
      <c r="F1" s="26" t="str">
        <f>"Total of Bid Items"&amp;IF(All?,""," for Account "&amp;Account)&amp;":"</f>
        <v>Total of Bid Items:</v>
      </c>
      <c r="G1" s="25">
        <f ca="1">SUM(OFFSET(G7,1,0,2*NumPayItems,1))</f>
        <v>0</v>
      </c>
      <c r="H1" s="220" t="s">
        <v>241</v>
      </c>
      <c r="I1" s="221" t="s">
        <v>242</v>
      </c>
      <c r="J1" s="224">
        <f ca="1">SUMPRODUCT(INDIRECT(RangeQuantity),INDIRECT(RangeUnitPrice))</f>
        <v>0</v>
      </c>
      <c r="K1" s="224"/>
      <c r="L1" s="224"/>
      <c r="M1" s="224"/>
      <c r="O1" s="225" t="str">
        <f ca="1">ADDRESS(ROW(C7)+1,COLUMN(IF(Full?,C7,H7)),1,1,REPLACE(CELL("filename",C7),1,FIND("]",CELL("filename",C7)),""))&amp;":"&amp;ADDRESS(ROW(G7)+MAX(2*(NumEstItems),2),COLUMN(G7)+IF(Full?,0,ROWS(Accounts)))</f>
        <v>Listing!$C$8:$G$21</v>
      </c>
      <c r="P1" s="225" t="b">
        <f>H1="Bid Schedule"</f>
        <v>0</v>
      </c>
      <c r="S1"/>
    </row>
    <row r="2" spans="1:22" ht="18" customHeight="1" x14ac:dyDescent="0.2">
      <c r="C2" s="21" t="str">
        <f>IF(Bid?,"B  I  D     S  C  H  E  D  U  L  E","E  N  G  I  N  E  E  R  '  S     E  S  T  I  M  A  T  E")</f>
        <v>E  N  G  I  N  E  E  R  '  S     E  S  T  I  M  A  T  E</v>
      </c>
      <c r="D2" s="21"/>
      <c r="E2" s="21"/>
      <c r="F2" s="21"/>
      <c r="G2"/>
      <c r="H2" s="218" t="s">
        <v>243</v>
      </c>
      <c r="I2" s="223"/>
      <c r="J2" s="223"/>
      <c r="K2" s="223"/>
      <c r="L2" s="223"/>
      <c r="M2" s="223"/>
      <c r="N2"/>
      <c r="O2" s="223"/>
      <c r="P2" s="225" t="b">
        <f>AND(LEN(Awarded2)&gt;0,H1="Bid Schedule")</f>
        <v>0</v>
      </c>
    </row>
    <row r="3" spans="1:22" ht="18" x14ac:dyDescent="0.25">
      <c r="A3" s="28"/>
      <c r="B3" s="276" t="str">
        <f>IF(LEFT(SchedOpt,1)&lt;&gt;"&lt;",SchedOpt&amp;" " &amp;Letter,"")</f>
        <v/>
      </c>
      <c r="C3" s="16"/>
      <c r="D3" s="16"/>
      <c r="E3" s="16"/>
      <c r="F3" s="17" t="s">
        <v>244</v>
      </c>
      <c r="G3" s="194" t="s">
        <v>225</v>
      </c>
      <c r="H3" s="16" t="str">
        <f>REPT(" ",5)&amp;IF(AND(Bid?,NOT(Awd?)),"QUANTITY LISTING",IF(Awd?,"AWARDED BIDS","ENGINEER'S ESTIMATE"))&amp;IF(NOT(All?)," For Account "&amp;Account&amp;" Items","")</f>
        <v xml:space="preserve">     ENGINEER'S ESTIMATE</v>
      </c>
      <c r="P3" s="225" t="b">
        <f>Account="All"</f>
        <v>1</v>
      </c>
      <c r="R3"/>
      <c r="S3"/>
      <c r="T3"/>
      <c r="U3"/>
    </row>
    <row r="4" spans="1:22" ht="18" x14ac:dyDescent="0.25">
      <c r="A4" s="28"/>
      <c r="B4" s="17" t="s">
        <v>219</v>
      </c>
      <c r="C4" s="16" t="str">
        <f>ProjectLine1</f>
        <v>AZ FTNP GRCA 13(1)</v>
      </c>
      <c r="D4" s="16"/>
      <c r="E4" s="16"/>
      <c r="F4" s="369" t="s">
        <v>245</v>
      </c>
      <c r="G4" s="370"/>
      <c r="H4" s="16" t="str">
        <f>ProjectLine1&amp;IF(ProjectLine2&lt;&gt;"",", "&amp;ProjectLine2,"")</f>
        <v>AZ FTNP GRCA 13(1), MT OMAD 18(38)</v>
      </c>
      <c r="P4" s="225" t="b">
        <f>I1="Full listing"</f>
        <v>1</v>
      </c>
      <c r="R4"/>
      <c r="S4"/>
      <c r="T4"/>
      <c r="U4"/>
    </row>
    <row r="5" spans="1:22" ht="18" x14ac:dyDescent="0.25">
      <c r="A5" s="28"/>
      <c r="B5" s="16"/>
      <c r="C5" s="40" t="str">
        <f>ProjectLine2</f>
        <v>MT OMAD 18(38)</v>
      </c>
      <c r="D5" s="16"/>
      <c r="E5" s="16"/>
      <c r="F5" s="367" t="s">
        <v>246</v>
      </c>
      <c r="G5" s="368"/>
      <c r="H5" s="213" t="s">
        <v>247</v>
      </c>
      <c r="I5" s="212">
        <f t="shared" ref="I5:O5" ca="1" si="0">SUM(OFFSET(I7,1,0,2*NumPayItems,1))</f>
        <v>0</v>
      </c>
      <c r="J5" s="211">
        <f t="shared" ca="1" si="0"/>
        <v>0</v>
      </c>
      <c r="K5" s="211">
        <f t="shared" ca="1" si="0"/>
        <v>0</v>
      </c>
      <c r="L5" s="211">
        <f t="shared" ca="1" si="0"/>
        <v>0</v>
      </c>
      <c r="M5" s="211">
        <f t="shared" ca="1" si="0"/>
        <v>0</v>
      </c>
      <c r="N5" s="211">
        <f t="shared" ca="1" si="0"/>
        <v>0</v>
      </c>
      <c r="O5" s="211">
        <f t="shared" ca="1" si="0"/>
        <v>0</v>
      </c>
      <c r="R5"/>
      <c r="S5"/>
      <c r="T5"/>
      <c r="U5"/>
    </row>
    <row r="6" spans="1:22" ht="18" customHeight="1" thickBot="1" x14ac:dyDescent="0.3">
      <c r="A6" s="28"/>
      <c r="C6" s="40" t="str">
        <f>"Name:  "&amp;Name</f>
        <v xml:space="preserve">Name:  </v>
      </c>
      <c r="D6" s="16"/>
      <c r="E6" s="16"/>
      <c r="F6" s="16"/>
      <c r="G6" s="202" t="s">
        <v>248</v>
      </c>
      <c r="H6" s="214"/>
      <c r="I6" s="376" t="str">
        <f t="shared" ref="I6:O6" ca="1" si="1">IFERROR(INDEX(Accounts,1+COLUMN(I6)-COLUMN($H6))&amp;CHAR(10),"")&amp;"Quantity"&amp;IF(OR(Awd?,NOT(Bid?))," /"&amp;CHAR(10)&amp;"Amount","")</f>
        <v>CON01
Quantity /
Amount</v>
      </c>
      <c r="J6" s="371" t="str">
        <f t="shared" ca="1" si="1"/>
        <v>CON02
Quantity /
Amount</v>
      </c>
      <c r="K6" s="371" t="str">
        <f t="shared" ca="1" si="1"/>
        <v>Quantity /
Amount</v>
      </c>
      <c r="L6" s="371" t="str">
        <f t="shared" ca="1" si="1"/>
        <v>Quantity /
Amount</v>
      </c>
      <c r="M6" s="371" t="str">
        <f t="shared" ca="1" si="1"/>
        <v>Quantity /
Amount</v>
      </c>
      <c r="N6" s="371" t="str">
        <f t="shared" ca="1" si="1"/>
        <v>Quantity /
Amount</v>
      </c>
      <c r="O6" s="371" t="str">
        <f t="shared" ca="1" si="1"/>
        <v>Quantity /
Amount</v>
      </c>
      <c r="R6"/>
      <c r="S6"/>
      <c r="T6"/>
      <c r="U6"/>
    </row>
    <row r="7" spans="1:22" ht="27" customHeight="1" thickTop="1" thickBot="1" x14ac:dyDescent="0.4">
      <c r="A7" s="174"/>
      <c r="B7" s="173" t="s">
        <v>249</v>
      </c>
      <c r="C7" s="173" t="s">
        <v>172</v>
      </c>
      <c r="D7" s="205" t="s">
        <v>156</v>
      </c>
      <c r="E7" s="181"/>
      <c r="F7" s="173" t="s">
        <v>250</v>
      </c>
      <c r="G7" s="173" t="s">
        <v>251</v>
      </c>
      <c r="H7" s="219" t="str">
        <f>IF(AND(Bid?,NOT(Awd?)),"Description","Unit Price")</f>
        <v>Unit Price</v>
      </c>
      <c r="I7" s="377"/>
      <c r="J7" s="372"/>
      <c r="K7" s="372"/>
      <c r="L7" s="372"/>
      <c r="M7" s="372"/>
      <c r="N7" s="372"/>
      <c r="O7" s="372"/>
      <c r="Q7" s="233" t="s">
        <v>252</v>
      </c>
      <c r="R7" s="231"/>
      <c r="S7" s="231"/>
      <c r="T7" s="231"/>
      <c r="U7" s="231"/>
      <c r="V7" s="232"/>
    </row>
    <row r="8" spans="1:22" ht="15" x14ac:dyDescent="0.2">
      <c r="A8" s="276">
        <f t="shared" ref="A8:A71" ca="1" si="2">OFFSET(A8,-2,0)+1</f>
        <v>1</v>
      </c>
      <c r="B8" s="168" t="str">
        <f ca="1">IFERROR(INDEX(INDIRECT(RangeItems),MATCH($A8,INDIRECT(RangeEstCount),0)),"")</f>
        <v>15101-0000</v>
      </c>
      <c r="C8" s="366" t="str">
        <f ca="1">IFERROR(INDEX(Calcs[Description],INDEX(INDIRECT(RangeCount),MATCH($A8,INDIRECT(RangeEstCount),0))),"")</f>
        <v>MOBILIZATION</v>
      </c>
      <c r="D8" s="366"/>
      <c r="E8" s="366"/>
      <c r="F8" s="366"/>
      <c r="G8" s="366"/>
      <c r="H8" s="373">
        <f ca="1">IF(AND(Bid?,NOT(Awd?)),C8,OFFSET(F8,1,0))</f>
        <v>0</v>
      </c>
      <c r="I8" s="216" t="str">
        <f t="shared" ref="I8:O8" ca="1" si="3">IFERROR(SUM(OFFSET(INDIRECT(RangeQuantity),MATCH($A8,INDIRECT(RangeEstCount),0)-1,COLUMN(I8)-COLUMN($H8),1,1))&amp;" "&amp;OFFSET($D8,1,0),"")</f>
        <v>1 LPSM</v>
      </c>
      <c r="J8" s="277" t="str">
        <f t="shared" ca="1" si="3"/>
        <v>0 LPSM</v>
      </c>
      <c r="K8" s="277" t="str">
        <f t="shared" ca="1" si="3"/>
        <v>0 LPSM</v>
      </c>
      <c r="L8" s="277" t="str">
        <f t="shared" ca="1" si="3"/>
        <v>0 LPSM</v>
      </c>
      <c r="M8" s="277" t="str">
        <f t="shared" ca="1" si="3"/>
        <v>0 LPSM</v>
      </c>
      <c r="N8" s="277" t="str">
        <f t="shared" ca="1" si="3"/>
        <v>0 LPSM</v>
      </c>
      <c r="O8" s="277" t="str">
        <f t="shared" ca="1" si="3"/>
        <v>0 LPSM</v>
      </c>
      <c r="P8" s="209" t="b">
        <f ca="1">IF(LEN(B8)&gt;0,ISNUMBER(MATCH(B8,Proposed[Item],0)),"")</f>
        <v>0</v>
      </c>
      <c r="Q8" s="278" t="s">
        <v>253</v>
      </c>
      <c r="R8" s="226"/>
      <c r="S8" s="226"/>
      <c r="T8" s="226"/>
      <c r="U8" s="226"/>
      <c r="V8" s="227"/>
    </row>
    <row r="9" spans="1:22" ht="15" x14ac:dyDescent="0.2">
      <c r="A9" s="276">
        <f t="shared" ca="1" si="2"/>
        <v>1</v>
      </c>
      <c r="B9" s="111" t="str">
        <f ca="1">IFERROR("Line "&amp;INDEX(Calcs[Line],INDEX(INDIRECT(RangeCount),MATCH($A9,INDIRECT(RangeEstCount),0))),"")</f>
        <v>Line A0020</v>
      </c>
      <c r="C9" s="169" t="str">
        <f ca="1">IFERROR(IF(AND($D9="LPSM",Bid?,All?),"ALL",TEXT(OFFSET(INDIRECT(RangeQuantity),MATCH($A9,INDIRECT(RangeEstCount),0)-1,MATCH(Account,Accounts,0)-1,1,1),IF($D9="LPSM","0%","#,##0"&amp;IF(OFFSET(Items[#Data],MATCH($A9,INDIRECT(RangeEstCount),0)-1,MATCH(Decimals,Items[#Headers],0)-1,1,1)&gt;0,"."&amp;REPT("0",OFFSET(Items[#Data],MATCH($A9,INDIRECT(RangeEstCount),0)-1,MATCH(Decimals,Items[#Headers],0)-1,1,1)),"")))),"")</f>
        <v>100%</v>
      </c>
      <c r="D9" s="170" t="str">
        <f ca="1">IFERROR(INDEX(INDIRECT(RangeUnit),MATCH($A9,INDIRECT(RangeEstCount),0))&amp;SUBSTITUTE(" ["&amp;INDEX(INDIRECT(RangeAmend),MATCH($A9,INDIRECT(RangeEstCount),0))&amp;"]"," []",""),"")</f>
        <v>LPSM</v>
      </c>
      <c r="E9" s="170" t="str">
        <f ca="1">IFERROR(IF(INDEX(INDIRECT(RangeContrQty),MATCH($A9,INDIRECT(RangeEstCount),0)),"(CQ)",""),"")</f>
        <v/>
      </c>
      <c r="F9" s="171">
        <f ca="1">IFERROR(IF(OR(NOT(Bid?),LEFT(UPPER($D9),4)="FXHR"),INDEX(INDIRECT(RangeUnitPrice),MATCH($A9,INDIRECT(RangeEstCount),0)),IF(Awd?,OFFSET(TabAmount,MATCH(INDEX(INDIRECT(RangeCount),MATCH($A9,INDIRECT(RangeEstCount),0)),OFFSET(TabCount,1,0,2*NumPayItems,1),0),MATCH(Awarded2,Bidders,0)),IF(OR($C9="",$D9="LPSM"),"","$"))),"")</f>
        <v>0</v>
      </c>
      <c r="G9" s="171">
        <f ca="1">IFERROR(VALUE(C9)*F9,IF(AND(Bid?,NOT(Awd?),$D9="LPSM"),"$",F9))</f>
        <v>0</v>
      </c>
      <c r="H9" s="374"/>
      <c r="I9" s="217">
        <f ca="1">IFERROR(VALUE(SUBSTITUTE(OFFSET(I9,-1,0)," "&amp;$D9,""))*$F9,"")</f>
        <v>0</v>
      </c>
      <c r="J9" s="215">
        <f ca="1">IFERROR(VALUE(SUBSTITUTE(OFFSET(J9,-1,0)," "&amp;$D9,""))*$F9,"")</f>
        <v>0</v>
      </c>
      <c r="K9" s="215">
        <f t="shared" ref="K9:M9" ca="1" si="4">IFERROR(VALUE(SUBSTITUTE(OFFSET(K9,-1,0)," "&amp;$D9,""))*$F9,"")</f>
        <v>0</v>
      </c>
      <c r="L9" s="215">
        <f t="shared" ca="1" si="4"/>
        <v>0</v>
      </c>
      <c r="M9" s="215">
        <f t="shared" ca="1" si="4"/>
        <v>0</v>
      </c>
      <c r="N9" s="215">
        <f ca="1">IFERROR(VALUE(SUBSTITUTE(OFFSET(N9,-1,0)," "&amp;$D9,""))*$F9,"")</f>
        <v>0</v>
      </c>
      <c r="O9" s="215">
        <f ca="1">IFERROR(VALUE(SUBSTITUTE(OFFSET(O9,-1,0)," "&amp;$D9,""))*$F9,"")</f>
        <v>0</v>
      </c>
      <c r="P9" s="209" t="b">
        <f ca="1">IF(LEN(B9)&gt;0,ISNUMBER(MATCH(B9,Proposed[Item],0)),"")</f>
        <v>0</v>
      </c>
      <c r="Q9" s="279" t="s">
        <v>254</v>
      </c>
      <c r="R9" s="226"/>
      <c r="S9" s="94"/>
      <c r="T9" s="94"/>
      <c r="U9" s="94"/>
      <c r="V9" s="227"/>
    </row>
    <row r="10" spans="1:22" ht="15" x14ac:dyDescent="0.2">
      <c r="A10" s="276">
        <f t="shared" ca="1" si="2"/>
        <v>2</v>
      </c>
      <c r="B10" s="168" t="str">
        <f ca="1">IFERROR(INDEX(INDIRECT(RangeItems),MATCH($A10,INDIRECT(RangeEstCount),0)),"")</f>
        <v>15210-3000</v>
      </c>
      <c r="C10" s="365" t="str">
        <f ca="1">IFERROR(INDEX(Calcs[Description],INDEX(INDIRECT(RangeCount),MATCH($A10,INDIRECT(RangeEstCount),0))),"")</f>
        <v>CENTERLINE, VERIFICATION AND STAKING</v>
      </c>
      <c r="D10" s="365"/>
      <c r="E10" s="365"/>
      <c r="F10" s="365"/>
      <c r="G10" s="365"/>
      <c r="H10" s="375">
        <f ca="1">IF(AND(Bid?,NOT(Awd?)),C10,OFFSET(F10,1,0))</f>
        <v>0</v>
      </c>
      <c r="I10" s="216" t="str">
        <f t="shared" ref="I10:O10" ca="1" si="5">IFERROR(SUM(OFFSET(INDIRECT(RangeQuantity),MATCH($A10,INDIRECT(RangeEstCount),0)-1,COLUMN(I10)-COLUMN($H10),1,1))&amp;" "&amp;OFFSET($D10,1,0),"")</f>
        <v>0 MILE</v>
      </c>
      <c r="J10" s="277" t="str">
        <f t="shared" ca="1" si="5"/>
        <v>0 MILE</v>
      </c>
      <c r="K10" s="277" t="str">
        <f t="shared" ca="1" si="5"/>
        <v>0 MILE</v>
      </c>
      <c r="L10" s="277" t="str">
        <f t="shared" ca="1" si="5"/>
        <v>0 MILE</v>
      </c>
      <c r="M10" s="277" t="str">
        <f t="shared" ca="1" si="5"/>
        <v>0 MILE</v>
      </c>
      <c r="N10" s="277" t="str">
        <f t="shared" ca="1" si="5"/>
        <v>0 MILE</v>
      </c>
      <c r="O10" s="277" t="str">
        <f t="shared" ca="1" si="5"/>
        <v>0 MILE</v>
      </c>
      <c r="P10" s="209" t="b">
        <f ca="1">IF(LEN(B10)&gt;0,ISNUMBER(MATCH(B10,Proposed[Item],0)),"")</f>
        <v>0</v>
      </c>
      <c r="Q10" s="279" t="s">
        <v>255</v>
      </c>
      <c r="R10" s="226"/>
      <c r="S10" s="94"/>
      <c r="T10" s="94"/>
      <c r="U10" s="94"/>
      <c r="V10" s="227"/>
    </row>
    <row r="11" spans="1:22" ht="15" x14ac:dyDescent="0.2">
      <c r="A11" s="276">
        <f t="shared" ca="1" si="2"/>
        <v>2</v>
      </c>
      <c r="B11" s="111" t="str">
        <f ca="1">IFERROR("Line "&amp;INDEX(Calcs[Line],INDEX(INDIRECT(RangeCount),MATCH($A11,INDIRECT(RangeEstCount),0))),"")</f>
        <v>Line A0040</v>
      </c>
      <c r="C11" s="169" t="str">
        <f ca="1">IFERROR(IF(AND($D11="LPSM",Bid?,All?),"ALL",TEXT(OFFSET(INDIRECT(RangeQuantity),MATCH($A11,INDIRECT(RangeEstCount),0)-1,MATCH(Account,Accounts,0)-1,1,1),IF($D11="LPSM","0%","#,##0"&amp;IF(OFFSET(Items[#Data],MATCH($A11,INDIRECT(RangeEstCount),0)-1,MATCH(Decimals,Items[#Headers],0)-1,1,1)&gt;0,"."&amp;REPT("0",OFFSET(Items[#Data],MATCH($A11,INDIRECT(RangeEstCount),0)-1,MATCH(Decimals,Items[#Headers],0)-1,1,1)),"")))),"")</f>
        <v>0.00</v>
      </c>
      <c r="D11" s="170" t="str">
        <f ca="1">IFERROR(INDEX(INDIRECT(RangeUnit),MATCH($A11,INDIRECT(RangeEstCount),0))&amp;SUBSTITUTE(" ["&amp;INDEX(INDIRECT(RangeAmend),MATCH($A11,INDIRECT(RangeEstCount),0))&amp;"]"," []",""),"")</f>
        <v>MILE</v>
      </c>
      <c r="E11" s="170" t="str">
        <f ca="1">IFERROR(IF(INDEX(INDIRECT(RangeContrQty),MATCH($A11,INDIRECT(RangeEstCount),0)),"(CQ)",""),"")</f>
        <v/>
      </c>
      <c r="F11" s="171">
        <f ca="1">IFERROR(IF(OR(NOT(Bid?),LEFT(UPPER($D11),4)="FXHR"),INDEX(INDIRECT(RangeUnitPrice),MATCH($A11,INDIRECT(RangeEstCount),0)),IF(Awd?,OFFSET(TabAmount,MATCH(INDEX(INDIRECT(RangeCount),MATCH($A11,INDIRECT(RangeEstCount),0)),OFFSET(TabCount,1,0,2*NumPayItems,1),0),MATCH(Awarded2,Bidders,0)),IF(OR($C11="",$D11="LPSM"),"","$"))),"")</f>
        <v>0</v>
      </c>
      <c r="G11" s="171">
        <f ca="1">IFERROR(VALUE(C11)*F11,IF(AND(Bid?,NOT(Awd?),$D11="LPSM"),"$",F11))</f>
        <v>0</v>
      </c>
      <c r="H11" s="374"/>
      <c r="I11" s="217">
        <f ca="1">IFERROR(VALUE(SUBSTITUTE(OFFSET(I11,-1,0)," "&amp;$D11,""))*$F11,"")</f>
        <v>0</v>
      </c>
      <c r="J11" s="215">
        <f ca="1">IFERROR(VALUE(SUBSTITUTE(OFFSET(J11,-1,0)," "&amp;$D11,""))*$F11,"")</f>
        <v>0</v>
      </c>
      <c r="K11" s="215">
        <f t="shared" ref="K11:M11" ca="1" si="6">IFERROR(VALUE(SUBSTITUTE(OFFSET(K11,-1,0)," "&amp;$D11,""))*$F11,"")</f>
        <v>0</v>
      </c>
      <c r="L11" s="215">
        <f t="shared" ca="1" si="6"/>
        <v>0</v>
      </c>
      <c r="M11" s="215">
        <f t="shared" ca="1" si="6"/>
        <v>0</v>
      </c>
      <c r="N11" s="215">
        <f ca="1">IFERROR(VALUE(SUBSTITUTE(OFFSET(N11,-1,0)," "&amp;$D11,""))*$F11,"")</f>
        <v>0</v>
      </c>
      <c r="O11" s="215">
        <f ca="1">IFERROR(VALUE(SUBSTITUTE(OFFSET(O11,-1,0)," "&amp;$D11,""))*$F11,"")</f>
        <v>0</v>
      </c>
      <c r="P11" s="209" t="b">
        <f ca="1">IF(LEN(B11)&gt;0,ISNUMBER(MATCH(B11,Proposed[Item],0)),"")</f>
        <v>0</v>
      </c>
      <c r="Q11" s="279" t="s">
        <v>256</v>
      </c>
      <c r="R11" s="226"/>
      <c r="S11" s="94"/>
      <c r="T11" s="94"/>
      <c r="U11" s="94"/>
      <c r="V11" s="227"/>
    </row>
    <row r="12" spans="1:22" ht="15" x14ac:dyDescent="0.2">
      <c r="A12" s="276">
        <f t="shared" ca="1" si="2"/>
        <v>3</v>
      </c>
      <c r="B12" s="168" t="str">
        <f ca="1">IFERROR(INDEX(INDIRECT(RangeItems),MATCH($A12,INDIRECT(RangeEstCount),0)),"")</f>
        <v>15215-1000</v>
      </c>
      <c r="C12" s="365" t="str">
        <f ca="1">IFERROR(INDEX(Calcs[Description],INDEX(INDIRECT(RangeCount),MATCH($A12,INDIRECT(RangeEstCount),0))),"")</f>
        <v>SURVEY AND STAKING, APPROACH ROAD</v>
      </c>
      <c r="D12" s="365"/>
      <c r="E12" s="365"/>
      <c r="F12" s="365"/>
      <c r="G12" s="365"/>
      <c r="H12" s="375">
        <f ca="1">IF(AND(Bid?,NOT(Awd?)),C12,OFFSET(F12,1,0))</f>
        <v>0</v>
      </c>
      <c r="I12" s="216" t="str">
        <f t="shared" ref="I12:O12" ca="1" si="7">IFERROR(SUM(OFFSET(INDIRECT(RangeQuantity),MATCH($A12,INDIRECT(RangeEstCount),0)-1,COLUMN(I12)-COLUMN($H12),1,1))&amp;" "&amp;OFFSET($D12,1,0),"")</f>
        <v>0 EACH</v>
      </c>
      <c r="J12" s="277" t="str">
        <f t="shared" ca="1" si="7"/>
        <v>0 EACH</v>
      </c>
      <c r="K12" s="277" t="str">
        <f t="shared" ca="1" si="7"/>
        <v>0 EACH</v>
      </c>
      <c r="L12" s="277" t="str">
        <f t="shared" ca="1" si="7"/>
        <v>0 EACH</v>
      </c>
      <c r="M12" s="277" t="str">
        <f t="shared" ca="1" si="7"/>
        <v>0 EACH</v>
      </c>
      <c r="N12" s="277" t="str">
        <f t="shared" ca="1" si="7"/>
        <v>0 EACH</v>
      </c>
      <c r="O12" s="277" t="str">
        <f t="shared" ca="1" si="7"/>
        <v>0 EACH</v>
      </c>
      <c r="P12" s="209" t="b">
        <f ca="1">IF(LEN(B12)&gt;0,ISNUMBER(MATCH(B12,Proposed[Item],0)),"")</f>
        <v>0</v>
      </c>
      <c r="Q12" s="278" t="s">
        <v>257</v>
      </c>
      <c r="R12" s="94"/>
      <c r="S12" s="94"/>
      <c r="T12" s="94"/>
      <c r="U12" s="94"/>
      <c r="V12" s="227"/>
    </row>
    <row r="13" spans="1:22" ht="15" x14ac:dyDescent="0.2">
      <c r="A13" s="276">
        <f t="shared" ca="1" si="2"/>
        <v>3</v>
      </c>
      <c r="B13" s="111" t="str">
        <f ca="1">IFERROR("Line "&amp;INDEX(Calcs[Line],INDEX(INDIRECT(RangeCount),MATCH($A13,INDIRECT(RangeEstCount),0))),"")</f>
        <v>Line A0060</v>
      </c>
      <c r="C13" s="169" t="str">
        <f ca="1">IFERROR(IF(AND($D13="LPSM",Bid?,All?),"ALL",TEXT(OFFSET(INDIRECT(RangeQuantity),MATCH($A13,INDIRECT(RangeEstCount),0)-1,MATCH(Account,Accounts,0)-1,1,1),IF($D13="LPSM","0%","#,##0"&amp;IF(OFFSET(Items[#Data],MATCH($A13,INDIRECT(RangeEstCount),0)-1,MATCH(Decimals,Items[#Headers],0)-1,1,1)&gt;0,"."&amp;REPT("0",OFFSET(Items[#Data],MATCH($A13,INDIRECT(RangeEstCount),0)-1,MATCH(Decimals,Items[#Headers],0)-1,1,1)),"")))),"")</f>
        <v>0</v>
      </c>
      <c r="D13" s="170" t="str">
        <f ca="1">IFERROR(INDEX(INDIRECT(RangeUnit),MATCH($A13,INDIRECT(RangeEstCount),0))&amp;SUBSTITUTE(" ["&amp;INDEX(INDIRECT(RangeAmend),MATCH($A13,INDIRECT(RangeEstCount),0))&amp;"]"," []",""),"")</f>
        <v>EACH</v>
      </c>
      <c r="E13" s="170" t="str">
        <f ca="1">IFERROR(IF(INDEX(INDIRECT(RangeContrQty),MATCH($A13,INDIRECT(RangeEstCount),0)),"(CQ)",""),"")</f>
        <v/>
      </c>
      <c r="F13" s="171">
        <f ca="1">IFERROR(IF(OR(NOT(Bid?),LEFT(UPPER($D13),4)="FXHR"),INDEX(INDIRECT(RangeUnitPrice),MATCH($A13,INDIRECT(RangeEstCount),0)),IF(Awd?,OFFSET(TabAmount,MATCH(INDEX(INDIRECT(RangeCount),MATCH($A13,INDIRECT(RangeEstCount),0)),OFFSET(TabCount,1,0,2*NumPayItems,1),0),MATCH(Awarded2,Bidders,0)),IF(OR($C13="",$D13="LPSM"),"","$"))),"")</f>
        <v>0</v>
      </c>
      <c r="G13" s="171">
        <f ca="1">IFERROR(VALUE(C13)*F13,IF(AND(Bid?,NOT(Awd?),$D13="LPSM"),"$",F13))</f>
        <v>0</v>
      </c>
      <c r="H13" s="374"/>
      <c r="I13" s="217">
        <f ca="1">IFERROR(VALUE(SUBSTITUTE(OFFSET(I13,-1,0)," "&amp;$D13,""))*$F13,"")</f>
        <v>0</v>
      </c>
      <c r="J13" s="215">
        <f ca="1">IFERROR(VALUE(SUBSTITUTE(OFFSET(J13,-1,0)," "&amp;$D13,""))*$F13,"")</f>
        <v>0</v>
      </c>
      <c r="K13" s="215">
        <f t="shared" ref="K13:M13" ca="1" si="8">IFERROR(VALUE(SUBSTITUTE(OFFSET(K13,-1,0)," "&amp;$D13,""))*$F13,"")</f>
        <v>0</v>
      </c>
      <c r="L13" s="215">
        <f t="shared" ca="1" si="8"/>
        <v>0</v>
      </c>
      <c r="M13" s="215">
        <f t="shared" ca="1" si="8"/>
        <v>0</v>
      </c>
      <c r="N13" s="215">
        <f ca="1">IFERROR(VALUE(SUBSTITUTE(OFFSET(N13,-1,0)," "&amp;$D13,""))*$F13,"")</f>
        <v>0</v>
      </c>
      <c r="O13" s="215">
        <f ca="1">IFERROR(VALUE(SUBSTITUTE(OFFSET(O13,-1,0)," "&amp;$D13,""))*$F13,"")</f>
        <v>0</v>
      </c>
      <c r="P13" s="209" t="b">
        <f ca="1">IF(LEN(B13)&gt;0,ISNUMBER(MATCH(B13,Proposed[Item],0)),"")</f>
        <v>0</v>
      </c>
      <c r="Q13" s="278" t="s">
        <v>258</v>
      </c>
      <c r="R13" s="94"/>
      <c r="S13" s="94"/>
      <c r="T13" s="94"/>
      <c r="U13" s="94"/>
      <c r="V13" s="227"/>
    </row>
    <row r="14" spans="1:22" ht="15" x14ac:dyDescent="0.2">
      <c r="A14" s="276">
        <f t="shared" ca="1" si="2"/>
        <v>4</v>
      </c>
      <c r="B14" s="168" t="str">
        <f ca="1">IFERROR(INDEX(INDIRECT(RangeItems),MATCH($A14,INDIRECT(RangeEstCount),0)),"")</f>
        <v>15215-3000</v>
      </c>
      <c r="C14" s="365" t="str">
        <f ca="1">IFERROR(INDEX(Calcs[Description],INDEX(INDIRECT(RangeCount),MATCH($A14,INDIRECT(RangeEstCount),0))),"")</f>
        <v>SURVEY AND STAKING, DRAINAGE STRUCTURE</v>
      </c>
      <c r="D14" s="365"/>
      <c r="E14" s="365"/>
      <c r="F14" s="365"/>
      <c r="G14" s="365"/>
      <c r="H14" s="375">
        <f ca="1">IF(AND(Bid?,NOT(Awd?)),C14,OFFSET(F14,1,0))</f>
        <v>0</v>
      </c>
      <c r="I14" s="216" t="str">
        <f t="shared" ref="I14:O14" ca="1" si="9">IFERROR(SUM(OFFSET(INDIRECT(RangeQuantity),MATCH($A14,INDIRECT(RangeEstCount),0)-1,COLUMN(I14)-COLUMN($H14),1,1))&amp;" "&amp;OFFSET($D14,1,0),"")</f>
        <v>0 EACH</v>
      </c>
      <c r="J14" s="277" t="str">
        <f t="shared" ca="1" si="9"/>
        <v>0 EACH</v>
      </c>
      <c r="K14" s="277" t="str">
        <f t="shared" ca="1" si="9"/>
        <v>0 EACH</v>
      </c>
      <c r="L14" s="277" t="str">
        <f t="shared" ca="1" si="9"/>
        <v>0 EACH</v>
      </c>
      <c r="M14" s="277" t="str">
        <f t="shared" ca="1" si="9"/>
        <v>0 EACH</v>
      </c>
      <c r="N14" s="277" t="str">
        <f t="shared" ca="1" si="9"/>
        <v>0 EACH</v>
      </c>
      <c r="O14" s="277" t="str">
        <f t="shared" ca="1" si="9"/>
        <v>0 EACH</v>
      </c>
      <c r="P14" s="209" t="b">
        <f ca="1">IF(LEN(B14)&gt;0,ISNUMBER(MATCH(B14,Proposed[Item],0)),"")</f>
        <v>0</v>
      </c>
      <c r="Q14" s="279" t="s">
        <v>259</v>
      </c>
      <c r="R14" s="94"/>
      <c r="S14" s="94"/>
      <c r="T14" s="94"/>
      <c r="U14" s="94"/>
      <c r="V14" s="227"/>
    </row>
    <row r="15" spans="1:22" ht="15" x14ac:dyDescent="0.2">
      <c r="A15" s="276">
        <f t="shared" ca="1" si="2"/>
        <v>4</v>
      </c>
      <c r="B15" s="111" t="str">
        <f ca="1">IFERROR("Line "&amp;INDEX(Calcs[Line],INDEX(INDIRECT(RangeCount),MATCH($A15,INDIRECT(RangeEstCount),0))),"")</f>
        <v>Line A0080</v>
      </c>
      <c r="C15" s="169" t="str">
        <f ca="1">IFERROR(IF(AND($D15="LPSM",Bid?,All?),"ALL",TEXT(OFFSET(INDIRECT(RangeQuantity),MATCH($A15,INDIRECT(RangeEstCount),0)-1,MATCH(Account,Accounts,0)-1,1,1),IF($D15="LPSM","0%","#,##0"&amp;IF(OFFSET(Items[#Data],MATCH($A15,INDIRECT(RangeEstCount),0)-1,MATCH(Decimals,Items[#Headers],0)-1,1,1)&gt;0,"."&amp;REPT("0",OFFSET(Items[#Data],MATCH($A15,INDIRECT(RangeEstCount),0)-1,MATCH(Decimals,Items[#Headers],0)-1,1,1)),"")))),"")</f>
        <v>0</v>
      </c>
      <c r="D15" s="170" t="str">
        <f ca="1">IFERROR(INDEX(INDIRECT(RangeUnit),MATCH($A15,INDIRECT(RangeEstCount),0))&amp;SUBSTITUTE(" ["&amp;INDEX(INDIRECT(RangeAmend),MATCH($A15,INDIRECT(RangeEstCount),0))&amp;"]"," []",""),"")</f>
        <v>EACH</v>
      </c>
      <c r="E15" s="170" t="str">
        <f ca="1">IFERROR(IF(INDEX(INDIRECT(RangeContrQty),MATCH($A15,INDIRECT(RangeEstCount),0)),"(CQ)",""),"")</f>
        <v/>
      </c>
      <c r="F15" s="171">
        <f ca="1">IFERROR(IF(OR(NOT(Bid?),LEFT(UPPER($D15),4)="FXHR"),INDEX(INDIRECT(RangeUnitPrice),MATCH($A15,INDIRECT(RangeEstCount),0)),IF(Awd?,OFFSET(TabAmount,MATCH(INDEX(INDIRECT(RangeCount),MATCH($A15,INDIRECT(RangeEstCount),0)),OFFSET(TabCount,1,0,2*NumPayItems,1),0),MATCH(Awarded2,Bidders,0)),IF(OR($C15="",$D15="LPSM"),"","$"))),"")</f>
        <v>0</v>
      </c>
      <c r="G15" s="171">
        <f ca="1">IFERROR(VALUE(C15)*F15,IF(AND(Bid?,NOT(Awd?),$D15="LPSM"),"$",F15))</f>
        <v>0</v>
      </c>
      <c r="H15" s="374"/>
      <c r="I15" s="217">
        <f ca="1">IFERROR(VALUE(SUBSTITUTE(OFFSET(I15,-1,0)," "&amp;$D15,""))*$F15,"")</f>
        <v>0</v>
      </c>
      <c r="J15" s="215">
        <f ca="1">IFERROR(VALUE(SUBSTITUTE(OFFSET(J15,-1,0)," "&amp;$D15,""))*$F15,"")</f>
        <v>0</v>
      </c>
      <c r="K15" s="215">
        <f t="shared" ref="K15:M15" ca="1" si="10">IFERROR(VALUE(SUBSTITUTE(OFFSET(K15,-1,0)," "&amp;$D15,""))*$F15,"")</f>
        <v>0</v>
      </c>
      <c r="L15" s="215">
        <f t="shared" ca="1" si="10"/>
        <v>0</v>
      </c>
      <c r="M15" s="215">
        <f t="shared" ca="1" si="10"/>
        <v>0</v>
      </c>
      <c r="N15" s="215">
        <f ca="1">IFERROR(VALUE(SUBSTITUTE(OFFSET(N15,-1,0)," "&amp;$D15,""))*$F15,"")</f>
        <v>0</v>
      </c>
      <c r="O15" s="215">
        <f ca="1">IFERROR(VALUE(SUBSTITUTE(OFFSET(O15,-1,0)," "&amp;$D15,""))*$F15,"")</f>
        <v>0</v>
      </c>
      <c r="P15" s="209" t="b">
        <f ca="1">IF(LEN(B15)&gt;0,ISNUMBER(MATCH(B15,Proposed[Item],0)),"")</f>
        <v>0</v>
      </c>
      <c r="Q15" s="279" t="s">
        <v>260</v>
      </c>
      <c r="R15" s="94"/>
      <c r="S15" s="94"/>
      <c r="T15" s="94"/>
      <c r="U15" s="94"/>
      <c r="V15" s="227"/>
    </row>
    <row r="16" spans="1:22" ht="15.75" thickBot="1" x14ac:dyDescent="0.25">
      <c r="A16" s="276">
        <f t="shared" ca="1" si="2"/>
        <v>5</v>
      </c>
      <c r="B16" s="168" t="str">
        <f ca="1">IFERROR(INDEX(INDIRECT(RangeItems),MATCH($A16,INDIRECT(RangeEstCount),0)),"")</f>
        <v>15301-0000</v>
      </c>
      <c r="C16" s="365" t="str">
        <f ca="1">IFERROR(INDEX(Calcs[Description],INDEX(INDIRECT(RangeCount),MATCH($A16,INDIRECT(RangeEstCount),0))),"")</f>
        <v>CONTRACTOR QUALITY CONTROL</v>
      </c>
      <c r="D16" s="365"/>
      <c r="E16" s="365"/>
      <c r="F16" s="365"/>
      <c r="G16" s="365"/>
      <c r="H16" s="375">
        <f ca="1">IF(AND(Bid?,NOT(Awd?)),C16,OFFSET(F16,1,0))</f>
        <v>0</v>
      </c>
      <c r="I16" s="216" t="str">
        <f t="shared" ref="I16:O16" ca="1" si="11">IFERROR(SUM(OFFSET(INDIRECT(RangeQuantity),MATCH($A16,INDIRECT(RangeEstCount),0)-1,COLUMN(I16)-COLUMN($H16),1,1))&amp;" "&amp;OFFSET($D16,1,0),"")</f>
        <v>1 LPSM</v>
      </c>
      <c r="J16" s="277" t="str">
        <f t="shared" ca="1" si="11"/>
        <v>0 LPSM</v>
      </c>
      <c r="K16" s="277" t="str">
        <f t="shared" ca="1" si="11"/>
        <v>0 LPSM</v>
      </c>
      <c r="L16" s="277" t="str">
        <f t="shared" ca="1" si="11"/>
        <v>0 LPSM</v>
      </c>
      <c r="M16" s="277" t="str">
        <f t="shared" ca="1" si="11"/>
        <v>0 LPSM</v>
      </c>
      <c r="N16" s="277" t="str">
        <f t="shared" ca="1" si="11"/>
        <v>0 LPSM</v>
      </c>
      <c r="O16" s="277" t="str">
        <f t="shared" ca="1" si="11"/>
        <v>0 LPSM</v>
      </c>
      <c r="P16" s="209" t="b">
        <f ca="1">IF(LEN(B16)&gt;0,ISNUMBER(MATCH(B16,Proposed[Item],0)),"")</f>
        <v>0</v>
      </c>
      <c r="Q16" s="228" t="s">
        <v>261</v>
      </c>
      <c r="R16" s="229"/>
      <c r="S16" s="229"/>
      <c r="T16" s="229"/>
      <c r="U16" s="229"/>
      <c r="V16" s="230"/>
    </row>
    <row r="17" spans="1:22" ht="15" x14ac:dyDescent="0.2">
      <c r="A17" s="276">
        <f t="shared" ca="1" si="2"/>
        <v>5</v>
      </c>
      <c r="B17" s="111" t="str">
        <f ca="1">IFERROR("Line "&amp;INDEX(Calcs[Line],INDEX(INDIRECT(RangeCount),MATCH($A17,INDIRECT(RangeEstCount),0))),"")</f>
        <v>Line A0100</v>
      </c>
      <c r="C17" s="169" t="str">
        <f ca="1">IFERROR(IF(AND($D17="LPSM",Bid?,All?),"ALL",TEXT(OFFSET(INDIRECT(RangeQuantity),MATCH($A17,INDIRECT(RangeEstCount),0)-1,MATCH(Account,Accounts,0)-1,1,1),IF($D17="LPSM","0%","#,##0"&amp;IF(OFFSET(Items[#Data],MATCH($A17,INDIRECT(RangeEstCount),0)-1,MATCH(Decimals,Items[#Headers],0)-1,1,1)&gt;0,"."&amp;REPT("0",OFFSET(Items[#Data],MATCH($A17,INDIRECT(RangeEstCount),0)-1,MATCH(Decimals,Items[#Headers],0)-1,1,1)),"")))),"")</f>
        <v>100%</v>
      </c>
      <c r="D17" s="170" t="str">
        <f ca="1">IFERROR(INDEX(INDIRECT(RangeUnit),MATCH($A17,INDIRECT(RangeEstCount),0))&amp;SUBSTITUTE(" ["&amp;INDEX(INDIRECT(RangeAmend),MATCH($A17,INDIRECT(RangeEstCount),0))&amp;"]"," []",""),"")</f>
        <v>LPSM</v>
      </c>
      <c r="E17" s="170" t="str">
        <f ca="1">IFERROR(IF(INDEX(INDIRECT(RangeContrQty),MATCH($A17,INDIRECT(RangeEstCount),0)),"(CQ)",""),"")</f>
        <v/>
      </c>
      <c r="F17" s="171">
        <f ca="1">IFERROR(IF(OR(NOT(Bid?),LEFT(UPPER($D17),4)="FXHR"),INDEX(INDIRECT(RangeUnitPrice),MATCH($A17,INDIRECT(RangeEstCount),0)),IF(Awd?,OFFSET(TabAmount,MATCH(INDEX(INDIRECT(RangeCount),MATCH($A17,INDIRECT(RangeEstCount),0)),OFFSET(TabCount,1,0,2*NumPayItems,1),0),MATCH(Awarded2,Bidders,0)),IF(OR($C17="",$D17="LPSM"),"","$"))),"")</f>
        <v>0</v>
      </c>
      <c r="G17" s="171">
        <f ca="1">IFERROR(VALUE(C17)*F17,IF(AND(Bid?,NOT(Awd?),$D17="LPSM"),"$",F17))</f>
        <v>0</v>
      </c>
      <c r="H17" s="374"/>
      <c r="I17" s="217">
        <f ca="1">IFERROR(VALUE(SUBSTITUTE(OFFSET(I17,-1,0)," "&amp;$D17,""))*$F17,"")</f>
        <v>0</v>
      </c>
      <c r="J17" s="215">
        <f ca="1">IFERROR(VALUE(SUBSTITUTE(OFFSET(J17,-1,0)," "&amp;$D17,""))*$F17,"")</f>
        <v>0</v>
      </c>
      <c r="K17" s="215">
        <f t="shared" ref="K17:M17" ca="1" si="12">IFERROR(VALUE(SUBSTITUTE(OFFSET(K17,-1,0)," "&amp;$D17,""))*$F17,"")</f>
        <v>0</v>
      </c>
      <c r="L17" s="215">
        <f t="shared" ca="1" si="12"/>
        <v>0</v>
      </c>
      <c r="M17" s="215">
        <f t="shared" ca="1" si="12"/>
        <v>0</v>
      </c>
      <c r="N17" s="215">
        <f ca="1">IFERROR(VALUE(SUBSTITUTE(OFFSET(N17,-1,0)," "&amp;$D17,""))*$F17,"")</f>
        <v>0</v>
      </c>
      <c r="O17" s="215">
        <f ca="1">IFERROR(VALUE(SUBSTITUTE(OFFSET(O17,-1,0)," "&amp;$D17,""))*$F17,"")</f>
        <v>0</v>
      </c>
      <c r="P17" s="209" t="b">
        <f ca="1">IF(LEN(B17)&gt;0,ISNUMBER(MATCH(B17,Proposed[Item],0)),"")</f>
        <v>0</v>
      </c>
      <c r="R17"/>
    </row>
    <row r="18" spans="1:22" ht="15" x14ac:dyDescent="0.2">
      <c r="A18" s="276">
        <f t="shared" ca="1" si="2"/>
        <v>6</v>
      </c>
      <c r="B18" s="168" t="str">
        <f ca="1">IFERROR(INDEX(INDIRECT(RangeItems),MATCH($A18,INDIRECT(RangeEstCount),0)),"")</f>
        <v>15401-0000</v>
      </c>
      <c r="C18" s="365" t="str">
        <f ca="1">IFERROR(INDEX(Calcs[Description],INDEX(INDIRECT(RangeCount),MATCH($A18,INDIRECT(RangeEstCount),0))),"")</f>
        <v>CONTRACTOR TESTING</v>
      </c>
      <c r="D18" s="365"/>
      <c r="E18" s="365"/>
      <c r="F18" s="365"/>
      <c r="G18" s="365"/>
      <c r="H18" s="375">
        <f ca="1">IF(AND(Bid?,NOT(Awd?)),C18,OFFSET(F18,1,0))</f>
        <v>0</v>
      </c>
      <c r="I18" s="216" t="str">
        <f t="shared" ref="I18:O18" ca="1" si="13">IFERROR(SUM(OFFSET(INDIRECT(RangeQuantity),MATCH($A18,INDIRECT(RangeEstCount),0)-1,COLUMN(I18)-COLUMN($H18),1,1))&amp;" "&amp;OFFSET($D18,1,0),"")</f>
        <v>1 LPSM</v>
      </c>
      <c r="J18" s="277" t="str">
        <f t="shared" ca="1" si="13"/>
        <v>0 LPSM</v>
      </c>
      <c r="K18" s="277" t="str">
        <f t="shared" ca="1" si="13"/>
        <v>0 LPSM</v>
      </c>
      <c r="L18" s="277" t="str">
        <f t="shared" ca="1" si="13"/>
        <v>0 LPSM</v>
      </c>
      <c r="M18" s="277" t="str">
        <f t="shared" ca="1" si="13"/>
        <v>0 LPSM</v>
      </c>
      <c r="N18" s="277" t="str">
        <f t="shared" ca="1" si="13"/>
        <v>0 LPSM</v>
      </c>
      <c r="O18" s="277" t="str">
        <f t="shared" ca="1" si="13"/>
        <v>0 LPSM</v>
      </c>
      <c r="P18" s="209" t="b">
        <f ca="1">IF(LEN(B18)&gt;0,ISNUMBER(MATCH(B18,Proposed[Item],0)),"")</f>
        <v>0</v>
      </c>
    </row>
    <row r="19" spans="1:22" ht="15" x14ac:dyDescent="0.2">
      <c r="A19" s="276">
        <f t="shared" ca="1" si="2"/>
        <v>6</v>
      </c>
      <c r="B19" s="111" t="str">
        <f ca="1">IFERROR("Line "&amp;INDEX(Calcs[Line],INDEX(INDIRECT(RangeCount),MATCH($A19,INDIRECT(RangeEstCount),0))),"")</f>
        <v>Line A0120</v>
      </c>
      <c r="C19" s="169" t="str">
        <f ca="1">IFERROR(IF(AND($D19="LPSM",Bid?,All?),"ALL",TEXT(OFFSET(INDIRECT(RangeQuantity),MATCH($A19,INDIRECT(RangeEstCount),0)-1,MATCH(Account,Accounts,0)-1,1,1),IF($D19="LPSM","0%","#,##0"&amp;IF(OFFSET(Items[#Data],MATCH($A19,INDIRECT(RangeEstCount),0)-1,MATCH(Decimals,Items[#Headers],0)-1,1,1)&gt;0,"."&amp;REPT("0",OFFSET(Items[#Data],MATCH($A19,INDIRECT(RangeEstCount),0)-1,MATCH(Decimals,Items[#Headers],0)-1,1,1)),"")))),"")</f>
        <v>100%</v>
      </c>
      <c r="D19" s="170" t="str">
        <f ca="1">IFERROR(INDEX(INDIRECT(RangeUnit),MATCH($A19,INDIRECT(RangeEstCount),0))&amp;SUBSTITUTE(" ["&amp;INDEX(INDIRECT(RangeAmend),MATCH($A19,INDIRECT(RangeEstCount),0))&amp;"]"," []",""),"")</f>
        <v>LPSM</v>
      </c>
      <c r="E19" s="170" t="str">
        <f ca="1">IFERROR(IF(INDEX(INDIRECT(RangeContrQty),MATCH($A19,INDIRECT(RangeEstCount),0)),"(CQ)",""),"")</f>
        <v/>
      </c>
      <c r="F19" s="171">
        <f ca="1">IFERROR(IF(OR(NOT(Bid?),LEFT(UPPER($D19),4)="FXHR"),INDEX(INDIRECT(RangeUnitPrice),MATCH($A19,INDIRECT(RangeEstCount),0)),IF(Awd?,OFFSET(TabAmount,MATCH(INDEX(INDIRECT(RangeCount),MATCH($A19,INDIRECT(RangeEstCount),0)),OFFSET(TabCount,1,0,2*NumPayItems,1),0),MATCH(Awarded2,Bidders,0)),IF(OR($C19="",$D19="LPSM"),"","$"))),"")</f>
        <v>0</v>
      </c>
      <c r="G19" s="171">
        <f ca="1">IFERROR(VALUE(C19)*F19,IF(AND(Bid?,NOT(Awd?),$D19="LPSM"),"$",F19))</f>
        <v>0</v>
      </c>
      <c r="H19" s="374"/>
      <c r="I19" s="217">
        <f ca="1">IFERROR(VALUE(SUBSTITUTE(OFFSET(I19,-1,0)," "&amp;$D19,""))*$F19,"")</f>
        <v>0</v>
      </c>
      <c r="J19" s="215">
        <f ca="1">IFERROR(VALUE(SUBSTITUTE(OFFSET(J19,-1,0)," "&amp;$D19,""))*$F19,"")</f>
        <v>0</v>
      </c>
      <c r="K19" s="215">
        <f t="shared" ref="K19:M19" ca="1" si="14">IFERROR(VALUE(SUBSTITUTE(OFFSET(K19,-1,0)," "&amp;$D19,""))*$F19,"")</f>
        <v>0</v>
      </c>
      <c r="L19" s="215">
        <f t="shared" ca="1" si="14"/>
        <v>0</v>
      </c>
      <c r="M19" s="215">
        <f t="shared" ca="1" si="14"/>
        <v>0</v>
      </c>
      <c r="N19" s="215">
        <f ca="1">IFERROR(VALUE(SUBSTITUTE(OFFSET(N19,-1,0)," "&amp;$D19,""))*$F19,"")</f>
        <v>0</v>
      </c>
      <c r="O19" s="215">
        <f ca="1">IFERROR(VALUE(SUBSTITUTE(OFFSET(O19,-1,0)," "&amp;$D19,""))*$F19,"")</f>
        <v>0</v>
      </c>
      <c r="P19" s="209" t="b">
        <f ca="1">IF(LEN(B19)&gt;0,ISNUMBER(MATCH(B19,Proposed[Item],0)),"")</f>
        <v>0</v>
      </c>
      <c r="Q19" s="237" t="s">
        <v>262</v>
      </c>
      <c r="R19" s="231"/>
      <c r="S19" s="236"/>
      <c r="T19" s="236"/>
      <c r="U19" s="236"/>
      <c r="V19" s="232"/>
    </row>
    <row r="20" spans="1:22" ht="15" x14ac:dyDescent="0.2">
      <c r="A20" s="276">
        <f t="shared" ca="1" si="2"/>
        <v>7</v>
      </c>
      <c r="B20" s="168" t="str">
        <f ca="1">IFERROR(INDEX(INDIRECT(RangeItems),MATCH($A20,INDIRECT(RangeEstCount),0)),"")</f>
        <v>15501-0000</v>
      </c>
      <c r="C20" s="365" t="str">
        <f ca="1">IFERROR(INDEX(Calcs[Description],INDEX(INDIRECT(RangeCount),MATCH($A20,INDIRECT(RangeEstCount),0))),"")</f>
        <v>CONSTRUCTION SCHEDULE</v>
      </c>
      <c r="D20" s="365"/>
      <c r="E20" s="365"/>
      <c r="F20" s="365"/>
      <c r="G20" s="365"/>
      <c r="H20" s="375">
        <f ca="1">IF(AND(Bid?,NOT(Awd?)),C20,OFFSET(F20,1,0))</f>
        <v>0</v>
      </c>
      <c r="I20" s="216" t="str">
        <f t="shared" ref="I20:O20" ca="1" si="15">IFERROR(SUM(OFFSET(INDIRECT(RangeQuantity),MATCH($A20,INDIRECT(RangeEstCount),0)-1,COLUMN(I20)-COLUMN($H20),1,1))&amp;" "&amp;OFFSET($D20,1,0),"")</f>
        <v>1 LPSM</v>
      </c>
      <c r="J20" s="277" t="str">
        <f t="shared" ca="1" si="15"/>
        <v>0 LPSM</v>
      </c>
      <c r="K20" s="277" t="str">
        <f t="shared" ca="1" si="15"/>
        <v>0 LPSM</v>
      </c>
      <c r="L20" s="277" t="str">
        <f t="shared" ca="1" si="15"/>
        <v>0 LPSM</v>
      </c>
      <c r="M20" s="277" t="str">
        <f t="shared" ca="1" si="15"/>
        <v>0 LPSM</v>
      </c>
      <c r="N20" s="277" t="str">
        <f t="shared" ca="1" si="15"/>
        <v>0 LPSM</v>
      </c>
      <c r="O20" s="277" t="str">
        <f t="shared" ca="1" si="15"/>
        <v>0 LPSM</v>
      </c>
      <c r="P20" s="209" t="b">
        <f ca="1">IF(LEN(B20)&gt;0,ISNUMBER(MATCH(B20,Proposed[Item],0)),"")</f>
        <v>0</v>
      </c>
      <c r="Q20" s="279" t="s">
        <v>263</v>
      </c>
      <c r="R20" s="226"/>
      <c r="S20" s="94"/>
      <c r="T20" s="94"/>
      <c r="U20" s="94"/>
      <c r="V20" s="227"/>
    </row>
    <row r="21" spans="1:22" ht="15" x14ac:dyDescent="0.2">
      <c r="A21" s="276">
        <f t="shared" ca="1" si="2"/>
        <v>7</v>
      </c>
      <c r="B21" s="111" t="str">
        <f ca="1">IFERROR("Line "&amp;INDEX(Calcs[Line],INDEX(INDIRECT(RangeCount),MATCH($A21,INDIRECT(RangeEstCount),0))),"")</f>
        <v>Line A0140</v>
      </c>
      <c r="C21" s="169" t="str">
        <f ca="1">IFERROR(IF(AND($D21="LPSM",Bid?,All?),"ALL",TEXT(OFFSET(INDIRECT(RangeQuantity),MATCH($A21,INDIRECT(RangeEstCount),0)-1,MATCH(Account,Accounts,0)-1,1,1),IF($D21="LPSM","0%","#,##0"&amp;IF(OFFSET(Items[#Data],MATCH($A21,INDIRECT(RangeEstCount),0)-1,MATCH(Decimals,Items[#Headers],0)-1,1,1)&gt;0,"."&amp;REPT("0",OFFSET(Items[#Data],MATCH($A21,INDIRECT(RangeEstCount),0)-1,MATCH(Decimals,Items[#Headers],0)-1,1,1)),"")))),"")</f>
        <v>100%</v>
      </c>
      <c r="D21" s="170" t="str">
        <f ca="1">IFERROR(INDEX(INDIRECT(RangeUnit),MATCH($A21,INDIRECT(RangeEstCount),0))&amp;SUBSTITUTE(" ["&amp;INDEX(INDIRECT(RangeAmend),MATCH($A21,INDIRECT(RangeEstCount),0))&amp;"]"," []",""),"")</f>
        <v>LPSM</v>
      </c>
      <c r="E21" s="170" t="str">
        <f ca="1">IFERROR(IF(INDEX(INDIRECT(RangeContrQty),MATCH($A21,INDIRECT(RangeEstCount),0)),"(CQ)",""),"")</f>
        <v/>
      </c>
      <c r="F21" s="171">
        <f ca="1">IFERROR(IF(OR(NOT(Bid?),LEFT(UPPER($D21),4)="FXHR"),INDEX(INDIRECT(RangeUnitPrice),MATCH($A21,INDIRECT(RangeEstCount),0)),IF(Awd?,OFFSET(TabAmount,MATCH(INDEX(INDIRECT(RangeCount),MATCH($A21,INDIRECT(RangeEstCount),0)),OFFSET(TabCount,1,0,2*NumPayItems,1),0),MATCH(Awarded2,Bidders,0)),IF(OR($C21="",$D21="LPSM"),"","$"))),"")</f>
        <v>0</v>
      </c>
      <c r="G21" s="171">
        <f ca="1">IFERROR(VALUE(C21)*F21,IF(AND(Bid?,NOT(Awd?),$D21="LPSM"),"$",F21))</f>
        <v>0</v>
      </c>
      <c r="H21" s="374"/>
      <c r="I21" s="217">
        <f ca="1">IFERROR(VALUE(SUBSTITUTE(OFFSET(I21,-1,0)," "&amp;$D21,""))*$F21,"")</f>
        <v>0</v>
      </c>
      <c r="J21" s="215">
        <f ca="1">IFERROR(VALUE(SUBSTITUTE(OFFSET(J21,-1,0)," "&amp;$D21,""))*$F21,"")</f>
        <v>0</v>
      </c>
      <c r="K21" s="215">
        <f t="shared" ref="K21:M21" ca="1" si="16">IFERROR(VALUE(SUBSTITUTE(OFFSET(K21,-1,0)," "&amp;$D21,""))*$F21,"")</f>
        <v>0</v>
      </c>
      <c r="L21" s="215">
        <f t="shared" ca="1" si="16"/>
        <v>0</v>
      </c>
      <c r="M21" s="215">
        <f t="shared" ca="1" si="16"/>
        <v>0</v>
      </c>
      <c r="N21" s="215">
        <f ca="1">IFERROR(VALUE(SUBSTITUTE(OFFSET(N21,-1,0)," "&amp;$D21,""))*$F21,"")</f>
        <v>0</v>
      </c>
      <c r="O21" s="215">
        <f ca="1">IFERROR(VALUE(SUBSTITUTE(OFFSET(O21,-1,0)," "&amp;$D21,""))*$F21,"")</f>
        <v>0</v>
      </c>
      <c r="P21" s="209" t="b">
        <f ca="1">IF(LEN(B21)&gt;0,ISNUMBER(MATCH(B21,Proposed[Item],0)),"")</f>
        <v>0</v>
      </c>
      <c r="Q21" s="279" t="s">
        <v>264</v>
      </c>
      <c r="R21" s="226"/>
      <c r="S21" s="94"/>
      <c r="T21" s="94"/>
      <c r="U21" s="94"/>
      <c r="V21" s="227"/>
    </row>
    <row r="22" spans="1:22" ht="15" x14ac:dyDescent="0.2">
      <c r="A22" s="276">
        <f t="shared" ca="1" si="2"/>
        <v>8</v>
      </c>
      <c r="B22" s="168" t="str">
        <f ca="1">IFERROR(INDEX(INDIRECT(RangeItems),MATCH($A22,INDIRECT(RangeEstCount),0)),"")</f>
        <v/>
      </c>
      <c r="C22" s="365" t="str">
        <f ca="1">IFERROR(INDEX(Calcs[Description],INDEX(INDIRECT(RangeCount),MATCH($A22,INDIRECT(RangeEstCount),0))),"")</f>
        <v/>
      </c>
      <c r="D22" s="365"/>
      <c r="E22" s="365"/>
      <c r="F22" s="365"/>
      <c r="G22" s="365"/>
      <c r="H22" s="375" t="str">
        <f ca="1">IF(AND(Bid?,NOT(Awd?)),C22,OFFSET(F22,1,0))</f>
        <v/>
      </c>
      <c r="I22" s="216" t="str">
        <f t="shared" ref="I22:O22" ca="1" si="17">IFERROR(SUM(OFFSET(INDIRECT(RangeQuantity),MATCH($A22,INDIRECT(RangeEstCount),0)-1,COLUMN(I22)-COLUMN($H22),1,1))&amp;" "&amp;OFFSET($D22,1,0),"")</f>
        <v/>
      </c>
      <c r="J22" s="277" t="str">
        <f t="shared" ca="1" si="17"/>
        <v/>
      </c>
      <c r="K22" s="277" t="str">
        <f t="shared" ca="1" si="17"/>
        <v/>
      </c>
      <c r="L22" s="277" t="str">
        <f t="shared" ca="1" si="17"/>
        <v/>
      </c>
      <c r="M22" s="277" t="str">
        <f t="shared" ca="1" si="17"/>
        <v/>
      </c>
      <c r="N22" s="277" t="str">
        <f t="shared" ca="1" si="17"/>
        <v/>
      </c>
      <c r="O22" s="277" t="str">
        <f t="shared" ca="1" si="17"/>
        <v/>
      </c>
      <c r="P22" s="209" t="str">
        <f ca="1">IF(LEN(B22)&gt;0,ISNUMBER(MATCH(B22,Proposed[Item],0)),"")</f>
        <v/>
      </c>
      <c r="Q22" s="279" t="s">
        <v>265</v>
      </c>
      <c r="R22" s="226"/>
      <c r="S22" s="94"/>
      <c r="T22" s="94"/>
      <c r="U22" s="94"/>
      <c r="V22" s="227"/>
    </row>
    <row r="23" spans="1:22" ht="15" x14ac:dyDescent="0.2">
      <c r="A23" s="276">
        <f t="shared" ca="1" si="2"/>
        <v>8</v>
      </c>
      <c r="B23" s="111" t="str">
        <f ca="1">IFERROR("Line "&amp;INDEX(Calcs[Line],INDEX(INDIRECT(RangeCount),MATCH($A23,INDIRECT(RangeEstCount),0))),"")</f>
        <v/>
      </c>
      <c r="C23" s="169" t="str">
        <f ca="1">IFERROR(IF(AND($D23="LPSM",Bid?,All?),"ALL",TEXT(OFFSET(INDIRECT(RangeQuantity),MATCH($A23,INDIRECT(RangeEstCount),0)-1,MATCH(Account,Accounts,0)-1,1,1),IF($D23="LPSM","0%","#,##0"&amp;IF(OFFSET(Items[#Data],MATCH($A23,INDIRECT(RangeEstCount),0)-1,MATCH(Decimals,Items[#Headers],0)-1,1,1)&gt;0,"."&amp;REPT("0",OFFSET(Items[#Data],MATCH($A23,INDIRECT(RangeEstCount),0)-1,MATCH(Decimals,Items[#Headers],0)-1,1,1)),"")))),"")</f>
        <v/>
      </c>
      <c r="D23" s="170" t="str">
        <f ca="1">IFERROR(INDEX(INDIRECT(RangeUnit),MATCH($A23,INDIRECT(RangeEstCount),0))&amp;SUBSTITUTE(" ["&amp;INDEX(INDIRECT(RangeAmend),MATCH($A23,INDIRECT(RangeEstCount),0))&amp;"]"," []",""),"")</f>
        <v/>
      </c>
      <c r="E23" s="170" t="str">
        <f ca="1">IFERROR(IF(INDEX(INDIRECT(RangeContrQty),MATCH($A23,INDIRECT(RangeEstCount),0)),"(CQ)",""),"")</f>
        <v/>
      </c>
      <c r="F23" s="171" t="str">
        <f ca="1">IFERROR(IF(OR(NOT(Bid?),LEFT(UPPER($D23),4)="FXHR"),INDEX(INDIRECT(RangeUnitPrice),MATCH($A23,INDIRECT(RangeEstCount),0)),IF(Awd?,OFFSET(TabAmount,MATCH(INDEX(INDIRECT(RangeCount),MATCH($A23,INDIRECT(RangeEstCount),0)),OFFSET(TabCount,1,0,2*NumPayItems,1),0),MATCH(Awarded2,Bidders,0)),IF(OR($C23="",$D23="LPSM"),"","$"))),"")</f>
        <v/>
      </c>
      <c r="G23" s="171" t="str">
        <f ca="1">IFERROR(VALUE(C23)*F23,IF(AND(Bid?,NOT(Awd?),$D23="LPSM"),"$",F23))</f>
        <v/>
      </c>
      <c r="H23" s="374"/>
      <c r="I23" s="217" t="str">
        <f ca="1">IFERROR(VALUE(SUBSTITUTE(OFFSET(I23,-1,0)," "&amp;$D23,""))*$F23,"")</f>
        <v/>
      </c>
      <c r="J23" s="215" t="str">
        <f ca="1">IFERROR(VALUE(SUBSTITUTE(OFFSET(J23,-1,0)," "&amp;$D23,""))*$F23,"")</f>
        <v/>
      </c>
      <c r="K23" s="215" t="str">
        <f t="shared" ref="K23:M23" ca="1" si="18">IFERROR(VALUE(SUBSTITUTE(OFFSET(K23,-1,0)," "&amp;$D23,""))*$F23,"")</f>
        <v/>
      </c>
      <c r="L23" s="215" t="str">
        <f t="shared" ca="1" si="18"/>
        <v/>
      </c>
      <c r="M23" s="215" t="str">
        <f t="shared" ca="1" si="18"/>
        <v/>
      </c>
      <c r="N23" s="215" t="str">
        <f ca="1">IFERROR(VALUE(SUBSTITUTE(OFFSET(N23,-1,0)," "&amp;$D23,""))*$F23,"")</f>
        <v/>
      </c>
      <c r="O23" s="215" t="str">
        <f ca="1">IFERROR(VALUE(SUBSTITUTE(OFFSET(O23,-1,0)," "&amp;$D23,""))*$F23,"")</f>
        <v/>
      </c>
      <c r="P23" s="209" t="str">
        <f ca="1">IF(LEN(B23)&gt;0,ISNUMBER(MATCH(B23,Proposed[Item],0)),"")</f>
        <v/>
      </c>
      <c r="Q23" s="279" t="s">
        <v>266</v>
      </c>
      <c r="R23" s="226"/>
      <c r="S23" s="94"/>
      <c r="T23" s="94"/>
      <c r="U23" s="94"/>
      <c r="V23" s="227"/>
    </row>
    <row r="24" spans="1:22" ht="15" x14ac:dyDescent="0.2">
      <c r="A24" s="276">
        <f t="shared" ca="1" si="2"/>
        <v>9</v>
      </c>
      <c r="B24" s="168" t="str">
        <f ca="1">IFERROR(INDEX(INDIRECT(RangeItems),MATCH($A24,INDIRECT(RangeEstCount),0)),"")</f>
        <v/>
      </c>
      <c r="C24" s="365" t="str">
        <f ca="1">IFERROR(INDEX(Calcs[Description],INDEX(INDIRECT(RangeCount),MATCH($A24,INDIRECT(RangeEstCount),0))),"")</f>
        <v/>
      </c>
      <c r="D24" s="365"/>
      <c r="E24" s="365"/>
      <c r="F24" s="365"/>
      <c r="G24" s="365"/>
      <c r="H24" s="375" t="str">
        <f ca="1">IF(AND(Bid?,NOT(Awd?)),C24,OFFSET(F24,1,0))</f>
        <v/>
      </c>
      <c r="I24" s="216" t="str">
        <f t="shared" ref="I24:O24" ca="1" si="19">IFERROR(SUM(OFFSET(INDIRECT(RangeQuantity),MATCH($A24,INDIRECT(RangeEstCount),0)-1,COLUMN(I24)-COLUMN($H24),1,1))&amp;" "&amp;OFFSET($D24,1,0),"")</f>
        <v/>
      </c>
      <c r="J24" s="277" t="str">
        <f t="shared" ca="1" si="19"/>
        <v/>
      </c>
      <c r="K24" s="277" t="str">
        <f t="shared" ca="1" si="19"/>
        <v/>
      </c>
      <c r="L24" s="277" t="str">
        <f t="shared" ca="1" si="19"/>
        <v/>
      </c>
      <c r="M24" s="277" t="str">
        <f t="shared" ca="1" si="19"/>
        <v/>
      </c>
      <c r="N24" s="277" t="str">
        <f t="shared" ca="1" si="19"/>
        <v/>
      </c>
      <c r="O24" s="277" t="str">
        <f t="shared" ca="1" si="19"/>
        <v/>
      </c>
      <c r="P24" s="209" t="str">
        <f ca="1">IF(LEN(B24)&gt;0,ISNUMBER(MATCH(B24,Proposed[Item],0)),"")</f>
        <v/>
      </c>
      <c r="Q24" s="279" t="s">
        <v>267</v>
      </c>
      <c r="R24" s="226"/>
      <c r="S24" s="94"/>
      <c r="T24" s="94"/>
      <c r="U24" s="94"/>
      <c r="V24" s="227"/>
    </row>
    <row r="25" spans="1:22" ht="15.75" thickBot="1" x14ac:dyDescent="0.25">
      <c r="A25" s="276">
        <f t="shared" ca="1" si="2"/>
        <v>9</v>
      </c>
      <c r="B25" s="111" t="str">
        <f ca="1">IFERROR("Line "&amp;INDEX(Calcs[Line],INDEX(INDIRECT(RangeCount),MATCH($A25,INDIRECT(RangeEstCount),0))),"")</f>
        <v/>
      </c>
      <c r="C25" s="169" t="str">
        <f ca="1">IFERROR(IF(AND($D25="LPSM",Bid?,All?),"ALL",TEXT(OFFSET(INDIRECT(RangeQuantity),MATCH($A25,INDIRECT(RangeEstCount),0)-1,MATCH(Account,Accounts,0)-1,1,1),IF($D25="LPSM","0%","#,##0"&amp;IF(OFFSET(Items[#Data],MATCH($A25,INDIRECT(RangeEstCount),0)-1,MATCH(Decimals,Items[#Headers],0)-1,1,1)&gt;0,"."&amp;REPT("0",OFFSET(Items[#Data],MATCH($A25,INDIRECT(RangeEstCount),0)-1,MATCH(Decimals,Items[#Headers],0)-1,1,1)),"")))),"")</f>
        <v/>
      </c>
      <c r="D25" s="170" t="str">
        <f ca="1">IFERROR(INDEX(INDIRECT(RangeUnit),MATCH($A25,INDIRECT(RangeEstCount),0))&amp;SUBSTITUTE(" ["&amp;INDEX(INDIRECT(RangeAmend),MATCH($A25,INDIRECT(RangeEstCount),0))&amp;"]"," []",""),"")</f>
        <v/>
      </c>
      <c r="E25" s="170" t="str">
        <f ca="1">IFERROR(IF(INDEX(INDIRECT(RangeContrQty),MATCH($A25,INDIRECT(RangeEstCount),0)),"(CQ)",""),"")</f>
        <v/>
      </c>
      <c r="F25" s="171" t="str">
        <f ca="1">IFERROR(IF(OR(NOT(Bid?),LEFT(UPPER($D25),4)="FXHR"),INDEX(INDIRECT(RangeUnitPrice),MATCH($A25,INDIRECT(RangeEstCount),0)),IF(Awd?,OFFSET(TabAmount,MATCH(INDEX(INDIRECT(RangeCount),MATCH($A25,INDIRECT(RangeEstCount),0)),OFFSET(TabCount,1,0,2*NumPayItems,1),0),MATCH(Awarded2,Bidders,0)),IF(OR($C25="",$D25="LPSM"),"","$"))),"")</f>
        <v/>
      </c>
      <c r="G25" s="171" t="str">
        <f ca="1">IFERROR(VALUE(C25)*F25,IF(AND(Bid?,NOT(Awd?),$D25="LPSM"),"$",F25))</f>
        <v/>
      </c>
      <c r="H25" s="374"/>
      <c r="I25" s="217" t="str">
        <f ca="1">IFERROR(VALUE(SUBSTITUTE(OFFSET(I25,-1,0)," "&amp;$D25,""))*$F25,"")</f>
        <v/>
      </c>
      <c r="J25" s="215" t="str">
        <f ca="1">IFERROR(VALUE(SUBSTITUTE(OFFSET(J25,-1,0)," "&amp;$D25,""))*$F25,"")</f>
        <v/>
      </c>
      <c r="K25" s="215" t="str">
        <f t="shared" ref="K25:M25" ca="1" si="20">IFERROR(VALUE(SUBSTITUTE(OFFSET(K25,-1,0)," "&amp;$D25,""))*$F25,"")</f>
        <v/>
      </c>
      <c r="L25" s="215" t="str">
        <f t="shared" ca="1" si="20"/>
        <v/>
      </c>
      <c r="M25" s="215" t="str">
        <f t="shared" ca="1" si="20"/>
        <v/>
      </c>
      <c r="N25" s="215" t="str">
        <f ca="1">IFERROR(VALUE(SUBSTITUTE(OFFSET(N25,-1,0)," "&amp;$D25,""))*$F25,"")</f>
        <v/>
      </c>
      <c r="O25" s="215" t="str">
        <f ca="1">IFERROR(VALUE(SUBSTITUTE(OFFSET(O25,-1,0)," "&amp;$D25,""))*$F25,"")</f>
        <v/>
      </c>
      <c r="P25" s="209" t="str">
        <f ca="1">IF(LEN(B25)&gt;0,ISNUMBER(MATCH(B25,Proposed[Item],0)),"")</f>
        <v/>
      </c>
      <c r="Q25" s="234" t="s">
        <v>268</v>
      </c>
      <c r="R25" s="235"/>
      <c r="S25" s="229"/>
      <c r="T25" s="229"/>
      <c r="U25" s="229"/>
      <c r="V25" s="230"/>
    </row>
    <row r="26" spans="1:22" ht="15" x14ac:dyDescent="0.2">
      <c r="A26" s="276">
        <f t="shared" ca="1" si="2"/>
        <v>10</v>
      </c>
      <c r="B26" s="168" t="str">
        <f ca="1">IFERROR(INDEX(INDIRECT(RangeItems),MATCH($A26,INDIRECT(RangeEstCount),0)),"")</f>
        <v/>
      </c>
      <c r="C26" s="365" t="str">
        <f ca="1">IFERROR(INDEX(Calcs[Description],INDEX(INDIRECT(RangeCount),MATCH($A26,INDIRECT(RangeEstCount),0))),"")</f>
        <v/>
      </c>
      <c r="D26" s="365"/>
      <c r="E26" s="365"/>
      <c r="F26" s="365"/>
      <c r="G26" s="365"/>
      <c r="H26" s="375" t="str">
        <f ca="1">IF(AND(Bid?,NOT(Awd?)),C26,OFFSET(F26,1,0))</f>
        <v/>
      </c>
      <c r="I26" s="216" t="str">
        <f t="shared" ref="I26:O26" ca="1" si="21">IFERROR(SUM(OFFSET(INDIRECT(RangeQuantity),MATCH($A26,INDIRECT(RangeEstCount),0)-1,COLUMN(I26)-COLUMN($H26),1,1))&amp;" "&amp;OFFSET($D26,1,0),"")</f>
        <v/>
      </c>
      <c r="J26" s="277" t="str">
        <f t="shared" ca="1" si="21"/>
        <v/>
      </c>
      <c r="K26" s="277" t="str">
        <f t="shared" ca="1" si="21"/>
        <v/>
      </c>
      <c r="L26" s="277" t="str">
        <f t="shared" ca="1" si="21"/>
        <v/>
      </c>
      <c r="M26" s="277" t="str">
        <f t="shared" ca="1" si="21"/>
        <v/>
      </c>
      <c r="N26" s="277" t="str">
        <f t="shared" ca="1" si="21"/>
        <v/>
      </c>
      <c r="O26" s="277" t="str">
        <f t="shared" ca="1" si="21"/>
        <v/>
      </c>
      <c r="P26" s="209" t="str">
        <f ca="1">IF(LEN(B26)&gt;0,ISNUMBER(MATCH(B26,Proposed[Item],0)),"")</f>
        <v/>
      </c>
      <c r="R26"/>
    </row>
    <row r="27" spans="1:22" ht="15" x14ac:dyDescent="0.2">
      <c r="A27" s="276">
        <f t="shared" ca="1" si="2"/>
        <v>10</v>
      </c>
      <c r="B27" s="111" t="str">
        <f ca="1">IFERROR("Line "&amp;INDEX(Calcs[Line],INDEX(INDIRECT(RangeCount),MATCH($A27,INDIRECT(RangeEstCount),0))),"")</f>
        <v/>
      </c>
      <c r="C27" s="169" t="str">
        <f ca="1">IFERROR(IF(AND($D27="LPSM",Bid?,All?),"ALL",TEXT(OFFSET(INDIRECT(RangeQuantity),MATCH($A27,INDIRECT(RangeEstCount),0)-1,MATCH(Account,Accounts,0)-1,1,1),IF($D27="LPSM","0%","#,##0"&amp;IF(OFFSET(Items[#Data],MATCH($A27,INDIRECT(RangeEstCount),0)-1,MATCH(Decimals,Items[#Headers],0)-1,1,1)&gt;0,"."&amp;REPT("0",OFFSET(Items[#Data],MATCH($A27,INDIRECT(RangeEstCount),0)-1,MATCH(Decimals,Items[#Headers],0)-1,1,1)),"")))),"")</f>
        <v/>
      </c>
      <c r="D27" s="170" t="str">
        <f ca="1">IFERROR(INDEX(INDIRECT(RangeUnit),MATCH($A27,INDIRECT(RangeEstCount),0))&amp;SUBSTITUTE(" ["&amp;INDEX(INDIRECT(RangeAmend),MATCH($A27,INDIRECT(RangeEstCount),0))&amp;"]"," []",""),"")</f>
        <v/>
      </c>
      <c r="E27" s="170" t="str">
        <f ca="1">IFERROR(IF(INDEX(INDIRECT(RangeContrQty),MATCH($A27,INDIRECT(RangeEstCount),0)),"(CQ)",""),"")</f>
        <v/>
      </c>
      <c r="F27" s="171" t="str">
        <f ca="1">IFERROR(IF(OR(NOT(Bid?),LEFT(UPPER($D27),4)="FXHR"),INDEX(INDIRECT(RangeUnitPrice),MATCH($A27,INDIRECT(RangeEstCount),0)),IF(Awd?,OFFSET(TabAmount,MATCH(INDEX(INDIRECT(RangeCount),MATCH($A27,INDIRECT(RangeEstCount),0)),OFFSET(TabCount,1,0,2*NumPayItems,1),0),MATCH(Awarded2,Bidders,0)),IF(OR($C27="",$D27="LPSM"),"","$"))),"")</f>
        <v/>
      </c>
      <c r="G27" s="171" t="str">
        <f ca="1">IFERROR(VALUE(C27)*F27,IF(AND(Bid?,NOT(Awd?),$D27="LPSM"),"$",F27))</f>
        <v/>
      </c>
      <c r="H27" s="374"/>
      <c r="I27" s="217" t="str">
        <f ca="1">IFERROR(VALUE(SUBSTITUTE(OFFSET(I27,-1,0)," "&amp;$D27,""))*$F27,"")</f>
        <v/>
      </c>
      <c r="J27" s="215" t="str">
        <f ca="1">IFERROR(VALUE(SUBSTITUTE(OFFSET(J27,-1,0)," "&amp;$D27,""))*$F27,"")</f>
        <v/>
      </c>
      <c r="K27" s="215" t="str">
        <f t="shared" ref="K27:M27" ca="1" si="22">IFERROR(VALUE(SUBSTITUTE(OFFSET(K27,-1,0)," "&amp;$D27,""))*$F27,"")</f>
        <v/>
      </c>
      <c r="L27" s="215" t="str">
        <f t="shared" ca="1" si="22"/>
        <v/>
      </c>
      <c r="M27" s="215" t="str">
        <f t="shared" ca="1" si="22"/>
        <v/>
      </c>
      <c r="N27" s="215" t="str">
        <f ca="1">IFERROR(VALUE(SUBSTITUTE(OFFSET(N27,-1,0)," "&amp;$D27,""))*$F27,"")</f>
        <v/>
      </c>
      <c r="O27" s="215" t="str">
        <f ca="1">IFERROR(VALUE(SUBSTITUTE(OFFSET(O27,-1,0)," "&amp;$D27,""))*$F27,"")</f>
        <v/>
      </c>
      <c r="P27" s="209" t="str">
        <f ca="1">IF(LEN(B27)&gt;0,ISNUMBER(MATCH(B27,Proposed[Item],0)),"")</f>
        <v/>
      </c>
      <c r="R27"/>
    </row>
    <row r="28" spans="1:22" ht="15" x14ac:dyDescent="0.2">
      <c r="A28" s="276">
        <f t="shared" ca="1" si="2"/>
        <v>11</v>
      </c>
      <c r="B28" s="168" t="str">
        <f ca="1">IFERROR(INDEX(INDIRECT(RangeItems),MATCH($A28,INDIRECT(RangeEstCount),0)),"")</f>
        <v/>
      </c>
      <c r="C28" s="365" t="str">
        <f ca="1">IFERROR(INDEX(Calcs[Description],INDEX(INDIRECT(RangeCount),MATCH($A28,INDIRECT(RangeEstCount),0))),"")</f>
        <v/>
      </c>
      <c r="D28" s="365"/>
      <c r="E28" s="365"/>
      <c r="F28" s="365"/>
      <c r="G28" s="365"/>
      <c r="H28" s="375" t="str">
        <f ca="1">IF(AND(Bid?,NOT(Awd?)),C28,OFFSET(F28,1,0))</f>
        <v/>
      </c>
      <c r="I28" s="216" t="str">
        <f t="shared" ref="I28:O28" ca="1" si="23">IFERROR(SUM(OFFSET(INDIRECT(RangeQuantity),MATCH($A28,INDIRECT(RangeEstCount),0)-1,COLUMN(I28)-COLUMN($H28),1,1))&amp;" "&amp;OFFSET($D28,1,0),"")</f>
        <v/>
      </c>
      <c r="J28" s="277" t="str">
        <f t="shared" ca="1" si="23"/>
        <v/>
      </c>
      <c r="K28" s="277" t="str">
        <f t="shared" ca="1" si="23"/>
        <v/>
      </c>
      <c r="L28" s="277" t="str">
        <f t="shared" ca="1" si="23"/>
        <v/>
      </c>
      <c r="M28" s="277" t="str">
        <f t="shared" ca="1" si="23"/>
        <v/>
      </c>
      <c r="N28" s="277" t="str">
        <f t="shared" ca="1" si="23"/>
        <v/>
      </c>
      <c r="O28" s="277" t="str">
        <f t="shared" ca="1" si="23"/>
        <v/>
      </c>
      <c r="P28" s="209" t="str">
        <f ca="1">IF(LEN(B28)&gt;0,ISNUMBER(MATCH(B28,Proposed[Item],0)),"")</f>
        <v/>
      </c>
      <c r="Q28" t="s">
        <v>269</v>
      </c>
      <c r="R28" t="s">
        <v>270</v>
      </c>
      <c r="S28" t="s">
        <v>271</v>
      </c>
      <c r="T28" t="s">
        <v>272</v>
      </c>
      <c r="U28" t="s">
        <v>273</v>
      </c>
      <c r="V28" t="s">
        <v>274</v>
      </c>
    </row>
    <row r="29" spans="1:22" ht="15" x14ac:dyDescent="0.2">
      <c r="A29" s="276">
        <f t="shared" ca="1" si="2"/>
        <v>11</v>
      </c>
      <c r="B29" s="111" t="str">
        <f ca="1">IFERROR("Line "&amp;INDEX(Calcs[Line],INDEX(INDIRECT(RangeCount),MATCH($A29,INDIRECT(RangeEstCount),0))),"")</f>
        <v/>
      </c>
      <c r="C29" s="169" t="str">
        <f ca="1">IFERROR(IF(AND($D29="LPSM",Bid?,All?),"ALL",TEXT(OFFSET(INDIRECT(RangeQuantity),MATCH($A29,INDIRECT(RangeEstCount),0)-1,MATCH(Account,Accounts,0)-1,1,1),IF($D29="LPSM","0%","#,##0"&amp;IF(OFFSET(Items[#Data],MATCH($A29,INDIRECT(RangeEstCount),0)-1,MATCH(Decimals,Items[#Headers],0)-1,1,1)&gt;0,"."&amp;REPT("0",OFFSET(Items[#Data],MATCH($A29,INDIRECT(RangeEstCount),0)-1,MATCH(Decimals,Items[#Headers],0)-1,1,1)),"")))),"")</f>
        <v/>
      </c>
      <c r="D29" s="170" t="str">
        <f ca="1">IFERROR(INDEX(INDIRECT(RangeUnit),MATCH($A29,INDIRECT(RangeEstCount),0))&amp;SUBSTITUTE(" ["&amp;INDEX(INDIRECT(RangeAmend),MATCH($A29,INDIRECT(RangeEstCount),0))&amp;"]"," []",""),"")</f>
        <v/>
      </c>
      <c r="E29" s="170" t="str">
        <f ca="1">IFERROR(IF(INDEX(INDIRECT(RangeContrQty),MATCH($A29,INDIRECT(RangeEstCount),0)),"(CQ)",""),"")</f>
        <v/>
      </c>
      <c r="F29" s="171" t="str">
        <f ca="1">IFERROR(IF(OR(NOT(Bid?),LEFT(UPPER($D29),4)="FXHR"),INDEX(INDIRECT(RangeUnitPrice),MATCH($A29,INDIRECT(RangeEstCount),0)),IF(Awd?,OFFSET(TabAmount,MATCH(INDEX(INDIRECT(RangeCount),MATCH($A29,INDIRECT(RangeEstCount),0)),OFFSET(TabCount,1,0,2*NumPayItems,1),0),MATCH(Awarded2,Bidders,0)),IF(OR($C29="",$D29="LPSM"),"","$"))),"")</f>
        <v/>
      </c>
      <c r="G29" s="171" t="str">
        <f ca="1">IFERROR(VALUE(C29)*F29,IF(AND(Bid?,NOT(Awd?),$D29="LPSM"),"$",F29))</f>
        <v/>
      </c>
      <c r="H29" s="374"/>
      <c r="I29" s="217" t="str">
        <f ca="1">IFERROR(VALUE(SUBSTITUTE(OFFSET(I29,-1,0)," "&amp;$D29,""))*$F29,"")</f>
        <v/>
      </c>
      <c r="J29" s="215" t="str">
        <f ca="1">IFERROR(VALUE(SUBSTITUTE(OFFSET(J29,-1,0)," "&amp;$D29,""))*$F29,"")</f>
        <v/>
      </c>
      <c r="K29" s="215" t="str">
        <f t="shared" ref="K29:M29" ca="1" si="24">IFERROR(VALUE(SUBSTITUTE(OFFSET(K29,-1,0)," "&amp;$D29,""))*$F29,"")</f>
        <v/>
      </c>
      <c r="L29" s="215" t="str">
        <f t="shared" ca="1" si="24"/>
        <v/>
      </c>
      <c r="M29" s="215" t="str">
        <f t="shared" ca="1" si="24"/>
        <v/>
      </c>
      <c r="N29" s="215" t="str">
        <f ca="1">IFERROR(VALUE(SUBSTITUTE(OFFSET(N29,-1,0)," "&amp;$D29,""))*$F29,"")</f>
        <v/>
      </c>
      <c r="O29" s="215" t="str">
        <f ca="1">IFERROR(VALUE(SUBSTITUTE(OFFSET(O29,-1,0)," "&amp;$D29,""))*$F29,"")</f>
        <v/>
      </c>
      <c r="P29" s="209" t="str">
        <f ca="1">IF(LEN(B29)&gt;0,ISNUMBER(MATCH(B29,Proposed[Item],0)),"")</f>
        <v/>
      </c>
      <c r="Q29" s="156" t="str">
        <f>(0+Reports[[#This Row],[Bid?]])&amp;(0+Reports[[#This Row],[Awd?]])&amp;(0+Reports[[#This Row],[All?]])&amp;(0+Reports[[#This Row],[Full?]])</f>
        <v>1111</v>
      </c>
      <c r="R29" s="222" t="b">
        <f>TRUE()</f>
        <v>1</v>
      </c>
      <c r="S29" s="222" t="b">
        <f>TRUE()</f>
        <v>1</v>
      </c>
      <c r="T29" s="222" t="b">
        <f>TRUE()</f>
        <v>1</v>
      </c>
      <c r="U29" s="222" t="b">
        <f>TRUE()</f>
        <v>1</v>
      </c>
      <c r="V29" s="222" t="s">
        <v>275</v>
      </c>
    </row>
    <row r="30" spans="1:22" ht="15" x14ac:dyDescent="0.2">
      <c r="A30" s="276">
        <f t="shared" ca="1" si="2"/>
        <v>12</v>
      </c>
      <c r="B30" s="168" t="str">
        <f ca="1">IFERROR(INDEX(INDIRECT(RangeItems),MATCH($A30,INDIRECT(RangeEstCount),0)),"")</f>
        <v/>
      </c>
      <c r="C30" s="365" t="str">
        <f ca="1">IFERROR(INDEX(Calcs[Description],INDEX(INDIRECT(RangeCount),MATCH($A30,INDIRECT(RangeEstCount),0))),"")</f>
        <v/>
      </c>
      <c r="D30" s="365"/>
      <c r="E30" s="365"/>
      <c r="F30" s="365"/>
      <c r="G30" s="365"/>
      <c r="H30" s="375" t="str">
        <f ca="1">IF(AND(Bid?,NOT(Awd?)),C30,OFFSET(F30,1,0))</f>
        <v/>
      </c>
      <c r="I30" s="216" t="str">
        <f t="shared" ref="I30:O30" ca="1" si="25">IFERROR(SUM(OFFSET(INDIRECT(RangeQuantity),MATCH($A30,INDIRECT(RangeEstCount),0)-1,COLUMN(I30)-COLUMN($H30),1,1))&amp;" "&amp;OFFSET($D30,1,0),"")</f>
        <v/>
      </c>
      <c r="J30" s="277" t="str">
        <f t="shared" ca="1" si="25"/>
        <v/>
      </c>
      <c r="K30" s="277" t="str">
        <f t="shared" ca="1" si="25"/>
        <v/>
      </c>
      <c r="L30" s="277" t="str">
        <f t="shared" ca="1" si="25"/>
        <v/>
      </c>
      <c r="M30" s="277" t="str">
        <f t="shared" ca="1" si="25"/>
        <v/>
      </c>
      <c r="N30" s="277" t="str">
        <f t="shared" ca="1" si="25"/>
        <v/>
      </c>
      <c r="O30" s="277" t="str">
        <f t="shared" ca="1" si="25"/>
        <v/>
      </c>
      <c r="P30" s="209" t="str">
        <f ca="1">IF(LEN(B30)&gt;0,ISNUMBER(MATCH(B30,Proposed[Item],0)),"")</f>
        <v/>
      </c>
      <c r="Q30" s="156" t="str">
        <f>(0+Reports[[#This Row],[Bid?]])&amp;(0+Reports[[#This Row],[Awd?]])&amp;(0+Reports[[#This Row],[All?]])&amp;(0+Reports[[#This Row],[Full?]])</f>
        <v>1110</v>
      </c>
      <c r="R30" s="1" t="b">
        <f>TRUE()</f>
        <v>1</v>
      </c>
      <c r="S30" s="222" t="b">
        <f>TRUE()</f>
        <v>1</v>
      </c>
      <c r="T30" s="222" t="b">
        <f>TRUE()</f>
        <v>1</v>
      </c>
      <c r="U30" s="1" t="b">
        <f>FALSE()</f>
        <v>0</v>
      </c>
      <c r="V30" s="1" t="s">
        <v>276</v>
      </c>
    </row>
    <row r="31" spans="1:22" ht="15" x14ac:dyDescent="0.2">
      <c r="A31" s="276">
        <f t="shared" ca="1" si="2"/>
        <v>12</v>
      </c>
      <c r="B31" s="111" t="str">
        <f ca="1">IFERROR("Line "&amp;INDEX(Calcs[Line],INDEX(INDIRECT(RangeCount),MATCH($A31,INDIRECT(RangeEstCount),0))),"")</f>
        <v/>
      </c>
      <c r="C31" s="169" t="str">
        <f ca="1">IFERROR(IF(AND($D31="LPSM",Bid?,All?),"ALL",TEXT(OFFSET(INDIRECT(RangeQuantity),MATCH($A31,INDIRECT(RangeEstCount),0)-1,MATCH(Account,Accounts,0)-1,1,1),IF($D31="LPSM","0%","#,##0"&amp;IF(OFFSET(Items[#Data],MATCH($A31,INDIRECT(RangeEstCount),0)-1,MATCH(Decimals,Items[#Headers],0)-1,1,1)&gt;0,"."&amp;REPT("0",OFFSET(Items[#Data],MATCH($A31,INDIRECT(RangeEstCount),0)-1,MATCH(Decimals,Items[#Headers],0)-1,1,1)),"")))),"")</f>
        <v/>
      </c>
      <c r="D31" s="170" t="str">
        <f ca="1">IFERROR(INDEX(INDIRECT(RangeUnit),MATCH($A31,INDIRECT(RangeEstCount),0))&amp;SUBSTITUTE(" ["&amp;INDEX(INDIRECT(RangeAmend),MATCH($A31,INDIRECT(RangeEstCount),0))&amp;"]"," []",""),"")</f>
        <v/>
      </c>
      <c r="E31" s="170" t="str">
        <f ca="1">IFERROR(IF(INDEX(INDIRECT(RangeContrQty),MATCH($A31,INDIRECT(RangeEstCount),0)),"(CQ)",""),"")</f>
        <v/>
      </c>
      <c r="F31" s="171" t="str">
        <f ca="1">IFERROR(IF(OR(NOT(Bid?),LEFT(UPPER($D31),4)="FXHR"),INDEX(INDIRECT(RangeUnitPrice),MATCH($A31,INDIRECT(RangeEstCount),0)),IF(Awd?,OFFSET(TabAmount,MATCH(INDEX(INDIRECT(RangeCount),MATCH($A31,INDIRECT(RangeEstCount),0)),OFFSET(TabCount,1,0,2*NumPayItems,1),0),MATCH(Awarded2,Bidders,0)),IF(OR($C31="",$D31="LPSM"),"","$"))),"")</f>
        <v/>
      </c>
      <c r="G31" s="171" t="str">
        <f ca="1">IFERROR(VALUE(C31)*F31,IF(AND(Bid?,NOT(Awd?),$D31="LPSM"),"$",F31))</f>
        <v/>
      </c>
      <c r="H31" s="374"/>
      <c r="I31" s="217" t="str">
        <f ca="1">IFERROR(VALUE(SUBSTITUTE(OFFSET(I31,-1,0)," "&amp;$D31,""))*$F31,"")</f>
        <v/>
      </c>
      <c r="J31" s="215" t="str">
        <f ca="1">IFERROR(VALUE(SUBSTITUTE(OFFSET(J31,-1,0)," "&amp;$D31,""))*$F31,"")</f>
        <v/>
      </c>
      <c r="K31" s="215" t="str">
        <f t="shared" ref="K31:M31" ca="1" si="26">IFERROR(VALUE(SUBSTITUTE(OFFSET(K31,-1,0)," "&amp;$D31,""))*$F31,"")</f>
        <v/>
      </c>
      <c r="L31" s="215" t="str">
        <f t="shared" ca="1" si="26"/>
        <v/>
      </c>
      <c r="M31" s="215" t="str">
        <f t="shared" ca="1" si="26"/>
        <v/>
      </c>
      <c r="N31" s="215" t="str">
        <f ca="1">IFERROR(VALUE(SUBSTITUTE(OFFSET(N31,-1,0)," "&amp;$D31,""))*$F31,"")</f>
        <v/>
      </c>
      <c r="O31" s="215" t="str">
        <f ca="1">IFERROR(VALUE(SUBSTITUTE(OFFSET(O31,-1,0)," "&amp;$D31,""))*$F31,"")</f>
        <v/>
      </c>
      <c r="P31" s="209" t="str">
        <f ca="1">IF(LEN(B31)&gt;0,ISNUMBER(MATCH(B31,Proposed[Item],0)),"")</f>
        <v/>
      </c>
      <c r="Q31" s="156" t="str">
        <f>(0+Reports[[#This Row],[Bid?]])&amp;(0+Reports[[#This Row],[Awd?]])&amp;(0+Reports[[#This Row],[All?]])&amp;(0+Reports[[#This Row],[Full?]])</f>
        <v>1101</v>
      </c>
      <c r="R31" s="1" t="b">
        <f>TRUE()</f>
        <v>1</v>
      </c>
      <c r="S31" s="222" t="b">
        <f>TRUE()</f>
        <v>1</v>
      </c>
      <c r="T31" s="1" t="b">
        <f>FALSE()</f>
        <v>0</v>
      </c>
      <c r="U31" s="1" t="b">
        <f>TRUE()</f>
        <v>1</v>
      </c>
      <c r="V31" s="222" t="s">
        <v>277</v>
      </c>
    </row>
    <row r="32" spans="1:22" ht="15" x14ac:dyDescent="0.2">
      <c r="A32" s="276">
        <f t="shared" ca="1" si="2"/>
        <v>13</v>
      </c>
      <c r="B32" s="168" t="str">
        <f ca="1">IFERROR(INDEX(INDIRECT(RangeItems),MATCH($A32,INDIRECT(RangeEstCount),0)),"")</f>
        <v/>
      </c>
      <c r="C32" s="365" t="str">
        <f ca="1">IFERROR(INDEX(Calcs[Description],INDEX(INDIRECT(RangeCount),MATCH($A32,INDIRECT(RangeEstCount),0))),"")</f>
        <v/>
      </c>
      <c r="D32" s="365"/>
      <c r="E32" s="365"/>
      <c r="F32" s="365"/>
      <c r="G32" s="365"/>
      <c r="H32" s="375" t="str">
        <f ca="1">IF(AND(Bid?,NOT(Awd?)),C32,OFFSET(F32,1,0))</f>
        <v/>
      </c>
      <c r="I32" s="216" t="str">
        <f t="shared" ref="I32:O32" ca="1" si="27">IFERROR(SUM(OFFSET(INDIRECT(RangeQuantity),MATCH($A32,INDIRECT(RangeEstCount),0)-1,COLUMN(I32)-COLUMN($H32),1,1))&amp;" "&amp;OFFSET($D32,1,0),"")</f>
        <v/>
      </c>
      <c r="J32" s="277" t="str">
        <f t="shared" ca="1" si="27"/>
        <v/>
      </c>
      <c r="K32" s="277" t="str">
        <f t="shared" ca="1" si="27"/>
        <v/>
      </c>
      <c r="L32" s="277" t="str">
        <f t="shared" ca="1" si="27"/>
        <v/>
      </c>
      <c r="M32" s="277" t="str">
        <f t="shared" ca="1" si="27"/>
        <v/>
      </c>
      <c r="N32" s="277" t="str">
        <f t="shared" ca="1" si="27"/>
        <v/>
      </c>
      <c r="O32" s="277" t="str">
        <f t="shared" ca="1" si="27"/>
        <v/>
      </c>
      <c r="P32" s="209" t="str">
        <f ca="1">IF(LEN(B32)&gt;0,ISNUMBER(MATCH(B32,Proposed[Item],0)),"")</f>
        <v/>
      </c>
      <c r="Q32" s="156" t="str">
        <f>(0+Reports[[#This Row],[Bid?]])&amp;(0+Reports[[#This Row],[Awd?]])&amp;(0+Reports[[#This Row],[All?]])&amp;(0+Reports[[#This Row],[Full?]])</f>
        <v>1100</v>
      </c>
      <c r="R32" s="1" t="b">
        <f>TRUE()</f>
        <v>1</v>
      </c>
      <c r="S32" s="222" t="b">
        <f>TRUE()</f>
        <v>1</v>
      </c>
      <c r="T32" s="1" t="b">
        <f>FALSE()</f>
        <v>0</v>
      </c>
      <c r="U32" s="1" t="b">
        <f>FALSE()</f>
        <v>0</v>
      </c>
      <c r="V32" s="1" t="s">
        <v>278</v>
      </c>
    </row>
    <row r="33" spans="1:22" ht="15" x14ac:dyDescent="0.2">
      <c r="A33" s="276">
        <f t="shared" ca="1" si="2"/>
        <v>13</v>
      </c>
      <c r="B33" s="111" t="str">
        <f ca="1">IFERROR("Line "&amp;INDEX(Calcs[Line],INDEX(INDIRECT(RangeCount),MATCH($A33,INDIRECT(RangeEstCount),0))),"")</f>
        <v/>
      </c>
      <c r="C33" s="169" t="str">
        <f ca="1">IFERROR(IF(AND($D33="LPSM",Bid?,All?),"ALL",TEXT(OFFSET(INDIRECT(RangeQuantity),MATCH($A33,INDIRECT(RangeEstCount),0)-1,MATCH(Account,Accounts,0)-1,1,1),IF($D33="LPSM","0%","#,##0"&amp;IF(OFFSET(Items[#Data],MATCH($A33,INDIRECT(RangeEstCount),0)-1,MATCH(Decimals,Items[#Headers],0)-1,1,1)&gt;0,"."&amp;REPT("0",OFFSET(Items[#Data],MATCH($A33,INDIRECT(RangeEstCount),0)-1,MATCH(Decimals,Items[#Headers],0)-1,1,1)),"")))),"")</f>
        <v/>
      </c>
      <c r="D33" s="170" t="str">
        <f ca="1">IFERROR(INDEX(INDIRECT(RangeUnit),MATCH($A33,INDIRECT(RangeEstCount),0))&amp;SUBSTITUTE(" ["&amp;INDEX(INDIRECT(RangeAmend),MATCH($A33,INDIRECT(RangeEstCount),0))&amp;"]"," []",""),"")</f>
        <v/>
      </c>
      <c r="E33" s="170" t="str">
        <f ca="1">IFERROR(IF(INDEX(INDIRECT(RangeContrQty),MATCH($A33,INDIRECT(RangeEstCount),0)),"(CQ)",""),"")</f>
        <v/>
      </c>
      <c r="F33" s="171" t="str">
        <f ca="1">IFERROR(IF(OR(NOT(Bid?),LEFT(UPPER($D33),4)="FXHR"),INDEX(INDIRECT(RangeUnitPrice),MATCH($A33,INDIRECT(RangeEstCount),0)),IF(Awd?,OFFSET(TabAmount,MATCH(INDEX(INDIRECT(RangeCount),MATCH($A33,INDIRECT(RangeEstCount),0)),OFFSET(TabCount,1,0,2*NumPayItems,1),0),MATCH(Awarded2,Bidders,0)),IF(OR($C33="",$D33="LPSM"),"","$"))),"")</f>
        <v/>
      </c>
      <c r="G33" s="171" t="str">
        <f ca="1">IFERROR(VALUE(C33)*F33,IF(AND(Bid?,NOT(Awd?),$D33="LPSM"),"$",F33))</f>
        <v/>
      </c>
      <c r="H33" s="374"/>
      <c r="I33" s="217" t="str">
        <f ca="1">IFERROR(VALUE(SUBSTITUTE(OFFSET(I33,-1,0)," "&amp;$D33,""))*$F33,"")</f>
        <v/>
      </c>
      <c r="J33" s="215" t="str">
        <f ca="1">IFERROR(VALUE(SUBSTITUTE(OFFSET(J33,-1,0)," "&amp;$D33,""))*$F33,"")</f>
        <v/>
      </c>
      <c r="K33" s="215" t="str">
        <f t="shared" ref="K33:M33" ca="1" si="28">IFERROR(VALUE(SUBSTITUTE(OFFSET(K33,-1,0)," "&amp;$D33,""))*$F33,"")</f>
        <v/>
      </c>
      <c r="L33" s="215" t="str">
        <f t="shared" ca="1" si="28"/>
        <v/>
      </c>
      <c r="M33" s="215" t="str">
        <f t="shared" ca="1" si="28"/>
        <v/>
      </c>
      <c r="N33" s="215" t="str">
        <f ca="1">IFERROR(VALUE(SUBSTITUTE(OFFSET(N33,-1,0)," "&amp;$D33,""))*$F33,"")</f>
        <v/>
      </c>
      <c r="O33" s="215" t="str">
        <f ca="1">IFERROR(VALUE(SUBSTITUTE(OFFSET(O33,-1,0)," "&amp;$D33,""))*$F33,"")</f>
        <v/>
      </c>
      <c r="P33" s="209" t="str">
        <f ca="1">IF(LEN(B33)&gt;0,ISNUMBER(MATCH(B33,Proposed[Item],0)),"")</f>
        <v/>
      </c>
      <c r="Q33" s="272" t="str">
        <f>(0+Reports[[#This Row],[Bid?]])&amp;(0+Reports[[#This Row],[Awd?]])&amp;(0+Reports[[#This Row],[All?]])&amp;(0+Reports[[#This Row],[Full?]])</f>
        <v>1011</v>
      </c>
      <c r="R33" s="222" t="b">
        <f>TRUE()</f>
        <v>1</v>
      </c>
      <c r="S33" s="109" t="b">
        <f>FALSE()</f>
        <v>0</v>
      </c>
      <c r="T33" s="222" t="b">
        <f>TRUE()</f>
        <v>1</v>
      </c>
      <c r="U33" s="222" t="b">
        <f>TRUE()</f>
        <v>1</v>
      </c>
      <c r="V33" s="109" t="s">
        <v>216</v>
      </c>
    </row>
    <row r="34" spans="1:22" ht="15" x14ac:dyDescent="0.2">
      <c r="A34" s="276">
        <f t="shared" ca="1" si="2"/>
        <v>14</v>
      </c>
      <c r="B34" s="168" t="str">
        <f ca="1">IFERROR(INDEX(INDIRECT(RangeItems),MATCH($A34,INDIRECT(RangeEstCount),0)),"")</f>
        <v/>
      </c>
      <c r="C34" s="365" t="str">
        <f ca="1">IFERROR(INDEX(Calcs[Description],INDEX(INDIRECT(RangeCount),MATCH($A34,INDIRECT(RangeEstCount),0))),"")</f>
        <v/>
      </c>
      <c r="D34" s="365"/>
      <c r="E34" s="365"/>
      <c r="F34" s="365"/>
      <c r="G34" s="365"/>
      <c r="H34" s="375" t="str">
        <f ca="1">IF(AND(Bid?,NOT(Awd?)),C34,OFFSET(F34,1,0))</f>
        <v/>
      </c>
      <c r="I34" s="216" t="str">
        <f t="shared" ref="I34:O34" ca="1" si="29">IFERROR(SUM(OFFSET(INDIRECT(RangeQuantity),MATCH($A34,INDIRECT(RangeEstCount),0)-1,COLUMN(I34)-COLUMN($H34),1,1))&amp;" "&amp;OFFSET($D34,1,0),"")</f>
        <v/>
      </c>
      <c r="J34" s="277" t="str">
        <f t="shared" ca="1" si="29"/>
        <v/>
      </c>
      <c r="K34" s="277" t="str">
        <f t="shared" ca="1" si="29"/>
        <v/>
      </c>
      <c r="L34" s="277" t="str">
        <f t="shared" ca="1" si="29"/>
        <v/>
      </c>
      <c r="M34" s="277" t="str">
        <f t="shared" ca="1" si="29"/>
        <v/>
      </c>
      <c r="N34" s="277" t="str">
        <f t="shared" ca="1" si="29"/>
        <v/>
      </c>
      <c r="O34" s="277" t="str">
        <f t="shared" ca="1" si="29"/>
        <v/>
      </c>
      <c r="P34" s="209" t="str">
        <f ca="1">IF(LEN(B34)&gt;0,ISNUMBER(MATCH(B34,Proposed[Item],0)),"")</f>
        <v/>
      </c>
      <c r="Q34" s="272" t="str">
        <f>(0+Reports[[#This Row],[Bid?]])&amp;(0+Reports[[#This Row],[Awd?]])&amp;(0+Reports[[#This Row],[All?]])&amp;(0+Reports[[#This Row],[Full?]])</f>
        <v>1010</v>
      </c>
      <c r="R34" s="1" t="b">
        <f>TRUE()</f>
        <v>1</v>
      </c>
      <c r="S34" s="109" t="b">
        <f>FALSE()</f>
        <v>0</v>
      </c>
      <c r="T34" s="222" t="b">
        <f>TRUE()</f>
        <v>1</v>
      </c>
      <c r="U34" s="1" t="b">
        <f>FALSE()</f>
        <v>0</v>
      </c>
      <c r="V34" s="109" t="s">
        <v>279</v>
      </c>
    </row>
    <row r="35" spans="1:22" ht="15" x14ac:dyDescent="0.2">
      <c r="A35" s="276">
        <f t="shared" ca="1" si="2"/>
        <v>14</v>
      </c>
      <c r="B35" s="111" t="str">
        <f ca="1">IFERROR("Line "&amp;INDEX(Calcs[Line],INDEX(INDIRECT(RangeCount),MATCH($A35,INDIRECT(RangeEstCount),0))),"")</f>
        <v/>
      </c>
      <c r="C35" s="169" t="str">
        <f ca="1">IFERROR(IF(AND($D35="LPSM",Bid?,All?),"ALL",TEXT(OFFSET(INDIRECT(RangeQuantity),MATCH($A35,INDIRECT(RangeEstCount),0)-1,MATCH(Account,Accounts,0)-1,1,1),IF($D35="LPSM","0%","#,##0"&amp;IF(OFFSET(Items[#Data],MATCH($A35,INDIRECT(RangeEstCount),0)-1,MATCH(Decimals,Items[#Headers],0)-1,1,1)&gt;0,"."&amp;REPT("0",OFFSET(Items[#Data],MATCH($A35,INDIRECT(RangeEstCount),0)-1,MATCH(Decimals,Items[#Headers],0)-1,1,1)),"")))),"")</f>
        <v/>
      </c>
      <c r="D35" s="170" t="str">
        <f ca="1">IFERROR(INDEX(INDIRECT(RangeUnit),MATCH($A35,INDIRECT(RangeEstCount),0))&amp;SUBSTITUTE(" ["&amp;INDEX(INDIRECT(RangeAmend),MATCH($A35,INDIRECT(RangeEstCount),0))&amp;"]"," []",""),"")</f>
        <v/>
      </c>
      <c r="E35" s="170" t="str">
        <f ca="1">IFERROR(IF(INDEX(INDIRECT(RangeContrQty),MATCH($A35,INDIRECT(RangeEstCount),0)),"(CQ)",""),"")</f>
        <v/>
      </c>
      <c r="F35" s="171" t="str">
        <f ca="1">IFERROR(IF(OR(NOT(Bid?),LEFT(UPPER($D35),4)="FXHR"),INDEX(INDIRECT(RangeUnitPrice),MATCH($A35,INDIRECT(RangeEstCount),0)),IF(Awd?,OFFSET(TabAmount,MATCH(INDEX(INDIRECT(RangeCount),MATCH($A35,INDIRECT(RangeEstCount),0)),OFFSET(TabCount,1,0,2*NumPayItems,1),0),MATCH(Awarded2,Bidders,0)),IF(OR($C35="",$D35="LPSM"),"","$"))),"")</f>
        <v/>
      </c>
      <c r="G35" s="171" t="str">
        <f ca="1">IFERROR(VALUE(C35)*F35,IF(AND(Bid?,NOT(Awd?),$D35="LPSM"),"$",F35))</f>
        <v/>
      </c>
      <c r="H35" s="374"/>
      <c r="I35" s="217" t="str">
        <f ca="1">IFERROR(VALUE(SUBSTITUTE(OFFSET(I35,-1,0)," "&amp;$D35,""))*$F35,"")</f>
        <v/>
      </c>
      <c r="J35" s="215" t="str">
        <f ca="1">IFERROR(VALUE(SUBSTITUTE(OFFSET(J35,-1,0)," "&amp;$D35,""))*$F35,"")</f>
        <v/>
      </c>
      <c r="K35" s="215" t="str">
        <f t="shared" ref="K35:M35" ca="1" si="30">IFERROR(VALUE(SUBSTITUTE(OFFSET(K35,-1,0)," "&amp;$D35,""))*$F35,"")</f>
        <v/>
      </c>
      <c r="L35" s="215" t="str">
        <f t="shared" ca="1" si="30"/>
        <v/>
      </c>
      <c r="M35" s="215" t="str">
        <f t="shared" ca="1" si="30"/>
        <v/>
      </c>
      <c r="N35" s="215" t="str">
        <f ca="1">IFERROR(VALUE(SUBSTITUTE(OFFSET(N35,-1,0)," "&amp;$D35,""))*$F35,"")</f>
        <v/>
      </c>
      <c r="O35" s="215" t="str">
        <f ca="1">IFERROR(VALUE(SUBSTITUTE(OFFSET(O35,-1,0)," "&amp;$D35,""))*$F35,"")</f>
        <v/>
      </c>
      <c r="P35" s="209" t="str">
        <f ca="1">IF(LEN(B35)&gt;0,ISNUMBER(MATCH(B35,Proposed[Item],0)),"")</f>
        <v/>
      </c>
      <c r="Q35" s="272" t="str">
        <f>(0+Reports[[#This Row],[Bid?]])&amp;(0+Reports[[#This Row],[Awd?]])&amp;(0+Reports[[#This Row],[All?]])&amp;(0+Reports[[#This Row],[Full?]])</f>
        <v>1001</v>
      </c>
      <c r="R35" s="1" t="b">
        <f>TRUE()</f>
        <v>1</v>
      </c>
      <c r="S35" s="109" t="b">
        <f>FALSE()</f>
        <v>0</v>
      </c>
      <c r="T35" s="1" t="b">
        <f>FALSE()</f>
        <v>0</v>
      </c>
      <c r="U35" s="1" t="b">
        <f>TRUE()</f>
        <v>1</v>
      </c>
      <c r="V35" s="109" t="s">
        <v>280</v>
      </c>
    </row>
    <row r="36" spans="1:22" ht="15" x14ac:dyDescent="0.2">
      <c r="A36" s="276">
        <f t="shared" ca="1" si="2"/>
        <v>15</v>
      </c>
      <c r="B36" s="168" t="str">
        <f ca="1">IFERROR(INDEX(INDIRECT(RangeItems),MATCH($A36,INDIRECT(RangeEstCount),0)),"")</f>
        <v/>
      </c>
      <c r="C36" s="365" t="str">
        <f ca="1">IFERROR(INDEX(Calcs[Description],INDEX(INDIRECT(RangeCount),MATCH($A36,INDIRECT(RangeEstCount),0))),"")</f>
        <v/>
      </c>
      <c r="D36" s="365"/>
      <c r="E36" s="365"/>
      <c r="F36" s="365"/>
      <c r="G36" s="365"/>
      <c r="H36" s="375" t="str">
        <f ca="1">IF(AND(Bid?,NOT(Awd?)),C36,OFFSET(F36,1,0))</f>
        <v/>
      </c>
      <c r="I36" s="216" t="str">
        <f t="shared" ref="I36:O36" ca="1" si="31">IFERROR(SUM(OFFSET(INDIRECT(RangeQuantity),MATCH($A36,INDIRECT(RangeEstCount),0)-1,COLUMN(I36)-COLUMN($H36),1,1))&amp;" "&amp;OFFSET($D36,1,0),"")</f>
        <v/>
      </c>
      <c r="J36" s="277" t="str">
        <f t="shared" ca="1" si="31"/>
        <v/>
      </c>
      <c r="K36" s="277" t="str">
        <f t="shared" ca="1" si="31"/>
        <v/>
      </c>
      <c r="L36" s="277" t="str">
        <f t="shared" ca="1" si="31"/>
        <v/>
      </c>
      <c r="M36" s="277" t="str">
        <f t="shared" ca="1" si="31"/>
        <v/>
      </c>
      <c r="N36" s="277" t="str">
        <f t="shared" ca="1" si="31"/>
        <v/>
      </c>
      <c r="O36" s="277" t="str">
        <f t="shared" ca="1" si="31"/>
        <v/>
      </c>
      <c r="P36" s="209" t="str">
        <f ca="1">IF(LEN(B36)&gt;0,ISNUMBER(MATCH(B36,Proposed[Item],0)),"")</f>
        <v/>
      </c>
      <c r="Q36" s="272" t="str">
        <f>(0+Reports[[#This Row],[Bid?]])&amp;(0+Reports[[#This Row],[Awd?]])&amp;(0+Reports[[#This Row],[All?]])&amp;(0+Reports[[#This Row],[Full?]])</f>
        <v>1000</v>
      </c>
      <c r="R36" s="1" t="b">
        <f>TRUE()</f>
        <v>1</v>
      </c>
      <c r="S36" s="109" t="b">
        <f>FALSE()</f>
        <v>0</v>
      </c>
      <c r="T36" s="1" t="b">
        <f>FALSE()</f>
        <v>0</v>
      </c>
      <c r="U36" s="1" t="b">
        <f>FALSE()</f>
        <v>0</v>
      </c>
      <c r="V36" s="109" t="s">
        <v>281</v>
      </c>
    </row>
    <row r="37" spans="1:22" ht="15" x14ac:dyDescent="0.2">
      <c r="A37" s="276">
        <f t="shared" ca="1" si="2"/>
        <v>15</v>
      </c>
      <c r="B37" s="111" t="str">
        <f ca="1">IFERROR("Line "&amp;INDEX(Calcs[Line],INDEX(INDIRECT(RangeCount),MATCH($A37,INDIRECT(RangeEstCount),0))),"")</f>
        <v/>
      </c>
      <c r="C37" s="169" t="str">
        <f ca="1">IFERROR(IF(AND($D37="LPSM",Bid?,All?),"ALL",TEXT(OFFSET(INDIRECT(RangeQuantity),MATCH($A37,INDIRECT(RangeEstCount),0)-1,MATCH(Account,Accounts,0)-1,1,1),IF($D37="LPSM","0%","#,##0"&amp;IF(OFFSET(Items[#Data],MATCH($A37,INDIRECT(RangeEstCount),0)-1,MATCH(Decimals,Items[#Headers],0)-1,1,1)&gt;0,"."&amp;REPT("0",OFFSET(Items[#Data],MATCH($A37,INDIRECT(RangeEstCount),0)-1,MATCH(Decimals,Items[#Headers],0)-1,1,1)),"")))),"")</f>
        <v/>
      </c>
      <c r="D37" s="170" t="str">
        <f ca="1">IFERROR(INDEX(INDIRECT(RangeUnit),MATCH($A37,INDIRECT(RangeEstCount),0))&amp;SUBSTITUTE(" ["&amp;INDEX(INDIRECT(RangeAmend),MATCH($A37,INDIRECT(RangeEstCount),0))&amp;"]"," []",""),"")</f>
        <v/>
      </c>
      <c r="E37" s="170" t="str">
        <f ca="1">IFERROR(IF(INDEX(INDIRECT(RangeContrQty),MATCH($A37,INDIRECT(RangeEstCount),0)),"(CQ)",""),"")</f>
        <v/>
      </c>
      <c r="F37" s="171" t="str">
        <f ca="1">IFERROR(IF(OR(NOT(Bid?),LEFT(UPPER($D37),4)="FXHR"),INDEX(INDIRECT(RangeUnitPrice),MATCH($A37,INDIRECT(RangeEstCount),0)),IF(Awd?,OFFSET(TabAmount,MATCH(INDEX(INDIRECT(RangeCount),MATCH($A37,INDIRECT(RangeEstCount),0)),OFFSET(TabCount,1,0,2*NumPayItems,1),0),MATCH(Awarded2,Bidders,0)),IF(OR($C37="",$D37="LPSM"),"","$"))),"")</f>
        <v/>
      </c>
      <c r="G37" s="171" t="str">
        <f ca="1">IFERROR(VALUE(C37)*F37,IF(AND(Bid?,NOT(Awd?),$D37="LPSM"),"$",F37))</f>
        <v/>
      </c>
      <c r="H37" s="374"/>
      <c r="I37" s="217" t="str">
        <f ca="1">IFERROR(VALUE(SUBSTITUTE(OFFSET(I37,-1,0)," "&amp;$D37,""))*$F37,"")</f>
        <v/>
      </c>
      <c r="J37" s="215" t="str">
        <f ca="1">IFERROR(VALUE(SUBSTITUTE(OFFSET(J37,-1,0)," "&amp;$D37,""))*$F37,"")</f>
        <v/>
      </c>
      <c r="K37" s="215" t="str">
        <f t="shared" ref="K37:M37" ca="1" si="32">IFERROR(VALUE(SUBSTITUTE(OFFSET(K37,-1,0)," "&amp;$D37,""))*$F37,"")</f>
        <v/>
      </c>
      <c r="L37" s="215" t="str">
        <f t="shared" ca="1" si="32"/>
        <v/>
      </c>
      <c r="M37" s="215" t="str">
        <f t="shared" ca="1" si="32"/>
        <v/>
      </c>
      <c r="N37" s="215" t="str">
        <f ca="1">IFERROR(VALUE(SUBSTITUTE(OFFSET(N37,-1,0)," "&amp;$D37,""))*$F37,"")</f>
        <v/>
      </c>
      <c r="O37" s="215" t="str">
        <f ca="1">IFERROR(VALUE(SUBSTITUTE(OFFSET(O37,-1,0)," "&amp;$D37,""))*$F37,"")</f>
        <v/>
      </c>
      <c r="P37" s="209" t="str">
        <f ca="1">IF(LEN(B37)&gt;0,ISNUMBER(MATCH(B37,Proposed[Item],0)),"")</f>
        <v/>
      </c>
      <c r="Q37" s="156" t="str">
        <f>(0+Reports[[#This Row],[Bid?]])&amp;(0+Reports[[#This Row],[Awd?]])&amp;(0+Reports[[#This Row],[All?]])&amp;(0+Reports[[#This Row],[Full?]])</f>
        <v>0111</v>
      </c>
      <c r="R37" s="1" t="b">
        <f>FALSE()</f>
        <v>0</v>
      </c>
      <c r="S37" s="222" t="b">
        <f>TRUE()</f>
        <v>1</v>
      </c>
      <c r="T37" s="222" t="b">
        <f>TRUE()</f>
        <v>1</v>
      </c>
      <c r="U37" s="1" t="b">
        <f>TRUE()</f>
        <v>1</v>
      </c>
      <c r="V37" s="1" t="s">
        <v>282</v>
      </c>
    </row>
    <row r="38" spans="1:22" ht="15" x14ac:dyDescent="0.2">
      <c r="A38" s="276">
        <f t="shared" ca="1" si="2"/>
        <v>16</v>
      </c>
      <c r="B38" s="168" t="str">
        <f ca="1">IFERROR(INDEX(INDIRECT(RangeItems),MATCH($A38,INDIRECT(RangeEstCount),0)),"")</f>
        <v/>
      </c>
      <c r="C38" s="365" t="str">
        <f ca="1">IFERROR(INDEX(Calcs[Description],INDEX(INDIRECT(RangeCount),MATCH($A38,INDIRECT(RangeEstCount),0))),"")</f>
        <v/>
      </c>
      <c r="D38" s="365"/>
      <c r="E38" s="365"/>
      <c r="F38" s="365"/>
      <c r="G38" s="365"/>
      <c r="H38" s="375" t="str">
        <f ca="1">IF(AND(Bid?,NOT(Awd?)),C38,OFFSET(F38,1,0))</f>
        <v/>
      </c>
      <c r="I38" s="216" t="str">
        <f t="shared" ref="I38:O38" ca="1" si="33">IFERROR(SUM(OFFSET(INDIRECT(RangeQuantity),MATCH($A38,INDIRECT(RangeEstCount),0)-1,COLUMN(I38)-COLUMN($H38),1,1))&amp;" "&amp;OFFSET($D38,1,0),"")</f>
        <v/>
      </c>
      <c r="J38" s="277" t="str">
        <f t="shared" ca="1" si="33"/>
        <v/>
      </c>
      <c r="K38" s="277" t="str">
        <f t="shared" ca="1" si="33"/>
        <v/>
      </c>
      <c r="L38" s="277" t="str">
        <f t="shared" ca="1" si="33"/>
        <v/>
      </c>
      <c r="M38" s="277" t="str">
        <f t="shared" ca="1" si="33"/>
        <v/>
      </c>
      <c r="N38" s="277" t="str">
        <f t="shared" ca="1" si="33"/>
        <v/>
      </c>
      <c r="O38" s="277" t="str">
        <f t="shared" ca="1" si="33"/>
        <v/>
      </c>
      <c r="P38" s="209" t="str">
        <f ca="1">IF(LEN(B38)&gt;0,ISNUMBER(MATCH(B38,Proposed[Item],0)),"")</f>
        <v/>
      </c>
      <c r="Q38" s="156" t="str">
        <f>(0+Reports[[#This Row],[Bid?]])&amp;(0+Reports[[#This Row],[Awd?]])&amp;(0+Reports[[#This Row],[All?]])&amp;(0+Reports[[#This Row],[Full?]])</f>
        <v>0110</v>
      </c>
      <c r="R38" s="1" t="b">
        <f>FALSE()</f>
        <v>0</v>
      </c>
      <c r="S38" s="222" t="b">
        <f>TRUE()</f>
        <v>1</v>
      </c>
      <c r="T38" s="222" t="b">
        <f>TRUE()</f>
        <v>1</v>
      </c>
      <c r="U38" s="1" t="b">
        <f>FALSE()</f>
        <v>0</v>
      </c>
      <c r="V38" s="1" t="s">
        <v>283</v>
      </c>
    </row>
    <row r="39" spans="1:22" ht="15" x14ac:dyDescent="0.2">
      <c r="A39" s="276">
        <f t="shared" ca="1" si="2"/>
        <v>16</v>
      </c>
      <c r="B39" s="111" t="str">
        <f ca="1">IFERROR("Line "&amp;INDEX(Calcs[Line],INDEX(INDIRECT(RangeCount),MATCH($A39,INDIRECT(RangeEstCount),0))),"")</f>
        <v/>
      </c>
      <c r="C39" s="169" t="str">
        <f ca="1">IFERROR(IF(AND($D39="LPSM",Bid?,All?),"ALL",TEXT(OFFSET(INDIRECT(RangeQuantity),MATCH($A39,INDIRECT(RangeEstCount),0)-1,MATCH(Account,Accounts,0)-1,1,1),IF($D39="LPSM","0%","#,##0"&amp;IF(OFFSET(Items[#Data],MATCH($A39,INDIRECT(RangeEstCount),0)-1,MATCH(Decimals,Items[#Headers],0)-1,1,1)&gt;0,"."&amp;REPT("0",OFFSET(Items[#Data],MATCH($A39,INDIRECT(RangeEstCount),0)-1,MATCH(Decimals,Items[#Headers],0)-1,1,1)),"")))),"")</f>
        <v/>
      </c>
      <c r="D39" s="170" t="str">
        <f ca="1">IFERROR(INDEX(INDIRECT(RangeUnit),MATCH($A39,INDIRECT(RangeEstCount),0))&amp;SUBSTITUTE(" ["&amp;INDEX(INDIRECT(RangeAmend),MATCH($A39,INDIRECT(RangeEstCount),0))&amp;"]"," []",""),"")</f>
        <v/>
      </c>
      <c r="E39" s="170" t="str">
        <f ca="1">IFERROR(IF(INDEX(INDIRECT(RangeContrQty),MATCH($A39,INDIRECT(RangeEstCount),0)),"(CQ)",""),"")</f>
        <v/>
      </c>
      <c r="F39" s="171" t="str">
        <f ca="1">IFERROR(IF(OR(NOT(Bid?),LEFT(UPPER($D39),4)="FXHR"),INDEX(INDIRECT(RangeUnitPrice),MATCH($A39,INDIRECT(RangeEstCount),0)),IF(Awd?,OFFSET(TabAmount,MATCH(INDEX(INDIRECT(RangeCount),MATCH($A39,INDIRECT(RangeEstCount),0)),OFFSET(TabCount,1,0,2*NumPayItems,1),0),MATCH(Awarded2,Bidders,0)),IF(OR($C39="",$D39="LPSM"),"","$"))),"")</f>
        <v/>
      </c>
      <c r="G39" s="171" t="str">
        <f ca="1">IFERROR(VALUE(C39)*F39,IF(AND(Bid?,NOT(Awd?),$D39="LPSM"),"$",F39))</f>
        <v/>
      </c>
      <c r="H39" s="374"/>
      <c r="I39" s="217" t="str">
        <f ca="1">IFERROR(VALUE(SUBSTITUTE(OFFSET(I39,-1,0)," "&amp;$D39,""))*$F39,"")</f>
        <v/>
      </c>
      <c r="J39" s="215" t="str">
        <f ca="1">IFERROR(VALUE(SUBSTITUTE(OFFSET(J39,-1,0)," "&amp;$D39,""))*$F39,"")</f>
        <v/>
      </c>
      <c r="K39" s="215" t="str">
        <f t="shared" ref="K39:M39" ca="1" si="34">IFERROR(VALUE(SUBSTITUTE(OFFSET(K39,-1,0)," "&amp;$D39,""))*$F39,"")</f>
        <v/>
      </c>
      <c r="L39" s="215" t="str">
        <f t="shared" ca="1" si="34"/>
        <v/>
      </c>
      <c r="M39" s="215" t="str">
        <f t="shared" ca="1" si="34"/>
        <v/>
      </c>
      <c r="N39" s="215" t="str">
        <f ca="1">IFERROR(VALUE(SUBSTITUTE(OFFSET(N39,-1,0)," "&amp;$D39,""))*$F39,"")</f>
        <v/>
      </c>
      <c r="O39" s="215" t="str">
        <f ca="1">IFERROR(VALUE(SUBSTITUTE(OFFSET(O39,-1,0)," "&amp;$D39,""))*$F39,"")</f>
        <v/>
      </c>
      <c r="P39" s="209" t="str">
        <f ca="1">IF(LEN(B39)&gt;0,ISNUMBER(MATCH(B39,Proposed[Item],0)),"")</f>
        <v/>
      </c>
      <c r="Q39" s="156" t="str">
        <f>(0+Reports[[#This Row],[Bid?]])&amp;(0+Reports[[#This Row],[Awd?]])&amp;(0+Reports[[#This Row],[All?]])&amp;(0+Reports[[#This Row],[Full?]])</f>
        <v>0101</v>
      </c>
      <c r="R39" s="1" t="b">
        <f>FALSE()</f>
        <v>0</v>
      </c>
      <c r="S39" s="222" t="b">
        <f>TRUE()</f>
        <v>1</v>
      </c>
      <c r="T39" s="1" t="b">
        <f>FALSE()</f>
        <v>0</v>
      </c>
      <c r="U39" s="1" t="b">
        <f>TRUE()</f>
        <v>1</v>
      </c>
      <c r="V39" s="1" t="s">
        <v>284</v>
      </c>
    </row>
    <row r="40" spans="1:22" ht="15" x14ac:dyDescent="0.2">
      <c r="A40" s="276">
        <f t="shared" ca="1" si="2"/>
        <v>17</v>
      </c>
      <c r="B40" s="168" t="str">
        <f ca="1">IFERROR(INDEX(INDIRECT(RangeItems),MATCH($A40,INDIRECT(RangeEstCount),0)),"")</f>
        <v/>
      </c>
      <c r="C40" s="365" t="str">
        <f ca="1">IFERROR(INDEX(Calcs[Description],INDEX(INDIRECT(RangeCount),MATCH($A40,INDIRECT(RangeEstCount),0))),"")</f>
        <v/>
      </c>
      <c r="D40" s="365"/>
      <c r="E40" s="365"/>
      <c r="F40" s="365"/>
      <c r="G40" s="365"/>
      <c r="H40" s="375" t="str">
        <f ca="1">IF(AND(Bid?,NOT(Awd?)),C40,OFFSET(F40,1,0))</f>
        <v/>
      </c>
      <c r="I40" s="216" t="str">
        <f t="shared" ref="I40:O40" ca="1" si="35">IFERROR(SUM(OFFSET(INDIRECT(RangeQuantity),MATCH($A40,INDIRECT(RangeEstCount),0)-1,COLUMN(I40)-COLUMN($H40),1,1))&amp;" "&amp;OFFSET($D40,1,0),"")</f>
        <v/>
      </c>
      <c r="J40" s="277" t="str">
        <f t="shared" ca="1" si="35"/>
        <v/>
      </c>
      <c r="K40" s="277" t="str">
        <f t="shared" ca="1" si="35"/>
        <v/>
      </c>
      <c r="L40" s="277" t="str">
        <f t="shared" ca="1" si="35"/>
        <v/>
      </c>
      <c r="M40" s="277" t="str">
        <f t="shared" ca="1" si="35"/>
        <v/>
      </c>
      <c r="N40" s="277" t="str">
        <f t="shared" ca="1" si="35"/>
        <v/>
      </c>
      <c r="O40" s="277" t="str">
        <f t="shared" ca="1" si="35"/>
        <v/>
      </c>
      <c r="P40" s="209" t="str">
        <f ca="1">IF(LEN(B40)&gt;0,ISNUMBER(MATCH(B40,Proposed[Item],0)),"")</f>
        <v/>
      </c>
      <c r="Q40" s="156" t="str">
        <f>(0+Reports[[#This Row],[Bid?]])&amp;(0+Reports[[#This Row],[Awd?]])&amp;(0+Reports[[#This Row],[All?]])&amp;(0+Reports[[#This Row],[Full?]])</f>
        <v>0100</v>
      </c>
      <c r="R40" s="1" t="b">
        <f>FALSE()</f>
        <v>0</v>
      </c>
      <c r="S40" s="222" t="b">
        <f>TRUE()</f>
        <v>1</v>
      </c>
      <c r="T40" s="1" t="b">
        <f>FALSE()</f>
        <v>0</v>
      </c>
      <c r="U40" s="1" t="b">
        <f>FALSE()</f>
        <v>0</v>
      </c>
      <c r="V40" s="1" t="s">
        <v>285</v>
      </c>
    </row>
    <row r="41" spans="1:22" ht="15" x14ac:dyDescent="0.2">
      <c r="A41" s="276">
        <f t="shared" ca="1" si="2"/>
        <v>17</v>
      </c>
      <c r="B41" s="111" t="str">
        <f ca="1">IFERROR("Line "&amp;INDEX(Calcs[Line],INDEX(INDIRECT(RangeCount),MATCH($A41,INDIRECT(RangeEstCount),0))),"")</f>
        <v/>
      </c>
      <c r="C41" s="169" t="str">
        <f ca="1">IFERROR(IF(AND($D41="LPSM",Bid?,All?),"ALL",TEXT(OFFSET(INDIRECT(RangeQuantity),MATCH($A41,INDIRECT(RangeEstCount),0)-1,MATCH(Account,Accounts,0)-1,1,1),IF($D41="LPSM","0%","#,##0"&amp;IF(OFFSET(Items[#Data],MATCH($A41,INDIRECT(RangeEstCount),0)-1,MATCH(Decimals,Items[#Headers],0)-1,1,1)&gt;0,"."&amp;REPT("0",OFFSET(Items[#Data],MATCH($A41,INDIRECT(RangeEstCount),0)-1,MATCH(Decimals,Items[#Headers],0)-1,1,1)),"")))),"")</f>
        <v/>
      </c>
      <c r="D41" s="170" t="str">
        <f ca="1">IFERROR(INDEX(INDIRECT(RangeUnit),MATCH($A41,INDIRECT(RangeEstCount),0))&amp;SUBSTITUTE(" ["&amp;INDEX(INDIRECT(RangeAmend),MATCH($A41,INDIRECT(RangeEstCount),0))&amp;"]"," []",""),"")</f>
        <v/>
      </c>
      <c r="E41" s="170" t="str">
        <f ca="1">IFERROR(IF(INDEX(INDIRECT(RangeContrQty),MATCH($A41,INDIRECT(RangeEstCount),0)),"(CQ)",""),"")</f>
        <v/>
      </c>
      <c r="F41" s="171" t="str">
        <f ca="1">IFERROR(IF(OR(NOT(Bid?),LEFT(UPPER($D41),4)="FXHR"),INDEX(INDIRECT(RangeUnitPrice),MATCH($A41,INDIRECT(RangeEstCount),0)),IF(Awd?,OFFSET(TabAmount,MATCH(INDEX(INDIRECT(RangeCount),MATCH($A41,INDIRECT(RangeEstCount),0)),OFFSET(TabCount,1,0,2*NumPayItems,1),0),MATCH(Awarded2,Bidders,0)),IF(OR($C41="",$D41="LPSM"),"","$"))),"")</f>
        <v/>
      </c>
      <c r="G41" s="171" t="str">
        <f ca="1">IFERROR(VALUE(C41)*F41,IF(AND(Bid?,NOT(Awd?),$D41="LPSM"),"$",F41))</f>
        <v/>
      </c>
      <c r="H41" s="374"/>
      <c r="I41" s="217" t="str">
        <f ca="1">IFERROR(VALUE(SUBSTITUTE(OFFSET(I41,-1,0)," "&amp;$D41,""))*$F41,"")</f>
        <v/>
      </c>
      <c r="J41" s="215" t="str">
        <f ca="1">IFERROR(VALUE(SUBSTITUTE(OFFSET(J41,-1,0)," "&amp;$D41,""))*$F41,"")</f>
        <v/>
      </c>
      <c r="K41" s="215" t="str">
        <f t="shared" ref="K41:M41" ca="1" si="36">IFERROR(VALUE(SUBSTITUTE(OFFSET(K41,-1,0)," "&amp;$D41,""))*$F41,"")</f>
        <v/>
      </c>
      <c r="L41" s="215" t="str">
        <f t="shared" ca="1" si="36"/>
        <v/>
      </c>
      <c r="M41" s="215" t="str">
        <f t="shared" ca="1" si="36"/>
        <v/>
      </c>
      <c r="N41" s="215" t="str">
        <f ca="1">IFERROR(VALUE(SUBSTITUTE(OFFSET(N41,-1,0)," "&amp;$D41,""))*$F41,"")</f>
        <v/>
      </c>
      <c r="O41" s="215" t="str">
        <f ca="1">IFERROR(VALUE(SUBSTITUTE(OFFSET(O41,-1,0)," "&amp;$D41,""))*$F41,"")</f>
        <v/>
      </c>
      <c r="P41" s="209" t="str">
        <f ca="1">IF(LEN(B41)&gt;0,ISNUMBER(MATCH(B41,Proposed[Item],0)),"")</f>
        <v/>
      </c>
      <c r="Q41" s="272" t="str">
        <f>(0+Reports[[#This Row],[Bid?]])&amp;(0+Reports[[#This Row],[Awd?]])&amp;(0+Reports[[#This Row],[All?]])&amp;(0+Reports[[#This Row],[Full?]])</f>
        <v>0011</v>
      </c>
      <c r="R41" s="1" t="b">
        <f>FALSE()</f>
        <v>0</v>
      </c>
      <c r="S41" s="109" t="b">
        <f>FALSE()</f>
        <v>0</v>
      </c>
      <c r="T41" s="222" t="b">
        <f>TRUE()</f>
        <v>1</v>
      </c>
      <c r="U41" s="1" t="b">
        <f>TRUE()</f>
        <v>1</v>
      </c>
      <c r="V41" s="109" t="s">
        <v>286</v>
      </c>
    </row>
    <row r="42" spans="1:22" ht="15" x14ac:dyDescent="0.2">
      <c r="A42" s="276">
        <f t="shared" ca="1" si="2"/>
        <v>18</v>
      </c>
      <c r="B42" s="168" t="str">
        <f ca="1">IFERROR(INDEX(INDIRECT(RangeItems),MATCH($A42,INDIRECT(RangeEstCount),0)),"")</f>
        <v/>
      </c>
      <c r="C42" s="365" t="str">
        <f ca="1">IFERROR(INDEX(Calcs[Description],INDEX(INDIRECT(RangeCount),MATCH($A42,INDIRECT(RangeEstCount),0))),"")</f>
        <v/>
      </c>
      <c r="D42" s="365"/>
      <c r="E42" s="365"/>
      <c r="F42" s="365"/>
      <c r="G42" s="365"/>
      <c r="H42" s="375" t="str">
        <f ca="1">IF(AND(Bid?,NOT(Awd?)),C42,OFFSET(F42,1,0))</f>
        <v/>
      </c>
      <c r="I42" s="216" t="str">
        <f t="shared" ref="I42:O42" ca="1" si="37">IFERROR(SUM(OFFSET(INDIRECT(RangeQuantity),MATCH($A42,INDIRECT(RangeEstCount),0)-1,COLUMN(I42)-COLUMN($H42),1,1))&amp;" "&amp;OFFSET($D42,1,0),"")</f>
        <v/>
      </c>
      <c r="J42" s="277" t="str">
        <f t="shared" ca="1" si="37"/>
        <v/>
      </c>
      <c r="K42" s="277" t="str">
        <f t="shared" ca="1" si="37"/>
        <v/>
      </c>
      <c r="L42" s="277" t="str">
        <f t="shared" ca="1" si="37"/>
        <v/>
      </c>
      <c r="M42" s="277" t="str">
        <f t="shared" ca="1" si="37"/>
        <v/>
      </c>
      <c r="N42" s="277" t="str">
        <f t="shared" ca="1" si="37"/>
        <v/>
      </c>
      <c r="O42" s="277" t="str">
        <f t="shared" ca="1" si="37"/>
        <v/>
      </c>
      <c r="P42" s="209" t="str">
        <f ca="1">IF(LEN(B42)&gt;0,ISNUMBER(MATCH(B42,Proposed[Item],0)),"")</f>
        <v/>
      </c>
      <c r="Q42" s="272" t="str">
        <f>(0+Reports[[#This Row],[Bid?]])&amp;(0+Reports[[#This Row],[Awd?]])&amp;(0+Reports[[#This Row],[All?]])&amp;(0+Reports[[#This Row],[Full?]])</f>
        <v>0010</v>
      </c>
      <c r="R42" s="1" t="b">
        <f>FALSE()</f>
        <v>0</v>
      </c>
      <c r="S42" s="109" t="b">
        <f>FALSE()</f>
        <v>0</v>
      </c>
      <c r="T42" s="222" t="b">
        <f>TRUE()</f>
        <v>1</v>
      </c>
      <c r="U42" s="1" t="b">
        <f>FALSE()</f>
        <v>0</v>
      </c>
      <c r="V42" s="109" t="s">
        <v>287</v>
      </c>
    </row>
    <row r="43" spans="1:22" ht="15" x14ac:dyDescent="0.2">
      <c r="A43" s="276">
        <f t="shared" ca="1" si="2"/>
        <v>18</v>
      </c>
      <c r="B43" s="111" t="str">
        <f ca="1">IFERROR("Line "&amp;INDEX(Calcs[Line],INDEX(INDIRECT(RangeCount),MATCH($A43,INDIRECT(RangeEstCount),0))),"")</f>
        <v/>
      </c>
      <c r="C43" s="169" t="str">
        <f ca="1">IFERROR(IF(AND($D43="LPSM",Bid?,All?),"ALL",TEXT(OFFSET(INDIRECT(RangeQuantity),MATCH($A43,INDIRECT(RangeEstCount),0)-1,MATCH(Account,Accounts,0)-1,1,1),IF($D43="LPSM","0%","#,##0"&amp;IF(OFFSET(Items[#Data],MATCH($A43,INDIRECT(RangeEstCount),0)-1,MATCH(Decimals,Items[#Headers],0)-1,1,1)&gt;0,"."&amp;REPT("0",OFFSET(Items[#Data],MATCH($A43,INDIRECT(RangeEstCount),0)-1,MATCH(Decimals,Items[#Headers],0)-1,1,1)),"")))),"")</f>
        <v/>
      </c>
      <c r="D43" s="170" t="str">
        <f ca="1">IFERROR(INDEX(INDIRECT(RangeUnit),MATCH($A43,INDIRECT(RangeEstCount),0))&amp;SUBSTITUTE(" ["&amp;INDEX(INDIRECT(RangeAmend),MATCH($A43,INDIRECT(RangeEstCount),0))&amp;"]"," []",""),"")</f>
        <v/>
      </c>
      <c r="E43" s="170" t="str">
        <f ca="1">IFERROR(IF(INDEX(INDIRECT(RangeContrQty),MATCH($A43,INDIRECT(RangeEstCount),0)),"(CQ)",""),"")</f>
        <v/>
      </c>
      <c r="F43" s="171" t="str">
        <f ca="1">IFERROR(IF(OR(NOT(Bid?),LEFT(UPPER($D43),4)="FXHR"),INDEX(INDIRECT(RangeUnitPrice),MATCH($A43,INDIRECT(RangeEstCount),0)),IF(Awd?,OFFSET(TabAmount,MATCH(INDEX(INDIRECT(RangeCount),MATCH($A43,INDIRECT(RangeEstCount),0)),OFFSET(TabCount,1,0,2*NumPayItems,1),0),MATCH(Awarded2,Bidders,0)),IF(OR($C43="",$D43="LPSM"),"","$"))),"")</f>
        <v/>
      </c>
      <c r="G43" s="171" t="str">
        <f ca="1">IFERROR(VALUE(C43)*F43,IF(AND(Bid?,NOT(Awd?),$D43="LPSM"),"$",F43))</f>
        <v/>
      </c>
      <c r="H43" s="374"/>
      <c r="I43" s="217" t="str">
        <f ca="1">IFERROR(VALUE(SUBSTITUTE(OFFSET(I43,-1,0)," "&amp;$D43,""))*$F43,"")</f>
        <v/>
      </c>
      <c r="J43" s="215" t="str">
        <f ca="1">IFERROR(VALUE(SUBSTITUTE(OFFSET(J43,-1,0)," "&amp;$D43,""))*$F43,"")</f>
        <v/>
      </c>
      <c r="K43" s="215" t="str">
        <f t="shared" ref="K43:M43" ca="1" si="38">IFERROR(VALUE(SUBSTITUTE(OFFSET(K43,-1,0)," "&amp;$D43,""))*$F43,"")</f>
        <v/>
      </c>
      <c r="L43" s="215" t="str">
        <f t="shared" ca="1" si="38"/>
        <v/>
      </c>
      <c r="M43" s="215" t="str">
        <f t="shared" ca="1" si="38"/>
        <v/>
      </c>
      <c r="N43" s="215" t="str">
        <f ca="1">IFERROR(VALUE(SUBSTITUTE(OFFSET(N43,-1,0)," "&amp;$D43,""))*$F43,"")</f>
        <v/>
      </c>
      <c r="O43" s="215" t="str">
        <f ca="1">IFERROR(VALUE(SUBSTITUTE(OFFSET(O43,-1,0)," "&amp;$D43,""))*$F43,"")</f>
        <v/>
      </c>
      <c r="P43" s="209" t="str">
        <f ca="1">IF(LEN(B43)&gt;0,ISNUMBER(MATCH(B43,Proposed[Item],0)),"")</f>
        <v/>
      </c>
      <c r="Q43" s="272" t="str">
        <f>(0+Reports[[#This Row],[Bid?]])&amp;(0+Reports[[#This Row],[Awd?]])&amp;(0+Reports[[#This Row],[All?]])&amp;(0+Reports[[#This Row],[Full?]])</f>
        <v>0001</v>
      </c>
      <c r="R43" s="1" t="b">
        <f>FALSE()</f>
        <v>0</v>
      </c>
      <c r="S43" s="109" t="b">
        <f>FALSE()</f>
        <v>0</v>
      </c>
      <c r="T43" s="1" t="b">
        <f>FALSE()</f>
        <v>0</v>
      </c>
      <c r="U43" s="1" t="b">
        <f>TRUE()</f>
        <v>1</v>
      </c>
      <c r="V43" s="1" t="s">
        <v>288</v>
      </c>
    </row>
    <row r="44" spans="1:22" ht="15" x14ac:dyDescent="0.2">
      <c r="A44" s="276">
        <f t="shared" ca="1" si="2"/>
        <v>19</v>
      </c>
      <c r="B44" s="168" t="str">
        <f ca="1">IFERROR(INDEX(INDIRECT(RangeItems),MATCH($A44,INDIRECT(RangeEstCount),0)),"")</f>
        <v/>
      </c>
      <c r="C44" s="365" t="str">
        <f ca="1">IFERROR(INDEX(Calcs[Description],INDEX(INDIRECT(RangeCount),MATCH($A44,INDIRECT(RangeEstCount),0))),"")</f>
        <v/>
      </c>
      <c r="D44" s="365"/>
      <c r="E44" s="365"/>
      <c r="F44" s="365"/>
      <c r="G44" s="365"/>
      <c r="H44" s="375" t="str">
        <f ca="1">IF(AND(Bid?,NOT(Awd?)),C44,OFFSET(F44,1,0))</f>
        <v/>
      </c>
      <c r="I44" s="216" t="str">
        <f t="shared" ref="I44:O44" ca="1" si="39">IFERROR(SUM(OFFSET(INDIRECT(RangeQuantity),MATCH($A44,INDIRECT(RangeEstCount),0)-1,COLUMN(I44)-COLUMN($H44),1,1))&amp;" "&amp;OFFSET($D44,1,0),"")</f>
        <v/>
      </c>
      <c r="J44" s="277" t="str">
        <f t="shared" ca="1" si="39"/>
        <v/>
      </c>
      <c r="K44" s="277" t="str">
        <f t="shared" ca="1" si="39"/>
        <v/>
      </c>
      <c r="L44" s="277" t="str">
        <f t="shared" ca="1" si="39"/>
        <v/>
      </c>
      <c r="M44" s="277" t="str">
        <f t="shared" ca="1" si="39"/>
        <v/>
      </c>
      <c r="N44" s="277" t="str">
        <f t="shared" ca="1" si="39"/>
        <v/>
      </c>
      <c r="O44" s="277" t="str">
        <f t="shared" ca="1" si="39"/>
        <v/>
      </c>
      <c r="P44" s="209" t="str">
        <f ca="1">IF(LEN(B44)&gt;0,ISNUMBER(MATCH(B44,Proposed[Item],0)),"")</f>
        <v/>
      </c>
      <c r="Q44" s="272" t="str">
        <f>(0+Reports[[#This Row],[Bid?]])&amp;(0+Reports[[#This Row],[Awd?]])&amp;(0+Reports[[#This Row],[All?]])&amp;(0+Reports[[#This Row],[Full?]])</f>
        <v>0000</v>
      </c>
      <c r="R44" s="1" t="b">
        <f>FALSE()</f>
        <v>0</v>
      </c>
      <c r="S44" s="109" t="b">
        <f>FALSE()</f>
        <v>0</v>
      </c>
      <c r="T44" s="1" t="b">
        <f>FALSE()</f>
        <v>0</v>
      </c>
      <c r="U44" s="1" t="b">
        <f>FALSE()</f>
        <v>0</v>
      </c>
      <c r="V44" s="109" t="s">
        <v>289</v>
      </c>
    </row>
    <row r="45" spans="1:22" ht="15" x14ac:dyDescent="0.2">
      <c r="A45" s="276">
        <f t="shared" ca="1" si="2"/>
        <v>19</v>
      </c>
      <c r="B45" s="111" t="str">
        <f ca="1">IFERROR("Line "&amp;INDEX(Calcs[Line],INDEX(INDIRECT(RangeCount),MATCH($A45,INDIRECT(RangeEstCount),0))),"")</f>
        <v/>
      </c>
      <c r="C45" s="169" t="str">
        <f ca="1">IFERROR(IF(AND($D45="LPSM",Bid?,All?),"ALL",TEXT(OFFSET(INDIRECT(RangeQuantity),MATCH($A45,INDIRECT(RangeEstCount),0)-1,MATCH(Account,Accounts,0)-1,1,1),IF($D45="LPSM","0%","#,##0"&amp;IF(OFFSET(Items[#Data],MATCH($A45,INDIRECT(RangeEstCount),0)-1,MATCH(Decimals,Items[#Headers],0)-1,1,1)&gt;0,"."&amp;REPT("0",OFFSET(Items[#Data],MATCH($A45,INDIRECT(RangeEstCount),0)-1,MATCH(Decimals,Items[#Headers],0)-1,1,1)),"")))),"")</f>
        <v/>
      </c>
      <c r="D45" s="170" t="str">
        <f ca="1">IFERROR(INDEX(INDIRECT(RangeUnit),MATCH($A45,INDIRECT(RangeEstCount),0))&amp;SUBSTITUTE(" ["&amp;INDEX(INDIRECT(RangeAmend),MATCH($A45,INDIRECT(RangeEstCount),0))&amp;"]"," []",""),"")</f>
        <v/>
      </c>
      <c r="E45" s="170" t="str">
        <f ca="1">IFERROR(IF(INDEX(INDIRECT(RangeContrQty),MATCH($A45,INDIRECT(RangeEstCount),0)),"(CQ)",""),"")</f>
        <v/>
      </c>
      <c r="F45" s="171" t="str">
        <f ca="1">IFERROR(IF(OR(NOT(Bid?),LEFT(UPPER($D45),4)="FXHR"),INDEX(INDIRECT(RangeUnitPrice),MATCH($A45,INDIRECT(RangeEstCount),0)),IF(Awd?,OFFSET(TabAmount,MATCH(INDEX(INDIRECT(RangeCount),MATCH($A45,INDIRECT(RangeEstCount),0)),OFFSET(TabCount,1,0,2*NumPayItems,1),0),MATCH(Awarded2,Bidders,0)),IF(OR($C45="",$D45="LPSM"),"","$"))),"")</f>
        <v/>
      </c>
      <c r="G45" s="171" t="str">
        <f ca="1">IFERROR(VALUE(C45)*F45,IF(AND(Bid?,NOT(Awd?),$D45="LPSM"),"$",F45))</f>
        <v/>
      </c>
      <c r="H45" s="374"/>
      <c r="I45" s="217" t="str">
        <f ca="1">IFERROR(VALUE(SUBSTITUTE(OFFSET(I45,-1,0)," "&amp;$D45,""))*$F45,"")</f>
        <v/>
      </c>
      <c r="J45" s="215" t="str">
        <f ca="1">IFERROR(VALUE(SUBSTITUTE(OFFSET(J45,-1,0)," "&amp;$D45,""))*$F45,"")</f>
        <v/>
      </c>
      <c r="K45" s="215" t="str">
        <f t="shared" ref="K45:M45" ca="1" si="40">IFERROR(VALUE(SUBSTITUTE(OFFSET(K45,-1,0)," "&amp;$D45,""))*$F45,"")</f>
        <v/>
      </c>
      <c r="L45" s="215" t="str">
        <f t="shared" ca="1" si="40"/>
        <v/>
      </c>
      <c r="M45" s="215" t="str">
        <f t="shared" ca="1" si="40"/>
        <v/>
      </c>
      <c r="N45" s="215" t="str">
        <f ca="1">IFERROR(VALUE(SUBSTITUTE(OFFSET(N45,-1,0)," "&amp;$D45,""))*$F45,"")</f>
        <v/>
      </c>
      <c r="O45" s="215" t="str">
        <f ca="1">IFERROR(VALUE(SUBSTITUTE(OFFSET(O45,-1,0)," "&amp;$D45,""))*$F45,"")</f>
        <v/>
      </c>
      <c r="P45" s="209" t="str">
        <f ca="1">IF(LEN(B45)&gt;0,ISNUMBER(MATCH(B45,Proposed[Item],0)),"")</f>
        <v/>
      </c>
    </row>
    <row r="46" spans="1:22" ht="15" x14ac:dyDescent="0.2">
      <c r="A46" s="276">
        <f t="shared" ca="1" si="2"/>
        <v>20</v>
      </c>
      <c r="B46" s="168" t="str">
        <f ca="1">IFERROR(INDEX(INDIRECT(RangeItems),MATCH($A46,INDIRECT(RangeEstCount),0)),"")</f>
        <v/>
      </c>
      <c r="C46" s="365" t="str">
        <f ca="1">IFERROR(INDEX(Calcs[Description],INDEX(INDIRECT(RangeCount),MATCH($A46,INDIRECT(RangeEstCount),0))),"")</f>
        <v/>
      </c>
      <c r="D46" s="365"/>
      <c r="E46" s="365"/>
      <c r="F46" s="365"/>
      <c r="G46" s="365"/>
      <c r="H46" s="375" t="str">
        <f ca="1">IF(AND(Bid?,NOT(Awd?)),C46,OFFSET(F46,1,0))</f>
        <v/>
      </c>
      <c r="I46" s="216" t="str">
        <f t="shared" ref="I46:O46" ca="1" si="41">IFERROR(SUM(OFFSET(INDIRECT(RangeQuantity),MATCH($A46,INDIRECT(RangeEstCount),0)-1,COLUMN(I46)-COLUMN($H46),1,1))&amp;" "&amp;OFFSET($D46,1,0),"")</f>
        <v/>
      </c>
      <c r="J46" s="277" t="str">
        <f t="shared" ca="1" si="41"/>
        <v/>
      </c>
      <c r="K46" s="277" t="str">
        <f t="shared" ca="1" si="41"/>
        <v/>
      </c>
      <c r="L46" s="277" t="str">
        <f t="shared" ca="1" si="41"/>
        <v/>
      </c>
      <c r="M46" s="277" t="str">
        <f t="shared" ca="1" si="41"/>
        <v/>
      </c>
      <c r="N46" s="277" t="str">
        <f t="shared" ca="1" si="41"/>
        <v/>
      </c>
      <c r="O46" s="277" t="str">
        <f t="shared" ca="1" si="41"/>
        <v/>
      </c>
      <c r="P46" s="209" t="str">
        <f ca="1">IF(LEN(B46)&gt;0,ISNUMBER(MATCH(B46,Proposed[Item],0)),"")</f>
        <v/>
      </c>
    </row>
    <row r="47" spans="1:22" ht="15" x14ac:dyDescent="0.2">
      <c r="A47" s="276">
        <f t="shared" ca="1" si="2"/>
        <v>20</v>
      </c>
      <c r="B47" s="111" t="str">
        <f ca="1">IFERROR("Line "&amp;INDEX(Calcs[Line],INDEX(INDIRECT(RangeCount),MATCH($A47,INDIRECT(RangeEstCount),0))),"")</f>
        <v/>
      </c>
      <c r="C47" s="169" t="str">
        <f ca="1">IFERROR(IF(AND($D47="LPSM",Bid?,All?),"ALL",TEXT(OFFSET(INDIRECT(RangeQuantity),MATCH($A47,INDIRECT(RangeEstCount),0)-1,MATCH(Account,Accounts,0)-1,1,1),IF($D47="LPSM","0%","#,##0"&amp;IF(OFFSET(Items[#Data],MATCH($A47,INDIRECT(RangeEstCount),0)-1,MATCH(Decimals,Items[#Headers],0)-1,1,1)&gt;0,"."&amp;REPT("0",OFFSET(Items[#Data],MATCH($A47,INDIRECT(RangeEstCount),0)-1,MATCH(Decimals,Items[#Headers],0)-1,1,1)),"")))),"")</f>
        <v/>
      </c>
      <c r="D47" s="170" t="str">
        <f ca="1">IFERROR(INDEX(INDIRECT(RangeUnit),MATCH($A47,INDIRECT(RangeEstCount),0))&amp;SUBSTITUTE(" ["&amp;INDEX(INDIRECT(RangeAmend),MATCH($A47,INDIRECT(RangeEstCount),0))&amp;"]"," []",""),"")</f>
        <v/>
      </c>
      <c r="E47" s="170" t="str">
        <f ca="1">IFERROR(IF(INDEX(INDIRECT(RangeContrQty),MATCH($A47,INDIRECT(RangeEstCount),0)),"(CQ)",""),"")</f>
        <v/>
      </c>
      <c r="F47" s="171" t="str">
        <f ca="1">IFERROR(IF(OR(NOT(Bid?),LEFT(UPPER($D47),4)="FXHR"),INDEX(INDIRECT(RangeUnitPrice),MATCH($A47,INDIRECT(RangeEstCount),0)),IF(Awd?,OFFSET(TabAmount,MATCH(INDEX(INDIRECT(RangeCount),MATCH($A47,INDIRECT(RangeEstCount),0)),OFFSET(TabCount,1,0,2*NumPayItems,1),0),MATCH(Awarded2,Bidders,0)),IF(OR($C47="",$D47="LPSM"),"","$"))),"")</f>
        <v/>
      </c>
      <c r="G47" s="171" t="str">
        <f ca="1">IFERROR(VALUE(C47)*F47,IF(AND(Bid?,NOT(Awd?),$D47="LPSM"),"$",F47))</f>
        <v/>
      </c>
      <c r="H47" s="374"/>
      <c r="I47" s="217" t="str">
        <f ca="1">IFERROR(VALUE(SUBSTITUTE(OFFSET(I47,-1,0)," "&amp;$D47,""))*$F47,"")</f>
        <v/>
      </c>
      <c r="J47" s="215" t="str">
        <f ca="1">IFERROR(VALUE(SUBSTITUTE(OFFSET(J47,-1,0)," "&amp;$D47,""))*$F47,"")</f>
        <v/>
      </c>
      <c r="K47" s="215" t="str">
        <f t="shared" ref="K47:M47" ca="1" si="42">IFERROR(VALUE(SUBSTITUTE(OFFSET(K47,-1,0)," "&amp;$D47,""))*$F47,"")</f>
        <v/>
      </c>
      <c r="L47" s="215" t="str">
        <f t="shared" ca="1" si="42"/>
        <v/>
      </c>
      <c r="M47" s="215" t="str">
        <f t="shared" ca="1" si="42"/>
        <v/>
      </c>
      <c r="N47" s="215" t="str">
        <f ca="1">IFERROR(VALUE(SUBSTITUTE(OFFSET(N47,-1,0)," "&amp;$D47,""))*$F47,"")</f>
        <v/>
      </c>
      <c r="O47" s="215" t="str">
        <f ca="1">IFERROR(VALUE(SUBSTITUTE(OFFSET(O47,-1,0)," "&amp;$D47,""))*$F47,"")</f>
        <v/>
      </c>
      <c r="P47" s="209" t="str">
        <f ca="1">IF(LEN(B47)&gt;0,ISNUMBER(MATCH(B47,Proposed[Item],0)),"")</f>
        <v/>
      </c>
      <c r="R47"/>
    </row>
    <row r="48" spans="1:22" ht="15" x14ac:dyDescent="0.2">
      <c r="A48" s="276">
        <f t="shared" ca="1" si="2"/>
        <v>21</v>
      </c>
      <c r="B48" s="168" t="str">
        <f ca="1">IFERROR(INDEX(INDIRECT(RangeItems),MATCH($A48,INDIRECT(RangeEstCount),0)),"")</f>
        <v/>
      </c>
      <c r="C48" s="365" t="str">
        <f ca="1">IFERROR(INDEX(Calcs[Description],INDEX(INDIRECT(RangeCount),MATCH($A48,INDIRECT(RangeEstCount),0))),"")</f>
        <v/>
      </c>
      <c r="D48" s="365"/>
      <c r="E48" s="365"/>
      <c r="F48" s="365"/>
      <c r="G48" s="365"/>
      <c r="H48" s="375" t="str">
        <f ca="1">IF(AND(Bid?,NOT(Awd?)),C48,OFFSET(F48,1,0))</f>
        <v/>
      </c>
      <c r="I48" s="216" t="str">
        <f t="shared" ref="I48:O48" ca="1" si="43">IFERROR(SUM(OFFSET(INDIRECT(RangeQuantity),MATCH($A48,INDIRECT(RangeEstCount),0)-1,COLUMN(I48)-COLUMN($H48),1,1))&amp;" "&amp;OFFSET($D48,1,0),"")</f>
        <v/>
      </c>
      <c r="J48" s="277" t="str">
        <f t="shared" ca="1" si="43"/>
        <v/>
      </c>
      <c r="K48" s="277" t="str">
        <f t="shared" ca="1" si="43"/>
        <v/>
      </c>
      <c r="L48" s="277" t="str">
        <f t="shared" ca="1" si="43"/>
        <v/>
      </c>
      <c r="M48" s="277" t="str">
        <f t="shared" ca="1" si="43"/>
        <v/>
      </c>
      <c r="N48" s="277" t="str">
        <f t="shared" ca="1" si="43"/>
        <v/>
      </c>
      <c r="O48" s="277" t="str">
        <f t="shared" ca="1" si="43"/>
        <v/>
      </c>
      <c r="P48" s="209" t="str">
        <f ca="1">IF(LEN(B48)&gt;0,ISNUMBER(MATCH(B48,Proposed[Item],0)),"")</f>
        <v/>
      </c>
    </row>
    <row r="49" spans="1:16" ht="15" x14ac:dyDescent="0.2">
      <c r="A49" s="276">
        <f t="shared" ca="1" si="2"/>
        <v>21</v>
      </c>
      <c r="B49" s="111" t="str">
        <f ca="1">IFERROR("Line "&amp;INDEX(Calcs[Line],INDEX(INDIRECT(RangeCount),MATCH($A49,INDIRECT(RangeEstCount),0))),"")</f>
        <v/>
      </c>
      <c r="C49" s="169" t="str">
        <f ca="1">IFERROR(IF(AND($D49="LPSM",Bid?,All?),"ALL",TEXT(OFFSET(INDIRECT(RangeQuantity),MATCH($A49,INDIRECT(RangeEstCount),0)-1,MATCH(Account,Accounts,0)-1,1,1),IF($D49="LPSM","0%","#,##0"&amp;IF(OFFSET(Items[#Data],MATCH($A49,INDIRECT(RangeEstCount),0)-1,MATCH(Decimals,Items[#Headers],0)-1,1,1)&gt;0,"."&amp;REPT("0",OFFSET(Items[#Data],MATCH($A49,INDIRECT(RangeEstCount),0)-1,MATCH(Decimals,Items[#Headers],0)-1,1,1)),"")))),"")</f>
        <v/>
      </c>
      <c r="D49" s="170" t="str">
        <f ca="1">IFERROR(INDEX(INDIRECT(RangeUnit),MATCH($A49,INDIRECT(RangeEstCount),0))&amp;SUBSTITUTE(" ["&amp;INDEX(INDIRECT(RangeAmend),MATCH($A49,INDIRECT(RangeEstCount),0))&amp;"]"," []",""),"")</f>
        <v/>
      </c>
      <c r="E49" s="170" t="str">
        <f ca="1">IFERROR(IF(INDEX(INDIRECT(RangeContrQty),MATCH($A49,INDIRECT(RangeEstCount),0)),"(CQ)",""),"")</f>
        <v/>
      </c>
      <c r="F49" s="171" t="str">
        <f ca="1">IFERROR(IF(OR(NOT(Bid?),LEFT(UPPER($D49),4)="FXHR"),INDEX(INDIRECT(RangeUnitPrice),MATCH($A49,INDIRECT(RangeEstCount),0)),IF(Awd?,OFFSET(TabAmount,MATCH(INDEX(INDIRECT(RangeCount),MATCH($A49,INDIRECT(RangeEstCount),0)),OFFSET(TabCount,1,0,2*NumPayItems,1),0),MATCH(Awarded2,Bidders,0)),IF(OR($C49="",$D49="LPSM"),"","$"))),"")</f>
        <v/>
      </c>
      <c r="G49" s="171" t="str">
        <f ca="1">IFERROR(VALUE(C49)*F49,IF(AND(Bid?,NOT(Awd?),$D49="LPSM"),"$",F49))</f>
        <v/>
      </c>
      <c r="H49" s="374"/>
      <c r="I49" s="217" t="str">
        <f ca="1">IFERROR(VALUE(SUBSTITUTE(OFFSET(I49,-1,0)," "&amp;$D49,""))*$F49,"")</f>
        <v/>
      </c>
      <c r="J49" s="215" t="str">
        <f ca="1">IFERROR(VALUE(SUBSTITUTE(OFFSET(J49,-1,0)," "&amp;$D49,""))*$F49,"")</f>
        <v/>
      </c>
      <c r="K49" s="215" t="str">
        <f t="shared" ref="K49:M49" ca="1" si="44">IFERROR(VALUE(SUBSTITUTE(OFFSET(K49,-1,0)," "&amp;$D49,""))*$F49,"")</f>
        <v/>
      </c>
      <c r="L49" s="215" t="str">
        <f t="shared" ca="1" si="44"/>
        <v/>
      </c>
      <c r="M49" s="215" t="str">
        <f t="shared" ca="1" si="44"/>
        <v/>
      </c>
      <c r="N49" s="215" t="str">
        <f ca="1">IFERROR(VALUE(SUBSTITUTE(OFFSET(N49,-1,0)," "&amp;$D49,""))*$F49,"")</f>
        <v/>
      </c>
      <c r="O49" s="215" t="str">
        <f ca="1">IFERROR(VALUE(SUBSTITUTE(OFFSET(O49,-1,0)," "&amp;$D49,""))*$F49,"")</f>
        <v/>
      </c>
      <c r="P49" s="209" t="str">
        <f ca="1">IF(LEN(B49)&gt;0,ISNUMBER(MATCH(B49,Proposed[Item],0)),"")</f>
        <v/>
      </c>
    </row>
    <row r="50" spans="1:16" ht="15" x14ac:dyDescent="0.2">
      <c r="A50" s="276">
        <f t="shared" ca="1" si="2"/>
        <v>22</v>
      </c>
      <c r="B50" s="168" t="str">
        <f ca="1">IFERROR(INDEX(INDIRECT(RangeItems),MATCH($A50,INDIRECT(RangeEstCount),0)),"")</f>
        <v/>
      </c>
      <c r="C50" s="365" t="str">
        <f ca="1">IFERROR(INDEX(Calcs[Description],INDEX(INDIRECT(RangeCount),MATCH($A50,INDIRECT(RangeEstCount),0))),"")</f>
        <v/>
      </c>
      <c r="D50" s="365"/>
      <c r="E50" s="365"/>
      <c r="F50" s="365"/>
      <c r="G50" s="365"/>
      <c r="H50" s="375" t="str">
        <f ca="1">IF(AND(Bid?,NOT(Awd?)),C50,OFFSET(F50,1,0))</f>
        <v/>
      </c>
      <c r="I50" s="216" t="str">
        <f t="shared" ref="I50:O50" ca="1" si="45">IFERROR(SUM(OFFSET(INDIRECT(RangeQuantity),MATCH($A50,INDIRECT(RangeEstCount),0)-1,COLUMN(I50)-COLUMN($H50),1,1))&amp;" "&amp;OFFSET($D50,1,0),"")</f>
        <v/>
      </c>
      <c r="J50" s="277" t="str">
        <f t="shared" ca="1" si="45"/>
        <v/>
      </c>
      <c r="K50" s="277" t="str">
        <f t="shared" ca="1" si="45"/>
        <v/>
      </c>
      <c r="L50" s="277" t="str">
        <f t="shared" ca="1" si="45"/>
        <v/>
      </c>
      <c r="M50" s="277" t="str">
        <f t="shared" ca="1" si="45"/>
        <v/>
      </c>
      <c r="N50" s="277" t="str">
        <f t="shared" ca="1" si="45"/>
        <v/>
      </c>
      <c r="O50" s="277" t="str">
        <f t="shared" ca="1" si="45"/>
        <v/>
      </c>
      <c r="P50" s="209" t="str">
        <f ca="1">IF(LEN(B50)&gt;0,ISNUMBER(MATCH(B50,Proposed[Item],0)),"")</f>
        <v/>
      </c>
    </row>
    <row r="51" spans="1:16" ht="15" x14ac:dyDescent="0.2">
      <c r="A51" s="276">
        <f t="shared" ca="1" si="2"/>
        <v>22</v>
      </c>
      <c r="B51" s="111" t="str">
        <f ca="1">IFERROR("Line "&amp;INDEX(Calcs[Line],INDEX(INDIRECT(RangeCount),MATCH($A51,INDIRECT(RangeEstCount),0))),"")</f>
        <v/>
      </c>
      <c r="C51" s="169" t="str">
        <f ca="1">IFERROR(IF(AND($D51="LPSM",Bid?,All?),"ALL",TEXT(OFFSET(INDIRECT(RangeQuantity),MATCH($A51,INDIRECT(RangeEstCount),0)-1,MATCH(Account,Accounts,0)-1,1,1),IF($D51="LPSM","0%","#,##0"&amp;IF(OFFSET(Items[#Data],MATCH($A51,INDIRECT(RangeEstCount),0)-1,MATCH(Decimals,Items[#Headers],0)-1,1,1)&gt;0,"."&amp;REPT("0",OFFSET(Items[#Data],MATCH($A51,INDIRECT(RangeEstCount),0)-1,MATCH(Decimals,Items[#Headers],0)-1,1,1)),"")))),"")</f>
        <v/>
      </c>
      <c r="D51" s="170" t="str">
        <f ca="1">IFERROR(INDEX(INDIRECT(RangeUnit),MATCH($A51,INDIRECT(RangeEstCount),0))&amp;SUBSTITUTE(" ["&amp;INDEX(INDIRECT(RangeAmend),MATCH($A51,INDIRECT(RangeEstCount),0))&amp;"]"," []",""),"")</f>
        <v/>
      </c>
      <c r="E51" s="170" t="str">
        <f ca="1">IFERROR(IF(INDEX(INDIRECT(RangeContrQty),MATCH($A51,INDIRECT(RangeEstCount),0)),"(CQ)",""),"")</f>
        <v/>
      </c>
      <c r="F51" s="171" t="str">
        <f ca="1">IFERROR(IF(OR(NOT(Bid?),LEFT(UPPER($D51),4)="FXHR"),INDEX(INDIRECT(RangeUnitPrice),MATCH($A51,INDIRECT(RangeEstCount),0)),IF(Awd?,OFFSET(TabAmount,MATCH(INDEX(INDIRECT(RangeCount),MATCH($A51,INDIRECT(RangeEstCount),0)),OFFSET(TabCount,1,0,2*NumPayItems,1),0),MATCH(Awarded2,Bidders,0)),IF(OR($C51="",$D51="LPSM"),"","$"))),"")</f>
        <v/>
      </c>
      <c r="G51" s="171" t="str">
        <f ca="1">IFERROR(VALUE(C51)*F51,IF(AND(Bid?,NOT(Awd?),$D51="LPSM"),"$",F51))</f>
        <v/>
      </c>
      <c r="H51" s="374"/>
      <c r="I51" s="217" t="str">
        <f ca="1">IFERROR(VALUE(SUBSTITUTE(OFFSET(I51,-1,0)," "&amp;$D51,""))*$F51,"")</f>
        <v/>
      </c>
      <c r="J51" s="215" t="str">
        <f ca="1">IFERROR(VALUE(SUBSTITUTE(OFFSET(J51,-1,0)," "&amp;$D51,""))*$F51,"")</f>
        <v/>
      </c>
      <c r="K51" s="215" t="str">
        <f t="shared" ref="K51:M51" ca="1" si="46">IFERROR(VALUE(SUBSTITUTE(OFFSET(K51,-1,0)," "&amp;$D51,""))*$F51,"")</f>
        <v/>
      </c>
      <c r="L51" s="215" t="str">
        <f t="shared" ca="1" si="46"/>
        <v/>
      </c>
      <c r="M51" s="215" t="str">
        <f t="shared" ca="1" si="46"/>
        <v/>
      </c>
      <c r="N51" s="215" t="str">
        <f ca="1">IFERROR(VALUE(SUBSTITUTE(OFFSET(N51,-1,0)," "&amp;$D51,""))*$F51,"")</f>
        <v/>
      </c>
      <c r="O51" s="215" t="str">
        <f ca="1">IFERROR(VALUE(SUBSTITUTE(OFFSET(O51,-1,0)," "&amp;$D51,""))*$F51,"")</f>
        <v/>
      </c>
      <c r="P51" s="209" t="str">
        <f ca="1">IF(LEN(B51)&gt;0,ISNUMBER(MATCH(B51,Proposed[Item],0)),"")</f>
        <v/>
      </c>
    </row>
    <row r="52" spans="1:16" ht="15" x14ac:dyDescent="0.2">
      <c r="A52" s="276">
        <f t="shared" ca="1" si="2"/>
        <v>23</v>
      </c>
      <c r="B52" s="168" t="str">
        <f ca="1">IFERROR(INDEX(INDIRECT(RangeItems),MATCH($A52,INDIRECT(RangeEstCount),0)),"")</f>
        <v/>
      </c>
      <c r="C52" s="365" t="str">
        <f ca="1">IFERROR(INDEX(Calcs[Description],INDEX(INDIRECT(RangeCount),MATCH($A52,INDIRECT(RangeEstCount),0))),"")</f>
        <v/>
      </c>
      <c r="D52" s="365"/>
      <c r="E52" s="365"/>
      <c r="F52" s="365"/>
      <c r="G52" s="365"/>
      <c r="H52" s="375" t="str">
        <f ca="1">IF(AND(Bid?,NOT(Awd?)),C52,OFFSET(F52,1,0))</f>
        <v/>
      </c>
      <c r="I52" s="216" t="str">
        <f t="shared" ref="I52:O52" ca="1" si="47">IFERROR(SUM(OFFSET(INDIRECT(RangeQuantity),MATCH($A52,INDIRECT(RangeEstCount),0)-1,COLUMN(I52)-COLUMN($H52),1,1))&amp;" "&amp;OFFSET($D52,1,0),"")</f>
        <v/>
      </c>
      <c r="J52" s="277" t="str">
        <f t="shared" ca="1" si="47"/>
        <v/>
      </c>
      <c r="K52" s="277" t="str">
        <f t="shared" ca="1" si="47"/>
        <v/>
      </c>
      <c r="L52" s="277" t="str">
        <f t="shared" ca="1" si="47"/>
        <v/>
      </c>
      <c r="M52" s="277" t="str">
        <f t="shared" ca="1" si="47"/>
        <v/>
      </c>
      <c r="N52" s="277" t="str">
        <f t="shared" ca="1" si="47"/>
        <v/>
      </c>
      <c r="O52" s="277" t="str">
        <f t="shared" ca="1" si="47"/>
        <v/>
      </c>
      <c r="P52" s="209" t="str">
        <f ca="1">IF(LEN(B52)&gt;0,ISNUMBER(MATCH(B52,Proposed[Item],0)),"")</f>
        <v/>
      </c>
    </row>
    <row r="53" spans="1:16" ht="15" x14ac:dyDescent="0.2">
      <c r="A53" s="276">
        <f t="shared" ca="1" si="2"/>
        <v>23</v>
      </c>
      <c r="B53" s="111" t="str">
        <f ca="1">IFERROR("Line "&amp;INDEX(Calcs[Line],INDEX(INDIRECT(RangeCount),MATCH($A53,INDIRECT(RangeEstCount),0))),"")</f>
        <v/>
      </c>
      <c r="C53" s="169" t="str">
        <f ca="1">IFERROR(IF(AND($D53="LPSM",Bid?,All?),"ALL",TEXT(OFFSET(INDIRECT(RangeQuantity),MATCH($A53,INDIRECT(RangeEstCount),0)-1,MATCH(Account,Accounts,0)-1,1,1),IF($D53="LPSM","0%","#,##0"&amp;IF(OFFSET(Items[#Data],MATCH($A53,INDIRECT(RangeEstCount),0)-1,MATCH(Decimals,Items[#Headers],0)-1,1,1)&gt;0,"."&amp;REPT("0",OFFSET(Items[#Data],MATCH($A53,INDIRECT(RangeEstCount),0)-1,MATCH(Decimals,Items[#Headers],0)-1,1,1)),"")))),"")</f>
        <v/>
      </c>
      <c r="D53" s="170" t="str">
        <f ca="1">IFERROR(INDEX(INDIRECT(RangeUnit),MATCH($A53,INDIRECT(RangeEstCount),0))&amp;SUBSTITUTE(" ["&amp;INDEX(INDIRECT(RangeAmend),MATCH($A53,INDIRECT(RangeEstCount),0))&amp;"]"," []",""),"")</f>
        <v/>
      </c>
      <c r="E53" s="170" t="str">
        <f ca="1">IFERROR(IF(INDEX(INDIRECT(RangeContrQty),MATCH($A53,INDIRECT(RangeEstCount),0)),"(CQ)",""),"")</f>
        <v/>
      </c>
      <c r="F53" s="171" t="str">
        <f ca="1">IFERROR(IF(OR(NOT(Bid?),LEFT(UPPER($D53),4)="FXHR"),INDEX(INDIRECT(RangeUnitPrice),MATCH($A53,INDIRECT(RangeEstCount),0)),IF(Awd?,OFFSET(TabAmount,MATCH(INDEX(INDIRECT(RangeCount),MATCH($A53,INDIRECT(RangeEstCount),0)),OFFSET(TabCount,1,0,2*NumPayItems,1),0),MATCH(Awarded2,Bidders,0)),IF(OR($C53="",$D53="LPSM"),"","$"))),"")</f>
        <v/>
      </c>
      <c r="G53" s="171" t="str">
        <f ca="1">IFERROR(VALUE(C53)*F53,IF(AND(Bid?,NOT(Awd?),$D53="LPSM"),"$",F53))</f>
        <v/>
      </c>
      <c r="H53" s="374"/>
      <c r="I53" s="217" t="str">
        <f ca="1">IFERROR(VALUE(SUBSTITUTE(OFFSET(I53,-1,0)," "&amp;$D53,""))*$F53,"")</f>
        <v/>
      </c>
      <c r="J53" s="215" t="str">
        <f ca="1">IFERROR(VALUE(SUBSTITUTE(OFFSET(J53,-1,0)," "&amp;$D53,""))*$F53,"")</f>
        <v/>
      </c>
      <c r="K53" s="215" t="str">
        <f t="shared" ref="K53:M53" ca="1" si="48">IFERROR(VALUE(SUBSTITUTE(OFFSET(K53,-1,0)," "&amp;$D53,""))*$F53,"")</f>
        <v/>
      </c>
      <c r="L53" s="215" t="str">
        <f t="shared" ca="1" si="48"/>
        <v/>
      </c>
      <c r="M53" s="215" t="str">
        <f t="shared" ca="1" si="48"/>
        <v/>
      </c>
      <c r="N53" s="215" t="str">
        <f ca="1">IFERROR(VALUE(SUBSTITUTE(OFFSET(N53,-1,0)," "&amp;$D53,""))*$F53,"")</f>
        <v/>
      </c>
      <c r="O53" s="215" t="str">
        <f ca="1">IFERROR(VALUE(SUBSTITUTE(OFFSET(O53,-1,0)," "&amp;$D53,""))*$F53,"")</f>
        <v/>
      </c>
      <c r="P53" s="209" t="str">
        <f ca="1">IF(LEN(B53)&gt;0,ISNUMBER(MATCH(B53,Proposed[Item],0)),"")</f>
        <v/>
      </c>
    </row>
    <row r="54" spans="1:16" ht="15" x14ac:dyDescent="0.2">
      <c r="A54" s="276">
        <f t="shared" ca="1" si="2"/>
        <v>24</v>
      </c>
      <c r="B54" s="168" t="str">
        <f ca="1">IFERROR(INDEX(INDIRECT(RangeItems),MATCH($A54,INDIRECT(RangeEstCount),0)),"")</f>
        <v/>
      </c>
      <c r="C54" s="365" t="str">
        <f ca="1">IFERROR(INDEX(Calcs[Description],INDEX(INDIRECT(RangeCount),MATCH($A54,INDIRECT(RangeEstCount),0))),"")</f>
        <v/>
      </c>
      <c r="D54" s="365"/>
      <c r="E54" s="365"/>
      <c r="F54" s="365"/>
      <c r="G54" s="365"/>
      <c r="H54" s="375" t="str">
        <f ca="1">IF(AND(Bid?,NOT(Awd?)),C54,OFFSET(F54,1,0))</f>
        <v/>
      </c>
      <c r="I54" s="216" t="str">
        <f t="shared" ref="I54:O54" ca="1" si="49">IFERROR(SUM(OFFSET(INDIRECT(RangeQuantity),MATCH($A54,INDIRECT(RangeEstCount),0)-1,COLUMN(I54)-COLUMN($H54),1,1))&amp;" "&amp;OFFSET($D54,1,0),"")</f>
        <v/>
      </c>
      <c r="J54" s="277" t="str">
        <f t="shared" ca="1" si="49"/>
        <v/>
      </c>
      <c r="K54" s="277" t="str">
        <f t="shared" ca="1" si="49"/>
        <v/>
      </c>
      <c r="L54" s="277" t="str">
        <f t="shared" ca="1" si="49"/>
        <v/>
      </c>
      <c r="M54" s="277" t="str">
        <f t="shared" ca="1" si="49"/>
        <v/>
      </c>
      <c r="N54" s="277" t="str">
        <f t="shared" ca="1" si="49"/>
        <v/>
      </c>
      <c r="O54" s="277" t="str">
        <f t="shared" ca="1" si="49"/>
        <v/>
      </c>
      <c r="P54" s="209" t="str">
        <f ca="1">IF(LEN(B54)&gt;0,ISNUMBER(MATCH(B54,Proposed[Item],0)),"")</f>
        <v/>
      </c>
    </row>
    <row r="55" spans="1:16" ht="15" x14ac:dyDescent="0.2">
      <c r="A55" s="276">
        <f t="shared" ca="1" si="2"/>
        <v>24</v>
      </c>
      <c r="B55" s="111" t="str">
        <f ca="1">IFERROR("Line "&amp;INDEX(Calcs[Line],INDEX(INDIRECT(RangeCount),MATCH($A55,INDIRECT(RangeEstCount),0))),"")</f>
        <v/>
      </c>
      <c r="C55" s="169" t="str">
        <f ca="1">IFERROR(IF(AND($D55="LPSM",Bid?,All?),"ALL",TEXT(OFFSET(INDIRECT(RangeQuantity),MATCH($A55,INDIRECT(RangeEstCount),0)-1,MATCH(Account,Accounts,0)-1,1,1),IF($D55="LPSM","0%","#,##0"&amp;IF(OFFSET(Items[#Data],MATCH($A55,INDIRECT(RangeEstCount),0)-1,MATCH(Decimals,Items[#Headers],0)-1,1,1)&gt;0,"."&amp;REPT("0",OFFSET(Items[#Data],MATCH($A55,INDIRECT(RangeEstCount),0)-1,MATCH(Decimals,Items[#Headers],0)-1,1,1)),"")))),"")</f>
        <v/>
      </c>
      <c r="D55" s="170" t="str">
        <f ca="1">IFERROR(INDEX(INDIRECT(RangeUnit),MATCH($A55,INDIRECT(RangeEstCount),0))&amp;SUBSTITUTE(" ["&amp;INDEX(INDIRECT(RangeAmend),MATCH($A55,INDIRECT(RangeEstCount),0))&amp;"]"," []",""),"")</f>
        <v/>
      </c>
      <c r="E55" s="170" t="str">
        <f ca="1">IFERROR(IF(INDEX(INDIRECT(RangeContrQty),MATCH($A55,INDIRECT(RangeEstCount),0)),"(CQ)",""),"")</f>
        <v/>
      </c>
      <c r="F55" s="171" t="str">
        <f ca="1">IFERROR(IF(OR(NOT(Bid?),LEFT(UPPER($D55),4)="FXHR"),INDEX(INDIRECT(RangeUnitPrice),MATCH($A55,INDIRECT(RangeEstCount),0)),IF(Awd?,OFFSET(TabAmount,MATCH(INDEX(INDIRECT(RangeCount),MATCH($A55,INDIRECT(RangeEstCount),0)),OFFSET(TabCount,1,0,2*NumPayItems,1),0),MATCH(Awarded2,Bidders,0)),IF(OR($C55="",$D55="LPSM"),"","$"))),"")</f>
        <v/>
      </c>
      <c r="G55" s="171" t="str">
        <f ca="1">IFERROR(VALUE(C55)*F55,IF(AND(Bid?,NOT(Awd?),$D55="LPSM"),"$",F55))</f>
        <v/>
      </c>
      <c r="H55" s="374"/>
      <c r="I55" s="217" t="str">
        <f ca="1">IFERROR(VALUE(SUBSTITUTE(OFFSET(I55,-1,0)," "&amp;$D55,""))*$F55,"")</f>
        <v/>
      </c>
      <c r="J55" s="215" t="str">
        <f ca="1">IFERROR(VALUE(SUBSTITUTE(OFFSET(J55,-1,0)," "&amp;$D55,""))*$F55,"")</f>
        <v/>
      </c>
      <c r="K55" s="215" t="str">
        <f t="shared" ref="K55:M55" ca="1" si="50">IFERROR(VALUE(SUBSTITUTE(OFFSET(K55,-1,0)," "&amp;$D55,""))*$F55,"")</f>
        <v/>
      </c>
      <c r="L55" s="215" t="str">
        <f t="shared" ca="1" si="50"/>
        <v/>
      </c>
      <c r="M55" s="215" t="str">
        <f t="shared" ca="1" si="50"/>
        <v/>
      </c>
      <c r="N55" s="215" t="str">
        <f ca="1">IFERROR(VALUE(SUBSTITUTE(OFFSET(N55,-1,0)," "&amp;$D55,""))*$F55,"")</f>
        <v/>
      </c>
      <c r="O55" s="215" t="str">
        <f ca="1">IFERROR(VALUE(SUBSTITUTE(OFFSET(O55,-1,0)," "&amp;$D55,""))*$F55,"")</f>
        <v/>
      </c>
      <c r="P55" s="209" t="str">
        <f ca="1">IF(LEN(B55)&gt;0,ISNUMBER(MATCH(B55,Proposed[Item],0)),"")</f>
        <v/>
      </c>
    </row>
    <row r="56" spans="1:16" ht="15" x14ac:dyDescent="0.2">
      <c r="A56" s="276">
        <f t="shared" ca="1" si="2"/>
        <v>25</v>
      </c>
      <c r="B56" s="168" t="str">
        <f ca="1">IFERROR(INDEX(INDIRECT(RangeItems),MATCH($A56,INDIRECT(RangeEstCount),0)),"")</f>
        <v/>
      </c>
      <c r="C56" s="365" t="str">
        <f ca="1">IFERROR(INDEX(Calcs[Description],INDEX(INDIRECT(RangeCount),MATCH($A56,INDIRECT(RangeEstCount),0))),"")</f>
        <v/>
      </c>
      <c r="D56" s="365"/>
      <c r="E56" s="365"/>
      <c r="F56" s="365"/>
      <c r="G56" s="365"/>
      <c r="H56" s="375" t="str">
        <f ca="1">IF(AND(Bid?,NOT(Awd?)),C56,OFFSET(F56,1,0))</f>
        <v/>
      </c>
      <c r="I56" s="216" t="str">
        <f t="shared" ref="I56:O56" ca="1" si="51">IFERROR(SUM(OFFSET(INDIRECT(RangeQuantity),MATCH($A56,INDIRECT(RangeEstCount),0)-1,COLUMN(I56)-COLUMN($H56),1,1))&amp;" "&amp;OFFSET($D56,1,0),"")</f>
        <v/>
      </c>
      <c r="J56" s="277" t="str">
        <f t="shared" ca="1" si="51"/>
        <v/>
      </c>
      <c r="K56" s="277" t="str">
        <f t="shared" ca="1" si="51"/>
        <v/>
      </c>
      <c r="L56" s="277" t="str">
        <f t="shared" ca="1" si="51"/>
        <v/>
      </c>
      <c r="M56" s="277" t="str">
        <f t="shared" ca="1" si="51"/>
        <v/>
      </c>
      <c r="N56" s="277" t="str">
        <f t="shared" ca="1" si="51"/>
        <v/>
      </c>
      <c r="O56" s="277" t="str">
        <f t="shared" ca="1" si="51"/>
        <v/>
      </c>
      <c r="P56" s="209" t="str">
        <f ca="1">IF(LEN(B56)&gt;0,ISNUMBER(MATCH(B56,Proposed[Item],0)),"")</f>
        <v/>
      </c>
    </row>
    <row r="57" spans="1:16" ht="15" x14ac:dyDescent="0.2">
      <c r="A57" s="276">
        <f t="shared" ca="1" si="2"/>
        <v>25</v>
      </c>
      <c r="B57" s="111" t="str">
        <f ca="1">IFERROR("Line "&amp;INDEX(Calcs[Line],INDEX(INDIRECT(RangeCount),MATCH($A57,INDIRECT(RangeEstCount),0))),"")</f>
        <v/>
      </c>
      <c r="C57" s="169" t="str">
        <f ca="1">IFERROR(IF(AND($D57="LPSM",Bid?,All?),"ALL",TEXT(OFFSET(INDIRECT(RangeQuantity),MATCH($A57,INDIRECT(RangeEstCount),0)-1,MATCH(Account,Accounts,0)-1,1,1),IF($D57="LPSM","0%","#,##0"&amp;IF(OFFSET(Items[#Data],MATCH($A57,INDIRECT(RangeEstCount),0)-1,MATCH(Decimals,Items[#Headers],0)-1,1,1)&gt;0,"."&amp;REPT("0",OFFSET(Items[#Data],MATCH($A57,INDIRECT(RangeEstCount),0)-1,MATCH(Decimals,Items[#Headers],0)-1,1,1)),"")))),"")</f>
        <v/>
      </c>
      <c r="D57" s="170" t="str">
        <f ca="1">IFERROR(INDEX(INDIRECT(RangeUnit),MATCH($A57,INDIRECT(RangeEstCount),0))&amp;SUBSTITUTE(" ["&amp;INDEX(INDIRECT(RangeAmend),MATCH($A57,INDIRECT(RangeEstCount),0))&amp;"]"," []",""),"")</f>
        <v/>
      </c>
      <c r="E57" s="170" t="str">
        <f ca="1">IFERROR(IF(INDEX(INDIRECT(RangeContrQty),MATCH($A57,INDIRECT(RangeEstCount),0)),"(CQ)",""),"")</f>
        <v/>
      </c>
      <c r="F57" s="171" t="str">
        <f ca="1">IFERROR(IF(OR(NOT(Bid?),LEFT(UPPER($D57),4)="FXHR"),INDEX(INDIRECT(RangeUnitPrice),MATCH($A57,INDIRECT(RangeEstCount),0)),IF(Awd?,OFFSET(TabAmount,MATCH(INDEX(INDIRECT(RangeCount),MATCH($A57,INDIRECT(RangeEstCount),0)),OFFSET(TabCount,1,0,2*NumPayItems,1),0),MATCH(Awarded2,Bidders,0)),IF(OR($C57="",$D57="LPSM"),"","$"))),"")</f>
        <v/>
      </c>
      <c r="G57" s="171" t="str">
        <f ca="1">IFERROR(VALUE(C57)*F57,IF(AND(Bid?,NOT(Awd?),$D57="LPSM"),"$",F57))</f>
        <v/>
      </c>
      <c r="H57" s="374"/>
      <c r="I57" s="217" t="str">
        <f ca="1">IFERROR(VALUE(SUBSTITUTE(OFFSET(I57,-1,0)," "&amp;$D57,""))*$F57,"")</f>
        <v/>
      </c>
      <c r="J57" s="215" t="str">
        <f ca="1">IFERROR(VALUE(SUBSTITUTE(OFFSET(J57,-1,0)," "&amp;$D57,""))*$F57,"")</f>
        <v/>
      </c>
      <c r="K57" s="215" t="str">
        <f t="shared" ref="K57:M57" ca="1" si="52">IFERROR(VALUE(SUBSTITUTE(OFFSET(K57,-1,0)," "&amp;$D57,""))*$F57,"")</f>
        <v/>
      </c>
      <c r="L57" s="215" t="str">
        <f t="shared" ca="1" si="52"/>
        <v/>
      </c>
      <c r="M57" s="215" t="str">
        <f t="shared" ca="1" si="52"/>
        <v/>
      </c>
      <c r="N57" s="215" t="str">
        <f ca="1">IFERROR(VALUE(SUBSTITUTE(OFFSET(N57,-1,0)," "&amp;$D57,""))*$F57,"")</f>
        <v/>
      </c>
      <c r="O57" s="215" t="str">
        <f ca="1">IFERROR(VALUE(SUBSTITUTE(OFFSET(O57,-1,0)," "&amp;$D57,""))*$F57,"")</f>
        <v/>
      </c>
      <c r="P57" s="209" t="str">
        <f ca="1">IF(LEN(B57)&gt;0,ISNUMBER(MATCH(B57,Proposed[Item],0)),"")</f>
        <v/>
      </c>
    </row>
    <row r="58" spans="1:16" ht="15" x14ac:dyDescent="0.2">
      <c r="A58" s="276">
        <f t="shared" ca="1" si="2"/>
        <v>26</v>
      </c>
      <c r="B58" s="168" t="str">
        <f ca="1">IFERROR(INDEX(INDIRECT(RangeItems),MATCH($A58,INDIRECT(RangeEstCount),0)),"")</f>
        <v/>
      </c>
      <c r="C58" s="365" t="str">
        <f ca="1">IFERROR(INDEX(Calcs[Description],INDEX(INDIRECT(RangeCount),MATCH($A58,INDIRECT(RangeEstCount),0))),"")</f>
        <v/>
      </c>
      <c r="D58" s="365"/>
      <c r="E58" s="365"/>
      <c r="F58" s="365"/>
      <c r="G58" s="365"/>
      <c r="H58" s="375" t="str">
        <f ca="1">IF(AND(Bid?,NOT(Awd?)),C58,OFFSET(F58,1,0))</f>
        <v/>
      </c>
      <c r="I58" s="216" t="str">
        <f t="shared" ref="I58:O58" ca="1" si="53">IFERROR(SUM(OFFSET(INDIRECT(RangeQuantity),MATCH($A58,INDIRECT(RangeEstCount),0)-1,COLUMN(I58)-COLUMN($H58),1,1))&amp;" "&amp;OFFSET($D58,1,0),"")</f>
        <v/>
      </c>
      <c r="J58" s="277" t="str">
        <f t="shared" ca="1" si="53"/>
        <v/>
      </c>
      <c r="K58" s="277" t="str">
        <f t="shared" ca="1" si="53"/>
        <v/>
      </c>
      <c r="L58" s="277" t="str">
        <f t="shared" ca="1" si="53"/>
        <v/>
      </c>
      <c r="M58" s="277" t="str">
        <f t="shared" ca="1" si="53"/>
        <v/>
      </c>
      <c r="N58" s="277" t="str">
        <f t="shared" ca="1" si="53"/>
        <v/>
      </c>
      <c r="O58" s="277" t="str">
        <f t="shared" ca="1" si="53"/>
        <v/>
      </c>
      <c r="P58" s="209" t="str">
        <f ca="1">IF(LEN(B58)&gt;0,ISNUMBER(MATCH(B58,Proposed[Item],0)),"")</f>
        <v/>
      </c>
    </row>
    <row r="59" spans="1:16" ht="15" x14ac:dyDescent="0.2">
      <c r="A59" s="276">
        <f t="shared" ca="1" si="2"/>
        <v>26</v>
      </c>
      <c r="B59" s="111" t="str">
        <f ca="1">IFERROR("Line "&amp;INDEX(Calcs[Line],INDEX(INDIRECT(RangeCount),MATCH($A59,INDIRECT(RangeEstCount),0))),"")</f>
        <v/>
      </c>
      <c r="C59" s="169" t="str">
        <f ca="1">IFERROR(IF(AND($D59="LPSM",Bid?,All?),"ALL",TEXT(OFFSET(INDIRECT(RangeQuantity),MATCH($A59,INDIRECT(RangeEstCount),0)-1,MATCH(Account,Accounts,0)-1,1,1),IF($D59="LPSM","0%","#,##0"&amp;IF(OFFSET(Items[#Data],MATCH($A59,INDIRECT(RangeEstCount),0)-1,MATCH(Decimals,Items[#Headers],0)-1,1,1)&gt;0,"."&amp;REPT("0",OFFSET(Items[#Data],MATCH($A59,INDIRECT(RangeEstCount),0)-1,MATCH(Decimals,Items[#Headers],0)-1,1,1)),"")))),"")</f>
        <v/>
      </c>
      <c r="D59" s="170" t="str">
        <f ca="1">IFERROR(INDEX(INDIRECT(RangeUnit),MATCH($A59,INDIRECT(RangeEstCount),0))&amp;SUBSTITUTE(" ["&amp;INDEX(INDIRECT(RangeAmend),MATCH($A59,INDIRECT(RangeEstCount),0))&amp;"]"," []",""),"")</f>
        <v/>
      </c>
      <c r="E59" s="170" t="str">
        <f ca="1">IFERROR(IF(INDEX(INDIRECT(RangeContrQty),MATCH($A59,INDIRECT(RangeEstCount),0)),"(CQ)",""),"")</f>
        <v/>
      </c>
      <c r="F59" s="171" t="str">
        <f ca="1">IFERROR(IF(OR(NOT(Bid?),LEFT(UPPER($D59),4)="FXHR"),INDEX(INDIRECT(RangeUnitPrice),MATCH($A59,INDIRECT(RangeEstCount),0)),IF(Awd?,OFFSET(TabAmount,MATCH(INDEX(INDIRECT(RangeCount),MATCH($A59,INDIRECT(RangeEstCount),0)),OFFSET(TabCount,1,0,2*NumPayItems,1),0),MATCH(Awarded2,Bidders,0)),IF(OR($C59="",$D59="LPSM"),"","$"))),"")</f>
        <v/>
      </c>
      <c r="G59" s="171" t="str">
        <f ca="1">IFERROR(VALUE(C59)*F59,IF(AND(Bid?,NOT(Awd?),$D59="LPSM"),"$",F59))</f>
        <v/>
      </c>
      <c r="H59" s="374"/>
      <c r="I59" s="217" t="str">
        <f ca="1">IFERROR(VALUE(SUBSTITUTE(OFFSET(I59,-1,0)," "&amp;$D59,""))*$F59,"")</f>
        <v/>
      </c>
      <c r="J59" s="215" t="str">
        <f ca="1">IFERROR(VALUE(SUBSTITUTE(OFFSET(J59,-1,0)," "&amp;$D59,""))*$F59,"")</f>
        <v/>
      </c>
      <c r="K59" s="215" t="str">
        <f t="shared" ref="K59:M59" ca="1" si="54">IFERROR(VALUE(SUBSTITUTE(OFFSET(K59,-1,0)," "&amp;$D59,""))*$F59,"")</f>
        <v/>
      </c>
      <c r="L59" s="215" t="str">
        <f t="shared" ca="1" si="54"/>
        <v/>
      </c>
      <c r="M59" s="215" t="str">
        <f t="shared" ca="1" si="54"/>
        <v/>
      </c>
      <c r="N59" s="215" t="str">
        <f ca="1">IFERROR(VALUE(SUBSTITUTE(OFFSET(N59,-1,0)," "&amp;$D59,""))*$F59,"")</f>
        <v/>
      </c>
      <c r="O59" s="215" t="str">
        <f ca="1">IFERROR(VALUE(SUBSTITUTE(OFFSET(O59,-1,0)," "&amp;$D59,""))*$F59,"")</f>
        <v/>
      </c>
      <c r="P59" s="209" t="str">
        <f ca="1">IF(LEN(B59)&gt;0,ISNUMBER(MATCH(B59,Proposed[Item],0)),"")</f>
        <v/>
      </c>
    </row>
    <row r="60" spans="1:16" ht="15" x14ac:dyDescent="0.2">
      <c r="A60" s="276">
        <f t="shared" ca="1" si="2"/>
        <v>27</v>
      </c>
      <c r="B60" s="168" t="str">
        <f ca="1">IFERROR(INDEX(INDIRECT(RangeItems),MATCH($A60,INDIRECT(RangeEstCount),0)),"")</f>
        <v/>
      </c>
      <c r="C60" s="365" t="str">
        <f ca="1">IFERROR(INDEX(Calcs[Description],INDEX(INDIRECT(RangeCount),MATCH($A60,INDIRECT(RangeEstCount),0))),"")</f>
        <v/>
      </c>
      <c r="D60" s="365"/>
      <c r="E60" s="365"/>
      <c r="F60" s="365"/>
      <c r="G60" s="365"/>
      <c r="H60" s="375" t="str">
        <f ca="1">IF(AND(Bid?,NOT(Awd?)),C60,OFFSET(F60,1,0))</f>
        <v/>
      </c>
      <c r="I60" s="216" t="str">
        <f t="shared" ref="I60:O60" ca="1" si="55">IFERROR(SUM(OFFSET(INDIRECT(RangeQuantity),MATCH($A60,INDIRECT(RangeEstCount),0)-1,COLUMN(I60)-COLUMN($H60),1,1))&amp;" "&amp;OFFSET($D60,1,0),"")</f>
        <v/>
      </c>
      <c r="J60" s="277" t="str">
        <f t="shared" ca="1" si="55"/>
        <v/>
      </c>
      <c r="K60" s="277" t="str">
        <f t="shared" ca="1" si="55"/>
        <v/>
      </c>
      <c r="L60" s="277" t="str">
        <f t="shared" ca="1" si="55"/>
        <v/>
      </c>
      <c r="M60" s="277" t="str">
        <f t="shared" ca="1" si="55"/>
        <v/>
      </c>
      <c r="N60" s="277" t="str">
        <f t="shared" ca="1" si="55"/>
        <v/>
      </c>
      <c r="O60" s="277" t="str">
        <f t="shared" ca="1" si="55"/>
        <v/>
      </c>
      <c r="P60" s="209" t="str">
        <f ca="1">IF(LEN(B60)&gt;0,ISNUMBER(MATCH(B60,Proposed[Item],0)),"")</f>
        <v/>
      </c>
    </row>
    <row r="61" spans="1:16" ht="15" x14ac:dyDescent="0.2">
      <c r="A61" s="276">
        <f t="shared" ca="1" si="2"/>
        <v>27</v>
      </c>
      <c r="B61" s="111" t="str">
        <f ca="1">IFERROR("Line "&amp;INDEX(Calcs[Line],INDEX(INDIRECT(RangeCount),MATCH($A61,INDIRECT(RangeEstCount),0))),"")</f>
        <v/>
      </c>
      <c r="C61" s="169" t="str">
        <f ca="1">IFERROR(IF(AND($D61="LPSM",Bid?,All?),"ALL",TEXT(OFFSET(INDIRECT(RangeQuantity),MATCH($A61,INDIRECT(RangeEstCount),0)-1,MATCH(Account,Accounts,0)-1,1,1),IF($D61="LPSM","0%","#,##0"&amp;IF(OFFSET(Items[#Data],MATCH($A61,INDIRECT(RangeEstCount),0)-1,MATCH(Decimals,Items[#Headers],0)-1,1,1)&gt;0,"."&amp;REPT("0",OFFSET(Items[#Data],MATCH($A61,INDIRECT(RangeEstCount),0)-1,MATCH(Decimals,Items[#Headers],0)-1,1,1)),"")))),"")</f>
        <v/>
      </c>
      <c r="D61" s="170" t="str">
        <f ca="1">IFERROR(INDEX(INDIRECT(RangeUnit),MATCH($A61,INDIRECT(RangeEstCount),0))&amp;SUBSTITUTE(" ["&amp;INDEX(INDIRECT(RangeAmend),MATCH($A61,INDIRECT(RangeEstCount),0))&amp;"]"," []",""),"")</f>
        <v/>
      </c>
      <c r="E61" s="170" t="str">
        <f ca="1">IFERROR(IF(INDEX(INDIRECT(RangeContrQty),MATCH($A61,INDIRECT(RangeEstCount),0)),"(CQ)",""),"")</f>
        <v/>
      </c>
      <c r="F61" s="171" t="str">
        <f ca="1">IFERROR(IF(OR(NOT(Bid?),LEFT(UPPER($D61),4)="FXHR"),INDEX(INDIRECT(RangeUnitPrice),MATCH($A61,INDIRECT(RangeEstCount),0)),IF(Awd?,OFFSET(TabAmount,MATCH(INDEX(INDIRECT(RangeCount),MATCH($A61,INDIRECT(RangeEstCount),0)),OFFSET(TabCount,1,0,2*NumPayItems,1),0),MATCH(Awarded2,Bidders,0)),IF(OR($C61="",$D61="LPSM"),"","$"))),"")</f>
        <v/>
      </c>
      <c r="G61" s="171" t="str">
        <f ca="1">IFERROR(VALUE(C61)*F61,IF(AND(Bid?,NOT(Awd?),$D61="LPSM"),"$",F61))</f>
        <v/>
      </c>
      <c r="H61" s="374"/>
      <c r="I61" s="217" t="str">
        <f ca="1">IFERROR(VALUE(SUBSTITUTE(OFFSET(I61,-1,0)," "&amp;$D61,""))*$F61,"")</f>
        <v/>
      </c>
      <c r="J61" s="215" t="str">
        <f ca="1">IFERROR(VALUE(SUBSTITUTE(OFFSET(J61,-1,0)," "&amp;$D61,""))*$F61,"")</f>
        <v/>
      </c>
      <c r="K61" s="215" t="str">
        <f t="shared" ref="K61:M61" ca="1" si="56">IFERROR(VALUE(SUBSTITUTE(OFFSET(K61,-1,0)," "&amp;$D61,""))*$F61,"")</f>
        <v/>
      </c>
      <c r="L61" s="215" t="str">
        <f t="shared" ca="1" si="56"/>
        <v/>
      </c>
      <c r="M61" s="215" t="str">
        <f t="shared" ca="1" si="56"/>
        <v/>
      </c>
      <c r="N61" s="215" t="str">
        <f ca="1">IFERROR(VALUE(SUBSTITUTE(OFFSET(N61,-1,0)," "&amp;$D61,""))*$F61,"")</f>
        <v/>
      </c>
      <c r="O61" s="215" t="str">
        <f ca="1">IFERROR(VALUE(SUBSTITUTE(OFFSET(O61,-1,0)," "&amp;$D61,""))*$F61,"")</f>
        <v/>
      </c>
      <c r="P61" s="209" t="str">
        <f ca="1">IF(LEN(B61)&gt;0,ISNUMBER(MATCH(B61,Proposed[Item],0)),"")</f>
        <v/>
      </c>
    </row>
    <row r="62" spans="1:16" ht="15" x14ac:dyDescent="0.2">
      <c r="A62" s="276">
        <f t="shared" ca="1" si="2"/>
        <v>28</v>
      </c>
      <c r="B62" s="168" t="str">
        <f ca="1">IFERROR(INDEX(INDIRECT(RangeItems),MATCH($A62,INDIRECT(RangeEstCount),0)),"")</f>
        <v/>
      </c>
      <c r="C62" s="365" t="str">
        <f ca="1">IFERROR(INDEX(Calcs[Description],INDEX(INDIRECT(RangeCount),MATCH($A62,INDIRECT(RangeEstCount),0))),"")</f>
        <v/>
      </c>
      <c r="D62" s="365"/>
      <c r="E62" s="365"/>
      <c r="F62" s="365"/>
      <c r="G62" s="365"/>
      <c r="H62" s="375" t="str">
        <f ca="1">IF(AND(Bid?,NOT(Awd?)),C62,OFFSET(F62,1,0))</f>
        <v/>
      </c>
      <c r="I62" s="216" t="str">
        <f t="shared" ref="I62:O62" ca="1" si="57">IFERROR(SUM(OFFSET(INDIRECT(RangeQuantity),MATCH($A62,INDIRECT(RangeEstCount),0)-1,COLUMN(I62)-COLUMN($H62),1,1))&amp;" "&amp;OFFSET($D62,1,0),"")</f>
        <v/>
      </c>
      <c r="J62" s="277" t="str">
        <f t="shared" ca="1" si="57"/>
        <v/>
      </c>
      <c r="K62" s="277" t="str">
        <f t="shared" ca="1" si="57"/>
        <v/>
      </c>
      <c r="L62" s="277" t="str">
        <f t="shared" ca="1" si="57"/>
        <v/>
      </c>
      <c r="M62" s="277" t="str">
        <f t="shared" ca="1" si="57"/>
        <v/>
      </c>
      <c r="N62" s="277" t="str">
        <f t="shared" ca="1" si="57"/>
        <v/>
      </c>
      <c r="O62" s="277" t="str">
        <f t="shared" ca="1" si="57"/>
        <v/>
      </c>
      <c r="P62" s="209" t="str">
        <f ca="1">IF(LEN(B62)&gt;0,ISNUMBER(MATCH(B62,Proposed[Item],0)),"")</f>
        <v/>
      </c>
    </row>
    <row r="63" spans="1:16" ht="15" x14ac:dyDescent="0.2">
      <c r="A63" s="276">
        <f t="shared" ca="1" si="2"/>
        <v>28</v>
      </c>
      <c r="B63" s="111" t="str">
        <f ca="1">IFERROR("Line "&amp;INDEX(Calcs[Line],INDEX(INDIRECT(RangeCount),MATCH($A63,INDIRECT(RangeEstCount),0))),"")</f>
        <v/>
      </c>
      <c r="C63" s="169" t="str">
        <f ca="1">IFERROR(IF(AND($D63="LPSM",Bid?,All?),"ALL",TEXT(OFFSET(INDIRECT(RangeQuantity),MATCH($A63,INDIRECT(RangeEstCount),0)-1,MATCH(Account,Accounts,0)-1,1,1),IF($D63="LPSM","0%","#,##0"&amp;IF(OFFSET(Items[#Data],MATCH($A63,INDIRECT(RangeEstCount),0)-1,MATCH(Decimals,Items[#Headers],0)-1,1,1)&gt;0,"."&amp;REPT("0",OFFSET(Items[#Data],MATCH($A63,INDIRECT(RangeEstCount),0)-1,MATCH(Decimals,Items[#Headers],0)-1,1,1)),"")))),"")</f>
        <v/>
      </c>
      <c r="D63" s="170" t="str">
        <f ca="1">IFERROR(INDEX(INDIRECT(RangeUnit),MATCH($A63,INDIRECT(RangeEstCount),0))&amp;SUBSTITUTE(" ["&amp;INDEX(INDIRECT(RangeAmend),MATCH($A63,INDIRECT(RangeEstCount),0))&amp;"]"," []",""),"")</f>
        <v/>
      </c>
      <c r="E63" s="170" t="str">
        <f ca="1">IFERROR(IF(INDEX(INDIRECT(RangeContrQty),MATCH($A63,INDIRECT(RangeEstCount),0)),"(CQ)",""),"")</f>
        <v/>
      </c>
      <c r="F63" s="171" t="str">
        <f ca="1">IFERROR(IF(OR(NOT(Bid?),LEFT(UPPER($D63),4)="FXHR"),INDEX(INDIRECT(RangeUnitPrice),MATCH($A63,INDIRECT(RangeEstCount),0)),IF(Awd?,OFFSET(TabAmount,MATCH(INDEX(INDIRECT(RangeCount),MATCH($A63,INDIRECT(RangeEstCount),0)),OFFSET(TabCount,1,0,2*NumPayItems,1),0),MATCH(Awarded2,Bidders,0)),IF(OR($C63="",$D63="LPSM"),"","$"))),"")</f>
        <v/>
      </c>
      <c r="G63" s="171" t="str">
        <f ca="1">IFERROR(VALUE(C63)*F63,IF(AND(Bid?,NOT(Awd?),$D63="LPSM"),"$",F63))</f>
        <v/>
      </c>
      <c r="H63" s="374"/>
      <c r="I63" s="217" t="str">
        <f ca="1">IFERROR(VALUE(SUBSTITUTE(OFFSET(I63,-1,0)," "&amp;$D63,""))*$F63,"")</f>
        <v/>
      </c>
      <c r="J63" s="215" t="str">
        <f ca="1">IFERROR(VALUE(SUBSTITUTE(OFFSET(J63,-1,0)," "&amp;$D63,""))*$F63,"")</f>
        <v/>
      </c>
      <c r="K63" s="215" t="str">
        <f t="shared" ref="K63:M63" ca="1" si="58">IFERROR(VALUE(SUBSTITUTE(OFFSET(K63,-1,0)," "&amp;$D63,""))*$F63,"")</f>
        <v/>
      </c>
      <c r="L63" s="215" t="str">
        <f t="shared" ca="1" si="58"/>
        <v/>
      </c>
      <c r="M63" s="215" t="str">
        <f t="shared" ca="1" si="58"/>
        <v/>
      </c>
      <c r="N63" s="215" t="str">
        <f ca="1">IFERROR(VALUE(SUBSTITUTE(OFFSET(N63,-1,0)," "&amp;$D63,""))*$F63,"")</f>
        <v/>
      </c>
      <c r="O63" s="215" t="str">
        <f ca="1">IFERROR(VALUE(SUBSTITUTE(OFFSET(O63,-1,0)," "&amp;$D63,""))*$F63,"")</f>
        <v/>
      </c>
      <c r="P63" s="209" t="str">
        <f ca="1">IF(LEN(B63)&gt;0,ISNUMBER(MATCH(B63,Proposed[Item],0)),"")</f>
        <v/>
      </c>
    </row>
    <row r="64" spans="1:16" ht="15" x14ac:dyDescent="0.2">
      <c r="A64" s="276">
        <f t="shared" ca="1" si="2"/>
        <v>29</v>
      </c>
      <c r="B64" s="168" t="str">
        <f ca="1">IFERROR(INDEX(INDIRECT(RangeItems),MATCH($A64,INDIRECT(RangeEstCount),0)),"")</f>
        <v/>
      </c>
      <c r="C64" s="365" t="str">
        <f ca="1">IFERROR(INDEX(Calcs[Description],INDEX(INDIRECT(RangeCount),MATCH($A64,INDIRECT(RangeEstCount),0))),"")</f>
        <v/>
      </c>
      <c r="D64" s="365"/>
      <c r="E64" s="365"/>
      <c r="F64" s="365"/>
      <c r="G64" s="365"/>
      <c r="H64" s="375" t="str">
        <f ca="1">IF(AND(Bid?,NOT(Awd?)),C64,OFFSET(F64,1,0))</f>
        <v/>
      </c>
      <c r="I64" s="216" t="str">
        <f t="shared" ref="I64:O64" ca="1" si="59">IFERROR(SUM(OFFSET(INDIRECT(RangeQuantity),MATCH($A64,INDIRECT(RangeEstCount),0)-1,COLUMN(I64)-COLUMN($H64),1,1))&amp;" "&amp;OFFSET($D64,1,0),"")</f>
        <v/>
      </c>
      <c r="J64" s="277" t="str">
        <f t="shared" ca="1" si="59"/>
        <v/>
      </c>
      <c r="K64" s="277" t="str">
        <f t="shared" ca="1" si="59"/>
        <v/>
      </c>
      <c r="L64" s="277" t="str">
        <f t="shared" ca="1" si="59"/>
        <v/>
      </c>
      <c r="M64" s="277" t="str">
        <f t="shared" ca="1" si="59"/>
        <v/>
      </c>
      <c r="N64" s="277" t="str">
        <f t="shared" ca="1" si="59"/>
        <v/>
      </c>
      <c r="O64" s="277" t="str">
        <f t="shared" ca="1" si="59"/>
        <v/>
      </c>
      <c r="P64" s="209" t="str">
        <f ca="1">IF(LEN(B64)&gt;0,ISNUMBER(MATCH(B64,Proposed[Item],0)),"")</f>
        <v/>
      </c>
    </row>
    <row r="65" spans="1:16" ht="15" x14ac:dyDescent="0.2">
      <c r="A65" s="276">
        <f t="shared" ca="1" si="2"/>
        <v>29</v>
      </c>
      <c r="B65" s="111" t="str">
        <f ca="1">IFERROR("Line "&amp;INDEX(Calcs[Line],INDEX(INDIRECT(RangeCount),MATCH($A65,INDIRECT(RangeEstCount),0))),"")</f>
        <v/>
      </c>
      <c r="C65" s="169" t="str">
        <f ca="1">IFERROR(IF(AND($D65="LPSM",Bid?,All?),"ALL",TEXT(OFFSET(INDIRECT(RangeQuantity),MATCH($A65,INDIRECT(RangeEstCount),0)-1,MATCH(Account,Accounts,0)-1,1,1),IF($D65="LPSM","0%","#,##0"&amp;IF(OFFSET(Items[#Data],MATCH($A65,INDIRECT(RangeEstCount),0)-1,MATCH(Decimals,Items[#Headers],0)-1,1,1)&gt;0,"."&amp;REPT("0",OFFSET(Items[#Data],MATCH($A65,INDIRECT(RangeEstCount),0)-1,MATCH(Decimals,Items[#Headers],0)-1,1,1)),"")))),"")</f>
        <v/>
      </c>
      <c r="D65" s="170" t="str">
        <f ca="1">IFERROR(INDEX(INDIRECT(RangeUnit),MATCH($A65,INDIRECT(RangeEstCount),0))&amp;SUBSTITUTE(" ["&amp;INDEX(INDIRECT(RangeAmend),MATCH($A65,INDIRECT(RangeEstCount),0))&amp;"]"," []",""),"")</f>
        <v/>
      </c>
      <c r="E65" s="170" t="str">
        <f ca="1">IFERROR(IF(INDEX(INDIRECT(RangeContrQty),MATCH($A65,INDIRECT(RangeEstCount),0)),"(CQ)",""),"")</f>
        <v/>
      </c>
      <c r="F65" s="171" t="str">
        <f ca="1">IFERROR(IF(OR(NOT(Bid?),LEFT(UPPER($D65),4)="FXHR"),INDEX(INDIRECT(RangeUnitPrice),MATCH($A65,INDIRECT(RangeEstCount),0)),IF(Awd?,OFFSET(TabAmount,MATCH(INDEX(INDIRECT(RangeCount),MATCH($A65,INDIRECT(RangeEstCount),0)),OFFSET(TabCount,1,0,2*NumPayItems,1),0),MATCH(Awarded2,Bidders,0)),IF(OR($C65="",$D65="LPSM"),"","$"))),"")</f>
        <v/>
      </c>
      <c r="G65" s="171" t="str">
        <f ca="1">IFERROR(VALUE(C65)*F65,IF(AND(Bid?,NOT(Awd?),$D65="LPSM"),"$",F65))</f>
        <v/>
      </c>
      <c r="H65" s="374"/>
      <c r="I65" s="217" t="str">
        <f ca="1">IFERROR(VALUE(SUBSTITUTE(OFFSET(I65,-1,0)," "&amp;$D65,""))*$F65,"")</f>
        <v/>
      </c>
      <c r="J65" s="215" t="str">
        <f ca="1">IFERROR(VALUE(SUBSTITUTE(OFFSET(J65,-1,0)," "&amp;$D65,""))*$F65,"")</f>
        <v/>
      </c>
      <c r="K65" s="215" t="str">
        <f t="shared" ref="K65:M65" ca="1" si="60">IFERROR(VALUE(SUBSTITUTE(OFFSET(K65,-1,0)," "&amp;$D65,""))*$F65,"")</f>
        <v/>
      </c>
      <c r="L65" s="215" t="str">
        <f t="shared" ca="1" si="60"/>
        <v/>
      </c>
      <c r="M65" s="215" t="str">
        <f t="shared" ca="1" si="60"/>
        <v/>
      </c>
      <c r="N65" s="215" t="str">
        <f ca="1">IFERROR(VALUE(SUBSTITUTE(OFFSET(N65,-1,0)," "&amp;$D65,""))*$F65,"")</f>
        <v/>
      </c>
      <c r="O65" s="215" t="str">
        <f ca="1">IFERROR(VALUE(SUBSTITUTE(OFFSET(O65,-1,0)," "&amp;$D65,""))*$F65,"")</f>
        <v/>
      </c>
      <c r="P65" s="209" t="str">
        <f ca="1">IF(LEN(B65)&gt;0,ISNUMBER(MATCH(B65,Proposed[Item],0)),"")</f>
        <v/>
      </c>
    </row>
    <row r="66" spans="1:16" ht="15" x14ac:dyDescent="0.2">
      <c r="A66" s="276">
        <f t="shared" ca="1" si="2"/>
        <v>30</v>
      </c>
      <c r="B66" s="168" t="str">
        <f ca="1">IFERROR(INDEX(INDIRECT(RangeItems),MATCH($A66,INDIRECT(RangeEstCount),0)),"")</f>
        <v/>
      </c>
      <c r="C66" s="365" t="str">
        <f ca="1">IFERROR(INDEX(Calcs[Description],INDEX(INDIRECT(RangeCount),MATCH($A66,INDIRECT(RangeEstCount),0))),"")</f>
        <v/>
      </c>
      <c r="D66" s="365"/>
      <c r="E66" s="365"/>
      <c r="F66" s="365"/>
      <c r="G66" s="365"/>
      <c r="H66" s="375" t="str">
        <f ca="1">IF(AND(Bid?,NOT(Awd?)),C66,OFFSET(F66,1,0))</f>
        <v/>
      </c>
      <c r="I66" s="216" t="str">
        <f t="shared" ref="I66:O66" ca="1" si="61">IFERROR(SUM(OFFSET(INDIRECT(RangeQuantity),MATCH($A66,INDIRECT(RangeEstCount),0)-1,COLUMN(I66)-COLUMN($H66),1,1))&amp;" "&amp;OFFSET($D66,1,0),"")</f>
        <v/>
      </c>
      <c r="J66" s="277" t="str">
        <f t="shared" ca="1" si="61"/>
        <v/>
      </c>
      <c r="K66" s="277" t="str">
        <f t="shared" ca="1" si="61"/>
        <v/>
      </c>
      <c r="L66" s="277" t="str">
        <f t="shared" ca="1" si="61"/>
        <v/>
      </c>
      <c r="M66" s="277" t="str">
        <f t="shared" ca="1" si="61"/>
        <v/>
      </c>
      <c r="N66" s="277" t="str">
        <f t="shared" ca="1" si="61"/>
        <v/>
      </c>
      <c r="O66" s="277" t="str">
        <f t="shared" ca="1" si="61"/>
        <v/>
      </c>
      <c r="P66" s="209" t="str">
        <f ca="1">IF(LEN(B66)&gt;0,ISNUMBER(MATCH(B66,Proposed[Item],0)),"")</f>
        <v/>
      </c>
    </row>
    <row r="67" spans="1:16" ht="15" x14ac:dyDescent="0.2">
      <c r="A67" s="276">
        <f t="shared" ca="1" si="2"/>
        <v>30</v>
      </c>
      <c r="B67" s="111" t="str">
        <f ca="1">IFERROR("Line "&amp;INDEX(Calcs[Line],INDEX(INDIRECT(RangeCount),MATCH($A67,INDIRECT(RangeEstCount),0))),"")</f>
        <v/>
      </c>
      <c r="C67" s="169" t="str">
        <f ca="1">IFERROR(IF(AND($D67="LPSM",Bid?,All?),"ALL",TEXT(OFFSET(INDIRECT(RangeQuantity),MATCH($A67,INDIRECT(RangeEstCount),0)-1,MATCH(Account,Accounts,0)-1,1,1),IF($D67="LPSM","0%","#,##0"&amp;IF(OFFSET(Items[#Data],MATCH($A67,INDIRECT(RangeEstCount),0)-1,MATCH(Decimals,Items[#Headers],0)-1,1,1)&gt;0,"."&amp;REPT("0",OFFSET(Items[#Data],MATCH($A67,INDIRECT(RangeEstCount),0)-1,MATCH(Decimals,Items[#Headers],0)-1,1,1)),"")))),"")</f>
        <v/>
      </c>
      <c r="D67" s="170" t="str">
        <f ca="1">IFERROR(INDEX(INDIRECT(RangeUnit),MATCH($A67,INDIRECT(RangeEstCount),0))&amp;SUBSTITUTE(" ["&amp;INDEX(INDIRECT(RangeAmend),MATCH($A67,INDIRECT(RangeEstCount),0))&amp;"]"," []",""),"")</f>
        <v/>
      </c>
      <c r="E67" s="170" t="str">
        <f ca="1">IFERROR(IF(INDEX(INDIRECT(RangeContrQty),MATCH($A67,INDIRECT(RangeEstCount),0)),"(CQ)",""),"")</f>
        <v/>
      </c>
      <c r="F67" s="171" t="str">
        <f ca="1">IFERROR(IF(OR(NOT(Bid?),LEFT(UPPER($D67),4)="FXHR"),INDEX(INDIRECT(RangeUnitPrice),MATCH($A67,INDIRECT(RangeEstCount),0)),IF(Awd?,OFFSET(TabAmount,MATCH(INDEX(INDIRECT(RangeCount),MATCH($A67,INDIRECT(RangeEstCount),0)),OFFSET(TabCount,1,0,2*NumPayItems,1),0),MATCH(Awarded2,Bidders,0)),IF(OR($C67="",$D67="LPSM"),"","$"))),"")</f>
        <v/>
      </c>
      <c r="G67" s="171" t="str">
        <f ca="1">IFERROR(VALUE(C67)*F67,IF(AND(Bid?,NOT(Awd?),$D67="LPSM"),"$",F67))</f>
        <v/>
      </c>
      <c r="H67" s="374"/>
      <c r="I67" s="217" t="str">
        <f ca="1">IFERROR(VALUE(SUBSTITUTE(OFFSET(I67,-1,0)," "&amp;$D67,""))*$F67,"")</f>
        <v/>
      </c>
      <c r="J67" s="215" t="str">
        <f ca="1">IFERROR(VALUE(SUBSTITUTE(OFFSET(J67,-1,0)," "&amp;$D67,""))*$F67,"")</f>
        <v/>
      </c>
      <c r="K67" s="215" t="str">
        <f t="shared" ref="K67:M67" ca="1" si="62">IFERROR(VALUE(SUBSTITUTE(OFFSET(K67,-1,0)," "&amp;$D67,""))*$F67,"")</f>
        <v/>
      </c>
      <c r="L67" s="215" t="str">
        <f t="shared" ca="1" si="62"/>
        <v/>
      </c>
      <c r="M67" s="215" t="str">
        <f t="shared" ca="1" si="62"/>
        <v/>
      </c>
      <c r="N67" s="215" t="str">
        <f ca="1">IFERROR(VALUE(SUBSTITUTE(OFFSET(N67,-1,0)," "&amp;$D67,""))*$F67,"")</f>
        <v/>
      </c>
      <c r="O67" s="215" t="str">
        <f ca="1">IFERROR(VALUE(SUBSTITUTE(OFFSET(O67,-1,0)," "&amp;$D67,""))*$F67,"")</f>
        <v/>
      </c>
      <c r="P67" s="209" t="str">
        <f ca="1">IF(LEN(B67)&gt;0,ISNUMBER(MATCH(B67,Proposed[Item],0)),"")</f>
        <v/>
      </c>
    </row>
    <row r="68" spans="1:16" ht="15" x14ac:dyDescent="0.2">
      <c r="A68" s="276">
        <f t="shared" ca="1" si="2"/>
        <v>31</v>
      </c>
      <c r="B68" s="168" t="str">
        <f ca="1">IFERROR(INDEX(INDIRECT(RangeItems),MATCH($A68,INDIRECT(RangeEstCount),0)),"")</f>
        <v/>
      </c>
      <c r="C68" s="365" t="str">
        <f ca="1">IFERROR(INDEX(Calcs[Description],INDEX(INDIRECT(RangeCount),MATCH($A68,INDIRECT(RangeEstCount),0))),"")</f>
        <v/>
      </c>
      <c r="D68" s="365"/>
      <c r="E68" s="365"/>
      <c r="F68" s="365"/>
      <c r="G68" s="365"/>
      <c r="H68" s="375" t="str">
        <f ca="1">IF(AND(Bid?,NOT(Awd?)),C68,OFFSET(F68,1,0))</f>
        <v/>
      </c>
      <c r="I68" s="216" t="str">
        <f t="shared" ref="I68:O68" ca="1" si="63">IFERROR(SUM(OFFSET(INDIRECT(RangeQuantity),MATCH($A68,INDIRECT(RangeEstCount),0)-1,COLUMN(I68)-COLUMN($H68),1,1))&amp;" "&amp;OFFSET($D68,1,0),"")</f>
        <v/>
      </c>
      <c r="J68" s="277" t="str">
        <f t="shared" ca="1" si="63"/>
        <v/>
      </c>
      <c r="K68" s="277" t="str">
        <f t="shared" ca="1" si="63"/>
        <v/>
      </c>
      <c r="L68" s="277" t="str">
        <f t="shared" ca="1" si="63"/>
        <v/>
      </c>
      <c r="M68" s="277" t="str">
        <f t="shared" ca="1" si="63"/>
        <v/>
      </c>
      <c r="N68" s="277" t="str">
        <f t="shared" ca="1" si="63"/>
        <v/>
      </c>
      <c r="O68" s="277" t="str">
        <f t="shared" ca="1" si="63"/>
        <v/>
      </c>
      <c r="P68" s="209" t="str">
        <f ca="1">IF(LEN(B68)&gt;0,ISNUMBER(MATCH(B68,Proposed[Item],0)),"")</f>
        <v/>
      </c>
    </row>
    <row r="69" spans="1:16" ht="15" x14ac:dyDescent="0.2">
      <c r="A69" s="276">
        <f t="shared" ca="1" si="2"/>
        <v>31</v>
      </c>
      <c r="B69" s="111" t="str">
        <f ca="1">IFERROR("Line "&amp;INDEX(Calcs[Line],INDEX(INDIRECT(RangeCount),MATCH($A69,INDIRECT(RangeEstCount),0))),"")</f>
        <v/>
      </c>
      <c r="C69" s="169" t="str">
        <f ca="1">IFERROR(IF(AND($D69="LPSM",Bid?,All?),"ALL",TEXT(OFFSET(INDIRECT(RangeQuantity),MATCH($A69,INDIRECT(RangeEstCount),0)-1,MATCH(Account,Accounts,0)-1,1,1),IF($D69="LPSM","0%","#,##0"&amp;IF(OFFSET(Items[#Data],MATCH($A69,INDIRECT(RangeEstCount),0)-1,MATCH(Decimals,Items[#Headers],0)-1,1,1)&gt;0,"."&amp;REPT("0",OFFSET(Items[#Data],MATCH($A69,INDIRECT(RangeEstCount),0)-1,MATCH(Decimals,Items[#Headers],0)-1,1,1)),"")))),"")</f>
        <v/>
      </c>
      <c r="D69" s="170" t="str">
        <f ca="1">IFERROR(INDEX(INDIRECT(RangeUnit),MATCH($A69,INDIRECT(RangeEstCount),0))&amp;SUBSTITUTE(" ["&amp;INDEX(INDIRECT(RangeAmend),MATCH($A69,INDIRECT(RangeEstCount),0))&amp;"]"," []",""),"")</f>
        <v/>
      </c>
      <c r="E69" s="170" t="str">
        <f ca="1">IFERROR(IF(INDEX(INDIRECT(RangeContrQty),MATCH($A69,INDIRECT(RangeEstCount),0)),"(CQ)",""),"")</f>
        <v/>
      </c>
      <c r="F69" s="171" t="str">
        <f ca="1">IFERROR(IF(OR(NOT(Bid?),LEFT(UPPER($D69),4)="FXHR"),INDEX(INDIRECT(RangeUnitPrice),MATCH($A69,INDIRECT(RangeEstCount),0)),IF(Awd?,OFFSET(TabAmount,MATCH(INDEX(INDIRECT(RangeCount),MATCH($A69,INDIRECT(RangeEstCount),0)),OFFSET(TabCount,1,0,2*NumPayItems,1),0),MATCH(Awarded2,Bidders,0)),IF(OR($C69="",$D69="LPSM"),"","$"))),"")</f>
        <v/>
      </c>
      <c r="G69" s="171" t="str">
        <f ca="1">IFERROR(VALUE(C69)*F69,IF(AND(Bid?,NOT(Awd?),$D69="LPSM"),"$",F69))</f>
        <v/>
      </c>
      <c r="H69" s="374"/>
      <c r="I69" s="217" t="str">
        <f ca="1">IFERROR(VALUE(SUBSTITUTE(OFFSET(I69,-1,0)," "&amp;$D69,""))*$F69,"")</f>
        <v/>
      </c>
      <c r="J69" s="215" t="str">
        <f ca="1">IFERROR(VALUE(SUBSTITUTE(OFFSET(J69,-1,0)," "&amp;$D69,""))*$F69,"")</f>
        <v/>
      </c>
      <c r="K69" s="215" t="str">
        <f t="shared" ref="K69:M69" ca="1" si="64">IFERROR(VALUE(SUBSTITUTE(OFFSET(K69,-1,0)," "&amp;$D69,""))*$F69,"")</f>
        <v/>
      </c>
      <c r="L69" s="215" t="str">
        <f t="shared" ca="1" si="64"/>
        <v/>
      </c>
      <c r="M69" s="215" t="str">
        <f t="shared" ca="1" si="64"/>
        <v/>
      </c>
      <c r="N69" s="215" t="str">
        <f ca="1">IFERROR(VALUE(SUBSTITUTE(OFFSET(N69,-1,0)," "&amp;$D69,""))*$F69,"")</f>
        <v/>
      </c>
      <c r="O69" s="215" t="str">
        <f ca="1">IFERROR(VALUE(SUBSTITUTE(OFFSET(O69,-1,0)," "&amp;$D69,""))*$F69,"")</f>
        <v/>
      </c>
      <c r="P69" s="209" t="str">
        <f ca="1">IF(LEN(B69)&gt;0,ISNUMBER(MATCH(B69,Proposed[Item],0)),"")</f>
        <v/>
      </c>
    </row>
    <row r="70" spans="1:16" ht="15" x14ac:dyDescent="0.2">
      <c r="A70" s="276">
        <f t="shared" ca="1" si="2"/>
        <v>32</v>
      </c>
      <c r="B70" s="168" t="str">
        <f ca="1">IFERROR(INDEX(INDIRECT(RangeItems),MATCH($A70,INDIRECT(RangeEstCount),0)),"")</f>
        <v/>
      </c>
      <c r="C70" s="365" t="str">
        <f ca="1">IFERROR(INDEX(Calcs[Description],INDEX(INDIRECT(RangeCount),MATCH($A70,INDIRECT(RangeEstCount),0))),"")</f>
        <v/>
      </c>
      <c r="D70" s="365"/>
      <c r="E70" s="365"/>
      <c r="F70" s="365"/>
      <c r="G70" s="365"/>
      <c r="H70" s="375" t="str">
        <f ca="1">IF(AND(Bid?,NOT(Awd?)),C70,OFFSET(F70,1,0))</f>
        <v/>
      </c>
      <c r="I70" s="216" t="str">
        <f t="shared" ref="I70:O70" ca="1" si="65">IFERROR(SUM(OFFSET(INDIRECT(RangeQuantity),MATCH($A70,INDIRECT(RangeEstCount),0)-1,COLUMN(I70)-COLUMN($H70),1,1))&amp;" "&amp;OFFSET($D70,1,0),"")</f>
        <v/>
      </c>
      <c r="J70" s="277" t="str">
        <f t="shared" ca="1" si="65"/>
        <v/>
      </c>
      <c r="K70" s="277" t="str">
        <f t="shared" ca="1" si="65"/>
        <v/>
      </c>
      <c r="L70" s="277" t="str">
        <f t="shared" ca="1" si="65"/>
        <v/>
      </c>
      <c r="M70" s="277" t="str">
        <f t="shared" ca="1" si="65"/>
        <v/>
      </c>
      <c r="N70" s="277" t="str">
        <f t="shared" ca="1" si="65"/>
        <v/>
      </c>
      <c r="O70" s="277" t="str">
        <f t="shared" ca="1" si="65"/>
        <v/>
      </c>
      <c r="P70" s="209" t="str">
        <f ca="1">IF(LEN(B70)&gt;0,ISNUMBER(MATCH(B70,Proposed[Item],0)),"")</f>
        <v/>
      </c>
    </row>
    <row r="71" spans="1:16" ht="15" x14ac:dyDescent="0.2">
      <c r="A71" s="276">
        <f t="shared" ca="1" si="2"/>
        <v>32</v>
      </c>
      <c r="B71" s="111" t="str">
        <f ca="1">IFERROR("Line "&amp;INDEX(Calcs[Line],INDEX(INDIRECT(RangeCount),MATCH($A71,INDIRECT(RangeEstCount),0))),"")</f>
        <v/>
      </c>
      <c r="C71" s="169" t="str">
        <f ca="1">IFERROR(IF(AND($D71="LPSM",Bid?,All?),"ALL",TEXT(OFFSET(INDIRECT(RangeQuantity),MATCH($A71,INDIRECT(RangeEstCount),0)-1,MATCH(Account,Accounts,0)-1,1,1),IF($D71="LPSM","0%","#,##0"&amp;IF(OFFSET(Items[#Data],MATCH($A71,INDIRECT(RangeEstCount),0)-1,MATCH(Decimals,Items[#Headers],0)-1,1,1)&gt;0,"."&amp;REPT("0",OFFSET(Items[#Data],MATCH($A71,INDIRECT(RangeEstCount),0)-1,MATCH(Decimals,Items[#Headers],0)-1,1,1)),"")))),"")</f>
        <v/>
      </c>
      <c r="D71" s="170" t="str">
        <f ca="1">IFERROR(INDEX(INDIRECT(RangeUnit),MATCH($A71,INDIRECT(RangeEstCount),0))&amp;SUBSTITUTE(" ["&amp;INDEX(INDIRECT(RangeAmend),MATCH($A71,INDIRECT(RangeEstCount),0))&amp;"]"," []",""),"")</f>
        <v/>
      </c>
      <c r="E71" s="170" t="str">
        <f ca="1">IFERROR(IF(INDEX(INDIRECT(RangeContrQty),MATCH($A71,INDIRECT(RangeEstCount),0)),"(CQ)",""),"")</f>
        <v/>
      </c>
      <c r="F71" s="171" t="str">
        <f ca="1">IFERROR(IF(OR(NOT(Bid?),LEFT(UPPER($D71),4)="FXHR"),INDEX(INDIRECT(RangeUnitPrice),MATCH($A71,INDIRECT(RangeEstCount),0)),IF(Awd?,OFFSET(TabAmount,MATCH(INDEX(INDIRECT(RangeCount),MATCH($A71,INDIRECT(RangeEstCount),0)),OFFSET(TabCount,1,0,2*NumPayItems,1),0),MATCH(Awarded2,Bidders,0)),IF(OR($C71="",$D71="LPSM"),"","$"))),"")</f>
        <v/>
      </c>
      <c r="G71" s="171" t="str">
        <f ca="1">IFERROR(VALUE(C71)*F71,IF(AND(Bid?,NOT(Awd?),$D71="LPSM"),"$",F71))</f>
        <v/>
      </c>
      <c r="H71" s="374"/>
      <c r="I71" s="217" t="str">
        <f ca="1">IFERROR(VALUE(SUBSTITUTE(OFFSET(I71,-1,0)," "&amp;$D71,""))*$F71,"")</f>
        <v/>
      </c>
      <c r="J71" s="215" t="str">
        <f ca="1">IFERROR(VALUE(SUBSTITUTE(OFFSET(J71,-1,0)," "&amp;$D71,""))*$F71,"")</f>
        <v/>
      </c>
      <c r="K71" s="215" t="str">
        <f t="shared" ref="K71:M71" ca="1" si="66">IFERROR(VALUE(SUBSTITUTE(OFFSET(K71,-1,0)," "&amp;$D71,""))*$F71,"")</f>
        <v/>
      </c>
      <c r="L71" s="215" t="str">
        <f t="shared" ca="1" si="66"/>
        <v/>
      </c>
      <c r="M71" s="215" t="str">
        <f t="shared" ca="1" si="66"/>
        <v/>
      </c>
      <c r="N71" s="215" t="str">
        <f ca="1">IFERROR(VALUE(SUBSTITUTE(OFFSET(N71,-1,0)," "&amp;$D71,""))*$F71,"")</f>
        <v/>
      </c>
      <c r="O71" s="215" t="str">
        <f ca="1">IFERROR(VALUE(SUBSTITUTE(OFFSET(O71,-1,0)," "&amp;$D71,""))*$F71,"")</f>
        <v/>
      </c>
      <c r="P71" s="209" t="str">
        <f ca="1">IF(LEN(B71)&gt;0,ISNUMBER(MATCH(B71,Proposed[Item],0)),"")</f>
        <v/>
      </c>
    </row>
    <row r="72" spans="1:16" ht="15" x14ac:dyDescent="0.2">
      <c r="A72" s="276">
        <f t="shared" ref="A72:A135" ca="1" si="67">OFFSET(A72,-2,0)+1</f>
        <v>33</v>
      </c>
      <c r="B72" s="168" t="str">
        <f ca="1">IFERROR(INDEX(INDIRECT(RangeItems),MATCH($A72,INDIRECT(RangeEstCount),0)),"")</f>
        <v/>
      </c>
      <c r="C72" s="365" t="str">
        <f ca="1">IFERROR(INDEX(Calcs[Description],INDEX(INDIRECT(RangeCount),MATCH($A72,INDIRECT(RangeEstCount),0))),"")</f>
        <v/>
      </c>
      <c r="D72" s="365"/>
      <c r="E72" s="365"/>
      <c r="F72" s="365"/>
      <c r="G72" s="365"/>
      <c r="H72" s="375" t="str">
        <f ca="1">IF(AND(Bid?,NOT(Awd?)),C72,OFFSET(F72,1,0))</f>
        <v/>
      </c>
      <c r="I72" s="216" t="str">
        <f t="shared" ref="I72:O72" ca="1" si="68">IFERROR(SUM(OFFSET(INDIRECT(RangeQuantity),MATCH($A72,INDIRECT(RangeEstCount),0)-1,COLUMN(I72)-COLUMN($H72),1,1))&amp;" "&amp;OFFSET($D72,1,0),"")</f>
        <v/>
      </c>
      <c r="J72" s="277" t="str">
        <f t="shared" ca="1" si="68"/>
        <v/>
      </c>
      <c r="K72" s="277" t="str">
        <f t="shared" ca="1" si="68"/>
        <v/>
      </c>
      <c r="L72" s="277" t="str">
        <f t="shared" ca="1" si="68"/>
        <v/>
      </c>
      <c r="M72" s="277" t="str">
        <f t="shared" ca="1" si="68"/>
        <v/>
      </c>
      <c r="N72" s="277" t="str">
        <f t="shared" ca="1" si="68"/>
        <v/>
      </c>
      <c r="O72" s="277" t="str">
        <f t="shared" ca="1" si="68"/>
        <v/>
      </c>
      <c r="P72" s="209" t="str">
        <f ca="1">IF(LEN(B72)&gt;0,ISNUMBER(MATCH(B72,Proposed[Item],0)),"")</f>
        <v/>
      </c>
    </row>
    <row r="73" spans="1:16" ht="15" x14ac:dyDescent="0.2">
      <c r="A73" s="276">
        <f t="shared" ca="1" si="67"/>
        <v>33</v>
      </c>
      <c r="B73" s="111" t="str">
        <f ca="1">IFERROR("Line "&amp;INDEX(Calcs[Line],INDEX(INDIRECT(RangeCount),MATCH($A73,INDIRECT(RangeEstCount),0))),"")</f>
        <v/>
      </c>
      <c r="C73" s="169" t="str">
        <f ca="1">IFERROR(IF(AND($D73="LPSM",Bid?,All?),"ALL",TEXT(OFFSET(INDIRECT(RangeQuantity),MATCH($A73,INDIRECT(RangeEstCount),0)-1,MATCH(Account,Accounts,0)-1,1,1),IF($D73="LPSM","0%","#,##0"&amp;IF(OFFSET(Items[#Data],MATCH($A73,INDIRECT(RangeEstCount),0)-1,MATCH(Decimals,Items[#Headers],0)-1,1,1)&gt;0,"."&amp;REPT("0",OFFSET(Items[#Data],MATCH($A73,INDIRECT(RangeEstCount),0)-1,MATCH(Decimals,Items[#Headers],0)-1,1,1)),"")))),"")</f>
        <v/>
      </c>
      <c r="D73" s="170" t="str">
        <f ca="1">IFERROR(INDEX(INDIRECT(RangeUnit),MATCH($A73,INDIRECT(RangeEstCount),0))&amp;SUBSTITUTE(" ["&amp;INDEX(INDIRECT(RangeAmend),MATCH($A73,INDIRECT(RangeEstCount),0))&amp;"]"," []",""),"")</f>
        <v/>
      </c>
      <c r="E73" s="170" t="str">
        <f ca="1">IFERROR(IF(INDEX(INDIRECT(RangeContrQty),MATCH($A73,INDIRECT(RangeEstCount),0)),"(CQ)",""),"")</f>
        <v/>
      </c>
      <c r="F73" s="171" t="str">
        <f ca="1">IFERROR(IF(OR(NOT(Bid?),LEFT(UPPER($D73),4)="FXHR"),INDEX(INDIRECT(RangeUnitPrice),MATCH($A73,INDIRECT(RangeEstCount),0)),IF(Awd?,OFFSET(TabAmount,MATCH(INDEX(INDIRECT(RangeCount),MATCH($A73,INDIRECT(RangeEstCount),0)),OFFSET(TabCount,1,0,2*NumPayItems,1),0),MATCH(Awarded2,Bidders,0)),IF(OR($C73="",$D73="LPSM"),"","$"))),"")</f>
        <v/>
      </c>
      <c r="G73" s="171" t="str">
        <f ca="1">IFERROR(VALUE(C73)*F73,IF(AND(Bid?,NOT(Awd?),$D73="LPSM"),"$",F73))</f>
        <v/>
      </c>
      <c r="H73" s="374"/>
      <c r="I73" s="217" t="str">
        <f ca="1">IFERROR(VALUE(SUBSTITUTE(OFFSET(I73,-1,0)," "&amp;$D73,""))*$F73,"")</f>
        <v/>
      </c>
      <c r="J73" s="215" t="str">
        <f ca="1">IFERROR(VALUE(SUBSTITUTE(OFFSET(J73,-1,0)," "&amp;$D73,""))*$F73,"")</f>
        <v/>
      </c>
      <c r="K73" s="215" t="str">
        <f t="shared" ref="K73:M73" ca="1" si="69">IFERROR(VALUE(SUBSTITUTE(OFFSET(K73,-1,0)," "&amp;$D73,""))*$F73,"")</f>
        <v/>
      </c>
      <c r="L73" s="215" t="str">
        <f t="shared" ca="1" si="69"/>
        <v/>
      </c>
      <c r="M73" s="215" t="str">
        <f t="shared" ca="1" si="69"/>
        <v/>
      </c>
      <c r="N73" s="215" t="str">
        <f ca="1">IFERROR(VALUE(SUBSTITUTE(OFFSET(N73,-1,0)," "&amp;$D73,""))*$F73,"")</f>
        <v/>
      </c>
      <c r="O73" s="215" t="str">
        <f ca="1">IFERROR(VALUE(SUBSTITUTE(OFFSET(O73,-1,0)," "&amp;$D73,""))*$F73,"")</f>
        <v/>
      </c>
      <c r="P73" s="209" t="str">
        <f ca="1">IF(LEN(B73)&gt;0,ISNUMBER(MATCH(B73,Proposed[Item],0)),"")</f>
        <v/>
      </c>
    </row>
    <row r="74" spans="1:16" ht="15" x14ac:dyDescent="0.2">
      <c r="A74" s="276">
        <f t="shared" ca="1" si="67"/>
        <v>34</v>
      </c>
      <c r="B74" s="168" t="str">
        <f ca="1">IFERROR(INDEX(INDIRECT(RangeItems),MATCH($A74,INDIRECT(RangeEstCount),0)),"")</f>
        <v/>
      </c>
      <c r="C74" s="365" t="str">
        <f ca="1">IFERROR(INDEX(Calcs[Description],INDEX(INDIRECT(RangeCount),MATCH($A74,INDIRECT(RangeEstCount),0))),"")</f>
        <v/>
      </c>
      <c r="D74" s="365"/>
      <c r="E74" s="365"/>
      <c r="F74" s="365"/>
      <c r="G74" s="365"/>
      <c r="H74" s="375" t="str">
        <f ca="1">IF(AND(Bid?,NOT(Awd?)),C74,OFFSET(F74,1,0))</f>
        <v/>
      </c>
      <c r="I74" s="216" t="str">
        <f t="shared" ref="I74:O74" ca="1" si="70">IFERROR(SUM(OFFSET(INDIRECT(RangeQuantity),MATCH($A74,INDIRECT(RangeEstCount),0)-1,COLUMN(I74)-COLUMN($H74),1,1))&amp;" "&amp;OFFSET($D74,1,0),"")</f>
        <v/>
      </c>
      <c r="J74" s="277" t="str">
        <f t="shared" ca="1" si="70"/>
        <v/>
      </c>
      <c r="K74" s="277" t="str">
        <f t="shared" ca="1" si="70"/>
        <v/>
      </c>
      <c r="L74" s="277" t="str">
        <f t="shared" ca="1" si="70"/>
        <v/>
      </c>
      <c r="M74" s="277" t="str">
        <f t="shared" ca="1" si="70"/>
        <v/>
      </c>
      <c r="N74" s="277" t="str">
        <f t="shared" ca="1" si="70"/>
        <v/>
      </c>
      <c r="O74" s="277" t="str">
        <f t="shared" ca="1" si="70"/>
        <v/>
      </c>
      <c r="P74" s="209" t="str">
        <f ca="1">IF(LEN(B74)&gt;0,ISNUMBER(MATCH(B74,Proposed[Item],0)),"")</f>
        <v/>
      </c>
    </row>
    <row r="75" spans="1:16" ht="15" x14ac:dyDescent="0.2">
      <c r="A75" s="276">
        <f t="shared" ca="1" si="67"/>
        <v>34</v>
      </c>
      <c r="B75" s="111" t="str">
        <f ca="1">IFERROR("Line "&amp;INDEX(Calcs[Line],INDEX(INDIRECT(RangeCount),MATCH($A75,INDIRECT(RangeEstCount),0))),"")</f>
        <v/>
      </c>
      <c r="C75" s="169" t="str">
        <f ca="1">IFERROR(IF(AND($D75="LPSM",Bid?,All?),"ALL",TEXT(OFFSET(INDIRECT(RangeQuantity),MATCH($A75,INDIRECT(RangeEstCount),0)-1,MATCH(Account,Accounts,0)-1,1,1),IF($D75="LPSM","0%","#,##0"&amp;IF(OFFSET(Items[#Data],MATCH($A75,INDIRECT(RangeEstCount),0)-1,MATCH(Decimals,Items[#Headers],0)-1,1,1)&gt;0,"."&amp;REPT("0",OFFSET(Items[#Data],MATCH($A75,INDIRECT(RangeEstCount),0)-1,MATCH(Decimals,Items[#Headers],0)-1,1,1)),"")))),"")</f>
        <v/>
      </c>
      <c r="D75" s="170" t="str">
        <f ca="1">IFERROR(INDEX(INDIRECT(RangeUnit),MATCH($A75,INDIRECT(RangeEstCount),0))&amp;SUBSTITUTE(" ["&amp;INDEX(INDIRECT(RangeAmend),MATCH($A75,INDIRECT(RangeEstCount),0))&amp;"]"," []",""),"")</f>
        <v/>
      </c>
      <c r="E75" s="170" t="str">
        <f ca="1">IFERROR(IF(INDEX(INDIRECT(RangeContrQty),MATCH($A75,INDIRECT(RangeEstCount),0)),"(CQ)",""),"")</f>
        <v/>
      </c>
      <c r="F75" s="171" t="str">
        <f ca="1">IFERROR(IF(OR(NOT(Bid?),LEFT(UPPER($D75),4)="FXHR"),INDEX(INDIRECT(RangeUnitPrice),MATCH($A75,INDIRECT(RangeEstCount),0)),IF(Awd?,OFFSET(TabAmount,MATCH(INDEX(INDIRECT(RangeCount),MATCH($A75,INDIRECT(RangeEstCount),0)),OFFSET(TabCount,1,0,2*NumPayItems,1),0),MATCH(Awarded2,Bidders,0)),IF(OR($C75="",$D75="LPSM"),"","$"))),"")</f>
        <v/>
      </c>
      <c r="G75" s="171" t="str">
        <f ca="1">IFERROR(VALUE(C75)*F75,IF(AND(Bid?,NOT(Awd?),$D75="LPSM"),"$",F75))</f>
        <v/>
      </c>
      <c r="H75" s="374"/>
      <c r="I75" s="217" t="str">
        <f ca="1">IFERROR(VALUE(SUBSTITUTE(OFFSET(I75,-1,0)," "&amp;$D75,""))*$F75,"")</f>
        <v/>
      </c>
      <c r="J75" s="215" t="str">
        <f ca="1">IFERROR(VALUE(SUBSTITUTE(OFFSET(J75,-1,0)," "&amp;$D75,""))*$F75,"")</f>
        <v/>
      </c>
      <c r="K75" s="215" t="str">
        <f t="shared" ref="K75:M75" ca="1" si="71">IFERROR(VALUE(SUBSTITUTE(OFFSET(K75,-1,0)," "&amp;$D75,""))*$F75,"")</f>
        <v/>
      </c>
      <c r="L75" s="215" t="str">
        <f t="shared" ca="1" si="71"/>
        <v/>
      </c>
      <c r="M75" s="215" t="str">
        <f t="shared" ca="1" si="71"/>
        <v/>
      </c>
      <c r="N75" s="215" t="str">
        <f ca="1">IFERROR(VALUE(SUBSTITUTE(OFFSET(N75,-1,0)," "&amp;$D75,""))*$F75,"")</f>
        <v/>
      </c>
      <c r="O75" s="215" t="str">
        <f ca="1">IFERROR(VALUE(SUBSTITUTE(OFFSET(O75,-1,0)," "&amp;$D75,""))*$F75,"")</f>
        <v/>
      </c>
      <c r="P75" s="209" t="str">
        <f ca="1">IF(LEN(B75)&gt;0,ISNUMBER(MATCH(B75,Proposed[Item],0)),"")</f>
        <v/>
      </c>
    </row>
    <row r="76" spans="1:16" ht="15" x14ac:dyDescent="0.2">
      <c r="A76" s="276">
        <f t="shared" ca="1" si="67"/>
        <v>35</v>
      </c>
      <c r="B76" s="168" t="str">
        <f ca="1">IFERROR(INDEX(INDIRECT(RangeItems),MATCH($A76,INDIRECT(RangeEstCount),0)),"")</f>
        <v/>
      </c>
      <c r="C76" s="365" t="str">
        <f ca="1">IFERROR(INDEX(Calcs[Description],INDEX(INDIRECT(RangeCount),MATCH($A76,INDIRECT(RangeEstCount),0))),"")</f>
        <v/>
      </c>
      <c r="D76" s="365"/>
      <c r="E76" s="365"/>
      <c r="F76" s="365"/>
      <c r="G76" s="365"/>
      <c r="H76" s="375" t="str">
        <f ca="1">IF(AND(Bid?,NOT(Awd?)),C76,OFFSET(F76,1,0))</f>
        <v/>
      </c>
      <c r="I76" s="216" t="str">
        <f t="shared" ref="I76:O76" ca="1" si="72">IFERROR(SUM(OFFSET(INDIRECT(RangeQuantity),MATCH($A76,INDIRECT(RangeEstCount),0)-1,COLUMN(I76)-COLUMN($H76),1,1))&amp;" "&amp;OFFSET($D76,1,0),"")</f>
        <v/>
      </c>
      <c r="J76" s="277" t="str">
        <f t="shared" ca="1" si="72"/>
        <v/>
      </c>
      <c r="K76" s="277" t="str">
        <f t="shared" ca="1" si="72"/>
        <v/>
      </c>
      <c r="L76" s="277" t="str">
        <f t="shared" ca="1" si="72"/>
        <v/>
      </c>
      <c r="M76" s="277" t="str">
        <f t="shared" ca="1" si="72"/>
        <v/>
      </c>
      <c r="N76" s="277" t="str">
        <f t="shared" ca="1" si="72"/>
        <v/>
      </c>
      <c r="O76" s="277" t="str">
        <f t="shared" ca="1" si="72"/>
        <v/>
      </c>
      <c r="P76" s="209" t="str">
        <f ca="1">IF(LEN(B76)&gt;0,ISNUMBER(MATCH(B76,Proposed[Item],0)),"")</f>
        <v/>
      </c>
    </row>
    <row r="77" spans="1:16" ht="15" x14ac:dyDescent="0.2">
      <c r="A77" s="276">
        <f t="shared" ca="1" si="67"/>
        <v>35</v>
      </c>
      <c r="B77" s="111" t="str">
        <f ca="1">IFERROR("Line "&amp;INDEX(Calcs[Line],INDEX(INDIRECT(RangeCount),MATCH($A77,INDIRECT(RangeEstCount),0))),"")</f>
        <v/>
      </c>
      <c r="C77" s="169" t="str">
        <f ca="1">IFERROR(IF(AND($D77="LPSM",Bid?,All?),"ALL",TEXT(OFFSET(INDIRECT(RangeQuantity),MATCH($A77,INDIRECT(RangeEstCount),0)-1,MATCH(Account,Accounts,0)-1,1,1),IF($D77="LPSM","0%","#,##0"&amp;IF(OFFSET(Items[#Data],MATCH($A77,INDIRECT(RangeEstCount),0)-1,MATCH(Decimals,Items[#Headers],0)-1,1,1)&gt;0,"."&amp;REPT("0",OFFSET(Items[#Data],MATCH($A77,INDIRECT(RangeEstCount),0)-1,MATCH(Decimals,Items[#Headers],0)-1,1,1)),"")))),"")</f>
        <v/>
      </c>
      <c r="D77" s="170" t="str">
        <f ca="1">IFERROR(INDEX(INDIRECT(RangeUnit),MATCH($A77,INDIRECT(RangeEstCount),0))&amp;SUBSTITUTE(" ["&amp;INDEX(INDIRECT(RangeAmend),MATCH($A77,INDIRECT(RangeEstCount),0))&amp;"]"," []",""),"")</f>
        <v/>
      </c>
      <c r="E77" s="170" t="str">
        <f ca="1">IFERROR(IF(INDEX(INDIRECT(RangeContrQty),MATCH($A77,INDIRECT(RangeEstCount),0)),"(CQ)",""),"")</f>
        <v/>
      </c>
      <c r="F77" s="171" t="str">
        <f ca="1">IFERROR(IF(OR(NOT(Bid?),LEFT(UPPER($D77),4)="FXHR"),INDEX(INDIRECT(RangeUnitPrice),MATCH($A77,INDIRECT(RangeEstCount),0)),IF(Awd?,OFFSET(TabAmount,MATCH(INDEX(INDIRECT(RangeCount),MATCH($A77,INDIRECT(RangeEstCount),0)),OFFSET(TabCount,1,0,2*NumPayItems,1),0),MATCH(Awarded2,Bidders,0)),IF(OR($C77="",$D77="LPSM"),"","$"))),"")</f>
        <v/>
      </c>
      <c r="G77" s="171" t="str">
        <f ca="1">IFERROR(VALUE(C77)*F77,IF(AND(Bid?,NOT(Awd?),$D77="LPSM"),"$",F77))</f>
        <v/>
      </c>
      <c r="H77" s="374"/>
      <c r="I77" s="217" t="str">
        <f ca="1">IFERROR(VALUE(SUBSTITUTE(OFFSET(I77,-1,0)," "&amp;$D77,""))*$F77,"")</f>
        <v/>
      </c>
      <c r="J77" s="215" t="str">
        <f ca="1">IFERROR(VALUE(SUBSTITUTE(OFFSET(J77,-1,0)," "&amp;$D77,""))*$F77,"")</f>
        <v/>
      </c>
      <c r="K77" s="215" t="str">
        <f t="shared" ref="K77:M77" ca="1" si="73">IFERROR(VALUE(SUBSTITUTE(OFFSET(K77,-1,0)," "&amp;$D77,""))*$F77,"")</f>
        <v/>
      </c>
      <c r="L77" s="215" t="str">
        <f t="shared" ca="1" si="73"/>
        <v/>
      </c>
      <c r="M77" s="215" t="str">
        <f t="shared" ca="1" si="73"/>
        <v/>
      </c>
      <c r="N77" s="215" t="str">
        <f ca="1">IFERROR(VALUE(SUBSTITUTE(OFFSET(N77,-1,0)," "&amp;$D77,""))*$F77,"")</f>
        <v/>
      </c>
      <c r="O77" s="215" t="str">
        <f ca="1">IFERROR(VALUE(SUBSTITUTE(OFFSET(O77,-1,0)," "&amp;$D77,""))*$F77,"")</f>
        <v/>
      </c>
      <c r="P77" s="209" t="str">
        <f ca="1">IF(LEN(B77)&gt;0,ISNUMBER(MATCH(B77,Proposed[Item],0)),"")</f>
        <v/>
      </c>
    </row>
    <row r="78" spans="1:16" ht="15" x14ac:dyDescent="0.2">
      <c r="A78" s="276">
        <f t="shared" ca="1" si="67"/>
        <v>36</v>
      </c>
      <c r="B78" s="168" t="str">
        <f ca="1">IFERROR(INDEX(INDIRECT(RangeItems),MATCH($A78,INDIRECT(RangeEstCount),0)),"")</f>
        <v/>
      </c>
      <c r="C78" s="365" t="str">
        <f ca="1">IFERROR(INDEX(Calcs[Description],INDEX(INDIRECT(RangeCount),MATCH($A78,INDIRECT(RangeEstCount),0))),"")</f>
        <v/>
      </c>
      <c r="D78" s="365"/>
      <c r="E78" s="365"/>
      <c r="F78" s="365"/>
      <c r="G78" s="365"/>
      <c r="H78" s="375" t="str">
        <f ca="1">IF(AND(Bid?,NOT(Awd?)),C78,OFFSET(F78,1,0))</f>
        <v/>
      </c>
      <c r="I78" s="216" t="str">
        <f t="shared" ref="I78:O78" ca="1" si="74">IFERROR(SUM(OFFSET(INDIRECT(RangeQuantity),MATCH($A78,INDIRECT(RangeEstCount),0)-1,COLUMN(I78)-COLUMN($H78),1,1))&amp;" "&amp;OFFSET($D78,1,0),"")</f>
        <v/>
      </c>
      <c r="J78" s="277" t="str">
        <f t="shared" ca="1" si="74"/>
        <v/>
      </c>
      <c r="K78" s="277" t="str">
        <f t="shared" ca="1" si="74"/>
        <v/>
      </c>
      <c r="L78" s="277" t="str">
        <f t="shared" ca="1" si="74"/>
        <v/>
      </c>
      <c r="M78" s="277" t="str">
        <f t="shared" ca="1" si="74"/>
        <v/>
      </c>
      <c r="N78" s="277" t="str">
        <f t="shared" ca="1" si="74"/>
        <v/>
      </c>
      <c r="O78" s="277" t="str">
        <f t="shared" ca="1" si="74"/>
        <v/>
      </c>
      <c r="P78" s="209" t="str">
        <f ca="1">IF(LEN(B78)&gt;0,ISNUMBER(MATCH(B78,Proposed[Item],0)),"")</f>
        <v/>
      </c>
    </row>
    <row r="79" spans="1:16" ht="15" x14ac:dyDescent="0.2">
      <c r="A79" s="276">
        <f t="shared" ca="1" si="67"/>
        <v>36</v>
      </c>
      <c r="B79" s="111" t="str">
        <f ca="1">IFERROR("Line "&amp;INDEX(Calcs[Line],INDEX(INDIRECT(RangeCount),MATCH($A79,INDIRECT(RangeEstCount),0))),"")</f>
        <v/>
      </c>
      <c r="C79" s="169" t="str">
        <f ca="1">IFERROR(IF(AND($D79="LPSM",Bid?,All?),"ALL",TEXT(OFFSET(INDIRECT(RangeQuantity),MATCH($A79,INDIRECT(RangeEstCount),0)-1,MATCH(Account,Accounts,0)-1,1,1),IF($D79="LPSM","0%","#,##0"&amp;IF(OFFSET(Items[#Data],MATCH($A79,INDIRECT(RangeEstCount),0)-1,MATCH(Decimals,Items[#Headers],0)-1,1,1)&gt;0,"."&amp;REPT("0",OFFSET(Items[#Data],MATCH($A79,INDIRECT(RangeEstCount),0)-1,MATCH(Decimals,Items[#Headers],0)-1,1,1)),"")))),"")</f>
        <v/>
      </c>
      <c r="D79" s="170" t="str">
        <f ca="1">IFERROR(INDEX(INDIRECT(RangeUnit),MATCH($A79,INDIRECT(RangeEstCount),0))&amp;SUBSTITUTE(" ["&amp;INDEX(INDIRECT(RangeAmend),MATCH($A79,INDIRECT(RangeEstCount),0))&amp;"]"," []",""),"")</f>
        <v/>
      </c>
      <c r="E79" s="170" t="str">
        <f ca="1">IFERROR(IF(INDEX(INDIRECT(RangeContrQty),MATCH($A79,INDIRECT(RangeEstCount),0)),"(CQ)",""),"")</f>
        <v/>
      </c>
      <c r="F79" s="171" t="str">
        <f ca="1">IFERROR(IF(OR(NOT(Bid?),LEFT(UPPER($D79),4)="FXHR"),INDEX(INDIRECT(RangeUnitPrice),MATCH($A79,INDIRECT(RangeEstCount),0)),IF(Awd?,OFFSET(TabAmount,MATCH(INDEX(INDIRECT(RangeCount),MATCH($A79,INDIRECT(RangeEstCount),0)),OFFSET(TabCount,1,0,2*NumPayItems,1),0),MATCH(Awarded2,Bidders,0)),IF(OR($C79="",$D79="LPSM"),"","$"))),"")</f>
        <v/>
      </c>
      <c r="G79" s="171" t="str">
        <f ca="1">IFERROR(VALUE(C79)*F79,IF(AND(Bid?,NOT(Awd?),$D79="LPSM"),"$",F79))</f>
        <v/>
      </c>
      <c r="H79" s="374"/>
      <c r="I79" s="217" t="str">
        <f ca="1">IFERROR(VALUE(SUBSTITUTE(OFFSET(I79,-1,0)," "&amp;$D79,""))*$F79,"")</f>
        <v/>
      </c>
      <c r="J79" s="215" t="str">
        <f ca="1">IFERROR(VALUE(SUBSTITUTE(OFFSET(J79,-1,0)," "&amp;$D79,""))*$F79,"")</f>
        <v/>
      </c>
      <c r="K79" s="215" t="str">
        <f t="shared" ref="K79:M79" ca="1" si="75">IFERROR(VALUE(SUBSTITUTE(OFFSET(K79,-1,0)," "&amp;$D79,""))*$F79,"")</f>
        <v/>
      </c>
      <c r="L79" s="215" t="str">
        <f t="shared" ca="1" si="75"/>
        <v/>
      </c>
      <c r="M79" s="215" t="str">
        <f t="shared" ca="1" si="75"/>
        <v/>
      </c>
      <c r="N79" s="215" t="str">
        <f ca="1">IFERROR(VALUE(SUBSTITUTE(OFFSET(N79,-1,0)," "&amp;$D79,""))*$F79,"")</f>
        <v/>
      </c>
      <c r="O79" s="215" t="str">
        <f ca="1">IFERROR(VALUE(SUBSTITUTE(OFFSET(O79,-1,0)," "&amp;$D79,""))*$F79,"")</f>
        <v/>
      </c>
      <c r="P79" s="209" t="str">
        <f ca="1">IF(LEN(B79)&gt;0,ISNUMBER(MATCH(B79,Proposed[Item],0)),"")</f>
        <v/>
      </c>
    </row>
    <row r="80" spans="1:16" ht="15" x14ac:dyDescent="0.2">
      <c r="A80" s="276">
        <f t="shared" ca="1" si="67"/>
        <v>37</v>
      </c>
      <c r="B80" s="168" t="str">
        <f ca="1">IFERROR(INDEX(INDIRECT(RangeItems),MATCH($A80,INDIRECT(RangeEstCount),0)),"")</f>
        <v/>
      </c>
      <c r="C80" s="365" t="str">
        <f ca="1">IFERROR(INDEX(Calcs[Description],INDEX(INDIRECT(RangeCount),MATCH($A80,INDIRECT(RangeEstCount),0))),"")</f>
        <v/>
      </c>
      <c r="D80" s="365"/>
      <c r="E80" s="365"/>
      <c r="F80" s="365"/>
      <c r="G80" s="365"/>
      <c r="H80" s="375" t="str">
        <f ca="1">IF(AND(Bid?,NOT(Awd?)),C80,OFFSET(F80,1,0))</f>
        <v/>
      </c>
      <c r="I80" s="216" t="str">
        <f t="shared" ref="I80:O80" ca="1" si="76">IFERROR(SUM(OFFSET(INDIRECT(RangeQuantity),MATCH($A80,INDIRECT(RangeEstCount),0)-1,COLUMN(I80)-COLUMN($H80),1,1))&amp;" "&amp;OFFSET($D80,1,0),"")</f>
        <v/>
      </c>
      <c r="J80" s="277" t="str">
        <f t="shared" ca="1" si="76"/>
        <v/>
      </c>
      <c r="K80" s="277" t="str">
        <f t="shared" ca="1" si="76"/>
        <v/>
      </c>
      <c r="L80" s="277" t="str">
        <f t="shared" ca="1" si="76"/>
        <v/>
      </c>
      <c r="M80" s="277" t="str">
        <f t="shared" ca="1" si="76"/>
        <v/>
      </c>
      <c r="N80" s="277" t="str">
        <f t="shared" ca="1" si="76"/>
        <v/>
      </c>
      <c r="O80" s="277" t="str">
        <f t="shared" ca="1" si="76"/>
        <v/>
      </c>
      <c r="P80" s="209" t="str">
        <f ca="1">IF(LEN(B80)&gt;0,ISNUMBER(MATCH(B80,Proposed[Item],0)),"")</f>
        <v/>
      </c>
    </row>
    <row r="81" spans="1:16" ht="15" x14ac:dyDescent="0.2">
      <c r="A81" s="276">
        <f t="shared" ca="1" si="67"/>
        <v>37</v>
      </c>
      <c r="B81" s="111" t="str">
        <f ca="1">IFERROR("Line "&amp;INDEX(Calcs[Line],INDEX(INDIRECT(RangeCount),MATCH($A81,INDIRECT(RangeEstCount),0))),"")</f>
        <v/>
      </c>
      <c r="C81" s="169" t="str">
        <f ca="1">IFERROR(IF(AND($D81="LPSM",Bid?,All?),"ALL",TEXT(OFFSET(INDIRECT(RangeQuantity),MATCH($A81,INDIRECT(RangeEstCount),0)-1,MATCH(Account,Accounts,0)-1,1,1),IF($D81="LPSM","0%","#,##0"&amp;IF(OFFSET(Items[#Data],MATCH($A81,INDIRECT(RangeEstCount),0)-1,MATCH(Decimals,Items[#Headers],0)-1,1,1)&gt;0,"."&amp;REPT("0",OFFSET(Items[#Data],MATCH($A81,INDIRECT(RangeEstCount),0)-1,MATCH(Decimals,Items[#Headers],0)-1,1,1)),"")))),"")</f>
        <v/>
      </c>
      <c r="D81" s="170" t="str">
        <f ca="1">IFERROR(INDEX(INDIRECT(RangeUnit),MATCH($A81,INDIRECT(RangeEstCount),0))&amp;SUBSTITUTE(" ["&amp;INDEX(INDIRECT(RangeAmend),MATCH($A81,INDIRECT(RangeEstCount),0))&amp;"]"," []",""),"")</f>
        <v/>
      </c>
      <c r="E81" s="170" t="str">
        <f ca="1">IFERROR(IF(INDEX(INDIRECT(RangeContrQty),MATCH($A81,INDIRECT(RangeEstCount),0)),"(CQ)",""),"")</f>
        <v/>
      </c>
      <c r="F81" s="171" t="str">
        <f ca="1">IFERROR(IF(OR(NOT(Bid?),LEFT(UPPER($D81),4)="FXHR"),INDEX(INDIRECT(RangeUnitPrice),MATCH($A81,INDIRECT(RangeEstCount),0)),IF(Awd?,OFFSET(TabAmount,MATCH(INDEX(INDIRECT(RangeCount),MATCH($A81,INDIRECT(RangeEstCount),0)),OFFSET(TabCount,1,0,2*NumPayItems,1),0),MATCH(Awarded2,Bidders,0)),IF(OR($C81="",$D81="LPSM"),"","$"))),"")</f>
        <v/>
      </c>
      <c r="G81" s="171" t="str">
        <f ca="1">IFERROR(VALUE(C81)*F81,IF(AND(Bid?,NOT(Awd?),$D81="LPSM"),"$",F81))</f>
        <v/>
      </c>
      <c r="H81" s="374"/>
      <c r="I81" s="217" t="str">
        <f ca="1">IFERROR(VALUE(SUBSTITUTE(OFFSET(I81,-1,0)," "&amp;$D81,""))*$F81,"")</f>
        <v/>
      </c>
      <c r="J81" s="215" t="str">
        <f ca="1">IFERROR(VALUE(SUBSTITUTE(OFFSET(J81,-1,0)," "&amp;$D81,""))*$F81,"")</f>
        <v/>
      </c>
      <c r="K81" s="215" t="str">
        <f t="shared" ref="K81:M81" ca="1" si="77">IFERROR(VALUE(SUBSTITUTE(OFFSET(K81,-1,0)," "&amp;$D81,""))*$F81,"")</f>
        <v/>
      </c>
      <c r="L81" s="215" t="str">
        <f t="shared" ca="1" si="77"/>
        <v/>
      </c>
      <c r="M81" s="215" t="str">
        <f t="shared" ca="1" si="77"/>
        <v/>
      </c>
      <c r="N81" s="215" t="str">
        <f ca="1">IFERROR(VALUE(SUBSTITUTE(OFFSET(N81,-1,0)," "&amp;$D81,""))*$F81,"")</f>
        <v/>
      </c>
      <c r="O81" s="215" t="str">
        <f ca="1">IFERROR(VALUE(SUBSTITUTE(OFFSET(O81,-1,0)," "&amp;$D81,""))*$F81,"")</f>
        <v/>
      </c>
      <c r="P81" s="209" t="str">
        <f ca="1">IF(LEN(B81)&gt;0,ISNUMBER(MATCH(B81,Proposed[Item],0)),"")</f>
        <v/>
      </c>
    </row>
    <row r="82" spans="1:16" ht="15" x14ac:dyDescent="0.2">
      <c r="A82" s="276">
        <f t="shared" ca="1" si="67"/>
        <v>38</v>
      </c>
      <c r="B82" s="168" t="str">
        <f ca="1">IFERROR(INDEX(INDIRECT(RangeItems),MATCH($A82,INDIRECT(RangeEstCount),0)),"")</f>
        <v/>
      </c>
      <c r="C82" s="365" t="str">
        <f ca="1">IFERROR(INDEX(Calcs[Description],INDEX(INDIRECT(RangeCount),MATCH($A82,INDIRECT(RangeEstCount),0))),"")</f>
        <v/>
      </c>
      <c r="D82" s="365"/>
      <c r="E82" s="365"/>
      <c r="F82" s="365"/>
      <c r="G82" s="365"/>
      <c r="H82" s="375" t="str">
        <f ca="1">IF(AND(Bid?,NOT(Awd?)),C82,OFFSET(F82,1,0))</f>
        <v/>
      </c>
      <c r="I82" s="216" t="str">
        <f t="shared" ref="I82:O82" ca="1" si="78">IFERROR(SUM(OFFSET(INDIRECT(RangeQuantity),MATCH($A82,INDIRECT(RangeEstCount),0)-1,COLUMN(I82)-COLUMN($H82),1,1))&amp;" "&amp;OFFSET($D82,1,0),"")</f>
        <v/>
      </c>
      <c r="J82" s="277" t="str">
        <f t="shared" ca="1" si="78"/>
        <v/>
      </c>
      <c r="K82" s="277" t="str">
        <f t="shared" ca="1" si="78"/>
        <v/>
      </c>
      <c r="L82" s="277" t="str">
        <f t="shared" ca="1" si="78"/>
        <v/>
      </c>
      <c r="M82" s="277" t="str">
        <f t="shared" ca="1" si="78"/>
        <v/>
      </c>
      <c r="N82" s="277" t="str">
        <f t="shared" ca="1" si="78"/>
        <v/>
      </c>
      <c r="O82" s="277" t="str">
        <f t="shared" ca="1" si="78"/>
        <v/>
      </c>
      <c r="P82" s="209" t="str">
        <f ca="1">IF(LEN(B82)&gt;0,ISNUMBER(MATCH(B82,Proposed[Item],0)),"")</f>
        <v/>
      </c>
    </row>
    <row r="83" spans="1:16" ht="15" x14ac:dyDescent="0.2">
      <c r="A83" s="276">
        <f t="shared" ca="1" si="67"/>
        <v>38</v>
      </c>
      <c r="B83" s="111" t="str">
        <f ca="1">IFERROR("Line "&amp;INDEX(Calcs[Line],INDEX(INDIRECT(RangeCount),MATCH($A83,INDIRECT(RangeEstCount),0))),"")</f>
        <v/>
      </c>
      <c r="C83" s="169" t="str">
        <f ca="1">IFERROR(IF(AND($D83="LPSM",Bid?,All?),"ALL",TEXT(OFFSET(INDIRECT(RangeQuantity),MATCH($A83,INDIRECT(RangeEstCount),0)-1,MATCH(Account,Accounts,0)-1,1,1),IF($D83="LPSM","0%","#,##0"&amp;IF(OFFSET(Items[#Data],MATCH($A83,INDIRECT(RangeEstCount),0)-1,MATCH(Decimals,Items[#Headers],0)-1,1,1)&gt;0,"."&amp;REPT("0",OFFSET(Items[#Data],MATCH($A83,INDIRECT(RangeEstCount),0)-1,MATCH(Decimals,Items[#Headers],0)-1,1,1)),"")))),"")</f>
        <v/>
      </c>
      <c r="D83" s="170" t="str">
        <f ca="1">IFERROR(INDEX(INDIRECT(RangeUnit),MATCH($A83,INDIRECT(RangeEstCount),0))&amp;SUBSTITUTE(" ["&amp;INDEX(INDIRECT(RangeAmend),MATCH($A83,INDIRECT(RangeEstCount),0))&amp;"]"," []",""),"")</f>
        <v/>
      </c>
      <c r="E83" s="170" t="str">
        <f ca="1">IFERROR(IF(INDEX(INDIRECT(RangeContrQty),MATCH($A83,INDIRECT(RangeEstCount),0)),"(CQ)",""),"")</f>
        <v/>
      </c>
      <c r="F83" s="171" t="str">
        <f ca="1">IFERROR(IF(OR(NOT(Bid?),LEFT(UPPER($D83),4)="FXHR"),INDEX(INDIRECT(RangeUnitPrice),MATCH($A83,INDIRECT(RangeEstCount),0)),IF(Awd?,OFFSET(TabAmount,MATCH(INDEX(INDIRECT(RangeCount),MATCH($A83,INDIRECT(RangeEstCount),0)),OFFSET(TabCount,1,0,2*NumPayItems,1),0),MATCH(Awarded2,Bidders,0)),IF(OR($C83="",$D83="LPSM"),"","$"))),"")</f>
        <v/>
      </c>
      <c r="G83" s="171" t="str">
        <f ca="1">IFERROR(VALUE(C83)*F83,IF(AND(Bid?,NOT(Awd?),$D83="LPSM"),"$",F83))</f>
        <v/>
      </c>
      <c r="H83" s="374"/>
      <c r="I83" s="217" t="str">
        <f ca="1">IFERROR(VALUE(SUBSTITUTE(OFFSET(I83,-1,0)," "&amp;$D83,""))*$F83,"")</f>
        <v/>
      </c>
      <c r="J83" s="215" t="str">
        <f ca="1">IFERROR(VALUE(SUBSTITUTE(OFFSET(J83,-1,0)," "&amp;$D83,""))*$F83,"")</f>
        <v/>
      </c>
      <c r="K83" s="215" t="str">
        <f t="shared" ref="K83:M83" ca="1" si="79">IFERROR(VALUE(SUBSTITUTE(OFFSET(K83,-1,0)," "&amp;$D83,""))*$F83,"")</f>
        <v/>
      </c>
      <c r="L83" s="215" t="str">
        <f t="shared" ca="1" si="79"/>
        <v/>
      </c>
      <c r="M83" s="215" t="str">
        <f t="shared" ca="1" si="79"/>
        <v/>
      </c>
      <c r="N83" s="215" t="str">
        <f ca="1">IFERROR(VALUE(SUBSTITUTE(OFFSET(N83,-1,0)," "&amp;$D83,""))*$F83,"")</f>
        <v/>
      </c>
      <c r="O83" s="215" t="str">
        <f ca="1">IFERROR(VALUE(SUBSTITUTE(OFFSET(O83,-1,0)," "&amp;$D83,""))*$F83,"")</f>
        <v/>
      </c>
      <c r="P83" s="209" t="str">
        <f ca="1">IF(LEN(B83)&gt;0,ISNUMBER(MATCH(B83,Proposed[Item],0)),"")</f>
        <v/>
      </c>
    </row>
    <row r="84" spans="1:16" ht="15" x14ac:dyDescent="0.2">
      <c r="A84" s="276">
        <f t="shared" ca="1" si="67"/>
        <v>39</v>
      </c>
      <c r="B84" s="168" t="str">
        <f ca="1">IFERROR(INDEX(INDIRECT(RangeItems),MATCH($A84,INDIRECT(RangeEstCount),0)),"")</f>
        <v/>
      </c>
      <c r="C84" s="365" t="str">
        <f ca="1">IFERROR(INDEX(Calcs[Description],INDEX(INDIRECT(RangeCount),MATCH($A84,INDIRECT(RangeEstCount),0))),"")</f>
        <v/>
      </c>
      <c r="D84" s="365"/>
      <c r="E84" s="365"/>
      <c r="F84" s="365"/>
      <c r="G84" s="365"/>
      <c r="H84" s="375" t="str">
        <f ca="1">IF(AND(Bid?,NOT(Awd?)),C84,OFFSET(F84,1,0))</f>
        <v/>
      </c>
      <c r="I84" s="216" t="str">
        <f t="shared" ref="I84:O84" ca="1" si="80">IFERROR(SUM(OFFSET(INDIRECT(RangeQuantity),MATCH($A84,INDIRECT(RangeEstCount),0)-1,COLUMN(I84)-COLUMN($H84),1,1))&amp;" "&amp;OFFSET($D84,1,0),"")</f>
        <v/>
      </c>
      <c r="J84" s="277" t="str">
        <f t="shared" ca="1" si="80"/>
        <v/>
      </c>
      <c r="K84" s="277" t="str">
        <f t="shared" ca="1" si="80"/>
        <v/>
      </c>
      <c r="L84" s="277" t="str">
        <f t="shared" ca="1" si="80"/>
        <v/>
      </c>
      <c r="M84" s="277" t="str">
        <f t="shared" ca="1" si="80"/>
        <v/>
      </c>
      <c r="N84" s="277" t="str">
        <f t="shared" ca="1" si="80"/>
        <v/>
      </c>
      <c r="O84" s="277" t="str">
        <f t="shared" ca="1" si="80"/>
        <v/>
      </c>
      <c r="P84" s="209" t="str">
        <f ca="1">IF(LEN(B84)&gt;0,ISNUMBER(MATCH(B84,Proposed[Item],0)),"")</f>
        <v/>
      </c>
    </row>
    <row r="85" spans="1:16" ht="15" x14ac:dyDescent="0.2">
      <c r="A85" s="276">
        <f t="shared" ca="1" si="67"/>
        <v>39</v>
      </c>
      <c r="B85" s="111" t="str">
        <f ca="1">IFERROR("Line "&amp;INDEX(Calcs[Line],INDEX(INDIRECT(RangeCount),MATCH($A85,INDIRECT(RangeEstCount),0))),"")</f>
        <v/>
      </c>
      <c r="C85" s="169" t="str">
        <f ca="1">IFERROR(IF(AND($D85="LPSM",Bid?,All?),"ALL",TEXT(OFFSET(INDIRECT(RangeQuantity),MATCH($A85,INDIRECT(RangeEstCount),0)-1,MATCH(Account,Accounts,0)-1,1,1),IF($D85="LPSM","0%","#,##0"&amp;IF(OFFSET(Items[#Data],MATCH($A85,INDIRECT(RangeEstCount),0)-1,MATCH(Decimals,Items[#Headers],0)-1,1,1)&gt;0,"."&amp;REPT("0",OFFSET(Items[#Data],MATCH($A85,INDIRECT(RangeEstCount),0)-1,MATCH(Decimals,Items[#Headers],0)-1,1,1)),"")))),"")</f>
        <v/>
      </c>
      <c r="D85" s="170" t="str">
        <f ca="1">IFERROR(INDEX(INDIRECT(RangeUnit),MATCH($A85,INDIRECT(RangeEstCount),0))&amp;SUBSTITUTE(" ["&amp;INDEX(INDIRECT(RangeAmend),MATCH($A85,INDIRECT(RangeEstCount),0))&amp;"]"," []",""),"")</f>
        <v/>
      </c>
      <c r="E85" s="170" t="str">
        <f ca="1">IFERROR(IF(INDEX(INDIRECT(RangeContrQty),MATCH($A85,INDIRECT(RangeEstCount),0)),"(CQ)",""),"")</f>
        <v/>
      </c>
      <c r="F85" s="171" t="str">
        <f ca="1">IFERROR(IF(OR(NOT(Bid?),LEFT(UPPER($D85),4)="FXHR"),INDEX(INDIRECT(RangeUnitPrice),MATCH($A85,INDIRECT(RangeEstCount),0)),IF(Awd?,OFFSET(TabAmount,MATCH(INDEX(INDIRECT(RangeCount),MATCH($A85,INDIRECT(RangeEstCount),0)),OFFSET(TabCount,1,0,2*NumPayItems,1),0),MATCH(Awarded2,Bidders,0)),IF(OR($C85="",$D85="LPSM"),"","$"))),"")</f>
        <v/>
      </c>
      <c r="G85" s="171" t="str">
        <f ca="1">IFERROR(VALUE(C85)*F85,IF(AND(Bid?,NOT(Awd?),$D85="LPSM"),"$",F85))</f>
        <v/>
      </c>
      <c r="H85" s="374"/>
      <c r="I85" s="217" t="str">
        <f ca="1">IFERROR(VALUE(SUBSTITUTE(OFFSET(I85,-1,0)," "&amp;$D85,""))*$F85,"")</f>
        <v/>
      </c>
      <c r="J85" s="215" t="str">
        <f ca="1">IFERROR(VALUE(SUBSTITUTE(OFFSET(J85,-1,0)," "&amp;$D85,""))*$F85,"")</f>
        <v/>
      </c>
      <c r="K85" s="215" t="str">
        <f t="shared" ref="K85:M85" ca="1" si="81">IFERROR(VALUE(SUBSTITUTE(OFFSET(K85,-1,0)," "&amp;$D85,""))*$F85,"")</f>
        <v/>
      </c>
      <c r="L85" s="215" t="str">
        <f t="shared" ca="1" si="81"/>
        <v/>
      </c>
      <c r="M85" s="215" t="str">
        <f t="shared" ca="1" si="81"/>
        <v/>
      </c>
      <c r="N85" s="215" t="str">
        <f ca="1">IFERROR(VALUE(SUBSTITUTE(OFFSET(N85,-1,0)," "&amp;$D85,""))*$F85,"")</f>
        <v/>
      </c>
      <c r="O85" s="215" t="str">
        <f ca="1">IFERROR(VALUE(SUBSTITUTE(OFFSET(O85,-1,0)," "&amp;$D85,""))*$F85,"")</f>
        <v/>
      </c>
      <c r="P85" s="209" t="str">
        <f ca="1">IF(LEN(B85)&gt;0,ISNUMBER(MATCH(B85,Proposed[Item],0)),"")</f>
        <v/>
      </c>
    </row>
    <row r="86" spans="1:16" ht="15" x14ac:dyDescent="0.2">
      <c r="A86" s="276">
        <f t="shared" ca="1" si="67"/>
        <v>40</v>
      </c>
      <c r="B86" s="168" t="str">
        <f ca="1">IFERROR(INDEX(INDIRECT(RangeItems),MATCH($A86,INDIRECT(RangeEstCount),0)),"")</f>
        <v/>
      </c>
      <c r="C86" s="365" t="str">
        <f ca="1">IFERROR(INDEX(Calcs[Description],INDEX(INDIRECT(RangeCount),MATCH($A86,INDIRECT(RangeEstCount),0))),"")</f>
        <v/>
      </c>
      <c r="D86" s="365"/>
      <c r="E86" s="365"/>
      <c r="F86" s="365"/>
      <c r="G86" s="365"/>
      <c r="H86" s="375" t="str">
        <f ca="1">IF(AND(Bid?,NOT(Awd?)),C86,OFFSET(F86,1,0))</f>
        <v/>
      </c>
      <c r="I86" s="216" t="str">
        <f t="shared" ref="I86:O86" ca="1" si="82">IFERROR(SUM(OFFSET(INDIRECT(RangeQuantity),MATCH($A86,INDIRECT(RangeEstCount),0)-1,COLUMN(I86)-COLUMN($H86),1,1))&amp;" "&amp;OFFSET($D86,1,0),"")</f>
        <v/>
      </c>
      <c r="J86" s="277" t="str">
        <f t="shared" ca="1" si="82"/>
        <v/>
      </c>
      <c r="K86" s="277" t="str">
        <f t="shared" ca="1" si="82"/>
        <v/>
      </c>
      <c r="L86" s="277" t="str">
        <f t="shared" ca="1" si="82"/>
        <v/>
      </c>
      <c r="M86" s="277" t="str">
        <f t="shared" ca="1" si="82"/>
        <v/>
      </c>
      <c r="N86" s="277" t="str">
        <f t="shared" ca="1" si="82"/>
        <v/>
      </c>
      <c r="O86" s="277" t="str">
        <f t="shared" ca="1" si="82"/>
        <v/>
      </c>
      <c r="P86" s="209" t="str">
        <f ca="1">IF(LEN(B86)&gt;0,ISNUMBER(MATCH(B86,Proposed[Item],0)),"")</f>
        <v/>
      </c>
    </row>
    <row r="87" spans="1:16" ht="15" x14ac:dyDescent="0.2">
      <c r="A87" s="276">
        <f t="shared" ca="1" si="67"/>
        <v>40</v>
      </c>
      <c r="B87" s="111" t="str">
        <f ca="1">IFERROR("Line "&amp;INDEX(Calcs[Line],INDEX(INDIRECT(RangeCount),MATCH($A87,INDIRECT(RangeEstCount),0))),"")</f>
        <v/>
      </c>
      <c r="C87" s="169" t="str">
        <f ca="1">IFERROR(IF(AND($D87="LPSM",Bid?,All?),"ALL",TEXT(OFFSET(INDIRECT(RangeQuantity),MATCH($A87,INDIRECT(RangeEstCount),0)-1,MATCH(Account,Accounts,0)-1,1,1),IF($D87="LPSM","0%","#,##0"&amp;IF(OFFSET(Items[#Data],MATCH($A87,INDIRECT(RangeEstCount),0)-1,MATCH(Decimals,Items[#Headers],0)-1,1,1)&gt;0,"."&amp;REPT("0",OFFSET(Items[#Data],MATCH($A87,INDIRECT(RangeEstCount),0)-1,MATCH(Decimals,Items[#Headers],0)-1,1,1)),"")))),"")</f>
        <v/>
      </c>
      <c r="D87" s="170" t="str">
        <f ca="1">IFERROR(INDEX(INDIRECT(RangeUnit),MATCH($A87,INDIRECT(RangeEstCount),0))&amp;SUBSTITUTE(" ["&amp;INDEX(INDIRECT(RangeAmend),MATCH($A87,INDIRECT(RangeEstCount),0))&amp;"]"," []",""),"")</f>
        <v/>
      </c>
      <c r="E87" s="170" t="str">
        <f ca="1">IFERROR(IF(INDEX(INDIRECT(RangeContrQty),MATCH($A87,INDIRECT(RangeEstCount),0)),"(CQ)",""),"")</f>
        <v/>
      </c>
      <c r="F87" s="171" t="str">
        <f ca="1">IFERROR(IF(OR(NOT(Bid?),LEFT(UPPER($D87),4)="FXHR"),INDEX(INDIRECT(RangeUnitPrice),MATCH($A87,INDIRECT(RangeEstCount),0)),IF(Awd?,OFFSET(TabAmount,MATCH(INDEX(INDIRECT(RangeCount),MATCH($A87,INDIRECT(RangeEstCount),0)),OFFSET(TabCount,1,0,2*NumPayItems,1),0),MATCH(Awarded2,Bidders,0)),IF(OR($C87="",$D87="LPSM"),"","$"))),"")</f>
        <v/>
      </c>
      <c r="G87" s="171" t="str">
        <f ca="1">IFERROR(VALUE(C87)*F87,IF(AND(Bid?,NOT(Awd?),$D87="LPSM"),"$",F87))</f>
        <v/>
      </c>
      <c r="H87" s="374"/>
      <c r="I87" s="217" t="str">
        <f ca="1">IFERROR(VALUE(SUBSTITUTE(OFFSET(I87,-1,0)," "&amp;$D87,""))*$F87,"")</f>
        <v/>
      </c>
      <c r="J87" s="215" t="str">
        <f ca="1">IFERROR(VALUE(SUBSTITUTE(OFFSET(J87,-1,0)," "&amp;$D87,""))*$F87,"")</f>
        <v/>
      </c>
      <c r="K87" s="215" t="str">
        <f t="shared" ref="K87:M87" ca="1" si="83">IFERROR(VALUE(SUBSTITUTE(OFFSET(K87,-1,0)," "&amp;$D87,""))*$F87,"")</f>
        <v/>
      </c>
      <c r="L87" s="215" t="str">
        <f t="shared" ca="1" si="83"/>
        <v/>
      </c>
      <c r="M87" s="215" t="str">
        <f t="shared" ca="1" si="83"/>
        <v/>
      </c>
      <c r="N87" s="215" t="str">
        <f ca="1">IFERROR(VALUE(SUBSTITUTE(OFFSET(N87,-1,0)," "&amp;$D87,""))*$F87,"")</f>
        <v/>
      </c>
      <c r="O87" s="215" t="str">
        <f ca="1">IFERROR(VALUE(SUBSTITUTE(OFFSET(O87,-1,0)," "&amp;$D87,""))*$F87,"")</f>
        <v/>
      </c>
      <c r="P87" s="209" t="str">
        <f ca="1">IF(LEN(B87)&gt;0,ISNUMBER(MATCH(B87,Proposed[Item],0)),"")</f>
        <v/>
      </c>
    </row>
    <row r="88" spans="1:16" ht="15" x14ac:dyDescent="0.2">
      <c r="A88" s="276">
        <f t="shared" ca="1" si="67"/>
        <v>41</v>
      </c>
      <c r="B88" s="168" t="str">
        <f ca="1">IFERROR(INDEX(INDIRECT(RangeItems),MATCH($A88,INDIRECT(RangeEstCount),0)),"")</f>
        <v/>
      </c>
      <c r="C88" s="365" t="str">
        <f ca="1">IFERROR(INDEX(Calcs[Description],INDEX(INDIRECT(RangeCount),MATCH($A88,INDIRECT(RangeEstCount),0))),"")</f>
        <v/>
      </c>
      <c r="D88" s="365"/>
      <c r="E88" s="365"/>
      <c r="F88" s="365"/>
      <c r="G88" s="365"/>
      <c r="H88" s="375" t="str">
        <f ca="1">IF(AND(Bid?,NOT(Awd?)),C88,OFFSET(F88,1,0))</f>
        <v/>
      </c>
      <c r="I88" s="216" t="str">
        <f t="shared" ref="I88:O88" ca="1" si="84">IFERROR(SUM(OFFSET(INDIRECT(RangeQuantity),MATCH($A88,INDIRECT(RangeEstCount),0)-1,COLUMN(I88)-COLUMN($H88),1,1))&amp;" "&amp;OFFSET($D88,1,0),"")</f>
        <v/>
      </c>
      <c r="J88" s="277" t="str">
        <f t="shared" ca="1" si="84"/>
        <v/>
      </c>
      <c r="K88" s="277" t="str">
        <f t="shared" ca="1" si="84"/>
        <v/>
      </c>
      <c r="L88" s="277" t="str">
        <f t="shared" ca="1" si="84"/>
        <v/>
      </c>
      <c r="M88" s="277" t="str">
        <f t="shared" ca="1" si="84"/>
        <v/>
      </c>
      <c r="N88" s="277" t="str">
        <f t="shared" ca="1" si="84"/>
        <v/>
      </c>
      <c r="O88" s="277" t="str">
        <f t="shared" ca="1" si="84"/>
        <v/>
      </c>
      <c r="P88" s="209" t="str">
        <f ca="1">IF(LEN(B88)&gt;0,ISNUMBER(MATCH(B88,Proposed[Item],0)),"")</f>
        <v/>
      </c>
    </row>
    <row r="89" spans="1:16" ht="15" x14ac:dyDescent="0.2">
      <c r="A89" s="276">
        <f t="shared" ca="1" si="67"/>
        <v>41</v>
      </c>
      <c r="B89" s="111" t="str">
        <f ca="1">IFERROR("Line "&amp;INDEX(Calcs[Line],INDEX(INDIRECT(RangeCount),MATCH($A89,INDIRECT(RangeEstCount),0))),"")</f>
        <v/>
      </c>
      <c r="C89" s="169" t="str">
        <f ca="1">IFERROR(IF(AND($D89="LPSM",Bid?,All?),"ALL",TEXT(OFFSET(INDIRECT(RangeQuantity),MATCH($A89,INDIRECT(RangeEstCount),0)-1,MATCH(Account,Accounts,0)-1,1,1),IF($D89="LPSM","0%","#,##0"&amp;IF(OFFSET(Items[#Data],MATCH($A89,INDIRECT(RangeEstCount),0)-1,MATCH(Decimals,Items[#Headers],0)-1,1,1)&gt;0,"."&amp;REPT("0",OFFSET(Items[#Data],MATCH($A89,INDIRECT(RangeEstCount),0)-1,MATCH(Decimals,Items[#Headers],0)-1,1,1)),"")))),"")</f>
        <v/>
      </c>
      <c r="D89" s="170" t="str">
        <f ca="1">IFERROR(INDEX(INDIRECT(RangeUnit),MATCH($A89,INDIRECT(RangeEstCount),0))&amp;SUBSTITUTE(" ["&amp;INDEX(INDIRECT(RangeAmend),MATCH($A89,INDIRECT(RangeEstCount),0))&amp;"]"," []",""),"")</f>
        <v/>
      </c>
      <c r="E89" s="170" t="str">
        <f ca="1">IFERROR(IF(INDEX(INDIRECT(RangeContrQty),MATCH($A89,INDIRECT(RangeEstCount),0)),"(CQ)",""),"")</f>
        <v/>
      </c>
      <c r="F89" s="171" t="str">
        <f ca="1">IFERROR(IF(OR(NOT(Bid?),LEFT(UPPER($D89),4)="FXHR"),INDEX(INDIRECT(RangeUnitPrice),MATCH($A89,INDIRECT(RangeEstCount),0)),IF(Awd?,OFFSET(TabAmount,MATCH(INDEX(INDIRECT(RangeCount),MATCH($A89,INDIRECT(RangeEstCount),0)),OFFSET(TabCount,1,0,2*NumPayItems,1),0),MATCH(Awarded2,Bidders,0)),IF(OR($C89="",$D89="LPSM"),"","$"))),"")</f>
        <v/>
      </c>
      <c r="G89" s="171" t="str">
        <f ca="1">IFERROR(VALUE(C89)*F89,IF(AND(Bid?,NOT(Awd?),$D89="LPSM"),"$",F89))</f>
        <v/>
      </c>
      <c r="H89" s="374"/>
      <c r="I89" s="217" t="str">
        <f ca="1">IFERROR(VALUE(SUBSTITUTE(OFFSET(I89,-1,0)," "&amp;$D89,""))*$F89,"")</f>
        <v/>
      </c>
      <c r="J89" s="215" t="str">
        <f ca="1">IFERROR(VALUE(SUBSTITUTE(OFFSET(J89,-1,0)," "&amp;$D89,""))*$F89,"")</f>
        <v/>
      </c>
      <c r="K89" s="215" t="str">
        <f t="shared" ref="K89:M89" ca="1" si="85">IFERROR(VALUE(SUBSTITUTE(OFFSET(K89,-1,0)," "&amp;$D89,""))*$F89,"")</f>
        <v/>
      </c>
      <c r="L89" s="215" t="str">
        <f t="shared" ca="1" si="85"/>
        <v/>
      </c>
      <c r="M89" s="215" t="str">
        <f t="shared" ca="1" si="85"/>
        <v/>
      </c>
      <c r="N89" s="215" t="str">
        <f ca="1">IFERROR(VALUE(SUBSTITUTE(OFFSET(N89,-1,0)," "&amp;$D89,""))*$F89,"")</f>
        <v/>
      </c>
      <c r="O89" s="215" t="str">
        <f ca="1">IFERROR(VALUE(SUBSTITUTE(OFFSET(O89,-1,0)," "&amp;$D89,""))*$F89,"")</f>
        <v/>
      </c>
      <c r="P89" s="209" t="str">
        <f ca="1">IF(LEN(B89)&gt;0,ISNUMBER(MATCH(B89,Proposed[Item],0)),"")</f>
        <v/>
      </c>
    </row>
    <row r="90" spans="1:16" ht="15" x14ac:dyDescent="0.2">
      <c r="A90" s="276">
        <f t="shared" ca="1" si="67"/>
        <v>42</v>
      </c>
      <c r="B90" s="168" t="str">
        <f ca="1">IFERROR(INDEX(INDIRECT(RangeItems),MATCH($A90,INDIRECT(RangeEstCount),0)),"")</f>
        <v/>
      </c>
      <c r="C90" s="365" t="str">
        <f ca="1">IFERROR(INDEX(Calcs[Description],INDEX(INDIRECT(RangeCount),MATCH($A90,INDIRECT(RangeEstCount),0))),"")</f>
        <v/>
      </c>
      <c r="D90" s="365"/>
      <c r="E90" s="365"/>
      <c r="F90" s="365"/>
      <c r="G90" s="365"/>
      <c r="H90" s="375" t="str">
        <f ca="1">IF(AND(Bid?,NOT(Awd?)),C90,OFFSET(F90,1,0))</f>
        <v/>
      </c>
      <c r="I90" s="216" t="str">
        <f t="shared" ref="I90:O90" ca="1" si="86">IFERROR(SUM(OFFSET(INDIRECT(RangeQuantity),MATCH($A90,INDIRECT(RangeEstCount),0)-1,COLUMN(I90)-COLUMN($H90),1,1))&amp;" "&amp;OFFSET($D90,1,0),"")</f>
        <v/>
      </c>
      <c r="J90" s="277" t="str">
        <f t="shared" ca="1" si="86"/>
        <v/>
      </c>
      <c r="K90" s="277" t="str">
        <f t="shared" ca="1" si="86"/>
        <v/>
      </c>
      <c r="L90" s="277" t="str">
        <f t="shared" ca="1" si="86"/>
        <v/>
      </c>
      <c r="M90" s="277" t="str">
        <f t="shared" ca="1" si="86"/>
        <v/>
      </c>
      <c r="N90" s="277" t="str">
        <f t="shared" ca="1" si="86"/>
        <v/>
      </c>
      <c r="O90" s="277" t="str">
        <f t="shared" ca="1" si="86"/>
        <v/>
      </c>
      <c r="P90" s="209" t="str">
        <f ca="1">IF(LEN(B90)&gt;0,ISNUMBER(MATCH(B90,Proposed[Item],0)),"")</f>
        <v/>
      </c>
    </row>
    <row r="91" spans="1:16" ht="15" x14ac:dyDescent="0.2">
      <c r="A91" s="276">
        <f t="shared" ca="1" si="67"/>
        <v>42</v>
      </c>
      <c r="B91" s="111" t="str">
        <f ca="1">IFERROR("Line "&amp;INDEX(Calcs[Line],INDEX(INDIRECT(RangeCount),MATCH($A91,INDIRECT(RangeEstCount),0))),"")</f>
        <v/>
      </c>
      <c r="C91" s="169" t="str">
        <f ca="1">IFERROR(IF(AND($D91="LPSM",Bid?,All?),"ALL",TEXT(OFFSET(INDIRECT(RangeQuantity),MATCH($A91,INDIRECT(RangeEstCount),0)-1,MATCH(Account,Accounts,0)-1,1,1),IF($D91="LPSM","0%","#,##0"&amp;IF(OFFSET(Items[#Data],MATCH($A91,INDIRECT(RangeEstCount),0)-1,MATCH(Decimals,Items[#Headers],0)-1,1,1)&gt;0,"."&amp;REPT("0",OFFSET(Items[#Data],MATCH($A91,INDIRECT(RangeEstCount),0)-1,MATCH(Decimals,Items[#Headers],0)-1,1,1)),"")))),"")</f>
        <v/>
      </c>
      <c r="D91" s="170" t="str">
        <f ca="1">IFERROR(INDEX(INDIRECT(RangeUnit),MATCH($A91,INDIRECT(RangeEstCount),0))&amp;SUBSTITUTE(" ["&amp;INDEX(INDIRECT(RangeAmend),MATCH($A91,INDIRECT(RangeEstCount),0))&amp;"]"," []",""),"")</f>
        <v/>
      </c>
      <c r="E91" s="170" t="str">
        <f ca="1">IFERROR(IF(INDEX(INDIRECT(RangeContrQty),MATCH($A91,INDIRECT(RangeEstCount),0)),"(CQ)",""),"")</f>
        <v/>
      </c>
      <c r="F91" s="171" t="str">
        <f ca="1">IFERROR(IF(OR(NOT(Bid?),LEFT(UPPER($D91),4)="FXHR"),INDEX(INDIRECT(RangeUnitPrice),MATCH($A91,INDIRECT(RangeEstCount),0)),IF(Awd?,OFFSET(TabAmount,MATCH(INDEX(INDIRECT(RangeCount),MATCH($A91,INDIRECT(RangeEstCount),0)),OFFSET(TabCount,1,0,2*NumPayItems,1),0),MATCH(Awarded2,Bidders,0)),IF(OR($C91="",$D91="LPSM"),"","$"))),"")</f>
        <v/>
      </c>
      <c r="G91" s="171" t="str">
        <f ca="1">IFERROR(VALUE(C91)*F91,IF(AND(Bid?,NOT(Awd?),$D91="LPSM"),"$",F91))</f>
        <v/>
      </c>
      <c r="H91" s="374"/>
      <c r="I91" s="217" t="str">
        <f ca="1">IFERROR(VALUE(SUBSTITUTE(OFFSET(I91,-1,0)," "&amp;$D91,""))*$F91,"")</f>
        <v/>
      </c>
      <c r="J91" s="215" t="str">
        <f ca="1">IFERROR(VALUE(SUBSTITUTE(OFFSET(J91,-1,0)," "&amp;$D91,""))*$F91,"")</f>
        <v/>
      </c>
      <c r="K91" s="215" t="str">
        <f t="shared" ref="K91:M91" ca="1" si="87">IFERROR(VALUE(SUBSTITUTE(OFFSET(K91,-1,0)," "&amp;$D91,""))*$F91,"")</f>
        <v/>
      </c>
      <c r="L91" s="215" t="str">
        <f t="shared" ca="1" si="87"/>
        <v/>
      </c>
      <c r="M91" s="215" t="str">
        <f t="shared" ca="1" si="87"/>
        <v/>
      </c>
      <c r="N91" s="215" t="str">
        <f ca="1">IFERROR(VALUE(SUBSTITUTE(OFFSET(N91,-1,0)," "&amp;$D91,""))*$F91,"")</f>
        <v/>
      </c>
      <c r="O91" s="215" t="str">
        <f ca="1">IFERROR(VALUE(SUBSTITUTE(OFFSET(O91,-1,0)," "&amp;$D91,""))*$F91,"")</f>
        <v/>
      </c>
      <c r="P91" s="209" t="str">
        <f ca="1">IF(LEN(B91)&gt;0,ISNUMBER(MATCH(B91,Proposed[Item],0)),"")</f>
        <v/>
      </c>
    </row>
    <row r="92" spans="1:16" ht="15" x14ac:dyDescent="0.2">
      <c r="A92" s="276">
        <f t="shared" ca="1" si="67"/>
        <v>43</v>
      </c>
      <c r="B92" s="168" t="str">
        <f ca="1">IFERROR(INDEX(INDIRECT(RangeItems),MATCH($A92,INDIRECT(RangeEstCount),0)),"")</f>
        <v/>
      </c>
      <c r="C92" s="365" t="str">
        <f ca="1">IFERROR(INDEX(Calcs[Description],INDEX(INDIRECT(RangeCount),MATCH($A92,INDIRECT(RangeEstCount),0))),"")</f>
        <v/>
      </c>
      <c r="D92" s="365"/>
      <c r="E92" s="365"/>
      <c r="F92" s="365"/>
      <c r="G92" s="365"/>
      <c r="H92" s="375" t="str">
        <f ca="1">IF(AND(Bid?,NOT(Awd?)),C92,OFFSET(F92,1,0))</f>
        <v/>
      </c>
      <c r="I92" s="216" t="str">
        <f t="shared" ref="I92:O92" ca="1" si="88">IFERROR(SUM(OFFSET(INDIRECT(RangeQuantity),MATCH($A92,INDIRECT(RangeEstCount),0)-1,COLUMN(I92)-COLUMN($H92),1,1))&amp;" "&amp;OFFSET($D92,1,0),"")</f>
        <v/>
      </c>
      <c r="J92" s="277" t="str">
        <f t="shared" ca="1" si="88"/>
        <v/>
      </c>
      <c r="K92" s="277" t="str">
        <f t="shared" ca="1" si="88"/>
        <v/>
      </c>
      <c r="L92" s="277" t="str">
        <f t="shared" ca="1" si="88"/>
        <v/>
      </c>
      <c r="M92" s="277" t="str">
        <f t="shared" ca="1" si="88"/>
        <v/>
      </c>
      <c r="N92" s="277" t="str">
        <f t="shared" ca="1" si="88"/>
        <v/>
      </c>
      <c r="O92" s="277" t="str">
        <f t="shared" ca="1" si="88"/>
        <v/>
      </c>
      <c r="P92" s="209" t="str">
        <f ca="1">IF(LEN(B92)&gt;0,ISNUMBER(MATCH(B92,Proposed[Item],0)),"")</f>
        <v/>
      </c>
    </row>
    <row r="93" spans="1:16" ht="15" x14ac:dyDescent="0.2">
      <c r="A93" s="276">
        <f t="shared" ca="1" si="67"/>
        <v>43</v>
      </c>
      <c r="B93" s="111" t="str">
        <f ca="1">IFERROR("Line "&amp;INDEX(Calcs[Line],INDEX(INDIRECT(RangeCount),MATCH($A93,INDIRECT(RangeEstCount),0))),"")</f>
        <v/>
      </c>
      <c r="C93" s="169" t="str">
        <f ca="1">IFERROR(IF(AND($D93="LPSM",Bid?,All?),"ALL",TEXT(OFFSET(INDIRECT(RangeQuantity),MATCH($A93,INDIRECT(RangeEstCount),0)-1,MATCH(Account,Accounts,0)-1,1,1),IF($D93="LPSM","0%","#,##0"&amp;IF(OFFSET(Items[#Data],MATCH($A93,INDIRECT(RangeEstCount),0)-1,MATCH(Decimals,Items[#Headers],0)-1,1,1)&gt;0,"."&amp;REPT("0",OFFSET(Items[#Data],MATCH($A93,INDIRECT(RangeEstCount),0)-1,MATCH(Decimals,Items[#Headers],0)-1,1,1)),"")))),"")</f>
        <v/>
      </c>
      <c r="D93" s="170" t="str">
        <f ca="1">IFERROR(INDEX(INDIRECT(RangeUnit),MATCH($A93,INDIRECT(RangeEstCount),0))&amp;SUBSTITUTE(" ["&amp;INDEX(INDIRECT(RangeAmend),MATCH($A93,INDIRECT(RangeEstCount),0))&amp;"]"," []",""),"")</f>
        <v/>
      </c>
      <c r="E93" s="170" t="str">
        <f ca="1">IFERROR(IF(INDEX(INDIRECT(RangeContrQty),MATCH($A93,INDIRECT(RangeEstCount),0)),"(CQ)",""),"")</f>
        <v/>
      </c>
      <c r="F93" s="171" t="str">
        <f ca="1">IFERROR(IF(OR(NOT(Bid?),LEFT(UPPER($D93),4)="FXHR"),INDEX(INDIRECT(RangeUnitPrice),MATCH($A93,INDIRECT(RangeEstCount),0)),IF(Awd?,OFFSET(TabAmount,MATCH(INDEX(INDIRECT(RangeCount),MATCH($A93,INDIRECT(RangeEstCount),0)),OFFSET(TabCount,1,0,2*NumPayItems,1),0),MATCH(Awarded2,Bidders,0)),IF(OR($C93="",$D93="LPSM"),"","$"))),"")</f>
        <v/>
      </c>
      <c r="G93" s="171" t="str">
        <f ca="1">IFERROR(VALUE(C93)*F93,IF(AND(Bid?,NOT(Awd?),$D93="LPSM"),"$",F93))</f>
        <v/>
      </c>
      <c r="H93" s="374"/>
      <c r="I93" s="217" t="str">
        <f ca="1">IFERROR(VALUE(SUBSTITUTE(OFFSET(I93,-1,0)," "&amp;$D93,""))*$F93,"")</f>
        <v/>
      </c>
      <c r="J93" s="215" t="str">
        <f ca="1">IFERROR(VALUE(SUBSTITUTE(OFFSET(J93,-1,0)," "&amp;$D93,""))*$F93,"")</f>
        <v/>
      </c>
      <c r="K93" s="215" t="str">
        <f t="shared" ref="K93:M93" ca="1" si="89">IFERROR(VALUE(SUBSTITUTE(OFFSET(K93,-1,0)," "&amp;$D93,""))*$F93,"")</f>
        <v/>
      </c>
      <c r="L93" s="215" t="str">
        <f t="shared" ca="1" si="89"/>
        <v/>
      </c>
      <c r="M93" s="215" t="str">
        <f t="shared" ca="1" si="89"/>
        <v/>
      </c>
      <c r="N93" s="215" t="str">
        <f ca="1">IFERROR(VALUE(SUBSTITUTE(OFFSET(N93,-1,0)," "&amp;$D93,""))*$F93,"")</f>
        <v/>
      </c>
      <c r="O93" s="215" t="str">
        <f ca="1">IFERROR(VALUE(SUBSTITUTE(OFFSET(O93,-1,0)," "&amp;$D93,""))*$F93,"")</f>
        <v/>
      </c>
      <c r="P93" s="209" t="str">
        <f ca="1">IF(LEN(B93)&gt;0,ISNUMBER(MATCH(B93,Proposed[Item],0)),"")</f>
        <v/>
      </c>
    </row>
    <row r="94" spans="1:16" ht="15" x14ac:dyDescent="0.2">
      <c r="A94" s="276">
        <f t="shared" ca="1" si="67"/>
        <v>44</v>
      </c>
      <c r="B94" s="168" t="str">
        <f ca="1">IFERROR(INDEX(INDIRECT(RangeItems),MATCH($A94,INDIRECT(RangeEstCount),0)),"")</f>
        <v/>
      </c>
      <c r="C94" s="365" t="str">
        <f ca="1">IFERROR(INDEX(Calcs[Description],INDEX(INDIRECT(RangeCount),MATCH($A94,INDIRECT(RangeEstCount),0))),"")</f>
        <v/>
      </c>
      <c r="D94" s="365"/>
      <c r="E94" s="365"/>
      <c r="F94" s="365"/>
      <c r="G94" s="365"/>
      <c r="H94" s="375" t="str">
        <f ca="1">IF(AND(Bid?,NOT(Awd?)),C94,OFFSET(F94,1,0))</f>
        <v/>
      </c>
      <c r="I94" s="216" t="str">
        <f t="shared" ref="I94:O94" ca="1" si="90">IFERROR(SUM(OFFSET(INDIRECT(RangeQuantity),MATCH($A94,INDIRECT(RangeEstCount),0)-1,COLUMN(I94)-COLUMN($H94),1,1))&amp;" "&amp;OFFSET($D94,1,0),"")</f>
        <v/>
      </c>
      <c r="J94" s="277" t="str">
        <f t="shared" ca="1" si="90"/>
        <v/>
      </c>
      <c r="K94" s="277" t="str">
        <f t="shared" ca="1" si="90"/>
        <v/>
      </c>
      <c r="L94" s="277" t="str">
        <f t="shared" ca="1" si="90"/>
        <v/>
      </c>
      <c r="M94" s="277" t="str">
        <f t="shared" ca="1" si="90"/>
        <v/>
      </c>
      <c r="N94" s="277" t="str">
        <f t="shared" ca="1" si="90"/>
        <v/>
      </c>
      <c r="O94" s="277" t="str">
        <f t="shared" ca="1" si="90"/>
        <v/>
      </c>
      <c r="P94" s="209" t="str">
        <f ca="1">IF(LEN(B94)&gt;0,ISNUMBER(MATCH(B94,Proposed[Item],0)),"")</f>
        <v/>
      </c>
    </row>
    <row r="95" spans="1:16" ht="15" x14ac:dyDescent="0.2">
      <c r="A95" s="276">
        <f t="shared" ca="1" si="67"/>
        <v>44</v>
      </c>
      <c r="B95" s="111" t="str">
        <f ca="1">IFERROR("Line "&amp;INDEX(Calcs[Line],INDEX(INDIRECT(RangeCount),MATCH($A95,INDIRECT(RangeEstCount),0))),"")</f>
        <v/>
      </c>
      <c r="C95" s="169" t="str">
        <f ca="1">IFERROR(IF(AND($D95="LPSM",Bid?,All?),"ALL",TEXT(OFFSET(INDIRECT(RangeQuantity),MATCH($A95,INDIRECT(RangeEstCount),0)-1,MATCH(Account,Accounts,0)-1,1,1),IF($D95="LPSM","0%","#,##0"&amp;IF(OFFSET(Items[#Data],MATCH($A95,INDIRECT(RangeEstCount),0)-1,MATCH(Decimals,Items[#Headers],0)-1,1,1)&gt;0,"."&amp;REPT("0",OFFSET(Items[#Data],MATCH($A95,INDIRECT(RangeEstCount),0)-1,MATCH(Decimals,Items[#Headers],0)-1,1,1)),"")))),"")</f>
        <v/>
      </c>
      <c r="D95" s="170" t="str">
        <f ca="1">IFERROR(INDEX(INDIRECT(RangeUnit),MATCH($A95,INDIRECT(RangeEstCount),0))&amp;SUBSTITUTE(" ["&amp;INDEX(INDIRECT(RangeAmend),MATCH($A95,INDIRECT(RangeEstCount),0))&amp;"]"," []",""),"")</f>
        <v/>
      </c>
      <c r="E95" s="170" t="str">
        <f ca="1">IFERROR(IF(INDEX(INDIRECT(RangeContrQty),MATCH($A95,INDIRECT(RangeEstCount),0)),"(CQ)",""),"")</f>
        <v/>
      </c>
      <c r="F95" s="171" t="str">
        <f ca="1">IFERROR(IF(OR(NOT(Bid?),LEFT(UPPER($D95),4)="FXHR"),INDEX(INDIRECT(RangeUnitPrice),MATCH($A95,INDIRECT(RangeEstCount),0)),IF(Awd?,OFFSET(TabAmount,MATCH(INDEX(INDIRECT(RangeCount),MATCH($A95,INDIRECT(RangeEstCount),0)),OFFSET(TabCount,1,0,2*NumPayItems,1),0),MATCH(Awarded2,Bidders,0)),IF(OR($C95="",$D95="LPSM"),"","$"))),"")</f>
        <v/>
      </c>
      <c r="G95" s="171" t="str">
        <f ca="1">IFERROR(VALUE(C95)*F95,IF(AND(Bid?,NOT(Awd?),$D95="LPSM"),"$",F95))</f>
        <v/>
      </c>
      <c r="H95" s="374"/>
      <c r="I95" s="217" t="str">
        <f ca="1">IFERROR(VALUE(SUBSTITUTE(OFFSET(I95,-1,0)," "&amp;$D95,""))*$F95,"")</f>
        <v/>
      </c>
      <c r="J95" s="215" t="str">
        <f ca="1">IFERROR(VALUE(SUBSTITUTE(OFFSET(J95,-1,0)," "&amp;$D95,""))*$F95,"")</f>
        <v/>
      </c>
      <c r="K95" s="215" t="str">
        <f t="shared" ref="K95:M95" ca="1" si="91">IFERROR(VALUE(SUBSTITUTE(OFFSET(K95,-1,0)," "&amp;$D95,""))*$F95,"")</f>
        <v/>
      </c>
      <c r="L95" s="215" t="str">
        <f t="shared" ca="1" si="91"/>
        <v/>
      </c>
      <c r="M95" s="215" t="str">
        <f t="shared" ca="1" si="91"/>
        <v/>
      </c>
      <c r="N95" s="215" t="str">
        <f ca="1">IFERROR(VALUE(SUBSTITUTE(OFFSET(N95,-1,0)," "&amp;$D95,""))*$F95,"")</f>
        <v/>
      </c>
      <c r="O95" s="215" t="str">
        <f ca="1">IFERROR(VALUE(SUBSTITUTE(OFFSET(O95,-1,0)," "&amp;$D95,""))*$F95,"")</f>
        <v/>
      </c>
      <c r="P95" s="209" t="str">
        <f ca="1">IF(LEN(B95)&gt;0,ISNUMBER(MATCH(B95,Proposed[Item],0)),"")</f>
        <v/>
      </c>
    </row>
    <row r="96" spans="1:16" ht="15" x14ac:dyDescent="0.2">
      <c r="A96" s="276">
        <f t="shared" ca="1" si="67"/>
        <v>45</v>
      </c>
      <c r="B96" s="168" t="str">
        <f ca="1">IFERROR(INDEX(INDIRECT(RangeItems),MATCH($A96,INDIRECT(RangeEstCount),0)),"")</f>
        <v/>
      </c>
      <c r="C96" s="365" t="str">
        <f ca="1">IFERROR(INDEX(Calcs[Description],INDEX(INDIRECT(RangeCount),MATCH($A96,INDIRECT(RangeEstCount),0))),"")</f>
        <v/>
      </c>
      <c r="D96" s="365"/>
      <c r="E96" s="365"/>
      <c r="F96" s="365"/>
      <c r="G96" s="365"/>
      <c r="H96" s="375" t="str">
        <f ca="1">IF(AND(Bid?,NOT(Awd?)),C96,OFFSET(F96,1,0))</f>
        <v/>
      </c>
      <c r="I96" s="216" t="str">
        <f t="shared" ref="I96:O96" ca="1" si="92">IFERROR(SUM(OFFSET(INDIRECT(RangeQuantity),MATCH($A96,INDIRECT(RangeEstCount),0)-1,COLUMN(I96)-COLUMN($H96),1,1))&amp;" "&amp;OFFSET($D96,1,0),"")</f>
        <v/>
      </c>
      <c r="J96" s="277" t="str">
        <f t="shared" ca="1" si="92"/>
        <v/>
      </c>
      <c r="K96" s="277" t="str">
        <f t="shared" ca="1" si="92"/>
        <v/>
      </c>
      <c r="L96" s="277" t="str">
        <f t="shared" ca="1" si="92"/>
        <v/>
      </c>
      <c r="M96" s="277" t="str">
        <f t="shared" ca="1" si="92"/>
        <v/>
      </c>
      <c r="N96" s="277" t="str">
        <f t="shared" ca="1" si="92"/>
        <v/>
      </c>
      <c r="O96" s="277" t="str">
        <f t="shared" ca="1" si="92"/>
        <v/>
      </c>
      <c r="P96" s="209" t="str">
        <f ca="1">IF(LEN(B96)&gt;0,ISNUMBER(MATCH(B96,Proposed[Item],0)),"")</f>
        <v/>
      </c>
    </row>
    <row r="97" spans="1:18" ht="15" x14ac:dyDescent="0.2">
      <c r="A97" s="276">
        <f t="shared" ca="1" si="67"/>
        <v>45</v>
      </c>
      <c r="B97" s="111" t="str">
        <f ca="1">IFERROR("Line "&amp;INDEX(Calcs[Line],INDEX(INDIRECT(RangeCount),MATCH($A97,INDIRECT(RangeEstCount),0))),"")</f>
        <v/>
      </c>
      <c r="C97" s="169" t="str">
        <f ca="1">IFERROR(IF(AND($D97="LPSM",Bid?,All?),"ALL",TEXT(OFFSET(INDIRECT(RangeQuantity),MATCH($A97,INDIRECT(RangeEstCount),0)-1,MATCH(Account,Accounts,0)-1,1,1),IF($D97="LPSM","0%","#,##0"&amp;IF(OFFSET(Items[#Data],MATCH($A97,INDIRECT(RangeEstCount),0)-1,MATCH(Decimals,Items[#Headers],0)-1,1,1)&gt;0,"."&amp;REPT("0",OFFSET(Items[#Data],MATCH($A97,INDIRECT(RangeEstCount),0)-1,MATCH(Decimals,Items[#Headers],0)-1,1,1)),"")))),"")</f>
        <v/>
      </c>
      <c r="D97" s="170" t="str">
        <f ca="1">IFERROR(INDEX(INDIRECT(RangeUnit),MATCH($A97,INDIRECT(RangeEstCount),0))&amp;SUBSTITUTE(" ["&amp;INDEX(INDIRECT(RangeAmend),MATCH($A97,INDIRECT(RangeEstCount),0))&amp;"]"," []",""),"")</f>
        <v/>
      </c>
      <c r="E97" s="170" t="str">
        <f ca="1">IFERROR(IF(INDEX(INDIRECT(RangeContrQty),MATCH($A97,INDIRECT(RangeEstCount),0)),"(CQ)",""),"")</f>
        <v/>
      </c>
      <c r="F97" s="171" t="str">
        <f ca="1">IFERROR(IF(OR(NOT(Bid?),LEFT(UPPER($D97),4)="FXHR"),INDEX(INDIRECT(RangeUnitPrice),MATCH($A97,INDIRECT(RangeEstCount),0)),IF(Awd?,OFFSET(TabAmount,MATCH(INDEX(INDIRECT(RangeCount),MATCH($A97,INDIRECT(RangeEstCount),0)),OFFSET(TabCount,1,0,2*NumPayItems,1),0),MATCH(Awarded2,Bidders,0)),IF(OR($C97="",$D97="LPSM"),"","$"))),"")</f>
        <v/>
      </c>
      <c r="G97" s="171" t="str">
        <f ca="1">IFERROR(VALUE(C97)*F97,IF(AND(Bid?,NOT(Awd?),$D97="LPSM"),"$",F97))</f>
        <v/>
      </c>
      <c r="H97" s="374"/>
      <c r="I97" s="217" t="str">
        <f ca="1">IFERROR(VALUE(SUBSTITUTE(OFFSET(I97,-1,0)," "&amp;$D97,""))*$F97,"")</f>
        <v/>
      </c>
      <c r="J97" s="215" t="str">
        <f ca="1">IFERROR(VALUE(SUBSTITUTE(OFFSET(J97,-1,0)," "&amp;$D97,""))*$F97,"")</f>
        <v/>
      </c>
      <c r="K97" s="215" t="str">
        <f t="shared" ref="K97:M97" ca="1" si="93">IFERROR(VALUE(SUBSTITUTE(OFFSET(K97,-1,0)," "&amp;$D97,""))*$F97,"")</f>
        <v/>
      </c>
      <c r="L97" s="215" t="str">
        <f t="shared" ca="1" si="93"/>
        <v/>
      </c>
      <c r="M97" s="215" t="str">
        <f t="shared" ca="1" si="93"/>
        <v/>
      </c>
      <c r="N97" s="215" t="str">
        <f ca="1">IFERROR(VALUE(SUBSTITUTE(OFFSET(N97,-1,0)," "&amp;$D97,""))*$F97,"")</f>
        <v/>
      </c>
      <c r="O97" s="215" t="str">
        <f ca="1">IFERROR(VALUE(SUBSTITUTE(OFFSET(O97,-1,0)," "&amp;$D97,""))*$F97,"")</f>
        <v/>
      </c>
      <c r="P97" s="209" t="str">
        <f ca="1">IF(LEN(B97)&gt;0,ISNUMBER(MATCH(B97,Proposed[Item],0)),"")</f>
        <v/>
      </c>
    </row>
    <row r="98" spans="1:18" ht="15" x14ac:dyDescent="0.2">
      <c r="A98" s="276">
        <f t="shared" ca="1" si="67"/>
        <v>46</v>
      </c>
      <c r="B98" s="168" t="str">
        <f ca="1">IFERROR(INDEX(INDIRECT(RangeItems),MATCH($A98,INDIRECT(RangeEstCount),0)),"")</f>
        <v/>
      </c>
      <c r="C98" s="365" t="str">
        <f ca="1">IFERROR(INDEX(Calcs[Description],INDEX(INDIRECT(RangeCount),MATCH($A98,INDIRECT(RangeEstCount),0))),"")</f>
        <v/>
      </c>
      <c r="D98" s="365"/>
      <c r="E98" s="365"/>
      <c r="F98" s="365"/>
      <c r="G98" s="365"/>
      <c r="H98" s="375" t="str">
        <f ca="1">IF(AND(Bid?,NOT(Awd?)),C98,OFFSET(F98,1,0))</f>
        <v/>
      </c>
      <c r="I98" s="216" t="str">
        <f t="shared" ref="I98:O98" ca="1" si="94">IFERROR(SUM(OFFSET(INDIRECT(RangeQuantity),MATCH($A98,INDIRECT(RangeEstCount),0)-1,COLUMN(I98)-COLUMN($H98),1,1))&amp;" "&amp;OFFSET($D98,1,0),"")</f>
        <v/>
      </c>
      <c r="J98" s="277" t="str">
        <f t="shared" ca="1" si="94"/>
        <v/>
      </c>
      <c r="K98" s="277" t="str">
        <f t="shared" ca="1" si="94"/>
        <v/>
      </c>
      <c r="L98" s="277" t="str">
        <f t="shared" ca="1" si="94"/>
        <v/>
      </c>
      <c r="M98" s="277" t="str">
        <f t="shared" ca="1" si="94"/>
        <v/>
      </c>
      <c r="N98" s="277" t="str">
        <f t="shared" ca="1" si="94"/>
        <v/>
      </c>
      <c r="O98" s="277" t="str">
        <f t="shared" ca="1" si="94"/>
        <v/>
      </c>
      <c r="P98" s="209" t="str">
        <f ca="1">IF(LEN(B98)&gt;0,ISNUMBER(MATCH(B98,Proposed[Item],0)),"")</f>
        <v/>
      </c>
    </row>
    <row r="99" spans="1:18" ht="15" x14ac:dyDescent="0.2">
      <c r="A99" s="276">
        <f t="shared" ca="1" si="67"/>
        <v>46</v>
      </c>
      <c r="B99" s="111" t="str">
        <f ca="1">IFERROR("Line "&amp;INDEX(Calcs[Line],INDEX(INDIRECT(RangeCount),MATCH($A99,INDIRECT(RangeEstCount),0))),"")</f>
        <v/>
      </c>
      <c r="C99" s="169" t="str">
        <f ca="1">IFERROR(IF(AND($D99="LPSM",Bid?,All?),"ALL",TEXT(OFFSET(INDIRECT(RangeQuantity),MATCH($A99,INDIRECT(RangeEstCount),0)-1,MATCH(Account,Accounts,0)-1,1,1),IF($D99="LPSM","0%","#,##0"&amp;IF(OFFSET(Items[#Data],MATCH($A99,INDIRECT(RangeEstCount),0)-1,MATCH(Decimals,Items[#Headers],0)-1,1,1)&gt;0,"."&amp;REPT("0",OFFSET(Items[#Data],MATCH($A99,INDIRECT(RangeEstCount),0)-1,MATCH(Decimals,Items[#Headers],0)-1,1,1)),"")))),"")</f>
        <v/>
      </c>
      <c r="D99" s="170" t="str">
        <f ca="1">IFERROR(INDEX(INDIRECT(RangeUnit),MATCH($A99,INDIRECT(RangeEstCount),0))&amp;SUBSTITUTE(" ["&amp;INDEX(INDIRECT(RangeAmend),MATCH($A99,INDIRECT(RangeEstCount),0))&amp;"]"," []",""),"")</f>
        <v/>
      </c>
      <c r="E99" s="170" t="str">
        <f ca="1">IFERROR(IF(INDEX(INDIRECT(RangeContrQty),MATCH($A99,INDIRECT(RangeEstCount),0)),"(CQ)",""),"")</f>
        <v/>
      </c>
      <c r="F99" s="171" t="str">
        <f ca="1">IFERROR(IF(OR(NOT(Bid?),LEFT(UPPER($D99),4)="FXHR"),INDEX(INDIRECT(RangeUnitPrice),MATCH($A99,INDIRECT(RangeEstCount),0)),IF(Awd?,OFFSET(TabAmount,MATCH(INDEX(INDIRECT(RangeCount),MATCH($A99,INDIRECT(RangeEstCount),0)),OFFSET(TabCount,1,0,2*NumPayItems,1),0),MATCH(Awarded2,Bidders,0)),IF(OR($C99="",$D99="LPSM"),"","$"))),"")</f>
        <v/>
      </c>
      <c r="G99" s="171" t="str">
        <f ca="1">IFERROR(VALUE(C99)*F99,IF(AND(Bid?,NOT(Awd?),$D99="LPSM"),"$",F99))</f>
        <v/>
      </c>
      <c r="H99" s="374"/>
      <c r="I99" s="217" t="str">
        <f ca="1">IFERROR(VALUE(SUBSTITUTE(OFFSET(I99,-1,0)," "&amp;$D99,""))*$F99,"")</f>
        <v/>
      </c>
      <c r="J99" s="215" t="str">
        <f ca="1">IFERROR(VALUE(SUBSTITUTE(OFFSET(J99,-1,0)," "&amp;$D99,""))*$F99,"")</f>
        <v/>
      </c>
      <c r="K99" s="215" t="str">
        <f t="shared" ref="K99:M99" ca="1" si="95">IFERROR(VALUE(SUBSTITUTE(OFFSET(K99,-1,0)," "&amp;$D99,""))*$F99,"")</f>
        <v/>
      </c>
      <c r="L99" s="215" t="str">
        <f t="shared" ca="1" si="95"/>
        <v/>
      </c>
      <c r="M99" s="215" t="str">
        <f t="shared" ca="1" si="95"/>
        <v/>
      </c>
      <c r="N99" s="215" t="str">
        <f ca="1">IFERROR(VALUE(SUBSTITUTE(OFFSET(N99,-1,0)," "&amp;$D99,""))*$F99,"")</f>
        <v/>
      </c>
      <c r="O99" s="215" t="str">
        <f ca="1">IFERROR(VALUE(SUBSTITUTE(OFFSET(O99,-1,0)," "&amp;$D99,""))*$F99,"")</f>
        <v/>
      </c>
      <c r="P99" s="209" t="str">
        <f ca="1">IF(LEN(B99)&gt;0,ISNUMBER(MATCH(B99,Proposed[Item],0)),"")</f>
        <v/>
      </c>
    </row>
    <row r="100" spans="1:18" ht="15" x14ac:dyDescent="0.2">
      <c r="A100" s="276">
        <f t="shared" ca="1" si="67"/>
        <v>47</v>
      </c>
      <c r="B100" s="168" t="str">
        <f ca="1">IFERROR(INDEX(INDIRECT(RangeItems),MATCH($A100,INDIRECT(RangeEstCount),0)),"")</f>
        <v/>
      </c>
      <c r="C100" s="365" t="str">
        <f ca="1">IFERROR(INDEX(Calcs[Description],INDEX(INDIRECT(RangeCount),MATCH($A100,INDIRECT(RangeEstCount),0))),"")</f>
        <v/>
      </c>
      <c r="D100" s="365"/>
      <c r="E100" s="365"/>
      <c r="F100" s="365"/>
      <c r="G100" s="365"/>
      <c r="H100" s="375" t="str">
        <f ca="1">IF(AND(Bid?,NOT(Awd?)),C100,OFFSET(F100,1,0))</f>
        <v/>
      </c>
      <c r="I100" s="216" t="str">
        <f t="shared" ref="I100:O100" ca="1" si="96">IFERROR(SUM(OFFSET(INDIRECT(RangeQuantity),MATCH($A100,INDIRECT(RangeEstCount),0)-1,COLUMN(I100)-COLUMN($H100),1,1))&amp;" "&amp;OFFSET($D100,1,0),"")</f>
        <v/>
      </c>
      <c r="J100" s="277" t="str">
        <f t="shared" ca="1" si="96"/>
        <v/>
      </c>
      <c r="K100" s="277" t="str">
        <f t="shared" ca="1" si="96"/>
        <v/>
      </c>
      <c r="L100" s="277" t="str">
        <f t="shared" ca="1" si="96"/>
        <v/>
      </c>
      <c r="M100" s="277" t="str">
        <f t="shared" ca="1" si="96"/>
        <v/>
      </c>
      <c r="N100" s="277" t="str">
        <f t="shared" ca="1" si="96"/>
        <v/>
      </c>
      <c r="O100" s="277" t="str">
        <f t="shared" ca="1" si="96"/>
        <v/>
      </c>
      <c r="P100" s="209" t="str">
        <f ca="1">IF(LEN(B100)&gt;0,ISNUMBER(MATCH(B100,Proposed[Item],0)),"")</f>
        <v/>
      </c>
    </row>
    <row r="101" spans="1:18" ht="15" x14ac:dyDescent="0.2">
      <c r="A101" s="276">
        <f t="shared" ca="1" si="67"/>
        <v>47</v>
      </c>
      <c r="B101" s="111" t="str">
        <f ca="1">IFERROR("Line "&amp;INDEX(Calcs[Line],INDEX(INDIRECT(RangeCount),MATCH($A101,INDIRECT(RangeEstCount),0))),"")</f>
        <v/>
      </c>
      <c r="C101" s="169" t="str">
        <f ca="1">IFERROR(IF(AND($D101="LPSM",Bid?,All?),"ALL",TEXT(OFFSET(INDIRECT(RangeQuantity),MATCH($A101,INDIRECT(RangeEstCount),0)-1,MATCH(Account,Accounts,0)-1,1,1),IF($D101="LPSM","0%","#,##0"&amp;IF(OFFSET(Items[#Data],MATCH($A101,INDIRECT(RangeEstCount),0)-1,MATCH(Decimals,Items[#Headers],0)-1,1,1)&gt;0,"."&amp;REPT("0",OFFSET(Items[#Data],MATCH($A101,INDIRECT(RangeEstCount),0)-1,MATCH(Decimals,Items[#Headers],0)-1,1,1)),"")))),"")</f>
        <v/>
      </c>
      <c r="D101" s="170" t="str">
        <f ca="1">IFERROR(INDEX(INDIRECT(RangeUnit),MATCH($A101,INDIRECT(RangeEstCount),0))&amp;SUBSTITUTE(" ["&amp;INDEX(INDIRECT(RangeAmend),MATCH($A101,INDIRECT(RangeEstCount),0))&amp;"]"," []",""),"")</f>
        <v/>
      </c>
      <c r="E101" s="170" t="str">
        <f ca="1">IFERROR(IF(INDEX(INDIRECT(RangeContrQty),MATCH($A101,INDIRECT(RangeEstCount),0)),"(CQ)",""),"")</f>
        <v/>
      </c>
      <c r="F101" s="171" t="str">
        <f ca="1">IFERROR(IF(OR(NOT(Bid?),LEFT(UPPER($D101),4)="FXHR"),INDEX(INDIRECT(RangeUnitPrice),MATCH($A101,INDIRECT(RangeEstCount),0)),IF(Awd?,OFFSET(TabAmount,MATCH(INDEX(INDIRECT(RangeCount),MATCH($A101,INDIRECT(RangeEstCount),0)),OFFSET(TabCount,1,0,2*NumPayItems,1),0),MATCH(Awarded2,Bidders,0)),IF(OR($C101="",$D101="LPSM"),"","$"))),"")</f>
        <v/>
      </c>
      <c r="G101" s="171" t="str">
        <f ca="1">IFERROR(VALUE(C101)*F101,IF(AND(Bid?,NOT(Awd?),$D101="LPSM"),"$",F101))</f>
        <v/>
      </c>
      <c r="H101" s="374"/>
      <c r="I101" s="217" t="str">
        <f ca="1">IFERROR(VALUE(SUBSTITUTE(OFFSET(I101,-1,0)," "&amp;$D101,""))*$F101,"")</f>
        <v/>
      </c>
      <c r="J101" s="215" t="str">
        <f ca="1">IFERROR(VALUE(SUBSTITUTE(OFFSET(J101,-1,0)," "&amp;$D101,""))*$F101,"")</f>
        <v/>
      </c>
      <c r="K101" s="215" t="str">
        <f t="shared" ref="K101:M101" ca="1" si="97">IFERROR(VALUE(SUBSTITUTE(OFFSET(K101,-1,0)," "&amp;$D101,""))*$F101,"")</f>
        <v/>
      </c>
      <c r="L101" s="215" t="str">
        <f t="shared" ca="1" si="97"/>
        <v/>
      </c>
      <c r="M101" s="215" t="str">
        <f t="shared" ca="1" si="97"/>
        <v/>
      </c>
      <c r="N101" s="215" t="str">
        <f ca="1">IFERROR(VALUE(SUBSTITUTE(OFFSET(N101,-1,0)," "&amp;$D101,""))*$F101,"")</f>
        <v/>
      </c>
      <c r="O101" s="215" t="str">
        <f ca="1">IFERROR(VALUE(SUBSTITUTE(OFFSET(O101,-1,0)," "&amp;$D101,""))*$F101,"")</f>
        <v/>
      </c>
      <c r="P101" s="209" t="str">
        <f ca="1">IF(LEN(B101)&gt;0,ISNUMBER(MATCH(B101,Proposed[Item],0)),"")</f>
        <v/>
      </c>
    </row>
    <row r="102" spans="1:18" ht="15" x14ac:dyDescent="0.2">
      <c r="A102" s="276">
        <f t="shared" ca="1" si="67"/>
        <v>48</v>
      </c>
      <c r="B102" s="168" t="str">
        <f ca="1">IFERROR(INDEX(INDIRECT(RangeItems),MATCH($A102,INDIRECT(RangeEstCount),0)),"")</f>
        <v/>
      </c>
      <c r="C102" s="365" t="str">
        <f ca="1">IFERROR(INDEX(Calcs[Description],INDEX(INDIRECT(RangeCount),MATCH($A102,INDIRECT(RangeEstCount),0))),"")</f>
        <v/>
      </c>
      <c r="D102" s="365"/>
      <c r="E102" s="365"/>
      <c r="F102" s="365"/>
      <c r="G102" s="365"/>
      <c r="H102" s="375" t="str">
        <f ca="1">IF(AND(Bid?,NOT(Awd?)),C102,OFFSET(F102,1,0))</f>
        <v/>
      </c>
      <c r="I102" s="216" t="str">
        <f t="shared" ref="I102:O102" ca="1" si="98">IFERROR(SUM(OFFSET(INDIRECT(RangeQuantity),MATCH($A102,INDIRECT(RangeEstCount),0)-1,COLUMN(I102)-COLUMN($H102),1,1))&amp;" "&amp;OFFSET($D102,1,0),"")</f>
        <v/>
      </c>
      <c r="J102" s="277" t="str">
        <f t="shared" ca="1" si="98"/>
        <v/>
      </c>
      <c r="K102" s="277" t="str">
        <f t="shared" ca="1" si="98"/>
        <v/>
      </c>
      <c r="L102" s="277" t="str">
        <f t="shared" ca="1" si="98"/>
        <v/>
      </c>
      <c r="M102" s="277" t="str">
        <f t="shared" ca="1" si="98"/>
        <v/>
      </c>
      <c r="N102" s="277" t="str">
        <f t="shared" ca="1" si="98"/>
        <v/>
      </c>
      <c r="O102" s="277" t="str">
        <f t="shared" ca="1" si="98"/>
        <v/>
      </c>
      <c r="P102" s="209" t="str">
        <f ca="1">IF(LEN(B102)&gt;0,ISNUMBER(MATCH(B102,Proposed[Item],0)),"")</f>
        <v/>
      </c>
    </row>
    <row r="103" spans="1:18" ht="15" x14ac:dyDescent="0.2">
      <c r="A103" s="276">
        <f t="shared" ca="1" si="67"/>
        <v>48</v>
      </c>
      <c r="B103" s="111" t="str">
        <f ca="1">IFERROR("Line "&amp;INDEX(Calcs[Line],INDEX(INDIRECT(RangeCount),MATCH($A103,INDIRECT(RangeEstCount),0))),"")</f>
        <v/>
      </c>
      <c r="C103" s="169" t="str">
        <f ca="1">IFERROR(IF(AND($D103="LPSM",Bid?,All?),"ALL",TEXT(OFFSET(INDIRECT(RangeQuantity),MATCH($A103,INDIRECT(RangeEstCount),0)-1,MATCH(Account,Accounts,0)-1,1,1),IF($D103="LPSM","0%","#,##0"&amp;IF(OFFSET(Items[#Data],MATCH($A103,INDIRECT(RangeEstCount),0)-1,MATCH(Decimals,Items[#Headers],0)-1,1,1)&gt;0,"."&amp;REPT("0",OFFSET(Items[#Data],MATCH($A103,INDIRECT(RangeEstCount),0)-1,MATCH(Decimals,Items[#Headers],0)-1,1,1)),"")))),"")</f>
        <v/>
      </c>
      <c r="D103" s="170" t="str">
        <f ca="1">IFERROR(INDEX(INDIRECT(RangeUnit),MATCH($A103,INDIRECT(RangeEstCount),0))&amp;SUBSTITUTE(" ["&amp;INDEX(INDIRECT(RangeAmend),MATCH($A103,INDIRECT(RangeEstCount),0))&amp;"]"," []",""),"")</f>
        <v/>
      </c>
      <c r="E103" s="170" t="str">
        <f ca="1">IFERROR(IF(INDEX(INDIRECT(RangeContrQty),MATCH($A103,INDIRECT(RangeEstCount),0)),"(CQ)",""),"")</f>
        <v/>
      </c>
      <c r="F103" s="171" t="str">
        <f ca="1">IFERROR(IF(OR(NOT(Bid?),LEFT(UPPER($D103),4)="FXHR"),INDEX(INDIRECT(RangeUnitPrice),MATCH($A103,INDIRECT(RangeEstCount),0)),IF(Awd?,OFFSET(TabAmount,MATCH(INDEX(INDIRECT(RangeCount),MATCH($A103,INDIRECT(RangeEstCount),0)),OFFSET(TabCount,1,0,2*NumPayItems,1),0),MATCH(Awarded2,Bidders,0)),IF(OR($C103="",$D103="LPSM"),"","$"))),"")</f>
        <v/>
      </c>
      <c r="G103" s="171" t="str">
        <f ca="1">IFERROR(VALUE(C103)*F103,IF(AND(Bid?,NOT(Awd?),$D103="LPSM"),"$",F103))</f>
        <v/>
      </c>
      <c r="H103" s="374"/>
      <c r="I103" s="217" t="str">
        <f ca="1">IFERROR(VALUE(SUBSTITUTE(OFFSET(I103,-1,0)," "&amp;$D103,""))*$F103,"")</f>
        <v/>
      </c>
      <c r="J103" s="215" t="str">
        <f ca="1">IFERROR(VALUE(SUBSTITUTE(OFFSET(J103,-1,0)," "&amp;$D103,""))*$F103,"")</f>
        <v/>
      </c>
      <c r="K103" s="215" t="str">
        <f t="shared" ref="K103:M103" ca="1" si="99">IFERROR(VALUE(SUBSTITUTE(OFFSET(K103,-1,0)," "&amp;$D103,""))*$F103,"")</f>
        <v/>
      </c>
      <c r="L103" s="215" t="str">
        <f t="shared" ca="1" si="99"/>
        <v/>
      </c>
      <c r="M103" s="215" t="str">
        <f t="shared" ca="1" si="99"/>
        <v/>
      </c>
      <c r="N103" s="215" t="str">
        <f ca="1">IFERROR(VALUE(SUBSTITUTE(OFFSET(N103,-1,0)," "&amp;$D103,""))*$F103,"")</f>
        <v/>
      </c>
      <c r="O103" s="215" t="str">
        <f ca="1">IFERROR(VALUE(SUBSTITUTE(OFFSET(O103,-1,0)," "&amp;$D103,""))*$F103,"")</f>
        <v/>
      </c>
      <c r="P103" s="209" t="str">
        <f ca="1">IF(LEN(B103)&gt;0,ISNUMBER(MATCH(B103,Proposed[Item],0)),"")</f>
        <v/>
      </c>
    </row>
    <row r="104" spans="1:18" ht="15" x14ac:dyDescent="0.2">
      <c r="A104" s="276">
        <f t="shared" ca="1" si="67"/>
        <v>49</v>
      </c>
      <c r="B104" s="168" t="str">
        <f ca="1">IFERROR(INDEX(INDIRECT(RangeItems),MATCH($A104,INDIRECT(RangeEstCount),0)),"")</f>
        <v/>
      </c>
      <c r="C104" s="365" t="str">
        <f ca="1">IFERROR(INDEX(Calcs[Description],INDEX(INDIRECT(RangeCount),MATCH($A104,INDIRECT(RangeEstCount),0))),"")</f>
        <v/>
      </c>
      <c r="D104" s="365"/>
      <c r="E104" s="365"/>
      <c r="F104" s="365"/>
      <c r="G104" s="365"/>
      <c r="H104" s="375" t="str">
        <f ca="1">IF(AND(Bid?,NOT(Awd?)),C104,OFFSET(F104,1,0))</f>
        <v/>
      </c>
      <c r="I104" s="216" t="str">
        <f t="shared" ref="I104:O104" ca="1" si="100">IFERROR(SUM(OFFSET(INDIRECT(RangeQuantity),MATCH($A104,INDIRECT(RangeEstCount),0)-1,COLUMN(I104)-COLUMN($H104),1,1))&amp;" "&amp;OFFSET($D104,1,0),"")</f>
        <v/>
      </c>
      <c r="J104" s="277" t="str">
        <f t="shared" ca="1" si="100"/>
        <v/>
      </c>
      <c r="K104" s="277" t="str">
        <f t="shared" ca="1" si="100"/>
        <v/>
      </c>
      <c r="L104" s="277" t="str">
        <f t="shared" ca="1" si="100"/>
        <v/>
      </c>
      <c r="M104" s="277" t="str">
        <f t="shared" ca="1" si="100"/>
        <v/>
      </c>
      <c r="N104" s="277" t="str">
        <f t="shared" ca="1" si="100"/>
        <v/>
      </c>
      <c r="O104" s="277" t="str">
        <f t="shared" ca="1" si="100"/>
        <v/>
      </c>
      <c r="P104" s="209" t="str">
        <f ca="1">IF(LEN(B104)&gt;0,ISNUMBER(MATCH(B104,Proposed[Item],0)),"")</f>
        <v/>
      </c>
    </row>
    <row r="105" spans="1:18" ht="15" x14ac:dyDescent="0.2">
      <c r="A105" s="276">
        <f t="shared" ca="1" si="67"/>
        <v>49</v>
      </c>
      <c r="B105" s="111" t="str">
        <f ca="1">IFERROR("Line "&amp;INDEX(Calcs[Line],INDEX(INDIRECT(RangeCount),MATCH($A105,INDIRECT(RangeEstCount),0))),"")</f>
        <v/>
      </c>
      <c r="C105" s="169" t="str">
        <f ca="1">IFERROR(IF(AND($D105="LPSM",Bid?,All?),"ALL",TEXT(OFFSET(INDIRECT(RangeQuantity),MATCH($A105,INDIRECT(RangeEstCount),0)-1,MATCH(Account,Accounts,0)-1,1,1),IF($D105="LPSM","0%","#,##0"&amp;IF(OFFSET(Items[#Data],MATCH($A105,INDIRECT(RangeEstCount),0)-1,MATCH(Decimals,Items[#Headers],0)-1,1,1)&gt;0,"."&amp;REPT("0",OFFSET(Items[#Data],MATCH($A105,INDIRECT(RangeEstCount),0)-1,MATCH(Decimals,Items[#Headers],0)-1,1,1)),"")))),"")</f>
        <v/>
      </c>
      <c r="D105" s="170" t="str">
        <f ca="1">IFERROR(INDEX(INDIRECT(RangeUnit),MATCH($A105,INDIRECT(RangeEstCount),0))&amp;SUBSTITUTE(" ["&amp;INDEX(INDIRECT(RangeAmend),MATCH($A105,INDIRECT(RangeEstCount),0))&amp;"]"," []",""),"")</f>
        <v/>
      </c>
      <c r="E105" s="170" t="str">
        <f ca="1">IFERROR(IF(INDEX(INDIRECT(RangeContrQty),MATCH($A105,INDIRECT(RangeEstCount),0)),"(CQ)",""),"")</f>
        <v/>
      </c>
      <c r="F105" s="171" t="str">
        <f ca="1">IFERROR(IF(OR(NOT(Bid?),LEFT(UPPER($D105),4)="FXHR"),INDEX(INDIRECT(RangeUnitPrice),MATCH($A105,INDIRECT(RangeEstCount),0)),IF(Awd?,OFFSET(TabAmount,MATCH(INDEX(INDIRECT(RangeCount),MATCH($A105,INDIRECT(RangeEstCount),0)),OFFSET(TabCount,1,0,2*NumPayItems,1),0),MATCH(Awarded2,Bidders,0)),IF(OR($C105="",$D105="LPSM"),"","$"))),"")</f>
        <v/>
      </c>
      <c r="G105" s="171" t="str">
        <f ca="1">IFERROR(VALUE(C105)*F105,IF(AND(Bid?,NOT(Awd?),$D105="LPSM"),"$",F105))</f>
        <v/>
      </c>
      <c r="H105" s="374"/>
      <c r="I105" s="217" t="str">
        <f ca="1">IFERROR(VALUE(SUBSTITUTE(OFFSET(I105,-1,0)," "&amp;$D105,""))*$F105,"")</f>
        <v/>
      </c>
      <c r="J105" s="215" t="str">
        <f ca="1">IFERROR(VALUE(SUBSTITUTE(OFFSET(J105,-1,0)," "&amp;$D105,""))*$F105,"")</f>
        <v/>
      </c>
      <c r="K105" s="215" t="str">
        <f t="shared" ref="K105:M105" ca="1" si="101">IFERROR(VALUE(SUBSTITUTE(OFFSET(K105,-1,0)," "&amp;$D105,""))*$F105,"")</f>
        <v/>
      </c>
      <c r="L105" s="215" t="str">
        <f t="shared" ca="1" si="101"/>
        <v/>
      </c>
      <c r="M105" s="215" t="str">
        <f t="shared" ca="1" si="101"/>
        <v/>
      </c>
      <c r="N105" s="215" t="str">
        <f ca="1">IFERROR(VALUE(SUBSTITUTE(OFFSET(N105,-1,0)," "&amp;$D105,""))*$F105,"")</f>
        <v/>
      </c>
      <c r="O105" s="215" t="str">
        <f ca="1">IFERROR(VALUE(SUBSTITUTE(OFFSET(O105,-1,0)," "&amp;$D105,""))*$F105,"")</f>
        <v/>
      </c>
      <c r="P105" s="209" t="str">
        <f ca="1">IF(LEN(B105)&gt;0,ISNUMBER(MATCH(B105,Proposed[Item],0)),"")</f>
        <v/>
      </c>
    </row>
    <row r="106" spans="1:18" ht="15" x14ac:dyDescent="0.2">
      <c r="A106" s="276">
        <f t="shared" ca="1" si="67"/>
        <v>50</v>
      </c>
      <c r="B106" s="168" t="str">
        <f ca="1">IFERROR(INDEX(INDIRECT(RangeItems),MATCH($A106,INDIRECT(RangeEstCount),0)),"")</f>
        <v/>
      </c>
      <c r="C106" s="365" t="str">
        <f ca="1">IFERROR(INDEX(Calcs[Description],INDEX(INDIRECT(RangeCount),MATCH($A106,INDIRECT(RangeEstCount),0))),"")</f>
        <v/>
      </c>
      <c r="D106" s="365"/>
      <c r="E106" s="365"/>
      <c r="F106" s="365"/>
      <c r="G106" s="365"/>
      <c r="H106" s="375" t="str">
        <f ca="1">IF(AND(Bid?,NOT(Awd?)),C106,OFFSET(F106,1,0))</f>
        <v/>
      </c>
      <c r="I106" s="216" t="str">
        <f t="shared" ref="I106:O106" ca="1" si="102">IFERROR(SUM(OFFSET(INDIRECT(RangeQuantity),MATCH($A106,INDIRECT(RangeEstCount),0)-1,COLUMN(I106)-COLUMN($H106),1,1))&amp;" "&amp;OFFSET($D106,1,0),"")</f>
        <v/>
      </c>
      <c r="J106" s="277" t="str">
        <f t="shared" ca="1" si="102"/>
        <v/>
      </c>
      <c r="K106" s="277" t="str">
        <f t="shared" ca="1" si="102"/>
        <v/>
      </c>
      <c r="L106" s="277" t="str">
        <f t="shared" ca="1" si="102"/>
        <v/>
      </c>
      <c r="M106" s="277" t="str">
        <f t="shared" ca="1" si="102"/>
        <v/>
      </c>
      <c r="N106" s="277" t="str">
        <f t="shared" ca="1" si="102"/>
        <v/>
      </c>
      <c r="O106" s="277" t="str">
        <f t="shared" ca="1" si="102"/>
        <v/>
      </c>
      <c r="P106" s="209" t="str">
        <f ca="1">IF(LEN(B106)&gt;0,ISNUMBER(MATCH(B106,Proposed[Item],0)),"")</f>
        <v/>
      </c>
    </row>
    <row r="107" spans="1:18" ht="15" x14ac:dyDescent="0.2">
      <c r="A107" s="276">
        <f t="shared" ca="1" si="67"/>
        <v>50</v>
      </c>
      <c r="B107" s="111" t="str">
        <f ca="1">IFERROR("Line "&amp;INDEX(Calcs[Line],INDEX(INDIRECT(RangeCount),MATCH($A107,INDIRECT(RangeEstCount),0))),"")</f>
        <v/>
      </c>
      <c r="C107" s="169" t="str">
        <f ca="1">IFERROR(IF(AND($D107="LPSM",Bid?,All?),"ALL",TEXT(OFFSET(INDIRECT(RangeQuantity),MATCH($A107,INDIRECT(RangeEstCount),0)-1,MATCH(Account,Accounts,0)-1,1,1),IF($D107="LPSM","0%","#,##0"&amp;IF(OFFSET(Items[#Data],MATCH($A107,INDIRECT(RangeEstCount),0)-1,MATCH(Decimals,Items[#Headers],0)-1,1,1)&gt;0,"."&amp;REPT("0",OFFSET(Items[#Data],MATCH($A107,INDIRECT(RangeEstCount),0)-1,MATCH(Decimals,Items[#Headers],0)-1,1,1)),"")))),"")</f>
        <v/>
      </c>
      <c r="D107" s="170" t="str">
        <f ca="1">IFERROR(INDEX(INDIRECT(RangeUnit),MATCH($A107,INDIRECT(RangeEstCount),0))&amp;SUBSTITUTE(" ["&amp;INDEX(INDIRECT(RangeAmend),MATCH($A107,INDIRECT(RangeEstCount),0))&amp;"]"," []",""),"")</f>
        <v/>
      </c>
      <c r="E107" s="170" t="str">
        <f ca="1">IFERROR(IF(INDEX(INDIRECT(RangeContrQty),MATCH($A107,INDIRECT(RangeEstCount),0)),"(CQ)",""),"")</f>
        <v/>
      </c>
      <c r="F107" s="171" t="str">
        <f ca="1">IFERROR(IF(OR(NOT(Bid?),LEFT(UPPER($D107),4)="FXHR"),INDEX(INDIRECT(RangeUnitPrice),MATCH($A107,INDIRECT(RangeEstCount),0)),IF(Awd?,OFFSET(TabAmount,MATCH(INDEX(INDIRECT(RangeCount),MATCH($A107,INDIRECT(RangeEstCount),0)),OFFSET(TabCount,1,0,2*NumPayItems,1),0),MATCH(Awarded2,Bidders,0)),IF(OR($C107="",$D107="LPSM"),"","$"))),"")</f>
        <v/>
      </c>
      <c r="G107" s="171" t="str">
        <f ca="1">IFERROR(VALUE(C107)*F107,IF(AND(Bid?,NOT(Awd?),$D107="LPSM"),"$",F107))</f>
        <v/>
      </c>
      <c r="H107" s="374"/>
      <c r="I107" s="217" t="str">
        <f ca="1">IFERROR(VALUE(SUBSTITUTE(OFFSET(I107,-1,0)," "&amp;$D107,""))*$F107,"")</f>
        <v/>
      </c>
      <c r="J107" s="215" t="str">
        <f ca="1">IFERROR(VALUE(SUBSTITUTE(OFFSET(J107,-1,0)," "&amp;$D107,""))*$F107,"")</f>
        <v/>
      </c>
      <c r="K107" s="215" t="str">
        <f t="shared" ref="K107:M107" ca="1" si="103">IFERROR(VALUE(SUBSTITUTE(OFFSET(K107,-1,0)," "&amp;$D107,""))*$F107,"")</f>
        <v/>
      </c>
      <c r="L107" s="215" t="str">
        <f t="shared" ca="1" si="103"/>
        <v/>
      </c>
      <c r="M107" s="215" t="str">
        <f t="shared" ca="1" si="103"/>
        <v/>
      </c>
      <c r="N107" s="215" t="str">
        <f ca="1">IFERROR(VALUE(SUBSTITUTE(OFFSET(N107,-1,0)," "&amp;$D107,""))*$F107,"")</f>
        <v/>
      </c>
      <c r="O107" s="215" t="str">
        <f ca="1">IFERROR(VALUE(SUBSTITUTE(OFFSET(O107,-1,0)," "&amp;$D107,""))*$F107,"")</f>
        <v/>
      </c>
      <c r="P107" s="209" t="str">
        <f ca="1">IF(LEN(B107)&gt;0,ISNUMBER(MATCH(B107,Proposed[Item],0)),"")</f>
        <v/>
      </c>
    </row>
    <row r="108" spans="1:18" ht="15" x14ac:dyDescent="0.2">
      <c r="A108" s="276">
        <f t="shared" ca="1" si="67"/>
        <v>51</v>
      </c>
      <c r="B108" s="168" t="str">
        <f ca="1">IFERROR(INDEX(INDIRECT(RangeItems),MATCH($A108,INDIRECT(RangeEstCount),0)),"")</f>
        <v/>
      </c>
      <c r="C108" s="365" t="str">
        <f ca="1">IFERROR(INDEX(Calcs[Description],INDEX(INDIRECT(RangeCount),MATCH($A108,INDIRECT(RangeEstCount),0))),"")</f>
        <v/>
      </c>
      <c r="D108" s="365"/>
      <c r="E108" s="365"/>
      <c r="F108" s="365"/>
      <c r="G108" s="365"/>
      <c r="H108" s="375" t="str">
        <f ca="1">IF(AND(Bid?,NOT(Awd?)),C108,OFFSET(F108,1,0))</f>
        <v/>
      </c>
      <c r="I108" s="216" t="str">
        <f t="shared" ref="I108:O108" ca="1" si="104">IFERROR(SUM(OFFSET(INDIRECT(RangeQuantity),MATCH($A108,INDIRECT(RangeEstCount),0)-1,COLUMN(I108)-COLUMN($H108),1,1))&amp;" "&amp;OFFSET($D108,1,0),"")</f>
        <v/>
      </c>
      <c r="J108" s="277" t="str">
        <f t="shared" ca="1" si="104"/>
        <v/>
      </c>
      <c r="K108" s="277" t="str">
        <f t="shared" ca="1" si="104"/>
        <v/>
      </c>
      <c r="L108" s="277" t="str">
        <f t="shared" ca="1" si="104"/>
        <v/>
      </c>
      <c r="M108" s="277" t="str">
        <f t="shared" ca="1" si="104"/>
        <v/>
      </c>
      <c r="N108" s="277" t="str">
        <f t="shared" ca="1" si="104"/>
        <v/>
      </c>
      <c r="O108" s="277" t="str">
        <f t="shared" ca="1" si="104"/>
        <v/>
      </c>
      <c r="P108" s="209" t="str">
        <f ca="1">IF(LEN(B108)&gt;0,ISNUMBER(MATCH(B108,Proposed[Item],0)),"")</f>
        <v/>
      </c>
    </row>
    <row r="109" spans="1:18" ht="15" x14ac:dyDescent="0.2">
      <c r="A109" s="276">
        <f t="shared" ca="1" si="67"/>
        <v>51</v>
      </c>
      <c r="B109" s="111" t="str">
        <f ca="1">IFERROR("Line "&amp;INDEX(Calcs[Line],INDEX(INDIRECT(RangeCount),MATCH($A109,INDIRECT(RangeEstCount),0))),"")</f>
        <v/>
      </c>
      <c r="C109" s="169" t="str">
        <f ca="1">IFERROR(IF(AND($D109="LPSM",Bid?,All?),"ALL",TEXT(OFFSET(INDIRECT(RangeQuantity),MATCH($A109,INDIRECT(RangeEstCount),0)-1,MATCH(Account,Accounts,0)-1,1,1),IF($D109="LPSM","0%","#,##0"&amp;IF(OFFSET(Items[#Data],MATCH($A109,INDIRECT(RangeEstCount),0)-1,MATCH(Decimals,Items[#Headers],0)-1,1,1)&gt;0,"."&amp;REPT("0",OFFSET(Items[#Data],MATCH($A109,INDIRECT(RangeEstCount),0)-1,MATCH(Decimals,Items[#Headers],0)-1,1,1)),"")))),"")</f>
        <v/>
      </c>
      <c r="D109" s="170" t="str">
        <f ca="1">IFERROR(INDEX(INDIRECT(RangeUnit),MATCH($A109,INDIRECT(RangeEstCount),0))&amp;SUBSTITUTE(" ["&amp;INDEX(INDIRECT(RangeAmend),MATCH($A109,INDIRECT(RangeEstCount),0))&amp;"]"," []",""),"")</f>
        <v/>
      </c>
      <c r="E109" s="170" t="str">
        <f ca="1">IFERROR(IF(INDEX(INDIRECT(RangeContrQty),MATCH($A109,INDIRECT(RangeEstCount),0)),"(CQ)",""),"")</f>
        <v/>
      </c>
      <c r="F109" s="171" t="str">
        <f ca="1">IFERROR(IF(OR(NOT(Bid?),LEFT(UPPER($D109),4)="FXHR"),INDEX(INDIRECT(RangeUnitPrice),MATCH($A109,INDIRECT(RangeEstCount),0)),IF(Awd?,OFFSET(TabAmount,MATCH(INDEX(INDIRECT(RangeCount),MATCH($A109,INDIRECT(RangeEstCount),0)),OFFSET(TabCount,1,0,2*NumPayItems,1),0),MATCH(Awarded2,Bidders,0)),IF(OR($C109="",$D109="LPSM"),"","$"))),"")</f>
        <v/>
      </c>
      <c r="G109" s="171" t="str">
        <f ca="1">IFERROR(VALUE(C109)*F109,IF(AND(Bid?,NOT(Awd?),$D109="LPSM"),"$",F109))</f>
        <v/>
      </c>
      <c r="H109" s="374"/>
      <c r="I109" s="217" t="str">
        <f ca="1">IFERROR(VALUE(SUBSTITUTE(OFFSET(I109,-1,0)," "&amp;$D109,""))*$F109,"")</f>
        <v/>
      </c>
      <c r="J109" s="215" t="str">
        <f ca="1">IFERROR(VALUE(SUBSTITUTE(OFFSET(J109,-1,0)," "&amp;$D109,""))*$F109,"")</f>
        <v/>
      </c>
      <c r="K109" s="215" t="str">
        <f t="shared" ref="K109:M109" ca="1" si="105">IFERROR(VALUE(SUBSTITUTE(OFFSET(K109,-1,0)," "&amp;$D109,""))*$F109,"")</f>
        <v/>
      </c>
      <c r="L109" s="215" t="str">
        <f t="shared" ca="1" si="105"/>
        <v/>
      </c>
      <c r="M109" s="215" t="str">
        <f t="shared" ca="1" si="105"/>
        <v/>
      </c>
      <c r="N109" s="215" t="str">
        <f ca="1">IFERROR(VALUE(SUBSTITUTE(OFFSET(N109,-1,0)," "&amp;$D109,""))*$F109,"")</f>
        <v/>
      </c>
      <c r="O109" s="215" t="str">
        <f ca="1">IFERROR(VALUE(SUBSTITUTE(OFFSET(O109,-1,0)," "&amp;$D109,""))*$F109,"")</f>
        <v/>
      </c>
      <c r="P109" s="209" t="str">
        <f ca="1">IF(LEN(B109)&gt;0,ISNUMBER(MATCH(B109,Proposed[Item],0)),"")</f>
        <v/>
      </c>
    </row>
    <row r="110" spans="1:18" ht="15" x14ac:dyDescent="0.2">
      <c r="A110" s="276">
        <f t="shared" ca="1" si="67"/>
        <v>52</v>
      </c>
      <c r="B110" s="168" t="str">
        <f ca="1">IFERROR(INDEX(INDIRECT(RangeItems),MATCH($A110,INDIRECT(RangeEstCount),0)),"")</f>
        <v/>
      </c>
      <c r="C110" s="365" t="str">
        <f ca="1">IFERROR(INDEX(Calcs[Description],INDEX(INDIRECT(RangeCount),MATCH($A110,INDIRECT(RangeEstCount),0))),"")</f>
        <v/>
      </c>
      <c r="D110" s="365"/>
      <c r="E110" s="365"/>
      <c r="F110" s="365"/>
      <c r="G110" s="365"/>
      <c r="H110" s="375" t="str">
        <f ca="1">IF(AND(Bid?,NOT(Awd?)),C110,OFFSET(F110,1,0))</f>
        <v/>
      </c>
      <c r="I110" s="216" t="str">
        <f t="shared" ref="I110:O110" ca="1" si="106">IFERROR(SUM(OFFSET(INDIRECT(RangeQuantity),MATCH($A110,INDIRECT(RangeEstCount),0)-1,COLUMN(I110)-COLUMN($H110),1,1))&amp;" "&amp;OFFSET($D110,1,0),"")</f>
        <v/>
      </c>
      <c r="J110" s="277" t="str">
        <f t="shared" ca="1" si="106"/>
        <v/>
      </c>
      <c r="K110" s="277" t="str">
        <f t="shared" ca="1" si="106"/>
        <v/>
      </c>
      <c r="L110" s="277" t="str">
        <f t="shared" ca="1" si="106"/>
        <v/>
      </c>
      <c r="M110" s="277" t="str">
        <f t="shared" ca="1" si="106"/>
        <v/>
      </c>
      <c r="N110" s="277" t="str">
        <f t="shared" ca="1" si="106"/>
        <v/>
      </c>
      <c r="O110" s="277" t="str">
        <f t="shared" ca="1" si="106"/>
        <v/>
      </c>
      <c r="P110" s="209" t="str">
        <f ca="1">IF(LEN(B110)&gt;0,ISNUMBER(MATCH(B110,Proposed[Item],0)),"")</f>
        <v/>
      </c>
    </row>
    <row r="111" spans="1:18" ht="15" x14ac:dyDescent="0.2">
      <c r="A111" s="276">
        <f t="shared" ca="1" si="67"/>
        <v>52</v>
      </c>
      <c r="B111" s="111" t="str">
        <f ca="1">IFERROR("Line "&amp;INDEX(Calcs[Line],INDEX(INDIRECT(RangeCount),MATCH($A111,INDIRECT(RangeEstCount),0))),"")</f>
        <v/>
      </c>
      <c r="C111" s="169" t="str">
        <f ca="1">IFERROR(IF(AND($D111="LPSM",Bid?,All?),"ALL",TEXT(OFFSET(INDIRECT(RangeQuantity),MATCH($A111,INDIRECT(RangeEstCount),0)-1,MATCH(Account,Accounts,0)-1,1,1),IF($D111="LPSM","0%","#,##0"&amp;IF(OFFSET(Items[#Data],MATCH($A111,INDIRECT(RangeEstCount),0)-1,MATCH(Decimals,Items[#Headers],0)-1,1,1)&gt;0,"."&amp;REPT("0",OFFSET(Items[#Data],MATCH($A111,INDIRECT(RangeEstCount),0)-1,MATCH(Decimals,Items[#Headers],0)-1,1,1)),"")))),"")</f>
        <v/>
      </c>
      <c r="D111" s="170" t="str">
        <f ca="1">IFERROR(INDEX(INDIRECT(RangeUnit),MATCH($A111,INDIRECT(RangeEstCount),0))&amp;SUBSTITUTE(" ["&amp;INDEX(INDIRECT(RangeAmend),MATCH($A111,INDIRECT(RangeEstCount),0))&amp;"]"," []",""),"")</f>
        <v/>
      </c>
      <c r="E111" s="170" t="str">
        <f ca="1">IFERROR(IF(INDEX(INDIRECT(RangeContrQty),MATCH($A111,INDIRECT(RangeEstCount),0)),"(CQ)",""),"")</f>
        <v/>
      </c>
      <c r="F111" s="171" t="str">
        <f ca="1">IFERROR(IF(OR(NOT(Bid?),LEFT(UPPER($D111),4)="FXHR"),INDEX(INDIRECT(RangeUnitPrice),MATCH($A111,INDIRECT(RangeEstCount),0)),IF(Awd?,OFFSET(TabAmount,MATCH(INDEX(INDIRECT(RangeCount),MATCH($A111,INDIRECT(RangeEstCount),0)),OFFSET(TabCount,1,0,2*NumPayItems,1),0),MATCH(Awarded2,Bidders,0)),IF(OR($C111="",$D111="LPSM"),"","$"))),"")</f>
        <v/>
      </c>
      <c r="G111" s="171" t="str">
        <f ca="1">IFERROR(VALUE(C111)*F111,IF(AND(Bid?,NOT(Awd?),$D111="LPSM"),"$",F111))</f>
        <v/>
      </c>
      <c r="H111" s="374"/>
      <c r="I111" s="217" t="str">
        <f ca="1">IFERROR(VALUE(SUBSTITUTE(OFFSET(I111,-1,0)," "&amp;$D111,""))*$F111,"")</f>
        <v/>
      </c>
      <c r="J111" s="215" t="str">
        <f ca="1">IFERROR(VALUE(SUBSTITUTE(OFFSET(J111,-1,0)," "&amp;$D111,""))*$F111,"")</f>
        <v/>
      </c>
      <c r="K111" s="215" t="str">
        <f t="shared" ref="K111:M111" ca="1" si="107">IFERROR(VALUE(SUBSTITUTE(OFFSET(K111,-1,0)," "&amp;$D111,""))*$F111,"")</f>
        <v/>
      </c>
      <c r="L111" s="215" t="str">
        <f t="shared" ca="1" si="107"/>
        <v/>
      </c>
      <c r="M111" s="215" t="str">
        <f t="shared" ca="1" si="107"/>
        <v/>
      </c>
      <c r="N111" s="215" t="str">
        <f ca="1">IFERROR(VALUE(SUBSTITUTE(OFFSET(N111,-1,0)," "&amp;$D111,""))*$F111,"")</f>
        <v/>
      </c>
      <c r="O111" s="215" t="str">
        <f ca="1">IFERROR(VALUE(SUBSTITUTE(OFFSET(O111,-1,0)," "&amp;$D111,""))*$F111,"")</f>
        <v/>
      </c>
      <c r="P111" s="209" t="str">
        <f ca="1">IF(LEN(B111)&gt;0,ISNUMBER(MATCH(B111,Proposed[Item],0)),"")</f>
        <v/>
      </c>
      <c r="R111"/>
    </row>
    <row r="112" spans="1:18" ht="15" x14ac:dyDescent="0.2">
      <c r="A112" s="276">
        <f t="shared" ca="1" si="67"/>
        <v>53</v>
      </c>
      <c r="B112" s="168" t="str">
        <f ca="1">IFERROR(INDEX(INDIRECT(RangeItems),MATCH($A112,INDIRECT(RangeEstCount),0)),"")</f>
        <v/>
      </c>
      <c r="C112" s="365" t="str">
        <f ca="1">IFERROR(INDEX(Calcs[Description],INDEX(INDIRECT(RangeCount),MATCH($A112,INDIRECT(RangeEstCount),0))),"")</f>
        <v/>
      </c>
      <c r="D112" s="365"/>
      <c r="E112" s="365"/>
      <c r="F112" s="365"/>
      <c r="G112" s="365"/>
      <c r="H112" s="375" t="str">
        <f ca="1">IF(AND(Bid?,NOT(Awd?)),C112,OFFSET(F112,1,0))</f>
        <v/>
      </c>
      <c r="I112" s="216" t="str">
        <f t="shared" ref="I112:O112" ca="1" si="108">IFERROR(SUM(OFFSET(INDIRECT(RangeQuantity),MATCH($A112,INDIRECT(RangeEstCount),0)-1,COLUMN(I112)-COLUMN($H112),1,1))&amp;" "&amp;OFFSET($D112,1,0),"")</f>
        <v/>
      </c>
      <c r="J112" s="277" t="str">
        <f t="shared" ca="1" si="108"/>
        <v/>
      </c>
      <c r="K112" s="277" t="str">
        <f t="shared" ca="1" si="108"/>
        <v/>
      </c>
      <c r="L112" s="277" t="str">
        <f t="shared" ca="1" si="108"/>
        <v/>
      </c>
      <c r="M112" s="277" t="str">
        <f t="shared" ca="1" si="108"/>
        <v/>
      </c>
      <c r="N112" s="277" t="str">
        <f t="shared" ca="1" si="108"/>
        <v/>
      </c>
      <c r="O112" s="277" t="str">
        <f t="shared" ca="1" si="108"/>
        <v/>
      </c>
      <c r="P112" s="209" t="str">
        <f ca="1">IF(LEN(B112)&gt;0,ISNUMBER(MATCH(B112,Proposed[Item],0)),"")</f>
        <v/>
      </c>
    </row>
    <row r="113" spans="1:18" ht="15" x14ac:dyDescent="0.2">
      <c r="A113" s="276">
        <f t="shared" ca="1" si="67"/>
        <v>53</v>
      </c>
      <c r="B113" s="111" t="str">
        <f ca="1">IFERROR("Line "&amp;INDEX(Calcs[Line],INDEX(INDIRECT(RangeCount),MATCH($A113,INDIRECT(RangeEstCount),0))),"")</f>
        <v/>
      </c>
      <c r="C113" s="169" t="str">
        <f ca="1">IFERROR(IF(AND($D113="LPSM",Bid?,All?),"ALL",TEXT(OFFSET(INDIRECT(RangeQuantity),MATCH($A113,INDIRECT(RangeEstCount),0)-1,MATCH(Account,Accounts,0)-1,1,1),IF($D113="LPSM","0%","#,##0"&amp;IF(OFFSET(Items[#Data],MATCH($A113,INDIRECT(RangeEstCount),0)-1,MATCH(Decimals,Items[#Headers],0)-1,1,1)&gt;0,"."&amp;REPT("0",OFFSET(Items[#Data],MATCH($A113,INDIRECT(RangeEstCount),0)-1,MATCH(Decimals,Items[#Headers],0)-1,1,1)),"")))),"")</f>
        <v/>
      </c>
      <c r="D113" s="170" t="str">
        <f ca="1">IFERROR(INDEX(INDIRECT(RangeUnit),MATCH($A113,INDIRECT(RangeEstCount),0))&amp;SUBSTITUTE(" ["&amp;INDEX(INDIRECT(RangeAmend),MATCH($A113,INDIRECT(RangeEstCount),0))&amp;"]"," []",""),"")</f>
        <v/>
      </c>
      <c r="E113" s="170" t="str">
        <f ca="1">IFERROR(IF(INDEX(INDIRECT(RangeContrQty),MATCH($A113,INDIRECT(RangeEstCount),0)),"(CQ)",""),"")</f>
        <v/>
      </c>
      <c r="F113" s="171" t="str">
        <f ca="1">IFERROR(IF(OR(NOT(Bid?),LEFT(UPPER($D113),4)="FXHR"),INDEX(INDIRECT(RangeUnitPrice),MATCH($A113,INDIRECT(RangeEstCount),0)),IF(Awd?,OFFSET(TabAmount,MATCH(INDEX(INDIRECT(RangeCount),MATCH($A113,INDIRECT(RangeEstCount),0)),OFFSET(TabCount,1,0,2*NumPayItems,1),0),MATCH(Awarded2,Bidders,0)),IF(OR($C113="",$D113="LPSM"),"","$"))),"")</f>
        <v/>
      </c>
      <c r="G113" s="171" t="str">
        <f ca="1">IFERROR(VALUE(C113)*F113,IF(AND(Bid?,NOT(Awd?),$D113="LPSM"),"$",F113))</f>
        <v/>
      </c>
      <c r="H113" s="374"/>
      <c r="I113" s="217" t="str">
        <f ca="1">IFERROR(VALUE(SUBSTITUTE(OFFSET(I113,-1,0)," "&amp;$D113,""))*$F113,"")</f>
        <v/>
      </c>
      <c r="J113" s="215" t="str">
        <f ca="1">IFERROR(VALUE(SUBSTITUTE(OFFSET(J113,-1,0)," "&amp;$D113,""))*$F113,"")</f>
        <v/>
      </c>
      <c r="K113" s="215" t="str">
        <f t="shared" ref="K113:M113" ca="1" si="109">IFERROR(VALUE(SUBSTITUTE(OFFSET(K113,-1,0)," "&amp;$D113,""))*$F113,"")</f>
        <v/>
      </c>
      <c r="L113" s="215" t="str">
        <f t="shared" ca="1" si="109"/>
        <v/>
      </c>
      <c r="M113" s="215" t="str">
        <f t="shared" ca="1" si="109"/>
        <v/>
      </c>
      <c r="N113" s="215" t="str">
        <f ca="1">IFERROR(VALUE(SUBSTITUTE(OFFSET(N113,-1,0)," "&amp;$D113,""))*$F113,"")</f>
        <v/>
      </c>
      <c r="O113" s="215" t="str">
        <f ca="1">IFERROR(VALUE(SUBSTITUTE(OFFSET(O113,-1,0)," "&amp;$D113,""))*$F113,"")</f>
        <v/>
      </c>
      <c r="P113" s="209" t="str">
        <f ca="1">IF(LEN(B113)&gt;0,ISNUMBER(MATCH(B113,Proposed[Item],0)),"")</f>
        <v/>
      </c>
    </row>
    <row r="114" spans="1:18" ht="15" x14ac:dyDescent="0.2">
      <c r="A114" s="276">
        <f t="shared" ca="1" si="67"/>
        <v>54</v>
      </c>
      <c r="B114" s="168" t="str">
        <f ca="1">IFERROR(INDEX(INDIRECT(RangeItems),MATCH($A114,INDIRECT(RangeEstCount),0)),"")</f>
        <v/>
      </c>
      <c r="C114" s="365" t="str">
        <f ca="1">IFERROR(INDEX(Calcs[Description],INDEX(INDIRECT(RangeCount),MATCH($A114,INDIRECT(RangeEstCount),0))),"")</f>
        <v/>
      </c>
      <c r="D114" s="365"/>
      <c r="E114" s="365"/>
      <c r="F114" s="365"/>
      <c r="G114" s="365"/>
      <c r="H114" s="375" t="str">
        <f ca="1">IF(AND(Bid?,NOT(Awd?)),C114,OFFSET(F114,1,0))</f>
        <v/>
      </c>
      <c r="I114" s="216" t="str">
        <f t="shared" ref="I114:O114" ca="1" si="110">IFERROR(SUM(OFFSET(INDIRECT(RangeQuantity),MATCH($A114,INDIRECT(RangeEstCount),0)-1,COLUMN(I114)-COLUMN($H114),1,1))&amp;" "&amp;OFFSET($D114,1,0),"")</f>
        <v/>
      </c>
      <c r="J114" s="277" t="str">
        <f t="shared" ca="1" si="110"/>
        <v/>
      </c>
      <c r="K114" s="277" t="str">
        <f t="shared" ca="1" si="110"/>
        <v/>
      </c>
      <c r="L114" s="277" t="str">
        <f t="shared" ca="1" si="110"/>
        <v/>
      </c>
      <c r="M114" s="277" t="str">
        <f t="shared" ca="1" si="110"/>
        <v/>
      </c>
      <c r="N114" s="277" t="str">
        <f t="shared" ca="1" si="110"/>
        <v/>
      </c>
      <c r="O114" s="277" t="str">
        <f t="shared" ca="1" si="110"/>
        <v/>
      </c>
      <c r="P114" s="209" t="str">
        <f ca="1">IF(LEN(B114)&gt;0,ISNUMBER(MATCH(B114,Proposed[Item],0)),"")</f>
        <v/>
      </c>
    </row>
    <row r="115" spans="1:18" ht="15" x14ac:dyDescent="0.2">
      <c r="A115" s="276">
        <f t="shared" ca="1" si="67"/>
        <v>54</v>
      </c>
      <c r="B115" s="111" t="str">
        <f ca="1">IFERROR("Line "&amp;INDEX(Calcs[Line],INDEX(INDIRECT(RangeCount),MATCH($A115,INDIRECT(RangeEstCount),0))),"")</f>
        <v/>
      </c>
      <c r="C115" s="169" t="str">
        <f ca="1">IFERROR(IF(AND($D115="LPSM",Bid?,All?),"ALL",TEXT(OFFSET(INDIRECT(RangeQuantity),MATCH($A115,INDIRECT(RangeEstCount),0)-1,MATCH(Account,Accounts,0)-1,1,1),IF($D115="LPSM","0%","#,##0"&amp;IF(OFFSET(Items[#Data],MATCH($A115,INDIRECT(RangeEstCount),0)-1,MATCH(Decimals,Items[#Headers],0)-1,1,1)&gt;0,"."&amp;REPT("0",OFFSET(Items[#Data],MATCH($A115,INDIRECT(RangeEstCount),0)-1,MATCH(Decimals,Items[#Headers],0)-1,1,1)),"")))),"")</f>
        <v/>
      </c>
      <c r="D115" s="170" t="str">
        <f ca="1">IFERROR(INDEX(INDIRECT(RangeUnit),MATCH($A115,INDIRECT(RangeEstCount),0))&amp;SUBSTITUTE(" ["&amp;INDEX(INDIRECT(RangeAmend),MATCH($A115,INDIRECT(RangeEstCount),0))&amp;"]"," []",""),"")</f>
        <v/>
      </c>
      <c r="E115" s="170" t="str">
        <f ca="1">IFERROR(IF(INDEX(INDIRECT(RangeContrQty),MATCH($A115,INDIRECT(RangeEstCount),0)),"(CQ)",""),"")</f>
        <v/>
      </c>
      <c r="F115" s="171" t="str">
        <f ca="1">IFERROR(IF(OR(NOT(Bid?),LEFT(UPPER($D115),4)="FXHR"),INDEX(INDIRECT(RangeUnitPrice),MATCH($A115,INDIRECT(RangeEstCount),0)),IF(Awd?,OFFSET(TabAmount,MATCH(INDEX(INDIRECT(RangeCount),MATCH($A115,INDIRECT(RangeEstCount),0)),OFFSET(TabCount,1,0,2*NumPayItems,1),0),MATCH(Awarded2,Bidders,0)),IF(OR($C115="",$D115="LPSM"),"","$"))),"")</f>
        <v/>
      </c>
      <c r="G115" s="171" t="str">
        <f ca="1">IFERROR(VALUE(C115)*F115,IF(AND(Bid?,NOT(Awd?),$D115="LPSM"),"$",F115))</f>
        <v/>
      </c>
      <c r="H115" s="374"/>
      <c r="I115" s="217" t="str">
        <f ca="1">IFERROR(VALUE(SUBSTITUTE(OFFSET(I115,-1,0)," "&amp;$D115,""))*$F115,"")</f>
        <v/>
      </c>
      <c r="J115" s="215" t="str">
        <f ca="1">IFERROR(VALUE(SUBSTITUTE(OFFSET(J115,-1,0)," "&amp;$D115,""))*$F115,"")</f>
        <v/>
      </c>
      <c r="K115" s="215" t="str">
        <f t="shared" ref="K115:M115" ca="1" si="111">IFERROR(VALUE(SUBSTITUTE(OFFSET(K115,-1,0)," "&amp;$D115,""))*$F115,"")</f>
        <v/>
      </c>
      <c r="L115" s="215" t="str">
        <f t="shared" ca="1" si="111"/>
        <v/>
      </c>
      <c r="M115" s="215" t="str">
        <f t="shared" ca="1" si="111"/>
        <v/>
      </c>
      <c r="N115" s="215" t="str">
        <f ca="1">IFERROR(VALUE(SUBSTITUTE(OFFSET(N115,-1,0)," "&amp;$D115,""))*$F115,"")</f>
        <v/>
      </c>
      <c r="O115" s="215" t="str">
        <f ca="1">IFERROR(VALUE(SUBSTITUTE(OFFSET(O115,-1,0)," "&amp;$D115,""))*$F115,"")</f>
        <v/>
      </c>
      <c r="P115" s="209" t="str">
        <f ca="1">IF(LEN(B115)&gt;0,ISNUMBER(MATCH(B115,Proposed[Item],0)),"")</f>
        <v/>
      </c>
      <c r="Q115"/>
      <c r="R115"/>
    </row>
    <row r="116" spans="1:18" ht="15" x14ac:dyDescent="0.2">
      <c r="A116" s="276">
        <f t="shared" ca="1" si="67"/>
        <v>55</v>
      </c>
      <c r="B116" s="168" t="str">
        <f ca="1">IFERROR(INDEX(INDIRECT(RangeItems),MATCH($A116,INDIRECT(RangeEstCount),0)),"")</f>
        <v/>
      </c>
      <c r="C116" s="365" t="str">
        <f ca="1">IFERROR(INDEX(Calcs[Description],INDEX(INDIRECT(RangeCount),MATCH($A116,INDIRECT(RangeEstCount),0))),"")</f>
        <v/>
      </c>
      <c r="D116" s="365"/>
      <c r="E116" s="365"/>
      <c r="F116" s="365"/>
      <c r="G116" s="365"/>
      <c r="H116" s="375" t="str">
        <f ca="1">IF(AND(Bid?,NOT(Awd?)),C116,OFFSET(F116,1,0))</f>
        <v/>
      </c>
      <c r="I116" s="216" t="str">
        <f t="shared" ref="I116:O116" ca="1" si="112">IFERROR(SUM(OFFSET(INDIRECT(RangeQuantity),MATCH($A116,INDIRECT(RangeEstCount),0)-1,COLUMN(I116)-COLUMN($H116),1,1))&amp;" "&amp;OFFSET($D116,1,0),"")</f>
        <v/>
      </c>
      <c r="J116" s="277" t="str">
        <f t="shared" ca="1" si="112"/>
        <v/>
      </c>
      <c r="K116" s="277" t="str">
        <f t="shared" ca="1" si="112"/>
        <v/>
      </c>
      <c r="L116" s="277" t="str">
        <f t="shared" ca="1" si="112"/>
        <v/>
      </c>
      <c r="M116" s="277" t="str">
        <f t="shared" ca="1" si="112"/>
        <v/>
      </c>
      <c r="N116" s="277" t="str">
        <f t="shared" ca="1" si="112"/>
        <v/>
      </c>
      <c r="O116" s="277" t="str">
        <f t="shared" ca="1" si="112"/>
        <v/>
      </c>
      <c r="P116" s="209" t="str">
        <f ca="1">IF(LEN(B116)&gt;0,ISNUMBER(MATCH(B116,Proposed[Item],0)),"")</f>
        <v/>
      </c>
      <c r="Q116"/>
      <c r="R116"/>
    </row>
    <row r="117" spans="1:18" ht="15" x14ac:dyDescent="0.2">
      <c r="A117" s="276">
        <f t="shared" ca="1" si="67"/>
        <v>55</v>
      </c>
      <c r="B117" s="111" t="str">
        <f ca="1">IFERROR("Line "&amp;INDEX(Calcs[Line],INDEX(INDIRECT(RangeCount),MATCH($A117,INDIRECT(RangeEstCount),0))),"")</f>
        <v/>
      </c>
      <c r="C117" s="169" t="str">
        <f ca="1">IFERROR(IF(AND($D117="LPSM",Bid?,All?),"ALL",TEXT(OFFSET(INDIRECT(RangeQuantity),MATCH($A117,INDIRECT(RangeEstCount),0)-1,MATCH(Account,Accounts,0)-1,1,1),IF($D117="LPSM","0%","#,##0"&amp;IF(OFFSET(Items[#Data],MATCH($A117,INDIRECT(RangeEstCount),0)-1,MATCH(Decimals,Items[#Headers],0)-1,1,1)&gt;0,"."&amp;REPT("0",OFFSET(Items[#Data],MATCH($A117,INDIRECT(RangeEstCount),0)-1,MATCH(Decimals,Items[#Headers],0)-1,1,1)),"")))),"")</f>
        <v/>
      </c>
      <c r="D117" s="170" t="str">
        <f ca="1">IFERROR(INDEX(INDIRECT(RangeUnit),MATCH($A117,INDIRECT(RangeEstCount),0))&amp;SUBSTITUTE(" ["&amp;INDEX(INDIRECT(RangeAmend),MATCH($A117,INDIRECT(RangeEstCount),0))&amp;"]"," []",""),"")</f>
        <v/>
      </c>
      <c r="E117" s="170" t="str">
        <f ca="1">IFERROR(IF(INDEX(INDIRECT(RangeContrQty),MATCH($A117,INDIRECT(RangeEstCount),0)),"(CQ)",""),"")</f>
        <v/>
      </c>
      <c r="F117" s="171" t="str">
        <f ca="1">IFERROR(IF(OR(NOT(Bid?),LEFT(UPPER($D117),4)="FXHR"),INDEX(INDIRECT(RangeUnitPrice),MATCH($A117,INDIRECT(RangeEstCount),0)),IF(Awd?,OFFSET(TabAmount,MATCH(INDEX(INDIRECT(RangeCount),MATCH($A117,INDIRECT(RangeEstCount),0)),OFFSET(TabCount,1,0,2*NumPayItems,1),0),MATCH(Awarded2,Bidders,0)),IF(OR($C117="",$D117="LPSM"),"","$"))),"")</f>
        <v/>
      </c>
      <c r="G117" s="171" t="str">
        <f ca="1">IFERROR(VALUE(C117)*F117,IF(AND(Bid?,NOT(Awd?),$D117="LPSM"),"$",F117))</f>
        <v/>
      </c>
      <c r="H117" s="374"/>
      <c r="I117" s="217" t="str">
        <f ca="1">IFERROR(VALUE(SUBSTITUTE(OFFSET(I117,-1,0)," "&amp;$D117,""))*$F117,"")</f>
        <v/>
      </c>
      <c r="J117" s="215" t="str">
        <f ca="1">IFERROR(VALUE(SUBSTITUTE(OFFSET(J117,-1,0)," "&amp;$D117,""))*$F117,"")</f>
        <v/>
      </c>
      <c r="K117" s="215" t="str">
        <f t="shared" ref="K117:M117" ca="1" si="113">IFERROR(VALUE(SUBSTITUTE(OFFSET(K117,-1,0)," "&amp;$D117,""))*$F117,"")</f>
        <v/>
      </c>
      <c r="L117" s="215" t="str">
        <f t="shared" ca="1" si="113"/>
        <v/>
      </c>
      <c r="M117" s="215" t="str">
        <f t="shared" ca="1" si="113"/>
        <v/>
      </c>
      <c r="N117" s="215" t="str">
        <f ca="1">IFERROR(VALUE(SUBSTITUTE(OFFSET(N117,-1,0)," "&amp;$D117,""))*$F117,"")</f>
        <v/>
      </c>
      <c r="O117" s="215" t="str">
        <f ca="1">IFERROR(VALUE(SUBSTITUTE(OFFSET(O117,-1,0)," "&amp;$D117,""))*$F117,"")</f>
        <v/>
      </c>
      <c r="P117" s="209" t="str">
        <f ca="1">IF(LEN(B117)&gt;0,ISNUMBER(MATCH(B117,Proposed[Item],0)),"")</f>
        <v/>
      </c>
    </row>
    <row r="118" spans="1:18" ht="15" x14ac:dyDescent="0.2">
      <c r="A118" s="276">
        <f t="shared" ca="1" si="67"/>
        <v>56</v>
      </c>
      <c r="B118" s="168" t="str">
        <f ca="1">IFERROR(INDEX(INDIRECT(RangeItems),MATCH($A118,INDIRECT(RangeEstCount),0)),"")</f>
        <v/>
      </c>
      <c r="C118" s="365" t="str">
        <f ca="1">IFERROR(INDEX(Calcs[Description],INDEX(INDIRECT(RangeCount),MATCH($A118,INDIRECT(RangeEstCount),0))),"")</f>
        <v/>
      </c>
      <c r="D118" s="365"/>
      <c r="E118" s="365"/>
      <c r="F118" s="365"/>
      <c r="G118" s="365"/>
      <c r="H118" s="375" t="str">
        <f ca="1">IF(AND(Bid?,NOT(Awd?)),C118,OFFSET(F118,1,0))</f>
        <v/>
      </c>
      <c r="I118" s="216" t="str">
        <f t="shared" ref="I118:O118" ca="1" si="114">IFERROR(SUM(OFFSET(INDIRECT(RangeQuantity),MATCH($A118,INDIRECT(RangeEstCount),0)-1,COLUMN(I118)-COLUMN($H118),1,1))&amp;" "&amp;OFFSET($D118,1,0),"")</f>
        <v/>
      </c>
      <c r="J118" s="277" t="str">
        <f t="shared" ca="1" si="114"/>
        <v/>
      </c>
      <c r="K118" s="277" t="str">
        <f t="shared" ca="1" si="114"/>
        <v/>
      </c>
      <c r="L118" s="277" t="str">
        <f t="shared" ca="1" si="114"/>
        <v/>
      </c>
      <c r="M118" s="277" t="str">
        <f t="shared" ca="1" si="114"/>
        <v/>
      </c>
      <c r="N118" s="277" t="str">
        <f t="shared" ca="1" si="114"/>
        <v/>
      </c>
      <c r="O118" s="277" t="str">
        <f t="shared" ca="1" si="114"/>
        <v/>
      </c>
      <c r="P118" s="209" t="str">
        <f ca="1">IF(LEN(B118)&gt;0,ISNUMBER(MATCH(B118,Proposed[Item],0)),"")</f>
        <v/>
      </c>
    </row>
    <row r="119" spans="1:18" ht="15" x14ac:dyDescent="0.2">
      <c r="A119" s="276">
        <f t="shared" ca="1" si="67"/>
        <v>56</v>
      </c>
      <c r="B119" s="111" t="str">
        <f ca="1">IFERROR("Line "&amp;INDEX(Calcs[Line],INDEX(INDIRECT(RangeCount),MATCH($A119,INDIRECT(RangeEstCount),0))),"")</f>
        <v/>
      </c>
      <c r="C119" s="169" t="str">
        <f ca="1">IFERROR(IF(AND($D119="LPSM",Bid?,All?),"ALL",TEXT(OFFSET(INDIRECT(RangeQuantity),MATCH($A119,INDIRECT(RangeEstCount),0)-1,MATCH(Account,Accounts,0)-1,1,1),IF($D119="LPSM","0%","#,##0"&amp;IF(OFFSET(Items[#Data],MATCH($A119,INDIRECT(RangeEstCount),0)-1,MATCH(Decimals,Items[#Headers],0)-1,1,1)&gt;0,"."&amp;REPT("0",OFFSET(Items[#Data],MATCH($A119,INDIRECT(RangeEstCount),0)-1,MATCH(Decimals,Items[#Headers],0)-1,1,1)),"")))),"")</f>
        <v/>
      </c>
      <c r="D119" s="170" t="str">
        <f ca="1">IFERROR(INDEX(INDIRECT(RangeUnit),MATCH($A119,INDIRECT(RangeEstCount),0))&amp;SUBSTITUTE(" ["&amp;INDEX(INDIRECT(RangeAmend),MATCH($A119,INDIRECT(RangeEstCount),0))&amp;"]"," []",""),"")</f>
        <v/>
      </c>
      <c r="E119" s="170" t="str">
        <f ca="1">IFERROR(IF(INDEX(INDIRECT(RangeContrQty),MATCH($A119,INDIRECT(RangeEstCount),0)),"(CQ)",""),"")</f>
        <v/>
      </c>
      <c r="F119" s="171" t="str">
        <f ca="1">IFERROR(IF(OR(NOT(Bid?),LEFT(UPPER($D119),4)="FXHR"),INDEX(INDIRECT(RangeUnitPrice),MATCH($A119,INDIRECT(RangeEstCount),0)),IF(Awd?,OFFSET(TabAmount,MATCH(INDEX(INDIRECT(RangeCount),MATCH($A119,INDIRECT(RangeEstCount),0)),OFFSET(TabCount,1,0,2*NumPayItems,1),0),MATCH(Awarded2,Bidders,0)),IF(OR($C119="",$D119="LPSM"),"","$"))),"")</f>
        <v/>
      </c>
      <c r="G119" s="171" t="str">
        <f ca="1">IFERROR(VALUE(C119)*F119,IF(AND(Bid?,NOT(Awd?),$D119="LPSM"),"$",F119))</f>
        <v/>
      </c>
      <c r="H119" s="374"/>
      <c r="I119" s="217" t="str">
        <f ca="1">IFERROR(VALUE(SUBSTITUTE(OFFSET(I119,-1,0)," "&amp;$D119,""))*$F119,"")</f>
        <v/>
      </c>
      <c r="J119" s="215" t="str">
        <f ca="1">IFERROR(VALUE(SUBSTITUTE(OFFSET(J119,-1,0)," "&amp;$D119,""))*$F119,"")</f>
        <v/>
      </c>
      <c r="K119" s="215" t="str">
        <f t="shared" ref="K119:M119" ca="1" si="115">IFERROR(VALUE(SUBSTITUTE(OFFSET(K119,-1,0)," "&amp;$D119,""))*$F119,"")</f>
        <v/>
      </c>
      <c r="L119" s="215" t="str">
        <f t="shared" ca="1" si="115"/>
        <v/>
      </c>
      <c r="M119" s="215" t="str">
        <f t="shared" ca="1" si="115"/>
        <v/>
      </c>
      <c r="N119" s="215" t="str">
        <f ca="1">IFERROR(VALUE(SUBSTITUTE(OFFSET(N119,-1,0)," "&amp;$D119,""))*$F119,"")</f>
        <v/>
      </c>
      <c r="O119" s="215" t="str">
        <f ca="1">IFERROR(VALUE(SUBSTITUTE(OFFSET(O119,-1,0)," "&amp;$D119,""))*$F119,"")</f>
        <v/>
      </c>
      <c r="P119" s="209" t="str">
        <f ca="1">IF(LEN(B119)&gt;0,ISNUMBER(MATCH(B119,Proposed[Item],0)),"")</f>
        <v/>
      </c>
    </row>
    <row r="120" spans="1:18" ht="15" x14ac:dyDescent="0.2">
      <c r="A120" s="276">
        <f t="shared" ca="1" si="67"/>
        <v>57</v>
      </c>
      <c r="B120" s="168" t="str">
        <f ca="1">IFERROR(INDEX(INDIRECT(RangeItems),MATCH($A120,INDIRECT(RangeEstCount),0)),"")</f>
        <v/>
      </c>
      <c r="C120" s="365" t="str">
        <f ca="1">IFERROR(INDEX(Calcs[Description],INDEX(INDIRECT(RangeCount),MATCH($A120,INDIRECT(RangeEstCount),0))),"")</f>
        <v/>
      </c>
      <c r="D120" s="365"/>
      <c r="E120" s="365"/>
      <c r="F120" s="365"/>
      <c r="G120" s="365"/>
      <c r="H120" s="375" t="str">
        <f ca="1">IF(AND(Bid?,NOT(Awd?)),C120,OFFSET(F120,1,0))</f>
        <v/>
      </c>
      <c r="I120" s="216" t="str">
        <f t="shared" ref="I120:O120" ca="1" si="116">IFERROR(SUM(OFFSET(INDIRECT(RangeQuantity),MATCH($A120,INDIRECT(RangeEstCount),0)-1,COLUMN(I120)-COLUMN($H120),1,1))&amp;" "&amp;OFFSET($D120,1,0),"")</f>
        <v/>
      </c>
      <c r="J120" s="277" t="str">
        <f t="shared" ca="1" si="116"/>
        <v/>
      </c>
      <c r="K120" s="277" t="str">
        <f t="shared" ca="1" si="116"/>
        <v/>
      </c>
      <c r="L120" s="277" t="str">
        <f t="shared" ca="1" si="116"/>
        <v/>
      </c>
      <c r="M120" s="277" t="str">
        <f t="shared" ca="1" si="116"/>
        <v/>
      </c>
      <c r="N120" s="277" t="str">
        <f t="shared" ca="1" si="116"/>
        <v/>
      </c>
      <c r="O120" s="277" t="str">
        <f t="shared" ca="1" si="116"/>
        <v/>
      </c>
      <c r="P120" s="209" t="str">
        <f ca="1">IF(LEN(B120)&gt;0,ISNUMBER(MATCH(B120,Proposed[Item],0)),"")</f>
        <v/>
      </c>
    </row>
    <row r="121" spans="1:18" ht="15" x14ac:dyDescent="0.2">
      <c r="A121" s="276">
        <f t="shared" ca="1" si="67"/>
        <v>57</v>
      </c>
      <c r="B121" s="111" t="str">
        <f ca="1">IFERROR("Line "&amp;INDEX(Calcs[Line],INDEX(INDIRECT(RangeCount),MATCH($A121,INDIRECT(RangeEstCount),0))),"")</f>
        <v/>
      </c>
      <c r="C121" s="169" t="str">
        <f ca="1">IFERROR(IF(AND($D121="LPSM",Bid?,All?),"ALL",TEXT(OFFSET(INDIRECT(RangeQuantity),MATCH($A121,INDIRECT(RangeEstCount),0)-1,MATCH(Account,Accounts,0)-1,1,1),IF($D121="LPSM","0%","#,##0"&amp;IF(OFFSET(Items[#Data],MATCH($A121,INDIRECT(RangeEstCount),0)-1,MATCH(Decimals,Items[#Headers],0)-1,1,1)&gt;0,"."&amp;REPT("0",OFFSET(Items[#Data],MATCH($A121,INDIRECT(RangeEstCount),0)-1,MATCH(Decimals,Items[#Headers],0)-1,1,1)),"")))),"")</f>
        <v/>
      </c>
      <c r="D121" s="170" t="str">
        <f ca="1">IFERROR(INDEX(INDIRECT(RangeUnit),MATCH($A121,INDIRECT(RangeEstCount),0))&amp;SUBSTITUTE(" ["&amp;INDEX(INDIRECT(RangeAmend),MATCH($A121,INDIRECT(RangeEstCount),0))&amp;"]"," []",""),"")</f>
        <v/>
      </c>
      <c r="E121" s="170" t="str">
        <f ca="1">IFERROR(IF(INDEX(INDIRECT(RangeContrQty),MATCH($A121,INDIRECT(RangeEstCount),0)),"(CQ)",""),"")</f>
        <v/>
      </c>
      <c r="F121" s="171" t="str">
        <f ca="1">IFERROR(IF(OR(NOT(Bid?),LEFT(UPPER($D121),4)="FXHR"),INDEX(INDIRECT(RangeUnitPrice),MATCH($A121,INDIRECT(RangeEstCount),0)),IF(Awd?,OFFSET(TabAmount,MATCH(INDEX(INDIRECT(RangeCount),MATCH($A121,INDIRECT(RangeEstCount),0)),OFFSET(TabCount,1,0,2*NumPayItems,1),0),MATCH(Awarded2,Bidders,0)),IF(OR($C121="",$D121="LPSM"),"","$"))),"")</f>
        <v/>
      </c>
      <c r="G121" s="171" t="str">
        <f ca="1">IFERROR(VALUE(C121)*F121,IF(AND(Bid?,NOT(Awd?),$D121="LPSM"),"$",F121))</f>
        <v/>
      </c>
      <c r="H121" s="374"/>
      <c r="I121" s="217" t="str">
        <f ca="1">IFERROR(VALUE(SUBSTITUTE(OFFSET(I121,-1,0)," "&amp;$D121,""))*$F121,"")</f>
        <v/>
      </c>
      <c r="J121" s="215" t="str">
        <f ca="1">IFERROR(VALUE(SUBSTITUTE(OFFSET(J121,-1,0)," "&amp;$D121,""))*$F121,"")</f>
        <v/>
      </c>
      <c r="K121" s="215" t="str">
        <f t="shared" ref="K121:M121" ca="1" si="117">IFERROR(VALUE(SUBSTITUTE(OFFSET(K121,-1,0)," "&amp;$D121,""))*$F121,"")</f>
        <v/>
      </c>
      <c r="L121" s="215" t="str">
        <f t="shared" ca="1" si="117"/>
        <v/>
      </c>
      <c r="M121" s="215" t="str">
        <f t="shared" ca="1" si="117"/>
        <v/>
      </c>
      <c r="N121" s="215" t="str">
        <f ca="1">IFERROR(VALUE(SUBSTITUTE(OFFSET(N121,-1,0)," "&amp;$D121,""))*$F121,"")</f>
        <v/>
      </c>
      <c r="O121" s="215" t="str">
        <f ca="1">IFERROR(VALUE(SUBSTITUTE(OFFSET(O121,-1,0)," "&amp;$D121,""))*$F121,"")</f>
        <v/>
      </c>
      <c r="P121" s="209" t="str">
        <f ca="1">IF(LEN(B121)&gt;0,ISNUMBER(MATCH(B121,Proposed[Item],0)),"")</f>
        <v/>
      </c>
    </row>
    <row r="122" spans="1:18" ht="15" x14ac:dyDescent="0.2">
      <c r="A122" s="276">
        <f t="shared" ca="1" si="67"/>
        <v>58</v>
      </c>
      <c r="B122" s="168" t="str">
        <f ca="1">IFERROR(INDEX(INDIRECT(RangeItems),MATCH($A122,INDIRECT(RangeEstCount),0)),"")</f>
        <v/>
      </c>
      <c r="C122" s="365" t="str">
        <f ca="1">IFERROR(INDEX(Calcs[Description],INDEX(INDIRECT(RangeCount),MATCH($A122,INDIRECT(RangeEstCount),0))),"")</f>
        <v/>
      </c>
      <c r="D122" s="365"/>
      <c r="E122" s="365"/>
      <c r="F122" s="365"/>
      <c r="G122" s="365"/>
      <c r="H122" s="375" t="str">
        <f ca="1">IF(AND(Bid?,NOT(Awd?)),C122,OFFSET(F122,1,0))</f>
        <v/>
      </c>
      <c r="I122" s="216" t="str">
        <f t="shared" ref="I122:O122" ca="1" si="118">IFERROR(SUM(OFFSET(INDIRECT(RangeQuantity),MATCH($A122,INDIRECT(RangeEstCount),0)-1,COLUMN(I122)-COLUMN($H122),1,1))&amp;" "&amp;OFFSET($D122,1,0),"")</f>
        <v/>
      </c>
      <c r="J122" s="277" t="str">
        <f t="shared" ca="1" si="118"/>
        <v/>
      </c>
      <c r="K122" s="277" t="str">
        <f t="shared" ca="1" si="118"/>
        <v/>
      </c>
      <c r="L122" s="277" t="str">
        <f t="shared" ca="1" si="118"/>
        <v/>
      </c>
      <c r="M122" s="277" t="str">
        <f t="shared" ca="1" si="118"/>
        <v/>
      </c>
      <c r="N122" s="277" t="str">
        <f t="shared" ca="1" si="118"/>
        <v/>
      </c>
      <c r="O122" s="277" t="str">
        <f t="shared" ca="1" si="118"/>
        <v/>
      </c>
      <c r="P122" s="209" t="str">
        <f ca="1">IF(LEN(B122)&gt;0,ISNUMBER(MATCH(B122,Proposed[Item],0)),"")</f>
        <v/>
      </c>
    </row>
    <row r="123" spans="1:18" ht="15" x14ac:dyDescent="0.2">
      <c r="A123" s="276">
        <f t="shared" ca="1" si="67"/>
        <v>58</v>
      </c>
      <c r="B123" s="111" t="str">
        <f ca="1">IFERROR("Line "&amp;INDEX(Calcs[Line],INDEX(INDIRECT(RangeCount),MATCH($A123,INDIRECT(RangeEstCount),0))),"")</f>
        <v/>
      </c>
      <c r="C123" s="169" t="str">
        <f ca="1">IFERROR(IF(AND($D123="LPSM",Bid?,All?),"ALL",TEXT(OFFSET(INDIRECT(RangeQuantity),MATCH($A123,INDIRECT(RangeEstCount),0)-1,MATCH(Account,Accounts,0)-1,1,1),IF($D123="LPSM","0%","#,##0"&amp;IF(OFFSET(Items[#Data],MATCH($A123,INDIRECT(RangeEstCount),0)-1,MATCH(Decimals,Items[#Headers],0)-1,1,1)&gt;0,"."&amp;REPT("0",OFFSET(Items[#Data],MATCH($A123,INDIRECT(RangeEstCount),0)-1,MATCH(Decimals,Items[#Headers],0)-1,1,1)),"")))),"")</f>
        <v/>
      </c>
      <c r="D123" s="170" t="str">
        <f ca="1">IFERROR(INDEX(INDIRECT(RangeUnit),MATCH($A123,INDIRECT(RangeEstCount),0))&amp;SUBSTITUTE(" ["&amp;INDEX(INDIRECT(RangeAmend),MATCH($A123,INDIRECT(RangeEstCount),0))&amp;"]"," []",""),"")</f>
        <v/>
      </c>
      <c r="E123" s="170" t="str">
        <f ca="1">IFERROR(IF(INDEX(INDIRECT(RangeContrQty),MATCH($A123,INDIRECT(RangeEstCount),0)),"(CQ)",""),"")</f>
        <v/>
      </c>
      <c r="F123" s="171" t="str">
        <f ca="1">IFERROR(IF(OR(NOT(Bid?),LEFT(UPPER($D123),4)="FXHR"),INDEX(INDIRECT(RangeUnitPrice),MATCH($A123,INDIRECT(RangeEstCount),0)),IF(Awd?,OFFSET(TabAmount,MATCH(INDEX(INDIRECT(RangeCount),MATCH($A123,INDIRECT(RangeEstCount),0)),OFFSET(TabCount,1,0,2*NumPayItems,1),0),MATCH(Awarded2,Bidders,0)),IF(OR($C123="",$D123="LPSM"),"","$"))),"")</f>
        <v/>
      </c>
      <c r="G123" s="171" t="str">
        <f ca="1">IFERROR(VALUE(C123)*F123,IF(AND(Bid?,NOT(Awd?),$D123="LPSM"),"$",F123))</f>
        <v/>
      </c>
      <c r="H123" s="374"/>
      <c r="I123" s="217" t="str">
        <f ca="1">IFERROR(VALUE(SUBSTITUTE(OFFSET(I123,-1,0)," "&amp;$D123,""))*$F123,"")</f>
        <v/>
      </c>
      <c r="J123" s="215" t="str">
        <f ca="1">IFERROR(VALUE(SUBSTITUTE(OFFSET(J123,-1,0)," "&amp;$D123,""))*$F123,"")</f>
        <v/>
      </c>
      <c r="K123" s="215" t="str">
        <f t="shared" ref="K123:M123" ca="1" si="119">IFERROR(VALUE(SUBSTITUTE(OFFSET(K123,-1,0)," "&amp;$D123,""))*$F123,"")</f>
        <v/>
      </c>
      <c r="L123" s="215" t="str">
        <f t="shared" ca="1" si="119"/>
        <v/>
      </c>
      <c r="M123" s="215" t="str">
        <f t="shared" ca="1" si="119"/>
        <v/>
      </c>
      <c r="N123" s="215" t="str">
        <f ca="1">IFERROR(VALUE(SUBSTITUTE(OFFSET(N123,-1,0)," "&amp;$D123,""))*$F123,"")</f>
        <v/>
      </c>
      <c r="O123" s="215" t="str">
        <f ca="1">IFERROR(VALUE(SUBSTITUTE(OFFSET(O123,-1,0)," "&amp;$D123,""))*$F123,"")</f>
        <v/>
      </c>
      <c r="P123" s="209" t="str">
        <f ca="1">IF(LEN(B123)&gt;0,ISNUMBER(MATCH(B123,Proposed[Item],0)),"")</f>
        <v/>
      </c>
    </row>
    <row r="124" spans="1:18" ht="15" x14ac:dyDescent="0.2">
      <c r="A124" s="276">
        <f t="shared" ca="1" si="67"/>
        <v>59</v>
      </c>
      <c r="B124" s="168" t="str">
        <f ca="1">IFERROR(INDEX(INDIRECT(RangeItems),MATCH($A124,INDIRECT(RangeEstCount),0)),"")</f>
        <v/>
      </c>
      <c r="C124" s="365" t="str">
        <f ca="1">IFERROR(INDEX(Calcs[Description],INDEX(INDIRECT(RangeCount),MATCH($A124,INDIRECT(RangeEstCount),0))),"")</f>
        <v/>
      </c>
      <c r="D124" s="365"/>
      <c r="E124" s="365"/>
      <c r="F124" s="365"/>
      <c r="G124" s="365"/>
      <c r="H124" s="375" t="str">
        <f ca="1">IF(AND(Bid?,NOT(Awd?)),C124,OFFSET(F124,1,0))</f>
        <v/>
      </c>
      <c r="I124" s="216" t="str">
        <f t="shared" ref="I124:O124" ca="1" si="120">IFERROR(SUM(OFFSET(INDIRECT(RangeQuantity),MATCH($A124,INDIRECT(RangeEstCount),0)-1,COLUMN(I124)-COLUMN($H124),1,1))&amp;" "&amp;OFFSET($D124,1,0),"")</f>
        <v/>
      </c>
      <c r="J124" s="277" t="str">
        <f t="shared" ca="1" si="120"/>
        <v/>
      </c>
      <c r="K124" s="277" t="str">
        <f t="shared" ca="1" si="120"/>
        <v/>
      </c>
      <c r="L124" s="277" t="str">
        <f t="shared" ca="1" si="120"/>
        <v/>
      </c>
      <c r="M124" s="277" t="str">
        <f t="shared" ca="1" si="120"/>
        <v/>
      </c>
      <c r="N124" s="277" t="str">
        <f t="shared" ca="1" si="120"/>
        <v/>
      </c>
      <c r="O124" s="277" t="str">
        <f t="shared" ca="1" si="120"/>
        <v/>
      </c>
      <c r="P124" s="209" t="str">
        <f ca="1">IF(LEN(B124)&gt;0,ISNUMBER(MATCH(B124,Proposed[Item],0)),"")</f>
        <v/>
      </c>
    </row>
    <row r="125" spans="1:18" ht="15" x14ac:dyDescent="0.2">
      <c r="A125" s="276">
        <f t="shared" ca="1" si="67"/>
        <v>59</v>
      </c>
      <c r="B125" s="111" t="str">
        <f ca="1">IFERROR("Line "&amp;INDEX(Calcs[Line],INDEX(INDIRECT(RangeCount),MATCH($A125,INDIRECT(RangeEstCount),0))),"")</f>
        <v/>
      </c>
      <c r="C125" s="169" t="str">
        <f ca="1">IFERROR(IF(AND($D125="LPSM",Bid?,All?),"ALL",TEXT(OFFSET(INDIRECT(RangeQuantity),MATCH($A125,INDIRECT(RangeEstCount),0)-1,MATCH(Account,Accounts,0)-1,1,1),IF($D125="LPSM","0%","#,##0"&amp;IF(OFFSET(Items[#Data],MATCH($A125,INDIRECT(RangeEstCount),0)-1,MATCH(Decimals,Items[#Headers],0)-1,1,1)&gt;0,"."&amp;REPT("0",OFFSET(Items[#Data],MATCH($A125,INDIRECT(RangeEstCount),0)-1,MATCH(Decimals,Items[#Headers],0)-1,1,1)),"")))),"")</f>
        <v/>
      </c>
      <c r="D125" s="170" t="str">
        <f ca="1">IFERROR(INDEX(INDIRECT(RangeUnit),MATCH($A125,INDIRECT(RangeEstCount),0))&amp;SUBSTITUTE(" ["&amp;INDEX(INDIRECT(RangeAmend),MATCH($A125,INDIRECT(RangeEstCount),0))&amp;"]"," []",""),"")</f>
        <v/>
      </c>
      <c r="E125" s="170" t="str">
        <f ca="1">IFERROR(IF(INDEX(INDIRECT(RangeContrQty),MATCH($A125,INDIRECT(RangeEstCount),0)),"(CQ)",""),"")</f>
        <v/>
      </c>
      <c r="F125" s="171" t="str">
        <f ca="1">IFERROR(IF(OR(NOT(Bid?),LEFT(UPPER($D125),4)="FXHR"),INDEX(INDIRECT(RangeUnitPrice),MATCH($A125,INDIRECT(RangeEstCount),0)),IF(Awd?,OFFSET(TabAmount,MATCH(INDEX(INDIRECT(RangeCount),MATCH($A125,INDIRECT(RangeEstCount),0)),OFFSET(TabCount,1,0,2*NumPayItems,1),0),MATCH(Awarded2,Bidders,0)),IF(OR($C125="",$D125="LPSM"),"","$"))),"")</f>
        <v/>
      </c>
      <c r="G125" s="171" t="str">
        <f ca="1">IFERROR(VALUE(C125)*F125,IF(AND(Bid?,NOT(Awd?),$D125="LPSM"),"$",F125))</f>
        <v/>
      </c>
      <c r="H125" s="374"/>
      <c r="I125" s="217" t="str">
        <f ca="1">IFERROR(VALUE(SUBSTITUTE(OFFSET(I125,-1,0)," "&amp;$D125,""))*$F125,"")</f>
        <v/>
      </c>
      <c r="J125" s="215" t="str">
        <f ca="1">IFERROR(VALUE(SUBSTITUTE(OFFSET(J125,-1,0)," "&amp;$D125,""))*$F125,"")</f>
        <v/>
      </c>
      <c r="K125" s="215" t="str">
        <f t="shared" ref="K125:M125" ca="1" si="121">IFERROR(VALUE(SUBSTITUTE(OFFSET(K125,-1,0)," "&amp;$D125,""))*$F125,"")</f>
        <v/>
      </c>
      <c r="L125" s="215" t="str">
        <f t="shared" ca="1" si="121"/>
        <v/>
      </c>
      <c r="M125" s="215" t="str">
        <f t="shared" ca="1" si="121"/>
        <v/>
      </c>
      <c r="N125" s="215" t="str">
        <f ca="1">IFERROR(VALUE(SUBSTITUTE(OFFSET(N125,-1,0)," "&amp;$D125,""))*$F125,"")</f>
        <v/>
      </c>
      <c r="O125" s="215" t="str">
        <f ca="1">IFERROR(VALUE(SUBSTITUTE(OFFSET(O125,-1,0)," "&amp;$D125,""))*$F125,"")</f>
        <v/>
      </c>
      <c r="P125" s="209" t="str">
        <f ca="1">IF(LEN(B125)&gt;0,ISNUMBER(MATCH(B125,Proposed[Item],0)),"")</f>
        <v/>
      </c>
    </row>
    <row r="126" spans="1:18" ht="15" x14ac:dyDescent="0.2">
      <c r="A126" s="276">
        <f t="shared" ca="1" si="67"/>
        <v>60</v>
      </c>
      <c r="B126" s="168" t="str">
        <f ca="1">IFERROR(INDEX(INDIRECT(RangeItems),MATCH($A126,INDIRECT(RangeEstCount),0)),"")</f>
        <v/>
      </c>
      <c r="C126" s="365" t="str">
        <f ca="1">IFERROR(INDEX(Calcs[Description],INDEX(INDIRECT(RangeCount),MATCH($A126,INDIRECT(RangeEstCount),0))),"")</f>
        <v/>
      </c>
      <c r="D126" s="365"/>
      <c r="E126" s="365"/>
      <c r="F126" s="365"/>
      <c r="G126" s="365"/>
      <c r="H126" s="375" t="str">
        <f ca="1">IF(AND(Bid?,NOT(Awd?)),C126,OFFSET(F126,1,0))</f>
        <v/>
      </c>
      <c r="I126" s="216" t="str">
        <f t="shared" ref="I126:O126" ca="1" si="122">IFERROR(SUM(OFFSET(INDIRECT(RangeQuantity),MATCH($A126,INDIRECT(RangeEstCount),0)-1,COLUMN(I126)-COLUMN($H126),1,1))&amp;" "&amp;OFFSET($D126,1,0),"")</f>
        <v/>
      </c>
      <c r="J126" s="277" t="str">
        <f t="shared" ca="1" si="122"/>
        <v/>
      </c>
      <c r="K126" s="277" t="str">
        <f t="shared" ca="1" si="122"/>
        <v/>
      </c>
      <c r="L126" s="277" t="str">
        <f t="shared" ca="1" si="122"/>
        <v/>
      </c>
      <c r="M126" s="277" t="str">
        <f t="shared" ca="1" si="122"/>
        <v/>
      </c>
      <c r="N126" s="277" t="str">
        <f t="shared" ca="1" si="122"/>
        <v/>
      </c>
      <c r="O126" s="277" t="str">
        <f t="shared" ca="1" si="122"/>
        <v/>
      </c>
      <c r="P126" s="209" t="str">
        <f ca="1">IF(LEN(B126)&gt;0,ISNUMBER(MATCH(B126,Proposed[Item],0)),"")</f>
        <v/>
      </c>
    </row>
    <row r="127" spans="1:18" ht="15" x14ac:dyDescent="0.2">
      <c r="A127" s="276">
        <f t="shared" ca="1" si="67"/>
        <v>60</v>
      </c>
      <c r="B127" s="111" t="str">
        <f ca="1">IFERROR("Line "&amp;INDEX(Calcs[Line],INDEX(INDIRECT(RangeCount),MATCH($A127,INDIRECT(RangeEstCount),0))),"")</f>
        <v/>
      </c>
      <c r="C127" s="169" t="str">
        <f ca="1">IFERROR(IF(AND($D127="LPSM",Bid?,All?),"ALL",TEXT(OFFSET(INDIRECT(RangeQuantity),MATCH($A127,INDIRECT(RangeEstCount),0)-1,MATCH(Account,Accounts,0)-1,1,1),IF($D127="LPSM","0%","#,##0"&amp;IF(OFFSET(Items[#Data],MATCH($A127,INDIRECT(RangeEstCount),0)-1,MATCH(Decimals,Items[#Headers],0)-1,1,1)&gt;0,"."&amp;REPT("0",OFFSET(Items[#Data],MATCH($A127,INDIRECT(RangeEstCount),0)-1,MATCH(Decimals,Items[#Headers],0)-1,1,1)),"")))),"")</f>
        <v/>
      </c>
      <c r="D127" s="170" t="str">
        <f ca="1">IFERROR(INDEX(INDIRECT(RangeUnit),MATCH($A127,INDIRECT(RangeEstCount),0))&amp;SUBSTITUTE(" ["&amp;INDEX(INDIRECT(RangeAmend),MATCH($A127,INDIRECT(RangeEstCount),0))&amp;"]"," []",""),"")</f>
        <v/>
      </c>
      <c r="E127" s="170" t="str">
        <f ca="1">IFERROR(IF(INDEX(INDIRECT(RangeContrQty),MATCH($A127,INDIRECT(RangeEstCount),0)),"(CQ)",""),"")</f>
        <v/>
      </c>
      <c r="F127" s="171" t="str">
        <f ca="1">IFERROR(IF(OR(NOT(Bid?),LEFT(UPPER($D127),4)="FXHR"),INDEX(INDIRECT(RangeUnitPrice),MATCH($A127,INDIRECT(RangeEstCount),0)),IF(Awd?,OFFSET(TabAmount,MATCH(INDEX(INDIRECT(RangeCount),MATCH($A127,INDIRECT(RangeEstCount),0)),OFFSET(TabCount,1,0,2*NumPayItems,1),0),MATCH(Awarded2,Bidders,0)),IF(OR($C127="",$D127="LPSM"),"","$"))),"")</f>
        <v/>
      </c>
      <c r="G127" s="171" t="str">
        <f ca="1">IFERROR(VALUE(C127)*F127,IF(AND(Bid?,NOT(Awd?),$D127="LPSM"),"$",F127))</f>
        <v/>
      </c>
      <c r="H127" s="374"/>
      <c r="I127" s="217" t="str">
        <f ca="1">IFERROR(VALUE(SUBSTITUTE(OFFSET(I127,-1,0)," "&amp;$D127,""))*$F127,"")</f>
        <v/>
      </c>
      <c r="J127" s="215" t="str">
        <f ca="1">IFERROR(VALUE(SUBSTITUTE(OFFSET(J127,-1,0)," "&amp;$D127,""))*$F127,"")</f>
        <v/>
      </c>
      <c r="K127" s="215" t="str">
        <f t="shared" ref="K127:M127" ca="1" si="123">IFERROR(VALUE(SUBSTITUTE(OFFSET(K127,-1,0)," "&amp;$D127,""))*$F127,"")</f>
        <v/>
      </c>
      <c r="L127" s="215" t="str">
        <f t="shared" ca="1" si="123"/>
        <v/>
      </c>
      <c r="M127" s="215" t="str">
        <f t="shared" ca="1" si="123"/>
        <v/>
      </c>
      <c r="N127" s="215" t="str">
        <f ca="1">IFERROR(VALUE(SUBSTITUTE(OFFSET(N127,-1,0)," "&amp;$D127,""))*$F127,"")</f>
        <v/>
      </c>
      <c r="O127" s="215" t="str">
        <f ca="1">IFERROR(VALUE(SUBSTITUTE(OFFSET(O127,-1,0)," "&amp;$D127,""))*$F127,"")</f>
        <v/>
      </c>
      <c r="P127" s="209" t="str">
        <f ca="1">IF(LEN(B127)&gt;0,ISNUMBER(MATCH(B127,Proposed[Item],0)),"")</f>
        <v/>
      </c>
    </row>
    <row r="128" spans="1:18" ht="15" x14ac:dyDescent="0.2">
      <c r="A128" s="276">
        <f t="shared" ca="1" si="67"/>
        <v>61</v>
      </c>
      <c r="B128" s="168" t="str">
        <f ca="1">IFERROR(INDEX(INDIRECT(RangeItems),MATCH($A128,INDIRECT(RangeEstCount),0)),"")</f>
        <v/>
      </c>
      <c r="C128" s="365" t="str">
        <f ca="1">IFERROR(INDEX(Calcs[Description],INDEX(INDIRECT(RangeCount),MATCH($A128,INDIRECT(RangeEstCount),0))),"")</f>
        <v/>
      </c>
      <c r="D128" s="365"/>
      <c r="E128" s="365"/>
      <c r="F128" s="365"/>
      <c r="G128" s="365"/>
      <c r="H128" s="375" t="str">
        <f ca="1">IF(AND(Bid?,NOT(Awd?)),C128,OFFSET(F128,1,0))</f>
        <v/>
      </c>
      <c r="I128" s="216" t="str">
        <f t="shared" ref="I128:O128" ca="1" si="124">IFERROR(SUM(OFFSET(INDIRECT(RangeQuantity),MATCH($A128,INDIRECT(RangeEstCount),0)-1,COLUMN(I128)-COLUMN($H128),1,1))&amp;" "&amp;OFFSET($D128,1,0),"")</f>
        <v/>
      </c>
      <c r="J128" s="277" t="str">
        <f t="shared" ca="1" si="124"/>
        <v/>
      </c>
      <c r="K128" s="277" t="str">
        <f t="shared" ca="1" si="124"/>
        <v/>
      </c>
      <c r="L128" s="277" t="str">
        <f t="shared" ca="1" si="124"/>
        <v/>
      </c>
      <c r="M128" s="277" t="str">
        <f t="shared" ca="1" si="124"/>
        <v/>
      </c>
      <c r="N128" s="277" t="str">
        <f t="shared" ca="1" si="124"/>
        <v/>
      </c>
      <c r="O128" s="277" t="str">
        <f t="shared" ca="1" si="124"/>
        <v/>
      </c>
      <c r="P128" s="209" t="str">
        <f ca="1">IF(LEN(B128)&gt;0,ISNUMBER(MATCH(B128,Proposed[Item],0)),"")</f>
        <v/>
      </c>
    </row>
    <row r="129" spans="1:16" ht="15" x14ac:dyDescent="0.2">
      <c r="A129" s="276">
        <f t="shared" ca="1" si="67"/>
        <v>61</v>
      </c>
      <c r="B129" s="111" t="str">
        <f ca="1">IFERROR("Line "&amp;INDEX(Calcs[Line],INDEX(INDIRECT(RangeCount),MATCH($A129,INDIRECT(RangeEstCount),0))),"")</f>
        <v/>
      </c>
      <c r="C129" s="169" t="str">
        <f ca="1">IFERROR(IF(AND($D129="LPSM",Bid?,All?),"ALL",TEXT(OFFSET(INDIRECT(RangeQuantity),MATCH($A129,INDIRECT(RangeEstCount),0)-1,MATCH(Account,Accounts,0)-1,1,1),IF($D129="LPSM","0%","#,##0"&amp;IF(OFFSET(Items[#Data],MATCH($A129,INDIRECT(RangeEstCount),0)-1,MATCH(Decimals,Items[#Headers],0)-1,1,1)&gt;0,"."&amp;REPT("0",OFFSET(Items[#Data],MATCH($A129,INDIRECT(RangeEstCount),0)-1,MATCH(Decimals,Items[#Headers],0)-1,1,1)),"")))),"")</f>
        <v/>
      </c>
      <c r="D129" s="170" t="str">
        <f ca="1">IFERROR(INDEX(INDIRECT(RangeUnit),MATCH($A129,INDIRECT(RangeEstCount),0))&amp;SUBSTITUTE(" ["&amp;INDEX(INDIRECT(RangeAmend),MATCH($A129,INDIRECT(RangeEstCount),0))&amp;"]"," []",""),"")</f>
        <v/>
      </c>
      <c r="E129" s="170" t="str">
        <f ca="1">IFERROR(IF(INDEX(INDIRECT(RangeContrQty),MATCH($A129,INDIRECT(RangeEstCount),0)),"(CQ)",""),"")</f>
        <v/>
      </c>
      <c r="F129" s="171" t="str">
        <f ca="1">IFERROR(IF(OR(NOT(Bid?),LEFT(UPPER($D129),4)="FXHR"),INDEX(INDIRECT(RangeUnitPrice),MATCH($A129,INDIRECT(RangeEstCount),0)),IF(Awd?,OFFSET(TabAmount,MATCH(INDEX(INDIRECT(RangeCount),MATCH($A129,INDIRECT(RangeEstCount),0)),OFFSET(TabCount,1,0,2*NumPayItems,1),0),MATCH(Awarded2,Bidders,0)),IF(OR($C129="",$D129="LPSM"),"","$"))),"")</f>
        <v/>
      </c>
      <c r="G129" s="171" t="str">
        <f ca="1">IFERROR(VALUE(C129)*F129,IF(AND(Bid?,NOT(Awd?),$D129="LPSM"),"$",F129))</f>
        <v/>
      </c>
      <c r="H129" s="374"/>
      <c r="I129" s="217" t="str">
        <f ca="1">IFERROR(VALUE(SUBSTITUTE(OFFSET(I129,-1,0)," "&amp;$D129,""))*$F129,"")</f>
        <v/>
      </c>
      <c r="J129" s="215" t="str">
        <f ca="1">IFERROR(VALUE(SUBSTITUTE(OFFSET(J129,-1,0)," "&amp;$D129,""))*$F129,"")</f>
        <v/>
      </c>
      <c r="K129" s="215" t="str">
        <f t="shared" ref="K129:M129" ca="1" si="125">IFERROR(VALUE(SUBSTITUTE(OFFSET(K129,-1,0)," "&amp;$D129,""))*$F129,"")</f>
        <v/>
      </c>
      <c r="L129" s="215" t="str">
        <f t="shared" ca="1" si="125"/>
        <v/>
      </c>
      <c r="M129" s="215" t="str">
        <f t="shared" ca="1" si="125"/>
        <v/>
      </c>
      <c r="N129" s="215" t="str">
        <f ca="1">IFERROR(VALUE(SUBSTITUTE(OFFSET(N129,-1,0)," "&amp;$D129,""))*$F129,"")</f>
        <v/>
      </c>
      <c r="O129" s="215" t="str">
        <f ca="1">IFERROR(VALUE(SUBSTITUTE(OFFSET(O129,-1,0)," "&amp;$D129,""))*$F129,"")</f>
        <v/>
      </c>
      <c r="P129" s="209" t="str">
        <f ca="1">IF(LEN(B129)&gt;0,ISNUMBER(MATCH(B129,Proposed[Item],0)),"")</f>
        <v/>
      </c>
    </row>
    <row r="130" spans="1:16" ht="15" x14ac:dyDescent="0.2">
      <c r="A130" s="276">
        <f t="shared" ca="1" si="67"/>
        <v>62</v>
      </c>
      <c r="B130" s="168" t="str">
        <f ca="1">IFERROR(INDEX(INDIRECT(RangeItems),MATCH($A130,INDIRECT(RangeEstCount),0)),"")</f>
        <v/>
      </c>
      <c r="C130" s="365" t="str">
        <f ca="1">IFERROR(INDEX(Calcs[Description],INDEX(INDIRECT(RangeCount),MATCH($A130,INDIRECT(RangeEstCount),0))),"")</f>
        <v/>
      </c>
      <c r="D130" s="365"/>
      <c r="E130" s="365"/>
      <c r="F130" s="365"/>
      <c r="G130" s="365"/>
      <c r="H130" s="375" t="str">
        <f ca="1">IF(AND(Bid?,NOT(Awd?)),C130,OFFSET(F130,1,0))</f>
        <v/>
      </c>
      <c r="I130" s="216" t="str">
        <f t="shared" ref="I130:O130" ca="1" si="126">IFERROR(SUM(OFFSET(INDIRECT(RangeQuantity),MATCH($A130,INDIRECT(RangeEstCount),0)-1,COLUMN(I130)-COLUMN($H130),1,1))&amp;" "&amp;OFFSET($D130,1,0),"")</f>
        <v/>
      </c>
      <c r="J130" s="277" t="str">
        <f t="shared" ca="1" si="126"/>
        <v/>
      </c>
      <c r="K130" s="277" t="str">
        <f t="shared" ca="1" si="126"/>
        <v/>
      </c>
      <c r="L130" s="277" t="str">
        <f t="shared" ca="1" si="126"/>
        <v/>
      </c>
      <c r="M130" s="277" t="str">
        <f t="shared" ca="1" si="126"/>
        <v/>
      </c>
      <c r="N130" s="277" t="str">
        <f t="shared" ca="1" si="126"/>
        <v/>
      </c>
      <c r="O130" s="277" t="str">
        <f t="shared" ca="1" si="126"/>
        <v/>
      </c>
      <c r="P130" s="209" t="str">
        <f ca="1">IF(LEN(B130)&gt;0,ISNUMBER(MATCH(B130,Proposed[Item],0)),"")</f>
        <v/>
      </c>
    </row>
    <row r="131" spans="1:16" ht="15" x14ac:dyDescent="0.2">
      <c r="A131" s="276">
        <f t="shared" ca="1" si="67"/>
        <v>62</v>
      </c>
      <c r="B131" s="111" t="str">
        <f ca="1">IFERROR("Line "&amp;INDEX(Calcs[Line],INDEX(INDIRECT(RangeCount),MATCH($A131,INDIRECT(RangeEstCount),0))),"")</f>
        <v/>
      </c>
      <c r="C131" s="169" t="str">
        <f ca="1">IFERROR(IF(AND($D131="LPSM",Bid?,All?),"ALL",TEXT(OFFSET(INDIRECT(RangeQuantity),MATCH($A131,INDIRECT(RangeEstCount),0)-1,MATCH(Account,Accounts,0)-1,1,1),IF($D131="LPSM","0%","#,##0"&amp;IF(OFFSET(Items[#Data],MATCH($A131,INDIRECT(RangeEstCount),0)-1,MATCH(Decimals,Items[#Headers],0)-1,1,1)&gt;0,"."&amp;REPT("0",OFFSET(Items[#Data],MATCH($A131,INDIRECT(RangeEstCount),0)-1,MATCH(Decimals,Items[#Headers],0)-1,1,1)),"")))),"")</f>
        <v/>
      </c>
      <c r="D131" s="170" t="str">
        <f ca="1">IFERROR(INDEX(INDIRECT(RangeUnit),MATCH($A131,INDIRECT(RangeEstCount),0))&amp;SUBSTITUTE(" ["&amp;INDEX(INDIRECT(RangeAmend),MATCH($A131,INDIRECT(RangeEstCount),0))&amp;"]"," []",""),"")</f>
        <v/>
      </c>
      <c r="E131" s="170" t="str">
        <f ca="1">IFERROR(IF(INDEX(INDIRECT(RangeContrQty),MATCH($A131,INDIRECT(RangeEstCount),0)),"(CQ)",""),"")</f>
        <v/>
      </c>
      <c r="F131" s="171" t="str">
        <f ca="1">IFERROR(IF(OR(NOT(Bid?),LEFT(UPPER($D131),4)="FXHR"),INDEX(INDIRECT(RangeUnitPrice),MATCH($A131,INDIRECT(RangeEstCount),0)),IF(Awd?,OFFSET(TabAmount,MATCH(INDEX(INDIRECT(RangeCount),MATCH($A131,INDIRECT(RangeEstCount),0)),OFFSET(TabCount,1,0,2*NumPayItems,1),0),MATCH(Awarded2,Bidders,0)),IF(OR($C131="",$D131="LPSM"),"","$"))),"")</f>
        <v/>
      </c>
      <c r="G131" s="171" t="str">
        <f ca="1">IFERROR(VALUE(C131)*F131,IF(AND(Bid?,NOT(Awd?),$D131="LPSM"),"$",F131))</f>
        <v/>
      </c>
      <c r="H131" s="374"/>
      <c r="I131" s="217" t="str">
        <f ca="1">IFERROR(VALUE(SUBSTITUTE(OFFSET(I131,-1,0)," "&amp;$D131,""))*$F131,"")</f>
        <v/>
      </c>
      <c r="J131" s="215" t="str">
        <f ca="1">IFERROR(VALUE(SUBSTITUTE(OFFSET(J131,-1,0)," "&amp;$D131,""))*$F131,"")</f>
        <v/>
      </c>
      <c r="K131" s="215" t="str">
        <f t="shared" ref="K131:M131" ca="1" si="127">IFERROR(VALUE(SUBSTITUTE(OFFSET(K131,-1,0)," "&amp;$D131,""))*$F131,"")</f>
        <v/>
      </c>
      <c r="L131" s="215" t="str">
        <f t="shared" ca="1" si="127"/>
        <v/>
      </c>
      <c r="M131" s="215" t="str">
        <f t="shared" ca="1" si="127"/>
        <v/>
      </c>
      <c r="N131" s="215" t="str">
        <f ca="1">IFERROR(VALUE(SUBSTITUTE(OFFSET(N131,-1,0)," "&amp;$D131,""))*$F131,"")</f>
        <v/>
      </c>
      <c r="O131" s="215" t="str">
        <f ca="1">IFERROR(VALUE(SUBSTITUTE(OFFSET(O131,-1,0)," "&amp;$D131,""))*$F131,"")</f>
        <v/>
      </c>
      <c r="P131" s="209" t="str">
        <f ca="1">IF(LEN(B131)&gt;0,ISNUMBER(MATCH(B131,Proposed[Item],0)),"")</f>
        <v/>
      </c>
    </row>
    <row r="132" spans="1:16" ht="15" x14ac:dyDescent="0.2">
      <c r="A132" s="276">
        <f t="shared" ca="1" si="67"/>
        <v>63</v>
      </c>
      <c r="B132" s="168" t="str">
        <f ca="1">IFERROR(INDEX(INDIRECT(RangeItems),MATCH($A132,INDIRECT(RangeEstCount),0)),"")</f>
        <v/>
      </c>
      <c r="C132" s="365" t="str">
        <f ca="1">IFERROR(INDEX(Calcs[Description],INDEX(INDIRECT(RangeCount),MATCH($A132,INDIRECT(RangeEstCount),0))),"")</f>
        <v/>
      </c>
      <c r="D132" s="365"/>
      <c r="E132" s="365"/>
      <c r="F132" s="365"/>
      <c r="G132" s="365"/>
      <c r="H132" s="375" t="str">
        <f ca="1">IF(AND(Bid?,NOT(Awd?)),C132,OFFSET(F132,1,0))</f>
        <v/>
      </c>
      <c r="I132" s="216" t="str">
        <f t="shared" ref="I132:O132" ca="1" si="128">IFERROR(SUM(OFFSET(INDIRECT(RangeQuantity),MATCH($A132,INDIRECT(RangeEstCount),0)-1,COLUMN(I132)-COLUMN($H132),1,1))&amp;" "&amp;OFFSET($D132,1,0),"")</f>
        <v/>
      </c>
      <c r="J132" s="277" t="str">
        <f t="shared" ca="1" si="128"/>
        <v/>
      </c>
      <c r="K132" s="277" t="str">
        <f t="shared" ca="1" si="128"/>
        <v/>
      </c>
      <c r="L132" s="277" t="str">
        <f t="shared" ca="1" si="128"/>
        <v/>
      </c>
      <c r="M132" s="277" t="str">
        <f t="shared" ca="1" si="128"/>
        <v/>
      </c>
      <c r="N132" s="277" t="str">
        <f t="shared" ca="1" si="128"/>
        <v/>
      </c>
      <c r="O132" s="277" t="str">
        <f t="shared" ca="1" si="128"/>
        <v/>
      </c>
      <c r="P132" s="209" t="str">
        <f ca="1">IF(LEN(B132)&gt;0,ISNUMBER(MATCH(B132,Proposed[Item],0)),"")</f>
        <v/>
      </c>
    </row>
    <row r="133" spans="1:16" ht="15" x14ac:dyDescent="0.2">
      <c r="A133" s="276">
        <f t="shared" ca="1" si="67"/>
        <v>63</v>
      </c>
      <c r="B133" s="111" t="str">
        <f ca="1">IFERROR("Line "&amp;INDEX(Calcs[Line],INDEX(INDIRECT(RangeCount),MATCH($A133,INDIRECT(RangeEstCount),0))),"")</f>
        <v/>
      </c>
      <c r="C133" s="169" t="str">
        <f ca="1">IFERROR(IF(AND($D133="LPSM",Bid?,All?),"ALL",TEXT(OFFSET(INDIRECT(RangeQuantity),MATCH($A133,INDIRECT(RangeEstCount),0)-1,MATCH(Account,Accounts,0)-1,1,1),IF($D133="LPSM","0%","#,##0"&amp;IF(OFFSET(Items[#Data],MATCH($A133,INDIRECT(RangeEstCount),0)-1,MATCH(Decimals,Items[#Headers],0)-1,1,1)&gt;0,"."&amp;REPT("0",OFFSET(Items[#Data],MATCH($A133,INDIRECT(RangeEstCount),0)-1,MATCH(Decimals,Items[#Headers],0)-1,1,1)),"")))),"")</f>
        <v/>
      </c>
      <c r="D133" s="170" t="str">
        <f ca="1">IFERROR(INDEX(INDIRECT(RangeUnit),MATCH($A133,INDIRECT(RangeEstCount),0))&amp;SUBSTITUTE(" ["&amp;INDEX(INDIRECT(RangeAmend),MATCH($A133,INDIRECT(RangeEstCount),0))&amp;"]"," []",""),"")</f>
        <v/>
      </c>
      <c r="E133" s="170" t="str">
        <f ca="1">IFERROR(IF(INDEX(INDIRECT(RangeContrQty),MATCH($A133,INDIRECT(RangeEstCount),0)),"(CQ)",""),"")</f>
        <v/>
      </c>
      <c r="F133" s="171" t="str">
        <f ca="1">IFERROR(IF(OR(NOT(Bid?),LEFT(UPPER($D133),4)="FXHR"),INDEX(INDIRECT(RangeUnitPrice),MATCH($A133,INDIRECT(RangeEstCount),0)),IF(Awd?,OFFSET(TabAmount,MATCH(INDEX(INDIRECT(RangeCount),MATCH($A133,INDIRECT(RangeEstCount),0)),OFFSET(TabCount,1,0,2*NumPayItems,1),0),MATCH(Awarded2,Bidders,0)),IF(OR($C133="",$D133="LPSM"),"","$"))),"")</f>
        <v/>
      </c>
      <c r="G133" s="171" t="str">
        <f ca="1">IFERROR(VALUE(C133)*F133,IF(AND(Bid?,NOT(Awd?),$D133="LPSM"),"$",F133))</f>
        <v/>
      </c>
      <c r="H133" s="374"/>
      <c r="I133" s="217" t="str">
        <f ca="1">IFERROR(VALUE(SUBSTITUTE(OFFSET(I133,-1,0)," "&amp;$D133,""))*$F133,"")</f>
        <v/>
      </c>
      <c r="J133" s="215" t="str">
        <f ca="1">IFERROR(VALUE(SUBSTITUTE(OFFSET(J133,-1,0)," "&amp;$D133,""))*$F133,"")</f>
        <v/>
      </c>
      <c r="K133" s="215" t="str">
        <f t="shared" ref="K133:M133" ca="1" si="129">IFERROR(VALUE(SUBSTITUTE(OFFSET(K133,-1,0)," "&amp;$D133,""))*$F133,"")</f>
        <v/>
      </c>
      <c r="L133" s="215" t="str">
        <f t="shared" ca="1" si="129"/>
        <v/>
      </c>
      <c r="M133" s="215" t="str">
        <f t="shared" ca="1" si="129"/>
        <v/>
      </c>
      <c r="N133" s="215" t="str">
        <f ca="1">IFERROR(VALUE(SUBSTITUTE(OFFSET(N133,-1,0)," "&amp;$D133,""))*$F133,"")</f>
        <v/>
      </c>
      <c r="O133" s="215" t="str">
        <f ca="1">IFERROR(VALUE(SUBSTITUTE(OFFSET(O133,-1,0)," "&amp;$D133,""))*$F133,"")</f>
        <v/>
      </c>
      <c r="P133" s="209" t="str">
        <f ca="1">IF(LEN(B133)&gt;0,ISNUMBER(MATCH(B133,Proposed[Item],0)),"")</f>
        <v/>
      </c>
    </row>
    <row r="134" spans="1:16" ht="15" x14ac:dyDescent="0.2">
      <c r="A134" s="276">
        <f t="shared" ca="1" si="67"/>
        <v>64</v>
      </c>
      <c r="B134" s="168" t="str">
        <f ca="1">IFERROR(INDEX(INDIRECT(RangeItems),MATCH($A134,INDIRECT(RangeEstCount),0)),"")</f>
        <v/>
      </c>
      <c r="C134" s="365" t="str">
        <f ca="1">IFERROR(INDEX(Calcs[Description],INDEX(INDIRECT(RangeCount),MATCH($A134,INDIRECT(RangeEstCount),0))),"")</f>
        <v/>
      </c>
      <c r="D134" s="365"/>
      <c r="E134" s="365"/>
      <c r="F134" s="365"/>
      <c r="G134" s="365"/>
      <c r="H134" s="375" t="str">
        <f ca="1">IF(AND(Bid?,NOT(Awd?)),C134,OFFSET(F134,1,0))</f>
        <v/>
      </c>
      <c r="I134" s="216" t="str">
        <f t="shared" ref="I134:O134" ca="1" si="130">IFERROR(SUM(OFFSET(INDIRECT(RangeQuantity),MATCH($A134,INDIRECT(RangeEstCount),0)-1,COLUMN(I134)-COLUMN($H134),1,1))&amp;" "&amp;OFFSET($D134,1,0),"")</f>
        <v/>
      </c>
      <c r="J134" s="277" t="str">
        <f t="shared" ca="1" si="130"/>
        <v/>
      </c>
      <c r="K134" s="277" t="str">
        <f t="shared" ca="1" si="130"/>
        <v/>
      </c>
      <c r="L134" s="277" t="str">
        <f t="shared" ca="1" si="130"/>
        <v/>
      </c>
      <c r="M134" s="277" t="str">
        <f t="shared" ca="1" si="130"/>
        <v/>
      </c>
      <c r="N134" s="277" t="str">
        <f t="shared" ca="1" si="130"/>
        <v/>
      </c>
      <c r="O134" s="277" t="str">
        <f t="shared" ca="1" si="130"/>
        <v/>
      </c>
      <c r="P134" s="209" t="str">
        <f ca="1">IF(LEN(B134)&gt;0,ISNUMBER(MATCH(B134,Proposed[Item],0)),"")</f>
        <v/>
      </c>
    </row>
    <row r="135" spans="1:16" ht="15" x14ac:dyDescent="0.2">
      <c r="A135" s="276">
        <f t="shared" ca="1" si="67"/>
        <v>64</v>
      </c>
      <c r="B135" s="111" t="str">
        <f ca="1">IFERROR("Line "&amp;INDEX(Calcs[Line],INDEX(INDIRECT(RangeCount),MATCH($A135,INDIRECT(RangeEstCount),0))),"")</f>
        <v/>
      </c>
      <c r="C135" s="169" t="str">
        <f ca="1">IFERROR(IF(AND($D135="LPSM",Bid?,All?),"ALL",TEXT(OFFSET(INDIRECT(RangeQuantity),MATCH($A135,INDIRECT(RangeEstCount),0)-1,MATCH(Account,Accounts,0)-1,1,1),IF($D135="LPSM","0%","#,##0"&amp;IF(OFFSET(Items[#Data],MATCH($A135,INDIRECT(RangeEstCount),0)-1,MATCH(Decimals,Items[#Headers],0)-1,1,1)&gt;0,"."&amp;REPT("0",OFFSET(Items[#Data],MATCH($A135,INDIRECT(RangeEstCount),0)-1,MATCH(Decimals,Items[#Headers],0)-1,1,1)),"")))),"")</f>
        <v/>
      </c>
      <c r="D135" s="170" t="str">
        <f ca="1">IFERROR(INDEX(INDIRECT(RangeUnit),MATCH($A135,INDIRECT(RangeEstCount),0))&amp;SUBSTITUTE(" ["&amp;INDEX(INDIRECT(RangeAmend),MATCH($A135,INDIRECT(RangeEstCount),0))&amp;"]"," []",""),"")</f>
        <v/>
      </c>
      <c r="E135" s="170" t="str">
        <f ca="1">IFERROR(IF(INDEX(INDIRECT(RangeContrQty),MATCH($A135,INDIRECT(RangeEstCount),0)),"(CQ)",""),"")</f>
        <v/>
      </c>
      <c r="F135" s="171" t="str">
        <f ca="1">IFERROR(IF(OR(NOT(Bid?),LEFT(UPPER($D135),4)="FXHR"),INDEX(INDIRECT(RangeUnitPrice),MATCH($A135,INDIRECT(RangeEstCount),0)),IF(Awd?,OFFSET(TabAmount,MATCH(INDEX(INDIRECT(RangeCount),MATCH($A135,INDIRECT(RangeEstCount),0)),OFFSET(TabCount,1,0,2*NumPayItems,1),0),MATCH(Awarded2,Bidders,0)),IF(OR($C135="",$D135="LPSM"),"","$"))),"")</f>
        <v/>
      </c>
      <c r="G135" s="171" t="str">
        <f ca="1">IFERROR(VALUE(C135)*F135,IF(AND(Bid?,NOT(Awd?),$D135="LPSM"),"$",F135))</f>
        <v/>
      </c>
      <c r="H135" s="374"/>
      <c r="I135" s="217" t="str">
        <f ca="1">IFERROR(VALUE(SUBSTITUTE(OFFSET(I135,-1,0)," "&amp;$D135,""))*$F135,"")</f>
        <v/>
      </c>
      <c r="J135" s="215" t="str">
        <f ca="1">IFERROR(VALUE(SUBSTITUTE(OFFSET(J135,-1,0)," "&amp;$D135,""))*$F135,"")</f>
        <v/>
      </c>
      <c r="K135" s="215" t="str">
        <f t="shared" ref="K135:M135" ca="1" si="131">IFERROR(VALUE(SUBSTITUTE(OFFSET(K135,-1,0)," "&amp;$D135,""))*$F135,"")</f>
        <v/>
      </c>
      <c r="L135" s="215" t="str">
        <f t="shared" ca="1" si="131"/>
        <v/>
      </c>
      <c r="M135" s="215" t="str">
        <f t="shared" ca="1" si="131"/>
        <v/>
      </c>
      <c r="N135" s="215" t="str">
        <f ca="1">IFERROR(VALUE(SUBSTITUTE(OFFSET(N135,-1,0)," "&amp;$D135,""))*$F135,"")</f>
        <v/>
      </c>
      <c r="O135" s="215" t="str">
        <f ca="1">IFERROR(VALUE(SUBSTITUTE(OFFSET(O135,-1,0)," "&amp;$D135,""))*$F135,"")</f>
        <v/>
      </c>
      <c r="P135" s="209" t="str">
        <f ca="1">IF(LEN(B135)&gt;0,ISNUMBER(MATCH(B135,Proposed[Item],0)),"")</f>
        <v/>
      </c>
    </row>
    <row r="136" spans="1:16" ht="15" x14ac:dyDescent="0.2">
      <c r="A136" s="276">
        <f t="shared" ref="A136:A199" ca="1" si="132">OFFSET(A136,-2,0)+1</f>
        <v>65</v>
      </c>
      <c r="B136" s="168" t="str">
        <f ca="1">IFERROR(INDEX(INDIRECT(RangeItems),MATCH($A136,INDIRECT(RangeEstCount),0)),"")</f>
        <v/>
      </c>
      <c r="C136" s="365" t="str">
        <f ca="1">IFERROR(INDEX(Calcs[Description],INDEX(INDIRECT(RangeCount),MATCH($A136,INDIRECT(RangeEstCount),0))),"")</f>
        <v/>
      </c>
      <c r="D136" s="365"/>
      <c r="E136" s="365"/>
      <c r="F136" s="365"/>
      <c r="G136" s="365"/>
      <c r="H136" s="375" t="str">
        <f ca="1">IF(AND(Bid?,NOT(Awd?)),C136,OFFSET(F136,1,0))</f>
        <v/>
      </c>
      <c r="I136" s="216" t="str">
        <f t="shared" ref="I136:O136" ca="1" si="133">IFERROR(SUM(OFFSET(INDIRECT(RangeQuantity),MATCH($A136,INDIRECT(RangeEstCount),0)-1,COLUMN(I136)-COLUMN($H136),1,1))&amp;" "&amp;OFFSET($D136,1,0),"")</f>
        <v/>
      </c>
      <c r="J136" s="277" t="str">
        <f t="shared" ca="1" si="133"/>
        <v/>
      </c>
      <c r="K136" s="277" t="str">
        <f t="shared" ca="1" si="133"/>
        <v/>
      </c>
      <c r="L136" s="277" t="str">
        <f t="shared" ca="1" si="133"/>
        <v/>
      </c>
      <c r="M136" s="277" t="str">
        <f t="shared" ca="1" si="133"/>
        <v/>
      </c>
      <c r="N136" s="277" t="str">
        <f t="shared" ca="1" si="133"/>
        <v/>
      </c>
      <c r="O136" s="277" t="str">
        <f t="shared" ca="1" si="133"/>
        <v/>
      </c>
      <c r="P136" s="209" t="str">
        <f ca="1">IF(LEN(B136)&gt;0,ISNUMBER(MATCH(B136,Proposed[Item],0)),"")</f>
        <v/>
      </c>
    </row>
    <row r="137" spans="1:16" ht="15" x14ac:dyDescent="0.2">
      <c r="A137" s="276">
        <f t="shared" ca="1" si="132"/>
        <v>65</v>
      </c>
      <c r="B137" s="111" t="str">
        <f ca="1">IFERROR("Line "&amp;INDEX(Calcs[Line],INDEX(INDIRECT(RangeCount),MATCH($A137,INDIRECT(RangeEstCount),0))),"")</f>
        <v/>
      </c>
      <c r="C137" s="169" t="str">
        <f ca="1">IFERROR(IF(AND($D137="LPSM",Bid?,All?),"ALL",TEXT(OFFSET(INDIRECT(RangeQuantity),MATCH($A137,INDIRECT(RangeEstCount),0)-1,MATCH(Account,Accounts,0)-1,1,1),IF($D137="LPSM","0%","#,##0"&amp;IF(OFFSET(Items[#Data],MATCH($A137,INDIRECT(RangeEstCount),0)-1,MATCH(Decimals,Items[#Headers],0)-1,1,1)&gt;0,"."&amp;REPT("0",OFFSET(Items[#Data],MATCH($A137,INDIRECT(RangeEstCount),0)-1,MATCH(Decimals,Items[#Headers],0)-1,1,1)),"")))),"")</f>
        <v/>
      </c>
      <c r="D137" s="170" t="str">
        <f ca="1">IFERROR(INDEX(INDIRECT(RangeUnit),MATCH($A137,INDIRECT(RangeEstCount),0))&amp;SUBSTITUTE(" ["&amp;INDEX(INDIRECT(RangeAmend),MATCH($A137,INDIRECT(RangeEstCount),0))&amp;"]"," []",""),"")</f>
        <v/>
      </c>
      <c r="E137" s="170" t="str">
        <f ca="1">IFERROR(IF(INDEX(INDIRECT(RangeContrQty),MATCH($A137,INDIRECT(RangeEstCount),0)),"(CQ)",""),"")</f>
        <v/>
      </c>
      <c r="F137" s="171" t="str">
        <f ca="1">IFERROR(IF(OR(NOT(Bid?),LEFT(UPPER($D137),4)="FXHR"),INDEX(INDIRECT(RangeUnitPrice),MATCH($A137,INDIRECT(RangeEstCount),0)),IF(Awd?,OFFSET(TabAmount,MATCH(INDEX(INDIRECT(RangeCount),MATCH($A137,INDIRECT(RangeEstCount),0)),OFFSET(TabCount,1,0,2*NumPayItems,1),0),MATCH(Awarded2,Bidders,0)),IF(OR($C137="",$D137="LPSM"),"","$"))),"")</f>
        <v/>
      </c>
      <c r="G137" s="171" t="str">
        <f ca="1">IFERROR(VALUE(C137)*F137,IF(AND(Bid?,NOT(Awd?),$D137="LPSM"),"$",F137))</f>
        <v/>
      </c>
      <c r="H137" s="374"/>
      <c r="I137" s="217" t="str">
        <f ca="1">IFERROR(VALUE(SUBSTITUTE(OFFSET(I137,-1,0)," "&amp;$D137,""))*$F137,"")</f>
        <v/>
      </c>
      <c r="J137" s="215" t="str">
        <f ca="1">IFERROR(VALUE(SUBSTITUTE(OFFSET(J137,-1,0)," "&amp;$D137,""))*$F137,"")</f>
        <v/>
      </c>
      <c r="K137" s="215" t="str">
        <f t="shared" ref="K137:M137" ca="1" si="134">IFERROR(VALUE(SUBSTITUTE(OFFSET(K137,-1,0)," "&amp;$D137,""))*$F137,"")</f>
        <v/>
      </c>
      <c r="L137" s="215" t="str">
        <f t="shared" ca="1" si="134"/>
        <v/>
      </c>
      <c r="M137" s="215" t="str">
        <f t="shared" ca="1" si="134"/>
        <v/>
      </c>
      <c r="N137" s="215" t="str">
        <f ca="1">IFERROR(VALUE(SUBSTITUTE(OFFSET(N137,-1,0)," "&amp;$D137,""))*$F137,"")</f>
        <v/>
      </c>
      <c r="O137" s="215" t="str">
        <f ca="1">IFERROR(VALUE(SUBSTITUTE(OFFSET(O137,-1,0)," "&amp;$D137,""))*$F137,"")</f>
        <v/>
      </c>
      <c r="P137" s="209" t="str">
        <f ca="1">IF(LEN(B137)&gt;0,ISNUMBER(MATCH(B137,Proposed[Item],0)),"")</f>
        <v/>
      </c>
    </row>
    <row r="138" spans="1:16" ht="15" x14ac:dyDescent="0.2">
      <c r="A138" s="276">
        <f t="shared" ca="1" si="132"/>
        <v>66</v>
      </c>
      <c r="B138" s="168" t="str">
        <f ca="1">IFERROR(INDEX(INDIRECT(RangeItems),MATCH($A138,INDIRECT(RangeEstCount),0)),"")</f>
        <v/>
      </c>
      <c r="C138" s="365" t="str">
        <f ca="1">IFERROR(INDEX(Calcs[Description],INDEX(INDIRECT(RangeCount),MATCH($A138,INDIRECT(RangeEstCount),0))),"")</f>
        <v/>
      </c>
      <c r="D138" s="365"/>
      <c r="E138" s="365"/>
      <c r="F138" s="365"/>
      <c r="G138" s="365"/>
      <c r="H138" s="375" t="str">
        <f ca="1">IF(AND(Bid?,NOT(Awd?)),C138,OFFSET(F138,1,0))</f>
        <v/>
      </c>
      <c r="I138" s="216" t="str">
        <f t="shared" ref="I138:O138" ca="1" si="135">IFERROR(SUM(OFFSET(INDIRECT(RangeQuantity),MATCH($A138,INDIRECT(RangeEstCount),0)-1,COLUMN(I138)-COLUMN($H138),1,1))&amp;" "&amp;OFFSET($D138,1,0),"")</f>
        <v/>
      </c>
      <c r="J138" s="277" t="str">
        <f t="shared" ca="1" si="135"/>
        <v/>
      </c>
      <c r="K138" s="277" t="str">
        <f t="shared" ca="1" si="135"/>
        <v/>
      </c>
      <c r="L138" s="277" t="str">
        <f t="shared" ca="1" si="135"/>
        <v/>
      </c>
      <c r="M138" s="277" t="str">
        <f t="shared" ca="1" si="135"/>
        <v/>
      </c>
      <c r="N138" s="277" t="str">
        <f t="shared" ca="1" si="135"/>
        <v/>
      </c>
      <c r="O138" s="277" t="str">
        <f t="shared" ca="1" si="135"/>
        <v/>
      </c>
      <c r="P138" s="209" t="str">
        <f ca="1">IF(LEN(B138)&gt;0,ISNUMBER(MATCH(B138,Proposed[Item],0)),"")</f>
        <v/>
      </c>
    </row>
    <row r="139" spans="1:16" ht="15" x14ac:dyDescent="0.2">
      <c r="A139" s="276">
        <f t="shared" ca="1" si="132"/>
        <v>66</v>
      </c>
      <c r="B139" s="111" t="str">
        <f ca="1">IFERROR("Line "&amp;INDEX(Calcs[Line],INDEX(INDIRECT(RangeCount),MATCH($A139,INDIRECT(RangeEstCount),0))),"")</f>
        <v/>
      </c>
      <c r="C139" s="169" t="str">
        <f ca="1">IFERROR(IF(AND($D139="LPSM",Bid?,All?),"ALL",TEXT(OFFSET(INDIRECT(RangeQuantity),MATCH($A139,INDIRECT(RangeEstCount),0)-1,MATCH(Account,Accounts,0)-1,1,1),IF($D139="LPSM","0%","#,##0"&amp;IF(OFFSET(Items[#Data],MATCH($A139,INDIRECT(RangeEstCount),0)-1,MATCH(Decimals,Items[#Headers],0)-1,1,1)&gt;0,"."&amp;REPT("0",OFFSET(Items[#Data],MATCH($A139,INDIRECT(RangeEstCount),0)-1,MATCH(Decimals,Items[#Headers],0)-1,1,1)),"")))),"")</f>
        <v/>
      </c>
      <c r="D139" s="170" t="str">
        <f ca="1">IFERROR(INDEX(INDIRECT(RangeUnit),MATCH($A139,INDIRECT(RangeEstCount),0))&amp;SUBSTITUTE(" ["&amp;INDEX(INDIRECT(RangeAmend),MATCH($A139,INDIRECT(RangeEstCount),0))&amp;"]"," []",""),"")</f>
        <v/>
      </c>
      <c r="E139" s="170" t="str">
        <f ca="1">IFERROR(IF(INDEX(INDIRECT(RangeContrQty),MATCH($A139,INDIRECT(RangeEstCount),0)),"(CQ)",""),"")</f>
        <v/>
      </c>
      <c r="F139" s="171" t="str">
        <f ca="1">IFERROR(IF(OR(NOT(Bid?),LEFT(UPPER($D139),4)="FXHR"),INDEX(INDIRECT(RangeUnitPrice),MATCH($A139,INDIRECT(RangeEstCount),0)),IF(Awd?,OFFSET(TabAmount,MATCH(INDEX(INDIRECT(RangeCount),MATCH($A139,INDIRECT(RangeEstCount),0)),OFFSET(TabCount,1,0,2*NumPayItems,1),0),MATCH(Awarded2,Bidders,0)),IF(OR($C139="",$D139="LPSM"),"","$"))),"")</f>
        <v/>
      </c>
      <c r="G139" s="171" t="str">
        <f ca="1">IFERROR(VALUE(C139)*F139,IF(AND(Bid?,NOT(Awd?),$D139="LPSM"),"$",F139))</f>
        <v/>
      </c>
      <c r="H139" s="374"/>
      <c r="I139" s="217" t="str">
        <f ca="1">IFERROR(VALUE(SUBSTITUTE(OFFSET(I139,-1,0)," "&amp;$D139,""))*$F139,"")</f>
        <v/>
      </c>
      <c r="J139" s="215" t="str">
        <f ca="1">IFERROR(VALUE(SUBSTITUTE(OFFSET(J139,-1,0)," "&amp;$D139,""))*$F139,"")</f>
        <v/>
      </c>
      <c r="K139" s="215" t="str">
        <f t="shared" ref="K139:M139" ca="1" si="136">IFERROR(VALUE(SUBSTITUTE(OFFSET(K139,-1,0)," "&amp;$D139,""))*$F139,"")</f>
        <v/>
      </c>
      <c r="L139" s="215" t="str">
        <f t="shared" ca="1" si="136"/>
        <v/>
      </c>
      <c r="M139" s="215" t="str">
        <f t="shared" ca="1" si="136"/>
        <v/>
      </c>
      <c r="N139" s="215" t="str">
        <f ca="1">IFERROR(VALUE(SUBSTITUTE(OFFSET(N139,-1,0)," "&amp;$D139,""))*$F139,"")</f>
        <v/>
      </c>
      <c r="O139" s="215" t="str">
        <f ca="1">IFERROR(VALUE(SUBSTITUTE(OFFSET(O139,-1,0)," "&amp;$D139,""))*$F139,"")</f>
        <v/>
      </c>
      <c r="P139" s="209" t="str">
        <f ca="1">IF(LEN(B139)&gt;0,ISNUMBER(MATCH(B139,Proposed[Item],0)),"")</f>
        <v/>
      </c>
    </row>
    <row r="140" spans="1:16" ht="15" x14ac:dyDescent="0.2">
      <c r="A140" s="276">
        <f t="shared" ca="1" si="132"/>
        <v>67</v>
      </c>
      <c r="B140" s="168" t="str">
        <f ca="1">IFERROR(INDEX(INDIRECT(RangeItems),MATCH($A140,INDIRECT(RangeEstCount),0)),"")</f>
        <v/>
      </c>
      <c r="C140" s="365" t="str">
        <f ca="1">IFERROR(INDEX(Calcs[Description],INDEX(INDIRECT(RangeCount),MATCH($A140,INDIRECT(RangeEstCount),0))),"")</f>
        <v/>
      </c>
      <c r="D140" s="365"/>
      <c r="E140" s="365"/>
      <c r="F140" s="365"/>
      <c r="G140" s="365"/>
      <c r="H140" s="375" t="str">
        <f ca="1">IF(AND(Bid?,NOT(Awd?)),C140,OFFSET(F140,1,0))</f>
        <v/>
      </c>
      <c r="I140" s="216" t="str">
        <f t="shared" ref="I140:O140" ca="1" si="137">IFERROR(SUM(OFFSET(INDIRECT(RangeQuantity),MATCH($A140,INDIRECT(RangeEstCount),0)-1,COLUMN(I140)-COLUMN($H140),1,1))&amp;" "&amp;OFFSET($D140,1,0),"")</f>
        <v/>
      </c>
      <c r="J140" s="277" t="str">
        <f t="shared" ca="1" si="137"/>
        <v/>
      </c>
      <c r="K140" s="277" t="str">
        <f t="shared" ca="1" si="137"/>
        <v/>
      </c>
      <c r="L140" s="277" t="str">
        <f t="shared" ca="1" si="137"/>
        <v/>
      </c>
      <c r="M140" s="277" t="str">
        <f t="shared" ca="1" si="137"/>
        <v/>
      </c>
      <c r="N140" s="277" t="str">
        <f t="shared" ca="1" si="137"/>
        <v/>
      </c>
      <c r="O140" s="277" t="str">
        <f t="shared" ca="1" si="137"/>
        <v/>
      </c>
      <c r="P140" s="209" t="str">
        <f ca="1">IF(LEN(B140)&gt;0,ISNUMBER(MATCH(B140,Proposed[Item],0)),"")</f>
        <v/>
      </c>
    </row>
    <row r="141" spans="1:16" ht="15" x14ac:dyDescent="0.2">
      <c r="A141" s="276">
        <f t="shared" ca="1" si="132"/>
        <v>67</v>
      </c>
      <c r="B141" s="111" t="str">
        <f ca="1">IFERROR("Line "&amp;INDEX(Calcs[Line],INDEX(INDIRECT(RangeCount),MATCH($A141,INDIRECT(RangeEstCount),0))),"")</f>
        <v/>
      </c>
      <c r="C141" s="169" t="str">
        <f ca="1">IFERROR(IF(AND($D141="LPSM",Bid?,All?),"ALL",TEXT(OFFSET(INDIRECT(RangeQuantity),MATCH($A141,INDIRECT(RangeEstCount),0)-1,MATCH(Account,Accounts,0)-1,1,1),IF($D141="LPSM","0%","#,##0"&amp;IF(OFFSET(Items[#Data],MATCH($A141,INDIRECT(RangeEstCount),0)-1,MATCH(Decimals,Items[#Headers],0)-1,1,1)&gt;0,"."&amp;REPT("0",OFFSET(Items[#Data],MATCH($A141,INDIRECT(RangeEstCount),0)-1,MATCH(Decimals,Items[#Headers],0)-1,1,1)),"")))),"")</f>
        <v/>
      </c>
      <c r="D141" s="170" t="str">
        <f ca="1">IFERROR(INDEX(INDIRECT(RangeUnit),MATCH($A141,INDIRECT(RangeEstCount),0))&amp;SUBSTITUTE(" ["&amp;INDEX(INDIRECT(RangeAmend),MATCH($A141,INDIRECT(RangeEstCount),0))&amp;"]"," []",""),"")</f>
        <v/>
      </c>
      <c r="E141" s="170" t="str">
        <f ca="1">IFERROR(IF(INDEX(INDIRECT(RangeContrQty),MATCH($A141,INDIRECT(RangeEstCount),0)),"(CQ)",""),"")</f>
        <v/>
      </c>
      <c r="F141" s="171" t="str">
        <f ca="1">IFERROR(IF(OR(NOT(Bid?),LEFT(UPPER($D141),4)="FXHR"),INDEX(INDIRECT(RangeUnitPrice),MATCH($A141,INDIRECT(RangeEstCount),0)),IF(Awd?,OFFSET(TabAmount,MATCH(INDEX(INDIRECT(RangeCount),MATCH($A141,INDIRECT(RangeEstCount),0)),OFFSET(TabCount,1,0,2*NumPayItems,1),0),MATCH(Awarded2,Bidders,0)),IF(OR($C141="",$D141="LPSM"),"","$"))),"")</f>
        <v/>
      </c>
      <c r="G141" s="171" t="str">
        <f ca="1">IFERROR(VALUE(C141)*F141,IF(AND(Bid?,NOT(Awd?),$D141="LPSM"),"$",F141))</f>
        <v/>
      </c>
      <c r="H141" s="374"/>
      <c r="I141" s="217" t="str">
        <f ca="1">IFERROR(VALUE(SUBSTITUTE(OFFSET(I141,-1,0)," "&amp;$D141,""))*$F141,"")</f>
        <v/>
      </c>
      <c r="J141" s="215" t="str">
        <f ca="1">IFERROR(VALUE(SUBSTITUTE(OFFSET(J141,-1,0)," "&amp;$D141,""))*$F141,"")</f>
        <v/>
      </c>
      <c r="K141" s="215" t="str">
        <f t="shared" ref="K141:M141" ca="1" si="138">IFERROR(VALUE(SUBSTITUTE(OFFSET(K141,-1,0)," "&amp;$D141,""))*$F141,"")</f>
        <v/>
      </c>
      <c r="L141" s="215" t="str">
        <f t="shared" ca="1" si="138"/>
        <v/>
      </c>
      <c r="M141" s="215" t="str">
        <f t="shared" ca="1" si="138"/>
        <v/>
      </c>
      <c r="N141" s="215" t="str">
        <f ca="1">IFERROR(VALUE(SUBSTITUTE(OFFSET(N141,-1,0)," "&amp;$D141,""))*$F141,"")</f>
        <v/>
      </c>
      <c r="O141" s="215" t="str">
        <f ca="1">IFERROR(VALUE(SUBSTITUTE(OFFSET(O141,-1,0)," "&amp;$D141,""))*$F141,"")</f>
        <v/>
      </c>
      <c r="P141" s="209" t="str">
        <f ca="1">IF(LEN(B141)&gt;0,ISNUMBER(MATCH(B141,Proposed[Item],0)),"")</f>
        <v/>
      </c>
    </row>
    <row r="142" spans="1:16" ht="15" x14ac:dyDescent="0.2">
      <c r="A142" s="276">
        <f t="shared" ca="1" si="132"/>
        <v>68</v>
      </c>
      <c r="B142" s="168" t="str">
        <f ca="1">IFERROR(INDEX(INDIRECT(RangeItems),MATCH($A142,INDIRECT(RangeEstCount),0)),"")</f>
        <v/>
      </c>
      <c r="C142" s="365" t="str">
        <f ca="1">IFERROR(INDEX(Calcs[Description],INDEX(INDIRECT(RangeCount),MATCH($A142,INDIRECT(RangeEstCount),0))),"")</f>
        <v/>
      </c>
      <c r="D142" s="365"/>
      <c r="E142" s="365"/>
      <c r="F142" s="365"/>
      <c r="G142" s="365"/>
      <c r="H142" s="375" t="str">
        <f ca="1">IF(AND(Bid?,NOT(Awd?)),C142,OFFSET(F142,1,0))</f>
        <v/>
      </c>
      <c r="I142" s="216" t="str">
        <f t="shared" ref="I142:O142" ca="1" si="139">IFERROR(SUM(OFFSET(INDIRECT(RangeQuantity),MATCH($A142,INDIRECT(RangeEstCount),0)-1,COLUMN(I142)-COLUMN($H142),1,1))&amp;" "&amp;OFFSET($D142,1,0),"")</f>
        <v/>
      </c>
      <c r="J142" s="277" t="str">
        <f t="shared" ca="1" si="139"/>
        <v/>
      </c>
      <c r="K142" s="277" t="str">
        <f t="shared" ca="1" si="139"/>
        <v/>
      </c>
      <c r="L142" s="277" t="str">
        <f t="shared" ca="1" si="139"/>
        <v/>
      </c>
      <c r="M142" s="277" t="str">
        <f t="shared" ca="1" si="139"/>
        <v/>
      </c>
      <c r="N142" s="277" t="str">
        <f t="shared" ca="1" si="139"/>
        <v/>
      </c>
      <c r="O142" s="277" t="str">
        <f t="shared" ca="1" si="139"/>
        <v/>
      </c>
      <c r="P142" s="209" t="str">
        <f ca="1">IF(LEN(B142)&gt;0,ISNUMBER(MATCH(B142,Proposed[Item],0)),"")</f>
        <v/>
      </c>
    </row>
    <row r="143" spans="1:16" ht="15" x14ac:dyDescent="0.2">
      <c r="A143" s="276">
        <f t="shared" ca="1" si="132"/>
        <v>68</v>
      </c>
      <c r="B143" s="111" t="str">
        <f ca="1">IFERROR("Line "&amp;INDEX(Calcs[Line],INDEX(INDIRECT(RangeCount),MATCH($A143,INDIRECT(RangeEstCount),0))),"")</f>
        <v/>
      </c>
      <c r="C143" s="169" t="str">
        <f ca="1">IFERROR(IF(AND($D143="LPSM",Bid?,All?),"ALL",TEXT(OFFSET(INDIRECT(RangeQuantity),MATCH($A143,INDIRECT(RangeEstCount),0)-1,MATCH(Account,Accounts,0)-1,1,1),IF($D143="LPSM","0%","#,##0"&amp;IF(OFFSET(Items[#Data],MATCH($A143,INDIRECT(RangeEstCount),0)-1,MATCH(Decimals,Items[#Headers],0)-1,1,1)&gt;0,"."&amp;REPT("0",OFFSET(Items[#Data],MATCH($A143,INDIRECT(RangeEstCount),0)-1,MATCH(Decimals,Items[#Headers],0)-1,1,1)),"")))),"")</f>
        <v/>
      </c>
      <c r="D143" s="170" t="str">
        <f ca="1">IFERROR(INDEX(INDIRECT(RangeUnit),MATCH($A143,INDIRECT(RangeEstCount),0))&amp;SUBSTITUTE(" ["&amp;INDEX(INDIRECT(RangeAmend),MATCH($A143,INDIRECT(RangeEstCount),0))&amp;"]"," []",""),"")</f>
        <v/>
      </c>
      <c r="E143" s="170" t="str">
        <f ca="1">IFERROR(IF(INDEX(INDIRECT(RangeContrQty),MATCH($A143,INDIRECT(RangeEstCount),0)),"(CQ)",""),"")</f>
        <v/>
      </c>
      <c r="F143" s="171" t="str">
        <f ca="1">IFERROR(IF(OR(NOT(Bid?),LEFT(UPPER($D143),4)="FXHR"),INDEX(INDIRECT(RangeUnitPrice),MATCH($A143,INDIRECT(RangeEstCount),0)),IF(Awd?,OFFSET(TabAmount,MATCH(INDEX(INDIRECT(RangeCount),MATCH($A143,INDIRECT(RangeEstCount),0)),OFFSET(TabCount,1,0,2*NumPayItems,1),0),MATCH(Awarded2,Bidders,0)),IF(OR($C143="",$D143="LPSM"),"","$"))),"")</f>
        <v/>
      </c>
      <c r="G143" s="171" t="str">
        <f ca="1">IFERROR(VALUE(C143)*F143,IF(AND(Bid?,NOT(Awd?),$D143="LPSM"),"$",F143))</f>
        <v/>
      </c>
      <c r="H143" s="374"/>
      <c r="I143" s="217" t="str">
        <f ca="1">IFERROR(VALUE(SUBSTITUTE(OFFSET(I143,-1,0)," "&amp;$D143,""))*$F143,"")</f>
        <v/>
      </c>
      <c r="J143" s="215" t="str">
        <f ca="1">IFERROR(VALUE(SUBSTITUTE(OFFSET(J143,-1,0)," "&amp;$D143,""))*$F143,"")</f>
        <v/>
      </c>
      <c r="K143" s="215" t="str">
        <f t="shared" ref="K143:M143" ca="1" si="140">IFERROR(VALUE(SUBSTITUTE(OFFSET(K143,-1,0)," "&amp;$D143,""))*$F143,"")</f>
        <v/>
      </c>
      <c r="L143" s="215" t="str">
        <f t="shared" ca="1" si="140"/>
        <v/>
      </c>
      <c r="M143" s="215" t="str">
        <f t="shared" ca="1" si="140"/>
        <v/>
      </c>
      <c r="N143" s="215" t="str">
        <f ca="1">IFERROR(VALUE(SUBSTITUTE(OFFSET(N143,-1,0)," "&amp;$D143,""))*$F143,"")</f>
        <v/>
      </c>
      <c r="O143" s="215" t="str">
        <f ca="1">IFERROR(VALUE(SUBSTITUTE(OFFSET(O143,-1,0)," "&amp;$D143,""))*$F143,"")</f>
        <v/>
      </c>
      <c r="P143" s="209" t="str">
        <f ca="1">IF(LEN(B143)&gt;0,ISNUMBER(MATCH(B143,Proposed[Item],0)),"")</f>
        <v/>
      </c>
    </row>
    <row r="144" spans="1:16" ht="15" x14ac:dyDescent="0.2">
      <c r="A144" s="276">
        <f t="shared" ca="1" si="132"/>
        <v>69</v>
      </c>
      <c r="B144" s="168" t="str">
        <f ca="1">IFERROR(INDEX(INDIRECT(RangeItems),MATCH($A144,INDIRECT(RangeEstCount),0)),"")</f>
        <v/>
      </c>
      <c r="C144" s="365" t="str">
        <f ca="1">IFERROR(INDEX(Calcs[Description],INDEX(INDIRECT(RangeCount),MATCH($A144,INDIRECT(RangeEstCount),0))),"")</f>
        <v/>
      </c>
      <c r="D144" s="365"/>
      <c r="E144" s="365"/>
      <c r="F144" s="365"/>
      <c r="G144" s="365"/>
      <c r="H144" s="375" t="str">
        <f ca="1">IF(AND(Bid?,NOT(Awd?)),C144,OFFSET(F144,1,0))</f>
        <v/>
      </c>
      <c r="I144" s="216" t="str">
        <f t="shared" ref="I144:O144" ca="1" si="141">IFERROR(SUM(OFFSET(INDIRECT(RangeQuantity),MATCH($A144,INDIRECT(RangeEstCount),0)-1,COLUMN(I144)-COLUMN($H144),1,1))&amp;" "&amp;OFFSET($D144,1,0),"")</f>
        <v/>
      </c>
      <c r="J144" s="277" t="str">
        <f t="shared" ca="1" si="141"/>
        <v/>
      </c>
      <c r="K144" s="277" t="str">
        <f t="shared" ca="1" si="141"/>
        <v/>
      </c>
      <c r="L144" s="277" t="str">
        <f t="shared" ca="1" si="141"/>
        <v/>
      </c>
      <c r="M144" s="277" t="str">
        <f t="shared" ca="1" si="141"/>
        <v/>
      </c>
      <c r="N144" s="277" t="str">
        <f t="shared" ca="1" si="141"/>
        <v/>
      </c>
      <c r="O144" s="277" t="str">
        <f t="shared" ca="1" si="141"/>
        <v/>
      </c>
      <c r="P144" s="209" t="str">
        <f ca="1">IF(LEN(B144)&gt;0,ISNUMBER(MATCH(B144,Proposed[Item],0)),"")</f>
        <v/>
      </c>
    </row>
    <row r="145" spans="1:16" ht="15" x14ac:dyDescent="0.2">
      <c r="A145" s="276">
        <f t="shared" ca="1" si="132"/>
        <v>69</v>
      </c>
      <c r="B145" s="111" t="str">
        <f ca="1">IFERROR("Line "&amp;INDEX(Calcs[Line],INDEX(INDIRECT(RangeCount),MATCH($A145,INDIRECT(RangeEstCount),0))),"")</f>
        <v/>
      </c>
      <c r="C145" s="169" t="str">
        <f ca="1">IFERROR(IF(AND($D145="LPSM",Bid?,All?),"ALL",TEXT(OFFSET(INDIRECT(RangeQuantity),MATCH($A145,INDIRECT(RangeEstCount),0)-1,MATCH(Account,Accounts,0)-1,1,1),IF($D145="LPSM","0%","#,##0"&amp;IF(OFFSET(Items[#Data],MATCH($A145,INDIRECT(RangeEstCount),0)-1,MATCH(Decimals,Items[#Headers],0)-1,1,1)&gt;0,"."&amp;REPT("0",OFFSET(Items[#Data],MATCH($A145,INDIRECT(RangeEstCount),0)-1,MATCH(Decimals,Items[#Headers],0)-1,1,1)),"")))),"")</f>
        <v/>
      </c>
      <c r="D145" s="170" t="str">
        <f ca="1">IFERROR(INDEX(INDIRECT(RangeUnit),MATCH($A145,INDIRECT(RangeEstCount),0))&amp;SUBSTITUTE(" ["&amp;INDEX(INDIRECT(RangeAmend),MATCH($A145,INDIRECT(RangeEstCount),0))&amp;"]"," []",""),"")</f>
        <v/>
      </c>
      <c r="E145" s="170" t="str">
        <f ca="1">IFERROR(IF(INDEX(INDIRECT(RangeContrQty),MATCH($A145,INDIRECT(RangeEstCount),0)),"(CQ)",""),"")</f>
        <v/>
      </c>
      <c r="F145" s="171" t="str">
        <f ca="1">IFERROR(IF(OR(NOT(Bid?),LEFT(UPPER($D145),4)="FXHR"),INDEX(INDIRECT(RangeUnitPrice),MATCH($A145,INDIRECT(RangeEstCount),0)),IF(Awd?,OFFSET(TabAmount,MATCH(INDEX(INDIRECT(RangeCount),MATCH($A145,INDIRECT(RangeEstCount),0)),OFFSET(TabCount,1,0,2*NumPayItems,1),0),MATCH(Awarded2,Bidders,0)),IF(OR($C145="",$D145="LPSM"),"","$"))),"")</f>
        <v/>
      </c>
      <c r="G145" s="171" t="str">
        <f ca="1">IFERROR(VALUE(C145)*F145,IF(AND(Bid?,NOT(Awd?),$D145="LPSM"),"$",F145))</f>
        <v/>
      </c>
      <c r="H145" s="374"/>
      <c r="I145" s="217" t="str">
        <f ca="1">IFERROR(VALUE(SUBSTITUTE(OFFSET(I145,-1,0)," "&amp;$D145,""))*$F145,"")</f>
        <v/>
      </c>
      <c r="J145" s="215" t="str">
        <f ca="1">IFERROR(VALUE(SUBSTITUTE(OFFSET(J145,-1,0)," "&amp;$D145,""))*$F145,"")</f>
        <v/>
      </c>
      <c r="K145" s="215" t="str">
        <f t="shared" ref="K145:M145" ca="1" si="142">IFERROR(VALUE(SUBSTITUTE(OFFSET(K145,-1,0)," "&amp;$D145,""))*$F145,"")</f>
        <v/>
      </c>
      <c r="L145" s="215" t="str">
        <f t="shared" ca="1" si="142"/>
        <v/>
      </c>
      <c r="M145" s="215" t="str">
        <f t="shared" ca="1" si="142"/>
        <v/>
      </c>
      <c r="N145" s="215" t="str">
        <f ca="1">IFERROR(VALUE(SUBSTITUTE(OFFSET(N145,-1,0)," "&amp;$D145,""))*$F145,"")</f>
        <v/>
      </c>
      <c r="O145" s="215" t="str">
        <f ca="1">IFERROR(VALUE(SUBSTITUTE(OFFSET(O145,-1,0)," "&amp;$D145,""))*$F145,"")</f>
        <v/>
      </c>
      <c r="P145" s="209" t="str">
        <f ca="1">IF(LEN(B145)&gt;0,ISNUMBER(MATCH(B145,Proposed[Item],0)),"")</f>
        <v/>
      </c>
    </row>
    <row r="146" spans="1:16" ht="15" x14ac:dyDescent="0.2">
      <c r="A146" s="276">
        <f t="shared" ca="1" si="132"/>
        <v>70</v>
      </c>
      <c r="B146" s="168" t="str">
        <f ca="1">IFERROR(INDEX(INDIRECT(RangeItems),MATCH($A146,INDIRECT(RangeEstCount),0)),"")</f>
        <v/>
      </c>
      <c r="C146" s="365" t="str">
        <f ca="1">IFERROR(INDEX(Calcs[Description],INDEX(INDIRECT(RangeCount),MATCH($A146,INDIRECT(RangeEstCount),0))),"")</f>
        <v/>
      </c>
      <c r="D146" s="365"/>
      <c r="E146" s="365"/>
      <c r="F146" s="365"/>
      <c r="G146" s="365"/>
      <c r="H146" s="375" t="str">
        <f ca="1">IF(AND(Bid?,NOT(Awd?)),C146,OFFSET(F146,1,0))</f>
        <v/>
      </c>
      <c r="I146" s="216" t="str">
        <f t="shared" ref="I146:O146" ca="1" si="143">IFERROR(SUM(OFFSET(INDIRECT(RangeQuantity),MATCH($A146,INDIRECT(RangeEstCount),0)-1,COLUMN(I146)-COLUMN($H146),1,1))&amp;" "&amp;OFFSET($D146,1,0),"")</f>
        <v/>
      </c>
      <c r="J146" s="277" t="str">
        <f t="shared" ca="1" si="143"/>
        <v/>
      </c>
      <c r="K146" s="277" t="str">
        <f t="shared" ca="1" si="143"/>
        <v/>
      </c>
      <c r="L146" s="277" t="str">
        <f t="shared" ca="1" si="143"/>
        <v/>
      </c>
      <c r="M146" s="277" t="str">
        <f t="shared" ca="1" si="143"/>
        <v/>
      </c>
      <c r="N146" s="277" t="str">
        <f t="shared" ca="1" si="143"/>
        <v/>
      </c>
      <c r="O146" s="277" t="str">
        <f t="shared" ca="1" si="143"/>
        <v/>
      </c>
      <c r="P146" s="209" t="str">
        <f ca="1">IF(LEN(B146)&gt;0,ISNUMBER(MATCH(B146,Proposed[Item],0)),"")</f>
        <v/>
      </c>
    </row>
    <row r="147" spans="1:16" ht="15" x14ac:dyDescent="0.2">
      <c r="A147" s="276">
        <f t="shared" ca="1" si="132"/>
        <v>70</v>
      </c>
      <c r="B147" s="111" t="str">
        <f ca="1">IFERROR("Line "&amp;INDEX(Calcs[Line],INDEX(INDIRECT(RangeCount),MATCH($A147,INDIRECT(RangeEstCount),0))),"")</f>
        <v/>
      </c>
      <c r="C147" s="169" t="str">
        <f ca="1">IFERROR(IF(AND($D147="LPSM",Bid?,All?),"ALL",TEXT(OFFSET(INDIRECT(RangeQuantity),MATCH($A147,INDIRECT(RangeEstCount),0)-1,MATCH(Account,Accounts,0)-1,1,1),IF($D147="LPSM","0%","#,##0"&amp;IF(OFFSET(Items[#Data],MATCH($A147,INDIRECT(RangeEstCount),0)-1,MATCH(Decimals,Items[#Headers],0)-1,1,1)&gt;0,"."&amp;REPT("0",OFFSET(Items[#Data],MATCH($A147,INDIRECT(RangeEstCount),0)-1,MATCH(Decimals,Items[#Headers],0)-1,1,1)),"")))),"")</f>
        <v/>
      </c>
      <c r="D147" s="170" t="str">
        <f ca="1">IFERROR(INDEX(INDIRECT(RangeUnit),MATCH($A147,INDIRECT(RangeEstCount),0))&amp;SUBSTITUTE(" ["&amp;INDEX(INDIRECT(RangeAmend),MATCH($A147,INDIRECT(RangeEstCount),0))&amp;"]"," []",""),"")</f>
        <v/>
      </c>
      <c r="E147" s="170" t="str">
        <f ca="1">IFERROR(IF(INDEX(INDIRECT(RangeContrQty),MATCH($A147,INDIRECT(RangeEstCount),0)),"(CQ)",""),"")</f>
        <v/>
      </c>
      <c r="F147" s="171" t="str">
        <f ca="1">IFERROR(IF(OR(NOT(Bid?),LEFT(UPPER($D147),4)="FXHR"),INDEX(INDIRECT(RangeUnitPrice),MATCH($A147,INDIRECT(RangeEstCount),0)),IF(Awd?,OFFSET(TabAmount,MATCH(INDEX(INDIRECT(RangeCount),MATCH($A147,INDIRECT(RangeEstCount),0)),OFFSET(TabCount,1,0,2*NumPayItems,1),0),MATCH(Awarded2,Bidders,0)),IF(OR($C147="",$D147="LPSM"),"","$"))),"")</f>
        <v/>
      </c>
      <c r="G147" s="171" t="str">
        <f ca="1">IFERROR(VALUE(C147)*F147,IF(AND(Bid?,NOT(Awd?),$D147="LPSM"),"$",F147))</f>
        <v/>
      </c>
      <c r="H147" s="374"/>
      <c r="I147" s="217" t="str">
        <f ca="1">IFERROR(VALUE(SUBSTITUTE(OFFSET(I147,-1,0)," "&amp;$D147,""))*$F147,"")</f>
        <v/>
      </c>
      <c r="J147" s="215" t="str">
        <f ca="1">IFERROR(VALUE(SUBSTITUTE(OFFSET(J147,-1,0)," "&amp;$D147,""))*$F147,"")</f>
        <v/>
      </c>
      <c r="K147" s="215" t="str">
        <f t="shared" ref="K147:M147" ca="1" si="144">IFERROR(VALUE(SUBSTITUTE(OFFSET(K147,-1,0)," "&amp;$D147,""))*$F147,"")</f>
        <v/>
      </c>
      <c r="L147" s="215" t="str">
        <f t="shared" ca="1" si="144"/>
        <v/>
      </c>
      <c r="M147" s="215" t="str">
        <f t="shared" ca="1" si="144"/>
        <v/>
      </c>
      <c r="N147" s="215" t="str">
        <f ca="1">IFERROR(VALUE(SUBSTITUTE(OFFSET(N147,-1,0)," "&amp;$D147,""))*$F147,"")</f>
        <v/>
      </c>
      <c r="O147" s="215" t="str">
        <f ca="1">IFERROR(VALUE(SUBSTITUTE(OFFSET(O147,-1,0)," "&amp;$D147,""))*$F147,"")</f>
        <v/>
      </c>
      <c r="P147" s="209" t="str">
        <f ca="1">IF(LEN(B147)&gt;0,ISNUMBER(MATCH(B147,Proposed[Item],0)),"")</f>
        <v/>
      </c>
    </row>
    <row r="148" spans="1:16" ht="15" x14ac:dyDescent="0.2">
      <c r="A148" s="276">
        <f t="shared" ca="1" si="132"/>
        <v>71</v>
      </c>
      <c r="B148" s="168" t="str">
        <f ca="1">IFERROR(INDEX(INDIRECT(RangeItems),MATCH($A148,INDIRECT(RangeEstCount),0)),"")</f>
        <v/>
      </c>
      <c r="C148" s="365" t="str">
        <f ca="1">IFERROR(INDEX(Calcs[Description],INDEX(INDIRECT(RangeCount),MATCH($A148,INDIRECT(RangeEstCount),0))),"")</f>
        <v/>
      </c>
      <c r="D148" s="365"/>
      <c r="E148" s="365"/>
      <c r="F148" s="365"/>
      <c r="G148" s="365"/>
      <c r="H148" s="375" t="str">
        <f ca="1">IF(AND(Bid?,NOT(Awd?)),C148,OFFSET(F148,1,0))</f>
        <v/>
      </c>
      <c r="I148" s="216" t="str">
        <f t="shared" ref="I148:O148" ca="1" si="145">IFERROR(SUM(OFFSET(INDIRECT(RangeQuantity),MATCH($A148,INDIRECT(RangeEstCount),0)-1,COLUMN(I148)-COLUMN($H148),1,1))&amp;" "&amp;OFFSET($D148,1,0),"")</f>
        <v/>
      </c>
      <c r="J148" s="277" t="str">
        <f t="shared" ca="1" si="145"/>
        <v/>
      </c>
      <c r="K148" s="277" t="str">
        <f t="shared" ca="1" si="145"/>
        <v/>
      </c>
      <c r="L148" s="277" t="str">
        <f t="shared" ca="1" si="145"/>
        <v/>
      </c>
      <c r="M148" s="277" t="str">
        <f t="shared" ca="1" si="145"/>
        <v/>
      </c>
      <c r="N148" s="277" t="str">
        <f t="shared" ca="1" si="145"/>
        <v/>
      </c>
      <c r="O148" s="277" t="str">
        <f t="shared" ca="1" si="145"/>
        <v/>
      </c>
      <c r="P148" s="209" t="str">
        <f ca="1">IF(LEN(B148)&gt;0,ISNUMBER(MATCH(B148,Proposed[Item],0)),"")</f>
        <v/>
      </c>
    </row>
    <row r="149" spans="1:16" ht="15" x14ac:dyDescent="0.2">
      <c r="A149" s="276">
        <f t="shared" ca="1" si="132"/>
        <v>71</v>
      </c>
      <c r="B149" s="111" t="str">
        <f ca="1">IFERROR("Line "&amp;INDEX(Calcs[Line],INDEX(INDIRECT(RangeCount),MATCH($A149,INDIRECT(RangeEstCount),0))),"")</f>
        <v/>
      </c>
      <c r="C149" s="169" t="str">
        <f ca="1">IFERROR(IF(AND($D149="LPSM",Bid?,All?),"ALL",TEXT(OFFSET(INDIRECT(RangeQuantity),MATCH($A149,INDIRECT(RangeEstCount),0)-1,MATCH(Account,Accounts,0)-1,1,1),IF($D149="LPSM","0%","#,##0"&amp;IF(OFFSET(Items[#Data],MATCH($A149,INDIRECT(RangeEstCount),0)-1,MATCH(Decimals,Items[#Headers],0)-1,1,1)&gt;0,"."&amp;REPT("0",OFFSET(Items[#Data],MATCH($A149,INDIRECT(RangeEstCount),0)-1,MATCH(Decimals,Items[#Headers],0)-1,1,1)),"")))),"")</f>
        <v/>
      </c>
      <c r="D149" s="170" t="str">
        <f ca="1">IFERROR(INDEX(INDIRECT(RangeUnit),MATCH($A149,INDIRECT(RangeEstCount),0))&amp;SUBSTITUTE(" ["&amp;INDEX(INDIRECT(RangeAmend),MATCH($A149,INDIRECT(RangeEstCount),0))&amp;"]"," []",""),"")</f>
        <v/>
      </c>
      <c r="E149" s="170" t="str">
        <f ca="1">IFERROR(IF(INDEX(INDIRECT(RangeContrQty),MATCH($A149,INDIRECT(RangeEstCount),0)),"(CQ)",""),"")</f>
        <v/>
      </c>
      <c r="F149" s="171" t="str">
        <f ca="1">IFERROR(IF(OR(NOT(Bid?),LEFT(UPPER($D149),4)="FXHR"),INDEX(INDIRECT(RangeUnitPrice),MATCH($A149,INDIRECT(RangeEstCount),0)),IF(Awd?,OFFSET(TabAmount,MATCH(INDEX(INDIRECT(RangeCount),MATCH($A149,INDIRECT(RangeEstCount),0)),OFFSET(TabCount,1,0,2*NumPayItems,1),0),MATCH(Awarded2,Bidders,0)),IF(OR($C149="",$D149="LPSM"),"","$"))),"")</f>
        <v/>
      </c>
      <c r="G149" s="171" t="str">
        <f ca="1">IFERROR(VALUE(C149)*F149,IF(AND(Bid?,NOT(Awd?),$D149="LPSM"),"$",F149))</f>
        <v/>
      </c>
      <c r="H149" s="374"/>
      <c r="I149" s="217" t="str">
        <f ca="1">IFERROR(VALUE(SUBSTITUTE(OFFSET(I149,-1,0)," "&amp;$D149,""))*$F149,"")</f>
        <v/>
      </c>
      <c r="J149" s="215" t="str">
        <f ca="1">IFERROR(VALUE(SUBSTITUTE(OFFSET(J149,-1,0)," "&amp;$D149,""))*$F149,"")</f>
        <v/>
      </c>
      <c r="K149" s="215" t="str">
        <f t="shared" ref="K149:M149" ca="1" si="146">IFERROR(VALUE(SUBSTITUTE(OFFSET(K149,-1,0)," "&amp;$D149,""))*$F149,"")</f>
        <v/>
      </c>
      <c r="L149" s="215" t="str">
        <f t="shared" ca="1" si="146"/>
        <v/>
      </c>
      <c r="M149" s="215" t="str">
        <f t="shared" ca="1" si="146"/>
        <v/>
      </c>
      <c r="N149" s="215" t="str">
        <f ca="1">IFERROR(VALUE(SUBSTITUTE(OFFSET(N149,-1,0)," "&amp;$D149,""))*$F149,"")</f>
        <v/>
      </c>
      <c r="O149" s="215" t="str">
        <f ca="1">IFERROR(VALUE(SUBSTITUTE(OFFSET(O149,-1,0)," "&amp;$D149,""))*$F149,"")</f>
        <v/>
      </c>
      <c r="P149" s="209" t="str">
        <f ca="1">IF(LEN(B149)&gt;0,ISNUMBER(MATCH(B149,Proposed[Item],0)),"")</f>
        <v/>
      </c>
    </row>
    <row r="150" spans="1:16" ht="15" x14ac:dyDescent="0.2">
      <c r="A150" s="276">
        <f t="shared" ca="1" si="132"/>
        <v>72</v>
      </c>
      <c r="B150" s="168" t="str">
        <f ca="1">IFERROR(INDEX(INDIRECT(RangeItems),MATCH($A150,INDIRECT(RangeEstCount),0)),"")</f>
        <v/>
      </c>
      <c r="C150" s="365" t="str">
        <f ca="1">IFERROR(INDEX(Calcs[Description],INDEX(INDIRECT(RangeCount),MATCH($A150,INDIRECT(RangeEstCount),0))),"")</f>
        <v/>
      </c>
      <c r="D150" s="365"/>
      <c r="E150" s="365"/>
      <c r="F150" s="365"/>
      <c r="G150" s="365"/>
      <c r="H150" s="375" t="str">
        <f ca="1">IF(AND(Bid?,NOT(Awd?)),C150,OFFSET(F150,1,0))</f>
        <v/>
      </c>
      <c r="I150" s="216" t="str">
        <f t="shared" ref="I150:O150" ca="1" si="147">IFERROR(SUM(OFFSET(INDIRECT(RangeQuantity),MATCH($A150,INDIRECT(RangeEstCount),0)-1,COLUMN(I150)-COLUMN($H150),1,1))&amp;" "&amp;OFFSET($D150,1,0),"")</f>
        <v/>
      </c>
      <c r="J150" s="277" t="str">
        <f t="shared" ca="1" si="147"/>
        <v/>
      </c>
      <c r="K150" s="277" t="str">
        <f t="shared" ca="1" si="147"/>
        <v/>
      </c>
      <c r="L150" s="277" t="str">
        <f t="shared" ca="1" si="147"/>
        <v/>
      </c>
      <c r="M150" s="277" t="str">
        <f t="shared" ca="1" si="147"/>
        <v/>
      </c>
      <c r="N150" s="277" t="str">
        <f t="shared" ca="1" si="147"/>
        <v/>
      </c>
      <c r="O150" s="277" t="str">
        <f t="shared" ca="1" si="147"/>
        <v/>
      </c>
      <c r="P150" s="209" t="str">
        <f ca="1">IF(LEN(B150)&gt;0,ISNUMBER(MATCH(B150,Proposed[Item],0)),"")</f>
        <v/>
      </c>
    </row>
    <row r="151" spans="1:16" ht="15" x14ac:dyDescent="0.2">
      <c r="A151" s="276">
        <f t="shared" ca="1" si="132"/>
        <v>72</v>
      </c>
      <c r="B151" s="111" t="str">
        <f ca="1">IFERROR("Line "&amp;INDEX(Calcs[Line],INDEX(INDIRECT(RangeCount),MATCH($A151,INDIRECT(RangeEstCount),0))),"")</f>
        <v/>
      </c>
      <c r="C151" s="169" t="str">
        <f ca="1">IFERROR(IF(AND($D151="LPSM",Bid?,All?),"ALL",TEXT(OFFSET(INDIRECT(RangeQuantity),MATCH($A151,INDIRECT(RangeEstCount),0)-1,MATCH(Account,Accounts,0)-1,1,1),IF($D151="LPSM","0%","#,##0"&amp;IF(OFFSET(Items[#Data],MATCH($A151,INDIRECT(RangeEstCount),0)-1,MATCH(Decimals,Items[#Headers],0)-1,1,1)&gt;0,"."&amp;REPT("0",OFFSET(Items[#Data],MATCH($A151,INDIRECT(RangeEstCount),0)-1,MATCH(Decimals,Items[#Headers],0)-1,1,1)),"")))),"")</f>
        <v/>
      </c>
      <c r="D151" s="170" t="str">
        <f ca="1">IFERROR(INDEX(INDIRECT(RangeUnit),MATCH($A151,INDIRECT(RangeEstCount),0))&amp;SUBSTITUTE(" ["&amp;INDEX(INDIRECT(RangeAmend),MATCH($A151,INDIRECT(RangeEstCount),0))&amp;"]"," []",""),"")</f>
        <v/>
      </c>
      <c r="E151" s="170" t="str">
        <f ca="1">IFERROR(IF(INDEX(INDIRECT(RangeContrQty),MATCH($A151,INDIRECT(RangeEstCount),0)),"(CQ)",""),"")</f>
        <v/>
      </c>
      <c r="F151" s="171" t="str">
        <f ca="1">IFERROR(IF(OR(NOT(Bid?),LEFT(UPPER($D151),4)="FXHR"),INDEX(INDIRECT(RangeUnitPrice),MATCH($A151,INDIRECT(RangeEstCount),0)),IF(Awd?,OFFSET(TabAmount,MATCH(INDEX(INDIRECT(RangeCount),MATCH($A151,INDIRECT(RangeEstCount),0)),OFFSET(TabCount,1,0,2*NumPayItems,1),0),MATCH(Awarded2,Bidders,0)),IF(OR($C151="",$D151="LPSM"),"","$"))),"")</f>
        <v/>
      </c>
      <c r="G151" s="171" t="str">
        <f ca="1">IFERROR(VALUE(C151)*F151,IF(AND(Bid?,NOT(Awd?),$D151="LPSM"),"$",F151))</f>
        <v/>
      </c>
      <c r="H151" s="374"/>
      <c r="I151" s="217" t="str">
        <f ca="1">IFERROR(VALUE(SUBSTITUTE(OFFSET(I151,-1,0)," "&amp;$D151,""))*$F151,"")</f>
        <v/>
      </c>
      <c r="J151" s="215" t="str">
        <f ca="1">IFERROR(VALUE(SUBSTITUTE(OFFSET(J151,-1,0)," "&amp;$D151,""))*$F151,"")</f>
        <v/>
      </c>
      <c r="K151" s="215" t="str">
        <f t="shared" ref="K151:M151" ca="1" si="148">IFERROR(VALUE(SUBSTITUTE(OFFSET(K151,-1,0)," "&amp;$D151,""))*$F151,"")</f>
        <v/>
      </c>
      <c r="L151" s="215" t="str">
        <f t="shared" ca="1" si="148"/>
        <v/>
      </c>
      <c r="M151" s="215" t="str">
        <f t="shared" ca="1" si="148"/>
        <v/>
      </c>
      <c r="N151" s="215" t="str">
        <f ca="1">IFERROR(VALUE(SUBSTITUTE(OFFSET(N151,-1,0)," "&amp;$D151,""))*$F151,"")</f>
        <v/>
      </c>
      <c r="O151" s="215" t="str">
        <f ca="1">IFERROR(VALUE(SUBSTITUTE(OFFSET(O151,-1,0)," "&amp;$D151,""))*$F151,"")</f>
        <v/>
      </c>
      <c r="P151" s="209" t="str">
        <f ca="1">IF(LEN(B151)&gt;0,ISNUMBER(MATCH(B151,Proposed[Item],0)),"")</f>
        <v/>
      </c>
    </row>
    <row r="152" spans="1:16" ht="15" x14ac:dyDescent="0.2">
      <c r="A152" s="276">
        <f t="shared" ca="1" si="132"/>
        <v>73</v>
      </c>
      <c r="B152" s="168" t="str">
        <f ca="1">IFERROR(INDEX(INDIRECT(RangeItems),MATCH($A152,INDIRECT(RangeEstCount),0)),"")</f>
        <v/>
      </c>
      <c r="C152" s="365" t="str">
        <f ca="1">IFERROR(INDEX(Calcs[Description],INDEX(INDIRECT(RangeCount),MATCH($A152,INDIRECT(RangeEstCount),0))),"")</f>
        <v/>
      </c>
      <c r="D152" s="365"/>
      <c r="E152" s="365"/>
      <c r="F152" s="365"/>
      <c r="G152" s="365"/>
      <c r="H152" s="375" t="str">
        <f ca="1">IF(AND(Bid?,NOT(Awd?)),C152,OFFSET(F152,1,0))</f>
        <v/>
      </c>
      <c r="I152" s="216" t="str">
        <f t="shared" ref="I152:O152" ca="1" si="149">IFERROR(SUM(OFFSET(INDIRECT(RangeQuantity),MATCH($A152,INDIRECT(RangeEstCount),0)-1,COLUMN(I152)-COLUMN($H152),1,1))&amp;" "&amp;OFFSET($D152,1,0),"")</f>
        <v/>
      </c>
      <c r="J152" s="277" t="str">
        <f t="shared" ca="1" si="149"/>
        <v/>
      </c>
      <c r="K152" s="277" t="str">
        <f t="shared" ca="1" si="149"/>
        <v/>
      </c>
      <c r="L152" s="277" t="str">
        <f t="shared" ca="1" si="149"/>
        <v/>
      </c>
      <c r="M152" s="277" t="str">
        <f t="shared" ca="1" si="149"/>
        <v/>
      </c>
      <c r="N152" s="277" t="str">
        <f t="shared" ca="1" si="149"/>
        <v/>
      </c>
      <c r="O152" s="277" t="str">
        <f t="shared" ca="1" si="149"/>
        <v/>
      </c>
      <c r="P152" s="209" t="str">
        <f ca="1">IF(LEN(B152)&gt;0,ISNUMBER(MATCH(B152,Proposed[Item],0)),"")</f>
        <v/>
      </c>
    </row>
    <row r="153" spans="1:16" ht="15" x14ac:dyDescent="0.2">
      <c r="A153" s="276">
        <f t="shared" ca="1" si="132"/>
        <v>73</v>
      </c>
      <c r="B153" s="111" t="str">
        <f ca="1">IFERROR("Line "&amp;INDEX(Calcs[Line],INDEX(INDIRECT(RangeCount),MATCH($A153,INDIRECT(RangeEstCount),0))),"")</f>
        <v/>
      </c>
      <c r="C153" s="169" t="str">
        <f ca="1">IFERROR(IF(AND($D153="LPSM",Bid?,All?),"ALL",TEXT(OFFSET(INDIRECT(RangeQuantity),MATCH($A153,INDIRECT(RangeEstCount),0)-1,MATCH(Account,Accounts,0)-1,1,1),IF($D153="LPSM","0%","#,##0"&amp;IF(OFFSET(Items[#Data],MATCH($A153,INDIRECT(RangeEstCount),0)-1,MATCH(Decimals,Items[#Headers],0)-1,1,1)&gt;0,"."&amp;REPT("0",OFFSET(Items[#Data],MATCH($A153,INDIRECT(RangeEstCount),0)-1,MATCH(Decimals,Items[#Headers],0)-1,1,1)),"")))),"")</f>
        <v/>
      </c>
      <c r="D153" s="170" t="str">
        <f ca="1">IFERROR(INDEX(INDIRECT(RangeUnit),MATCH($A153,INDIRECT(RangeEstCount),0))&amp;SUBSTITUTE(" ["&amp;INDEX(INDIRECT(RangeAmend),MATCH($A153,INDIRECT(RangeEstCount),0))&amp;"]"," []",""),"")</f>
        <v/>
      </c>
      <c r="E153" s="170" t="str">
        <f ca="1">IFERROR(IF(INDEX(INDIRECT(RangeContrQty),MATCH($A153,INDIRECT(RangeEstCount),0)),"(CQ)",""),"")</f>
        <v/>
      </c>
      <c r="F153" s="171" t="str">
        <f ca="1">IFERROR(IF(OR(NOT(Bid?),LEFT(UPPER($D153),4)="FXHR"),INDEX(INDIRECT(RangeUnitPrice),MATCH($A153,INDIRECT(RangeEstCount),0)),IF(Awd?,OFFSET(TabAmount,MATCH(INDEX(INDIRECT(RangeCount),MATCH($A153,INDIRECT(RangeEstCount),0)),OFFSET(TabCount,1,0,2*NumPayItems,1),0),MATCH(Awarded2,Bidders,0)),IF(OR($C153="",$D153="LPSM"),"","$"))),"")</f>
        <v/>
      </c>
      <c r="G153" s="171" t="str">
        <f ca="1">IFERROR(VALUE(C153)*F153,IF(AND(Bid?,NOT(Awd?),$D153="LPSM"),"$",F153))</f>
        <v/>
      </c>
      <c r="H153" s="374"/>
      <c r="I153" s="217" t="str">
        <f ca="1">IFERROR(VALUE(SUBSTITUTE(OFFSET(I153,-1,0)," "&amp;$D153,""))*$F153,"")</f>
        <v/>
      </c>
      <c r="J153" s="215" t="str">
        <f ca="1">IFERROR(VALUE(SUBSTITUTE(OFFSET(J153,-1,0)," "&amp;$D153,""))*$F153,"")</f>
        <v/>
      </c>
      <c r="K153" s="215" t="str">
        <f t="shared" ref="K153:M153" ca="1" si="150">IFERROR(VALUE(SUBSTITUTE(OFFSET(K153,-1,0)," "&amp;$D153,""))*$F153,"")</f>
        <v/>
      </c>
      <c r="L153" s="215" t="str">
        <f t="shared" ca="1" si="150"/>
        <v/>
      </c>
      <c r="M153" s="215" t="str">
        <f t="shared" ca="1" si="150"/>
        <v/>
      </c>
      <c r="N153" s="215" t="str">
        <f ca="1">IFERROR(VALUE(SUBSTITUTE(OFFSET(N153,-1,0)," "&amp;$D153,""))*$F153,"")</f>
        <v/>
      </c>
      <c r="O153" s="215" t="str">
        <f ca="1">IFERROR(VALUE(SUBSTITUTE(OFFSET(O153,-1,0)," "&amp;$D153,""))*$F153,"")</f>
        <v/>
      </c>
      <c r="P153" s="209" t="str">
        <f ca="1">IF(LEN(B153)&gt;0,ISNUMBER(MATCH(B153,Proposed[Item],0)),"")</f>
        <v/>
      </c>
    </row>
    <row r="154" spans="1:16" ht="15" x14ac:dyDescent="0.2">
      <c r="A154" s="276">
        <f t="shared" ca="1" si="132"/>
        <v>74</v>
      </c>
      <c r="B154" s="168" t="str">
        <f ca="1">IFERROR(INDEX(INDIRECT(RangeItems),MATCH($A154,INDIRECT(RangeEstCount),0)),"")</f>
        <v/>
      </c>
      <c r="C154" s="365" t="str">
        <f ca="1">IFERROR(INDEX(Calcs[Description],INDEX(INDIRECT(RangeCount),MATCH($A154,INDIRECT(RangeEstCount),0))),"")</f>
        <v/>
      </c>
      <c r="D154" s="365"/>
      <c r="E154" s="365"/>
      <c r="F154" s="365"/>
      <c r="G154" s="365"/>
      <c r="H154" s="375" t="str">
        <f ca="1">IF(AND(Bid?,NOT(Awd?)),C154,OFFSET(F154,1,0))</f>
        <v/>
      </c>
      <c r="I154" s="216" t="str">
        <f t="shared" ref="I154:O154" ca="1" si="151">IFERROR(SUM(OFFSET(INDIRECT(RangeQuantity),MATCH($A154,INDIRECT(RangeEstCount),0)-1,COLUMN(I154)-COLUMN($H154),1,1))&amp;" "&amp;OFFSET($D154,1,0),"")</f>
        <v/>
      </c>
      <c r="J154" s="277" t="str">
        <f t="shared" ca="1" si="151"/>
        <v/>
      </c>
      <c r="K154" s="277" t="str">
        <f t="shared" ca="1" si="151"/>
        <v/>
      </c>
      <c r="L154" s="277" t="str">
        <f t="shared" ca="1" si="151"/>
        <v/>
      </c>
      <c r="M154" s="277" t="str">
        <f t="shared" ca="1" si="151"/>
        <v/>
      </c>
      <c r="N154" s="277" t="str">
        <f t="shared" ca="1" si="151"/>
        <v/>
      </c>
      <c r="O154" s="277" t="str">
        <f t="shared" ca="1" si="151"/>
        <v/>
      </c>
      <c r="P154" s="209" t="str">
        <f ca="1">IF(LEN(B154)&gt;0,ISNUMBER(MATCH(B154,Proposed[Item],0)),"")</f>
        <v/>
      </c>
    </row>
    <row r="155" spans="1:16" ht="15" x14ac:dyDescent="0.2">
      <c r="A155" s="276">
        <f t="shared" ca="1" si="132"/>
        <v>74</v>
      </c>
      <c r="B155" s="111" t="str">
        <f ca="1">IFERROR("Line "&amp;INDEX(Calcs[Line],INDEX(INDIRECT(RangeCount),MATCH($A155,INDIRECT(RangeEstCount),0))),"")</f>
        <v/>
      </c>
      <c r="C155" s="169" t="str">
        <f ca="1">IFERROR(IF(AND($D155="LPSM",Bid?,All?),"ALL",TEXT(OFFSET(INDIRECT(RangeQuantity),MATCH($A155,INDIRECT(RangeEstCount),0)-1,MATCH(Account,Accounts,0)-1,1,1),IF($D155="LPSM","0%","#,##0"&amp;IF(OFFSET(Items[#Data],MATCH($A155,INDIRECT(RangeEstCount),0)-1,MATCH(Decimals,Items[#Headers],0)-1,1,1)&gt;0,"."&amp;REPT("0",OFFSET(Items[#Data],MATCH($A155,INDIRECT(RangeEstCount),0)-1,MATCH(Decimals,Items[#Headers],0)-1,1,1)),"")))),"")</f>
        <v/>
      </c>
      <c r="D155" s="170" t="str">
        <f ca="1">IFERROR(INDEX(INDIRECT(RangeUnit),MATCH($A155,INDIRECT(RangeEstCount),0))&amp;SUBSTITUTE(" ["&amp;INDEX(INDIRECT(RangeAmend),MATCH($A155,INDIRECT(RangeEstCount),0))&amp;"]"," []",""),"")</f>
        <v/>
      </c>
      <c r="E155" s="170" t="str">
        <f ca="1">IFERROR(IF(INDEX(INDIRECT(RangeContrQty),MATCH($A155,INDIRECT(RangeEstCount),0)),"(CQ)",""),"")</f>
        <v/>
      </c>
      <c r="F155" s="171" t="str">
        <f ca="1">IFERROR(IF(OR(NOT(Bid?),LEFT(UPPER($D155),4)="FXHR"),INDEX(INDIRECT(RangeUnitPrice),MATCH($A155,INDIRECT(RangeEstCount),0)),IF(Awd?,OFFSET(TabAmount,MATCH(INDEX(INDIRECT(RangeCount),MATCH($A155,INDIRECT(RangeEstCount),0)),OFFSET(TabCount,1,0,2*NumPayItems,1),0),MATCH(Awarded2,Bidders,0)),IF(OR($C155="",$D155="LPSM"),"","$"))),"")</f>
        <v/>
      </c>
      <c r="G155" s="171" t="str">
        <f ca="1">IFERROR(VALUE(C155)*F155,IF(AND(Bid?,NOT(Awd?),$D155="LPSM"),"$",F155))</f>
        <v/>
      </c>
      <c r="H155" s="374"/>
      <c r="I155" s="217" t="str">
        <f ca="1">IFERROR(VALUE(SUBSTITUTE(OFFSET(I155,-1,0)," "&amp;$D155,""))*$F155,"")</f>
        <v/>
      </c>
      <c r="J155" s="215" t="str">
        <f ca="1">IFERROR(VALUE(SUBSTITUTE(OFFSET(J155,-1,0)," "&amp;$D155,""))*$F155,"")</f>
        <v/>
      </c>
      <c r="K155" s="215" t="str">
        <f t="shared" ref="K155:M155" ca="1" si="152">IFERROR(VALUE(SUBSTITUTE(OFFSET(K155,-1,0)," "&amp;$D155,""))*$F155,"")</f>
        <v/>
      </c>
      <c r="L155" s="215" t="str">
        <f t="shared" ca="1" si="152"/>
        <v/>
      </c>
      <c r="M155" s="215" t="str">
        <f t="shared" ca="1" si="152"/>
        <v/>
      </c>
      <c r="N155" s="215" t="str">
        <f ca="1">IFERROR(VALUE(SUBSTITUTE(OFFSET(N155,-1,0)," "&amp;$D155,""))*$F155,"")</f>
        <v/>
      </c>
      <c r="O155" s="215" t="str">
        <f ca="1">IFERROR(VALUE(SUBSTITUTE(OFFSET(O155,-1,0)," "&amp;$D155,""))*$F155,"")</f>
        <v/>
      </c>
      <c r="P155" s="209" t="str">
        <f ca="1">IF(LEN(B155)&gt;0,ISNUMBER(MATCH(B155,Proposed[Item],0)),"")</f>
        <v/>
      </c>
    </row>
    <row r="156" spans="1:16" ht="15" x14ac:dyDescent="0.2">
      <c r="A156" s="276">
        <f t="shared" ca="1" si="132"/>
        <v>75</v>
      </c>
      <c r="B156" s="168" t="str">
        <f ca="1">IFERROR(INDEX(INDIRECT(RangeItems),MATCH($A156,INDIRECT(RangeEstCount),0)),"")</f>
        <v/>
      </c>
      <c r="C156" s="365" t="str">
        <f ca="1">IFERROR(INDEX(Calcs[Description],INDEX(INDIRECT(RangeCount),MATCH($A156,INDIRECT(RangeEstCount),0))),"")</f>
        <v/>
      </c>
      <c r="D156" s="365"/>
      <c r="E156" s="365"/>
      <c r="F156" s="365"/>
      <c r="G156" s="365"/>
      <c r="H156" s="375" t="str">
        <f ca="1">IF(AND(Bid?,NOT(Awd?)),C156,OFFSET(F156,1,0))</f>
        <v/>
      </c>
      <c r="I156" s="216" t="str">
        <f t="shared" ref="I156:O156" ca="1" si="153">IFERROR(SUM(OFFSET(INDIRECT(RangeQuantity),MATCH($A156,INDIRECT(RangeEstCount),0)-1,COLUMN(I156)-COLUMN($H156),1,1))&amp;" "&amp;OFFSET($D156,1,0),"")</f>
        <v/>
      </c>
      <c r="J156" s="277" t="str">
        <f t="shared" ca="1" si="153"/>
        <v/>
      </c>
      <c r="K156" s="277" t="str">
        <f t="shared" ca="1" si="153"/>
        <v/>
      </c>
      <c r="L156" s="277" t="str">
        <f t="shared" ca="1" si="153"/>
        <v/>
      </c>
      <c r="M156" s="277" t="str">
        <f t="shared" ca="1" si="153"/>
        <v/>
      </c>
      <c r="N156" s="277" t="str">
        <f t="shared" ca="1" si="153"/>
        <v/>
      </c>
      <c r="O156" s="277" t="str">
        <f t="shared" ca="1" si="153"/>
        <v/>
      </c>
      <c r="P156" s="209" t="str">
        <f ca="1">IF(LEN(B156)&gt;0,ISNUMBER(MATCH(B156,Proposed[Item],0)),"")</f>
        <v/>
      </c>
    </row>
    <row r="157" spans="1:16" ht="15" x14ac:dyDescent="0.2">
      <c r="A157" s="276">
        <f t="shared" ca="1" si="132"/>
        <v>75</v>
      </c>
      <c r="B157" s="111" t="str">
        <f ca="1">IFERROR("Line "&amp;INDEX(Calcs[Line],INDEX(INDIRECT(RangeCount),MATCH($A157,INDIRECT(RangeEstCount),0))),"")</f>
        <v/>
      </c>
      <c r="C157" s="169" t="str">
        <f ca="1">IFERROR(IF(AND($D157="LPSM",Bid?,All?),"ALL",TEXT(OFFSET(INDIRECT(RangeQuantity),MATCH($A157,INDIRECT(RangeEstCount),0)-1,MATCH(Account,Accounts,0)-1,1,1),IF($D157="LPSM","0%","#,##0"&amp;IF(OFFSET(Items[#Data],MATCH($A157,INDIRECT(RangeEstCount),0)-1,MATCH(Decimals,Items[#Headers],0)-1,1,1)&gt;0,"."&amp;REPT("0",OFFSET(Items[#Data],MATCH($A157,INDIRECT(RangeEstCount),0)-1,MATCH(Decimals,Items[#Headers],0)-1,1,1)),"")))),"")</f>
        <v/>
      </c>
      <c r="D157" s="170" t="str">
        <f ca="1">IFERROR(INDEX(INDIRECT(RangeUnit),MATCH($A157,INDIRECT(RangeEstCount),0))&amp;SUBSTITUTE(" ["&amp;INDEX(INDIRECT(RangeAmend),MATCH($A157,INDIRECT(RangeEstCount),0))&amp;"]"," []",""),"")</f>
        <v/>
      </c>
      <c r="E157" s="170" t="str">
        <f ca="1">IFERROR(IF(INDEX(INDIRECT(RangeContrQty),MATCH($A157,INDIRECT(RangeEstCount),0)),"(CQ)",""),"")</f>
        <v/>
      </c>
      <c r="F157" s="171" t="str">
        <f ca="1">IFERROR(IF(OR(NOT(Bid?),LEFT(UPPER($D157),4)="FXHR"),INDEX(INDIRECT(RangeUnitPrice),MATCH($A157,INDIRECT(RangeEstCount),0)),IF(Awd?,OFFSET(TabAmount,MATCH(INDEX(INDIRECT(RangeCount),MATCH($A157,INDIRECT(RangeEstCount),0)),OFFSET(TabCount,1,0,2*NumPayItems,1),0),MATCH(Awarded2,Bidders,0)),IF(OR($C157="",$D157="LPSM"),"","$"))),"")</f>
        <v/>
      </c>
      <c r="G157" s="171" t="str">
        <f ca="1">IFERROR(VALUE(C157)*F157,IF(AND(Bid?,NOT(Awd?),$D157="LPSM"),"$",F157))</f>
        <v/>
      </c>
      <c r="H157" s="374"/>
      <c r="I157" s="217" t="str">
        <f ca="1">IFERROR(VALUE(SUBSTITUTE(OFFSET(I157,-1,0)," "&amp;$D157,""))*$F157,"")</f>
        <v/>
      </c>
      <c r="J157" s="215" t="str">
        <f ca="1">IFERROR(VALUE(SUBSTITUTE(OFFSET(J157,-1,0)," "&amp;$D157,""))*$F157,"")</f>
        <v/>
      </c>
      <c r="K157" s="215" t="str">
        <f t="shared" ref="K157:M157" ca="1" si="154">IFERROR(VALUE(SUBSTITUTE(OFFSET(K157,-1,0)," "&amp;$D157,""))*$F157,"")</f>
        <v/>
      </c>
      <c r="L157" s="215" t="str">
        <f t="shared" ca="1" si="154"/>
        <v/>
      </c>
      <c r="M157" s="215" t="str">
        <f t="shared" ca="1" si="154"/>
        <v/>
      </c>
      <c r="N157" s="215" t="str">
        <f ca="1">IFERROR(VALUE(SUBSTITUTE(OFFSET(N157,-1,0)," "&amp;$D157,""))*$F157,"")</f>
        <v/>
      </c>
      <c r="O157" s="215" t="str">
        <f ca="1">IFERROR(VALUE(SUBSTITUTE(OFFSET(O157,-1,0)," "&amp;$D157,""))*$F157,"")</f>
        <v/>
      </c>
      <c r="P157" s="209" t="str">
        <f ca="1">IF(LEN(B157)&gt;0,ISNUMBER(MATCH(B157,Proposed[Item],0)),"")</f>
        <v/>
      </c>
    </row>
    <row r="158" spans="1:16" ht="15" x14ac:dyDescent="0.2">
      <c r="A158" s="276">
        <f t="shared" ca="1" si="132"/>
        <v>76</v>
      </c>
      <c r="B158" s="168" t="str">
        <f ca="1">IFERROR(INDEX(INDIRECT(RangeItems),MATCH($A158,INDIRECT(RangeEstCount),0)),"")</f>
        <v/>
      </c>
      <c r="C158" s="365" t="str">
        <f ca="1">IFERROR(INDEX(Calcs[Description],INDEX(INDIRECT(RangeCount),MATCH($A158,INDIRECT(RangeEstCount),0))),"")</f>
        <v/>
      </c>
      <c r="D158" s="365"/>
      <c r="E158" s="365"/>
      <c r="F158" s="365"/>
      <c r="G158" s="365"/>
      <c r="H158" s="375" t="str">
        <f ca="1">IF(AND(Bid?,NOT(Awd?)),C158,OFFSET(F158,1,0))</f>
        <v/>
      </c>
      <c r="I158" s="216" t="str">
        <f t="shared" ref="I158:O158" ca="1" si="155">IFERROR(SUM(OFFSET(INDIRECT(RangeQuantity),MATCH($A158,INDIRECT(RangeEstCount),0)-1,COLUMN(I158)-COLUMN($H158),1,1))&amp;" "&amp;OFFSET($D158,1,0),"")</f>
        <v/>
      </c>
      <c r="J158" s="277" t="str">
        <f t="shared" ca="1" si="155"/>
        <v/>
      </c>
      <c r="K158" s="277" t="str">
        <f t="shared" ca="1" si="155"/>
        <v/>
      </c>
      <c r="L158" s="277" t="str">
        <f t="shared" ca="1" si="155"/>
        <v/>
      </c>
      <c r="M158" s="277" t="str">
        <f t="shared" ca="1" si="155"/>
        <v/>
      </c>
      <c r="N158" s="277" t="str">
        <f t="shared" ca="1" si="155"/>
        <v/>
      </c>
      <c r="O158" s="277" t="str">
        <f t="shared" ca="1" si="155"/>
        <v/>
      </c>
      <c r="P158" s="209" t="str">
        <f ca="1">IF(LEN(B158)&gt;0,ISNUMBER(MATCH(B158,Proposed[Item],0)),"")</f>
        <v/>
      </c>
    </row>
    <row r="159" spans="1:16" ht="15" x14ac:dyDescent="0.2">
      <c r="A159" s="276">
        <f t="shared" ca="1" si="132"/>
        <v>76</v>
      </c>
      <c r="B159" s="111" t="str">
        <f ca="1">IFERROR("Line "&amp;INDEX(Calcs[Line],INDEX(INDIRECT(RangeCount),MATCH($A159,INDIRECT(RangeEstCount),0))),"")</f>
        <v/>
      </c>
      <c r="C159" s="169" t="str">
        <f ca="1">IFERROR(IF(AND($D159="LPSM",Bid?,All?),"ALL",TEXT(OFFSET(INDIRECT(RangeQuantity),MATCH($A159,INDIRECT(RangeEstCount),0)-1,MATCH(Account,Accounts,0)-1,1,1),IF($D159="LPSM","0%","#,##0"&amp;IF(OFFSET(Items[#Data],MATCH($A159,INDIRECT(RangeEstCount),0)-1,MATCH(Decimals,Items[#Headers],0)-1,1,1)&gt;0,"."&amp;REPT("0",OFFSET(Items[#Data],MATCH($A159,INDIRECT(RangeEstCount),0)-1,MATCH(Decimals,Items[#Headers],0)-1,1,1)),"")))),"")</f>
        <v/>
      </c>
      <c r="D159" s="170" t="str">
        <f ca="1">IFERROR(INDEX(INDIRECT(RangeUnit),MATCH($A159,INDIRECT(RangeEstCount),0))&amp;SUBSTITUTE(" ["&amp;INDEX(INDIRECT(RangeAmend),MATCH($A159,INDIRECT(RangeEstCount),0))&amp;"]"," []",""),"")</f>
        <v/>
      </c>
      <c r="E159" s="170" t="str">
        <f ca="1">IFERROR(IF(INDEX(INDIRECT(RangeContrQty),MATCH($A159,INDIRECT(RangeEstCount),0)),"(CQ)",""),"")</f>
        <v/>
      </c>
      <c r="F159" s="171" t="str">
        <f ca="1">IFERROR(IF(OR(NOT(Bid?),LEFT(UPPER($D159),4)="FXHR"),INDEX(INDIRECT(RangeUnitPrice),MATCH($A159,INDIRECT(RangeEstCount),0)),IF(Awd?,OFFSET(TabAmount,MATCH(INDEX(INDIRECT(RangeCount),MATCH($A159,INDIRECT(RangeEstCount),0)),OFFSET(TabCount,1,0,2*NumPayItems,1),0),MATCH(Awarded2,Bidders,0)),IF(OR($C159="",$D159="LPSM"),"","$"))),"")</f>
        <v/>
      </c>
      <c r="G159" s="171" t="str">
        <f ca="1">IFERROR(VALUE(C159)*F159,IF(AND(Bid?,NOT(Awd?),$D159="LPSM"),"$",F159))</f>
        <v/>
      </c>
      <c r="H159" s="374"/>
      <c r="I159" s="217" t="str">
        <f ca="1">IFERROR(VALUE(SUBSTITUTE(OFFSET(I159,-1,0)," "&amp;$D159,""))*$F159,"")</f>
        <v/>
      </c>
      <c r="J159" s="215" t="str">
        <f ca="1">IFERROR(VALUE(SUBSTITUTE(OFFSET(J159,-1,0)," "&amp;$D159,""))*$F159,"")</f>
        <v/>
      </c>
      <c r="K159" s="215" t="str">
        <f t="shared" ref="K159:M159" ca="1" si="156">IFERROR(VALUE(SUBSTITUTE(OFFSET(K159,-1,0)," "&amp;$D159,""))*$F159,"")</f>
        <v/>
      </c>
      <c r="L159" s="215" t="str">
        <f t="shared" ca="1" si="156"/>
        <v/>
      </c>
      <c r="M159" s="215" t="str">
        <f t="shared" ca="1" si="156"/>
        <v/>
      </c>
      <c r="N159" s="215" t="str">
        <f ca="1">IFERROR(VALUE(SUBSTITUTE(OFFSET(N159,-1,0)," "&amp;$D159,""))*$F159,"")</f>
        <v/>
      </c>
      <c r="O159" s="215" t="str">
        <f ca="1">IFERROR(VALUE(SUBSTITUTE(OFFSET(O159,-1,0)," "&amp;$D159,""))*$F159,"")</f>
        <v/>
      </c>
      <c r="P159" s="209" t="str">
        <f ca="1">IF(LEN(B159)&gt;0,ISNUMBER(MATCH(B159,Proposed[Item],0)),"")</f>
        <v/>
      </c>
    </row>
    <row r="160" spans="1:16" ht="15" x14ac:dyDescent="0.2">
      <c r="A160" s="276">
        <f t="shared" ca="1" si="132"/>
        <v>77</v>
      </c>
      <c r="B160" s="168" t="str">
        <f ca="1">IFERROR(INDEX(INDIRECT(RangeItems),MATCH($A160,INDIRECT(RangeEstCount),0)),"")</f>
        <v/>
      </c>
      <c r="C160" s="365" t="str">
        <f ca="1">IFERROR(INDEX(Calcs[Description],INDEX(INDIRECT(RangeCount),MATCH($A160,INDIRECT(RangeEstCount),0))),"")</f>
        <v/>
      </c>
      <c r="D160" s="365"/>
      <c r="E160" s="365"/>
      <c r="F160" s="365"/>
      <c r="G160" s="365"/>
      <c r="H160" s="375" t="str">
        <f ca="1">IF(AND(Bid?,NOT(Awd?)),C160,OFFSET(F160,1,0))</f>
        <v/>
      </c>
      <c r="I160" s="216" t="str">
        <f t="shared" ref="I160:O160" ca="1" si="157">IFERROR(SUM(OFFSET(INDIRECT(RangeQuantity),MATCH($A160,INDIRECT(RangeEstCount),0)-1,COLUMN(I160)-COLUMN($H160),1,1))&amp;" "&amp;OFFSET($D160,1,0),"")</f>
        <v/>
      </c>
      <c r="J160" s="277" t="str">
        <f t="shared" ca="1" si="157"/>
        <v/>
      </c>
      <c r="K160" s="277" t="str">
        <f t="shared" ca="1" si="157"/>
        <v/>
      </c>
      <c r="L160" s="277" t="str">
        <f t="shared" ca="1" si="157"/>
        <v/>
      </c>
      <c r="M160" s="277" t="str">
        <f t="shared" ca="1" si="157"/>
        <v/>
      </c>
      <c r="N160" s="277" t="str">
        <f t="shared" ca="1" si="157"/>
        <v/>
      </c>
      <c r="O160" s="277" t="str">
        <f t="shared" ca="1" si="157"/>
        <v/>
      </c>
      <c r="P160" s="209" t="str">
        <f ca="1">IF(LEN(B160)&gt;0,ISNUMBER(MATCH(B160,Proposed[Item],0)),"")</f>
        <v/>
      </c>
    </row>
    <row r="161" spans="1:16" ht="15" x14ac:dyDescent="0.2">
      <c r="A161" s="276">
        <f t="shared" ca="1" si="132"/>
        <v>77</v>
      </c>
      <c r="B161" s="111" t="str">
        <f ca="1">IFERROR("Line "&amp;INDEX(Calcs[Line],INDEX(INDIRECT(RangeCount),MATCH($A161,INDIRECT(RangeEstCount),0))),"")</f>
        <v/>
      </c>
      <c r="C161" s="169" t="str">
        <f ca="1">IFERROR(IF(AND($D161="LPSM",Bid?,All?),"ALL",TEXT(OFFSET(INDIRECT(RangeQuantity),MATCH($A161,INDIRECT(RangeEstCount),0)-1,MATCH(Account,Accounts,0)-1,1,1),IF($D161="LPSM","0%","#,##0"&amp;IF(OFFSET(Items[#Data],MATCH($A161,INDIRECT(RangeEstCount),0)-1,MATCH(Decimals,Items[#Headers],0)-1,1,1)&gt;0,"."&amp;REPT("0",OFFSET(Items[#Data],MATCH($A161,INDIRECT(RangeEstCount),0)-1,MATCH(Decimals,Items[#Headers],0)-1,1,1)),"")))),"")</f>
        <v/>
      </c>
      <c r="D161" s="170" t="str">
        <f ca="1">IFERROR(INDEX(INDIRECT(RangeUnit),MATCH($A161,INDIRECT(RangeEstCount),0))&amp;SUBSTITUTE(" ["&amp;INDEX(INDIRECT(RangeAmend),MATCH($A161,INDIRECT(RangeEstCount),0))&amp;"]"," []",""),"")</f>
        <v/>
      </c>
      <c r="E161" s="170" t="str">
        <f ca="1">IFERROR(IF(INDEX(INDIRECT(RangeContrQty),MATCH($A161,INDIRECT(RangeEstCount),0)),"(CQ)",""),"")</f>
        <v/>
      </c>
      <c r="F161" s="171" t="str">
        <f ca="1">IFERROR(IF(OR(NOT(Bid?),LEFT(UPPER($D161),4)="FXHR"),INDEX(INDIRECT(RangeUnitPrice),MATCH($A161,INDIRECT(RangeEstCount),0)),IF(Awd?,OFFSET(TabAmount,MATCH(INDEX(INDIRECT(RangeCount),MATCH($A161,INDIRECT(RangeEstCount),0)),OFFSET(TabCount,1,0,2*NumPayItems,1),0),MATCH(Awarded2,Bidders,0)),IF(OR($C161="",$D161="LPSM"),"","$"))),"")</f>
        <v/>
      </c>
      <c r="G161" s="171" t="str">
        <f ca="1">IFERROR(VALUE(C161)*F161,IF(AND(Bid?,NOT(Awd?),$D161="LPSM"),"$",F161))</f>
        <v/>
      </c>
      <c r="H161" s="374"/>
      <c r="I161" s="217" t="str">
        <f ca="1">IFERROR(VALUE(SUBSTITUTE(OFFSET(I161,-1,0)," "&amp;$D161,""))*$F161,"")</f>
        <v/>
      </c>
      <c r="J161" s="215" t="str">
        <f ca="1">IFERROR(VALUE(SUBSTITUTE(OFFSET(J161,-1,0)," "&amp;$D161,""))*$F161,"")</f>
        <v/>
      </c>
      <c r="K161" s="215" t="str">
        <f t="shared" ref="K161:M161" ca="1" si="158">IFERROR(VALUE(SUBSTITUTE(OFFSET(K161,-1,0)," "&amp;$D161,""))*$F161,"")</f>
        <v/>
      </c>
      <c r="L161" s="215" t="str">
        <f t="shared" ca="1" si="158"/>
        <v/>
      </c>
      <c r="M161" s="215" t="str">
        <f t="shared" ca="1" si="158"/>
        <v/>
      </c>
      <c r="N161" s="215" t="str">
        <f ca="1">IFERROR(VALUE(SUBSTITUTE(OFFSET(N161,-1,0)," "&amp;$D161,""))*$F161,"")</f>
        <v/>
      </c>
      <c r="O161" s="215" t="str">
        <f ca="1">IFERROR(VALUE(SUBSTITUTE(OFFSET(O161,-1,0)," "&amp;$D161,""))*$F161,"")</f>
        <v/>
      </c>
      <c r="P161" s="209" t="str">
        <f ca="1">IF(LEN(B161)&gt;0,ISNUMBER(MATCH(B161,Proposed[Item],0)),"")</f>
        <v/>
      </c>
    </row>
    <row r="162" spans="1:16" ht="15" x14ac:dyDescent="0.2">
      <c r="A162" s="276">
        <f t="shared" ca="1" si="132"/>
        <v>78</v>
      </c>
      <c r="B162" s="168" t="str">
        <f ca="1">IFERROR(INDEX(INDIRECT(RangeItems),MATCH($A162,INDIRECT(RangeEstCount),0)),"")</f>
        <v/>
      </c>
      <c r="C162" s="365" t="str">
        <f ca="1">IFERROR(INDEX(Calcs[Description],INDEX(INDIRECT(RangeCount),MATCH($A162,INDIRECT(RangeEstCount),0))),"")</f>
        <v/>
      </c>
      <c r="D162" s="365"/>
      <c r="E162" s="365"/>
      <c r="F162" s="365"/>
      <c r="G162" s="365"/>
      <c r="H162" s="375" t="str">
        <f ca="1">IF(AND(Bid?,NOT(Awd?)),C162,OFFSET(F162,1,0))</f>
        <v/>
      </c>
      <c r="I162" s="216" t="str">
        <f t="shared" ref="I162:O162" ca="1" si="159">IFERROR(SUM(OFFSET(INDIRECT(RangeQuantity),MATCH($A162,INDIRECT(RangeEstCount),0)-1,COLUMN(I162)-COLUMN($H162),1,1))&amp;" "&amp;OFFSET($D162,1,0),"")</f>
        <v/>
      </c>
      <c r="J162" s="277" t="str">
        <f t="shared" ca="1" si="159"/>
        <v/>
      </c>
      <c r="K162" s="277" t="str">
        <f t="shared" ca="1" si="159"/>
        <v/>
      </c>
      <c r="L162" s="277" t="str">
        <f t="shared" ca="1" si="159"/>
        <v/>
      </c>
      <c r="M162" s="277" t="str">
        <f t="shared" ca="1" si="159"/>
        <v/>
      </c>
      <c r="N162" s="277" t="str">
        <f t="shared" ca="1" si="159"/>
        <v/>
      </c>
      <c r="O162" s="277" t="str">
        <f t="shared" ca="1" si="159"/>
        <v/>
      </c>
      <c r="P162" s="209" t="str">
        <f ca="1">IF(LEN(B162)&gt;0,ISNUMBER(MATCH(B162,Proposed[Item],0)),"")</f>
        <v/>
      </c>
    </row>
    <row r="163" spans="1:16" ht="15" x14ac:dyDescent="0.2">
      <c r="A163" s="276">
        <f t="shared" ca="1" si="132"/>
        <v>78</v>
      </c>
      <c r="B163" s="111" t="str">
        <f ca="1">IFERROR("Line "&amp;INDEX(Calcs[Line],INDEX(INDIRECT(RangeCount),MATCH($A163,INDIRECT(RangeEstCount),0))),"")</f>
        <v/>
      </c>
      <c r="C163" s="169" t="str">
        <f ca="1">IFERROR(IF(AND($D163="LPSM",Bid?,All?),"ALL",TEXT(OFFSET(INDIRECT(RangeQuantity),MATCH($A163,INDIRECT(RangeEstCount),0)-1,MATCH(Account,Accounts,0)-1,1,1),IF($D163="LPSM","0%","#,##0"&amp;IF(OFFSET(Items[#Data],MATCH($A163,INDIRECT(RangeEstCount),0)-1,MATCH(Decimals,Items[#Headers],0)-1,1,1)&gt;0,"."&amp;REPT("0",OFFSET(Items[#Data],MATCH($A163,INDIRECT(RangeEstCount),0)-1,MATCH(Decimals,Items[#Headers],0)-1,1,1)),"")))),"")</f>
        <v/>
      </c>
      <c r="D163" s="170" t="str">
        <f ca="1">IFERROR(INDEX(INDIRECT(RangeUnit),MATCH($A163,INDIRECT(RangeEstCount),0))&amp;SUBSTITUTE(" ["&amp;INDEX(INDIRECT(RangeAmend),MATCH($A163,INDIRECT(RangeEstCount),0))&amp;"]"," []",""),"")</f>
        <v/>
      </c>
      <c r="E163" s="170" t="str">
        <f ca="1">IFERROR(IF(INDEX(INDIRECT(RangeContrQty),MATCH($A163,INDIRECT(RangeEstCount),0)),"(CQ)",""),"")</f>
        <v/>
      </c>
      <c r="F163" s="171" t="str">
        <f ca="1">IFERROR(IF(OR(NOT(Bid?),LEFT(UPPER($D163),4)="FXHR"),INDEX(INDIRECT(RangeUnitPrice),MATCH($A163,INDIRECT(RangeEstCount),0)),IF(Awd?,OFFSET(TabAmount,MATCH(INDEX(INDIRECT(RangeCount),MATCH($A163,INDIRECT(RangeEstCount),0)),OFFSET(TabCount,1,0,2*NumPayItems,1),0),MATCH(Awarded2,Bidders,0)),IF(OR($C163="",$D163="LPSM"),"","$"))),"")</f>
        <v/>
      </c>
      <c r="G163" s="171" t="str">
        <f ca="1">IFERROR(VALUE(C163)*F163,IF(AND(Bid?,NOT(Awd?),$D163="LPSM"),"$",F163))</f>
        <v/>
      </c>
      <c r="H163" s="374"/>
      <c r="I163" s="217" t="str">
        <f ca="1">IFERROR(VALUE(SUBSTITUTE(OFFSET(I163,-1,0)," "&amp;$D163,""))*$F163,"")</f>
        <v/>
      </c>
      <c r="J163" s="215" t="str">
        <f ca="1">IFERROR(VALUE(SUBSTITUTE(OFFSET(J163,-1,0)," "&amp;$D163,""))*$F163,"")</f>
        <v/>
      </c>
      <c r="K163" s="215" t="str">
        <f t="shared" ref="K163:M163" ca="1" si="160">IFERROR(VALUE(SUBSTITUTE(OFFSET(K163,-1,0)," "&amp;$D163,""))*$F163,"")</f>
        <v/>
      </c>
      <c r="L163" s="215" t="str">
        <f t="shared" ca="1" si="160"/>
        <v/>
      </c>
      <c r="M163" s="215" t="str">
        <f t="shared" ca="1" si="160"/>
        <v/>
      </c>
      <c r="N163" s="215" t="str">
        <f ca="1">IFERROR(VALUE(SUBSTITUTE(OFFSET(N163,-1,0)," "&amp;$D163,""))*$F163,"")</f>
        <v/>
      </c>
      <c r="O163" s="215" t="str">
        <f ca="1">IFERROR(VALUE(SUBSTITUTE(OFFSET(O163,-1,0)," "&amp;$D163,""))*$F163,"")</f>
        <v/>
      </c>
      <c r="P163" s="209" t="str">
        <f ca="1">IF(LEN(B163)&gt;0,ISNUMBER(MATCH(B163,Proposed[Item],0)),"")</f>
        <v/>
      </c>
    </row>
    <row r="164" spans="1:16" ht="15" x14ac:dyDescent="0.2">
      <c r="A164" s="276">
        <f t="shared" ca="1" si="132"/>
        <v>79</v>
      </c>
      <c r="B164" s="168" t="str">
        <f ca="1">IFERROR(INDEX(INDIRECT(RangeItems),MATCH($A164,INDIRECT(RangeEstCount),0)),"")</f>
        <v/>
      </c>
      <c r="C164" s="365" t="str">
        <f ca="1">IFERROR(INDEX(Calcs[Description],INDEX(INDIRECT(RangeCount),MATCH($A164,INDIRECT(RangeEstCount),0))),"")</f>
        <v/>
      </c>
      <c r="D164" s="365"/>
      <c r="E164" s="365"/>
      <c r="F164" s="365"/>
      <c r="G164" s="365"/>
      <c r="H164" s="375" t="str">
        <f ca="1">IF(AND(Bid?,NOT(Awd?)),C164,OFFSET(F164,1,0))</f>
        <v/>
      </c>
      <c r="I164" s="216" t="str">
        <f t="shared" ref="I164:O164" ca="1" si="161">IFERROR(SUM(OFFSET(INDIRECT(RangeQuantity),MATCH($A164,INDIRECT(RangeEstCount),0)-1,COLUMN(I164)-COLUMN($H164),1,1))&amp;" "&amp;OFFSET($D164,1,0),"")</f>
        <v/>
      </c>
      <c r="J164" s="277" t="str">
        <f t="shared" ca="1" si="161"/>
        <v/>
      </c>
      <c r="K164" s="277" t="str">
        <f t="shared" ca="1" si="161"/>
        <v/>
      </c>
      <c r="L164" s="277" t="str">
        <f t="shared" ca="1" si="161"/>
        <v/>
      </c>
      <c r="M164" s="277" t="str">
        <f t="shared" ca="1" si="161"/>
        <v/>
      </c>
      <c r="N164" s="277" t="str">
        <f t="shared" ca="1" si="161"/>
        <v/>
      </c>
      <c r="O164" s="277" t="str">
        <f t="shared" ca="1" si="161"/>
        <v/>
      </c>
      <c r="P164" s="209" t="str">
        <f ca="1">IF(LEN(B164)&gt;0,ISNUMBER(MATCH(B164,Proposed[Item],0)),"")</f>
        <v/>
      </c>
    </row>
    <row r="165" spans="1:16" ht="15" x14ac:dyDescent="0.2">
      <c r="A165" s="276">
        <f t="shared" ca="1" si="132"/>
        <v>79</v>
      </c>
      <c r="B165" s="111" t="str">
        <f ca="1">IFERROR("Line "&amp;INDEX(Calcs[Line],INDEX(INDIRECT(RangeCount),MATCH($A165,INDIRECT(RangeEstCount),0))),"")</f>
        <v/>
      </c>
      <c r="C165" s="169" t="str">
        <f ca="1">IFERROR(IF(AND($D165="LPSM",Bid?,All?),"ALL",TEXT(OFFSET(INDIRECT(RangeQuantity),MATCH($A165,INDIRECT(RangeEstCount),0)-1,MATCH(Account,Accounts,0)-1,1,1),IF($D165="LPSM","0%","#,##0"&amp;IF(OFFSET(Items[#Data],MATCH($A165,INDIRECT(RangeEstCount),0)-1,MATCH(Decimals,Items[#Headers],0)-1,1,1)&gt;0,"."&amp;REPT("0",OFFSET(Items[#Data],MATCH($A165,INDIRECT(RangeEstCount),0)-1,MATCH(Decimals,Items[#Headers],0)-1,1,1)),"")))),"")</f>
        <v/>
      </c>
      <c r="D165" s="170" t="str">
        <f ca="1">IFERROR(INDEX(INDIRECT(RangeUnit),MATCH($A165,INDIRECT(RangeEstCount),0))&amp;SUBSTITUTE(" ["&amp;INDEX(INDIRECT(RangeAmend),MATCH($A165,INDIRECT(RangeEstCount),0))&amp;"]"," []",""),"")</f>
        <v/>
      </c>
      <c r="E165" s="170" t="str">
        <f ca="1">IFERROR(IF(INDEX(INDIRECT(RangeContrQty),MATCH($A165,INDIRECT(RangeEstCount),0)),"(CQ)",""),"")</f>
        <v/>
      </c>
      <c r="F165" s="171" t="str">
        <f ca="1">IFERROR(IF(OR(NOT(Bid?),LEFT(UPPER($D165),4)="FXHR"),INDEX(INDIRECT(RangeUnitPrice),MATCH($A165,INDIRECT(RangeEstCount),0)),IF(Awd?,OFFSET(TabAmount,MATCH(INDEX(INDIRECT(RangeCount),MATCH($A165,INDIRECT(RangeEstCount),0)),OFFSET(TabCount,1,0,2*NumPayItems,1),0),MATCH(Awarded2,Bidders,0)),IF(OR($C165="",$D165="LPSM"),"","$"))),"")</f>
        <v/>
      </c>
      <c r="G165" s="171" t="str">
        <f ca="1">IFERROR(VALUE(C165)*F165,IF(AND(Bid?,NOT(Awd?),$D165="LPSM"),"$",F165))</f>
        <v/>
      </c>
      <c r="H165" s="374"/>
      <c r="I165" s="217" t="str">
        <f ca="1">IFERROR(VALUE(SUBSTITUTE(OFFSET(I165,-1,0)," "&amp;$D165,""))*$F165,"")</f>
        <v/>
      </c>
      <c r="J165" s="215" t="str">
        <f ca="1">IFERROR(VALUE(SUBSTITUTE(OFFSET(J165,-1,0)," "&amp;$D165,""))*$F165,"")</f>
        <v/>
      </c>
      <c r="K165" s="215" t="str">
        <f t="shared" ref="K165:M165" ca="1" si="162">IFERROR(VALUE(SUBSTITUTE(OFFSET(K165,-1,0)," "&amp;$D165,""))*$F165,"")</f>
        <v/>
      </c>
      <c r="L165" s="215" t="str">
        <f t="shared" ca="1" si="162"/>
        <v/>
      </c>
      <c r="M165" s="215" t="str">
        <f t="shared" ca="1" si="162"/>
        <v/>
      </c>
      <c r="N165" s="215" t="str">
        <f ca="1">IFERROR(VALUE(SUBSTITUTE(OFFSET(N165,-1,0)," "&amp;$D165,""))*$F165,"")</f>
        <v/>
      </c>
      <c r="O165" s="215" t="str">
        <f ca="1">IFERROR(VALUE(SUBSTITUTE(OFFSET(O165,-1,0)," "&amp;$D165,""))*$F165,"")</f>
        <v/>
      </c>
      <c r="P165" s="209" t="str">
        <f ca="1">IF(LEN(B165)&gt;0,ISNUMBER(MATCH(B165,Proposed[Item],0)),"")</f>
        <v/>
      </c>
    </row>
    <row r="166" spans="1:16" ht="15" x14ac:dyDescent="0.2">
      <c r="A166" s="276">
        <f t="shared" ca="1" si="132"/>
        <v>80</v>
      </c>
      <c r="B166" s="168" t="str">
        <f ca="1">IFERROR(INDEX(INDIRECT(RangeItems),MATCH($A166,INDIRECT(RangeEstCount),0)),"")</f>
        <v/>
      </c>
      <c r="C166" s="365" t="str">
        <f ca="1">IFERROR(INDEX(Calcs[Description],INDEX(INDIRECT(RangeCount),MATCH($A166,INDIRECT(RangeEstCount),0))),"")</f>
        <v/>
      </c>
      <c r="D166" s="365"/>
      <c r="E166" s="365"/>
      <c r="F166" s="365"/>
      <c r="G166" s="365"/>
      <c r="H166" s="375" t="str">
        <f ca="1">IF(AND(Bid?,NOT(Awd?)),C166,OFFSET(F166,1,0))</f>
        <v/>
      </c>
      <c r="I166" s="216" t="str">
        <f t="shared" ref="I166:O166" ca="1" si="163">IFERROR(SUM(OFFSET(INDIRECT(RangeQuantity),MATCH($A166,INDIRECT(RangeEstCount),0)-1,COLUMN(I166)-COLUMN($H166),1,1))&amp;" "&amp;OFFSET($D166,1,0),"")</f>
        <v/>
      </c>
      <c r="J166" s="277" t="str">
        <f t="shared" ca="1" si="163"/>
        <v/>
      </c>
      <c r="K166" s="277" t="str">
        <f t="shared" ca="1" si="163"/>
        <v/>
      </c>
      <c r="L166" s="277" t="str">
        <f t="shared" ca="1" si="163"/>
        <v/>
      </c>
      <c r="M166" s="277" t="str">
        <f t="shared" ca="1" si="163"/>
        <v/>
      </c>
      <c r="N166" s="277" t="str">
        <f t="shared" ca="1" si="163"/>
        <v/>
      </c>
      <c r="O166" s="277" t="str">
        <f t="shared" ca="1" si="163"/>
        <v/>
      </c>
      <c r="P166" s="209" t="str">
        <f ca="1">IF(LEN(B166)&gt;0,ISNUMBER(MATCH(B166,Proposed[Item],0)),"")</f>
        <v/>
      </c>
    </row>
    <row r="167" spans="1:16" ht="15" x14ac:dyDescent="0.2">
      <c r="A167" s="276">
        <f t="shared" ca="1" si="132"/>
        <v>80</v>
      </c>
      <c r="B167" s="111" t="str">
        <f ca="1">IFERROR("Line "&amp;INDEX(Calcs[Line],INDEX(INDIRECT(RangeCount),MATCH($A167,INDIRECT(RangeEstCount),0))),"")</f>
        <v/>
      </c>
      <c r="C167" s="169" t="str">
        <f ca="1">IFERROR(IF(AND($D167="LPSM",Bid?,All?),"ALL",TEXT(OFFSET(INDIRECT(RangeQuantity),MATCH($A167,INDIRECT(RangeEstCount),0)-1,MATCH(Account,Accounts,0)-1,1,1),IF($D167="LPSM","0%","#,##0"&amp;IF(OFFSET(Items[#Data],MATCH($A167,INDIRECT(RangeEstCount),0)-1,MATCH(Decimals,Items[#Headers],0)-1,1,1)&gt;0,"."&amp;REPT("0",OFFSET(Items[#Data],MATCH($A167,INDIRECT(RangeEstCount),0)-1,MATCH(Decimals,Items[#Headers],0)-1,1,1)),"")))),"")</f>
        <v/>
      </c>
      <c r="D167" s="170" t="str">
        <f ca="1">IFERROR(INDEX(INDIRECT(RangeUnit),MATCH($A167,INDIRECT(RangeEstCount),0))&amp;SUBSTITUTE(" ["&amp;INDEX(INDIRECT(RangeAmend),MATCH($A167,INDIRECT(RangeEstCount),0))&amp;"]"," []",""),"")</f>
        <v/>
      </c>
      <c r="E167" s="170" t="str">
        <f ca="1">IFERROR(IF(INDEX(INDIRECT(RangeContrQty),MATCH($A167,INDIRECT(RangeEstCount),0)),"(CQ)",""),"")</f>
        <v/>
      </c>
      <c r="F167" s="171" t="str">
        <f ca="1">IFERROR(IF(OR(NOT(Bid?),LEFT(UPPER($D167),4)="FXHR"),INDEX(INDIRECT(RangeUnitPrice),MATCH($A167,INDIRECT(RangeEstCount),0)),IF(Awd?,OFFSET(TabAmount,MATCH(INDEX(INDIRECT(RangeCount),MATCH($A167,INDIRECT(RangeEstCount),0)),OFFSET(TabCount,1,0,2*NumPayItems,1),0),MATCH(Awarded2,Bidders,0)),IF(OR($C167="",$D167="LPSM"),"","$"))),"")</f>
        <v/>
      </c>
      <c r="G167" s="171" t="str">
        <f ca="1">IFERROR(VALUE(C167)*F167,IF(AND(Bid?,NOT(Awd?),$D167="LPSM"),"$",F167))</f>
        <v/>
      </c>
      <c r="H167" s="374"/>
      <c r="I167" s="217" t="str">
        <f ca="1">IFERROR(VALUE(SUBSTITUTE(OFFSET(I167,-1,0)," "&amp;$D167,""))*$F167,"")</f>
        <v/>
      </c>
      <c r="J167" s="215" t="str">
        <f ca="1">IFERROR(VALUE(SUBSTITUTE(OFFSET(J167,-1,0)," "&amp;$D167,""))*$F167,"")</f>
        <v/>
      </c>
      <c r="K167" s="215" t="str">
        <f t="shared" ref="K167:M167" ca="1" si="164">IFERROR(VALUE(SUBSTITUTE(OFFSET(K167,-1,0)," "&amp;$D167,""))*$F167,"")</f>
        <v/>
      </c>
      <c r="L167" s="215" t="str">
        <f t="shared" ca="1" si="164"/>
        <v/>
      </c>
      <c r="M167" s="215" t="str">
        <f t="shared" ca="1" si="164"/>
        <v/>
      </c>
      <c r="N167" s="215" t="str">
        <f ca="1">IFERROR(VALUE(SUBSTITUTE(OFFSET(N167,-1,0)," "&amp;$D167,""))*$F167,"")</f>
        <v/>
      </c>
      <c r="O167" s="215" t="str">
        <f ca="1">IFERROR(VALUE(SUBSTITUTE(OFFSET(O167,-1,0)," "&amp;$D167,""))*$F167,"")</f>
        <v/>
      </c>
      <c r="P167" s="209" t="str">
        <f ca="1">IF(LEN(B167)&gt;0,ISNUMBER(MATCH(B167,Proposed[Item],0)),"")</f>
        <v/>
      </c>
    </row>
    <row r="168" spans="1:16" ht="15" x14ac:dyDescent="0.2">
      <c r="A168" s="276">
        <f t="shared" ca="1" si="132"/>
        <v>81</v>
      </c>
      <c r="B168" s="168" t="str">
        <f ca="1">IFERROR(INDEX(INDIRECT(RangeItems),MATCH($A168,INDIRECT(RangeEstCount),0)),"")</f>
        <v/>
      </c>
      <c r="C168" s="365" t="str">
        <f ca="1">IFERROR(INDEX(Calcs[Description],INDEX(INDIRECT(RangeCount),MATCH($A168,INDIRECT(RangeEstCount),0))),"")</f>
        <v/>
      </c>
      <c r="D168" s="365"/>
      <c r="E168" s="365"/>
      <c r="F168" s="365"/>
      <c r="G168" s="365"/>
      <c r="H168" s="375" t="str">
        <f ca="1">IF(AND(Bid?,NOT(Awd?)),C168,OFFSET(F168,1,0))</f>
        <v/>
      </c>
      <c r="I168" s="216" t="str">
        <f t="shared" ref="I168:O168" ca="1" si="165">IFERROR(SUM(OFFSET(INDIRECT(RangeQuantity),MATCH($A168,INDIRECT(RangeEstCount),0)-1,COLUMN(I168)-COLUMN($H168),1,1))&amp;" "&amp;OFFSET($D168,1,0),"")</f>
        <v/>
      </c>
      <c r="J168" s="277" t="str">
        <f t="shared" ca="1" si="165"/>
        <v/>
      </c>
      <c r="K168" s="277" t="str">
        <f t="shared" ca="1" si="165"/>
        <v/>
      </c>
      <c r="L168" s="277" t="str">
        <f t="shared" ca="1" si="165"/>
        <v/>
      </c>
      <c r="M168" s="277" t="str">
        <f t="shared" ca="1" si="165"/>
        <v/>
      </c>
      <c r="N168" s="277" t="str">
        <f t="shared" ca="1" si="165"/>
        <v/>
      </c>
      <c r="O168" s="277" t="str">
        <f t="shared" ca="1" si="165"/>
        <v/>
      </c>
      <c r="P168" s="209" t="str">
        <f ca="1">IF(LEN(B168)&gt;0,ISNUMBER(MATCH(B168,Proposed[Item],0)),"")</f>
        <v/>
      </c>
    </row>
    <row r="169" spans="1:16" ht="15" x14ac:dyDescent="0.2">
      <c r="A169" s="276">
        <f t="shared" ca="1" si="132"/>
        <v>81</v>
      </c>
      <c r="B169" s="111" t="str">
        <f ca="1">IFERROR("Line "&amp;INDEX(Calcs[Line],INDEX(INDIRECT(RangeCount),MATCH($A169,INDIRECT(RangeEstCount),0))),"")</f>
        <v/>
      </c>
      <c r="C169" s="169" t="str">
        <f ca="1">IFERROR(IF(AND($D169="LPSM",Bid?,All?),"ALL",TEXT(OFFSET(INDIRECT(RangeQuantity),MATCH($A169,INDIRECT(RangeEstCount),0)-1,MATCH(Account,Accounts,0)-1,1,1),IF($D169="LPSM","0%","#,##0"&amp;IF(OFFSET(Items[#Data],MATCH($A169,INDIRECT(RangeEstCount),0)-1,MATCH(Decimals,Items[#Headers],0)-1,1,1)&gt;0,"."&amp;REPT("0",OFFSET(Items[#Data],MATCH($A169,INDIRECT(RangeEstCount),0)-1,MATCH(Decimals,Items[#Headers],0)-1,1,1)),"")))),"")</f>
        <v/>
      </c>
      <c r="D169" s="170" t="str">
        <f ca="1">IFERROR(INDEX(INDIRECT(RangeUnit),MATCH($A169,INDIRECT(RangeEstCount),0))&amp;SUBSTITUTE(" ["&amp;INDEX(INDIRECT(RangeAmend),MATCH($A169,INDIRECT(RangeEstCount),0))&amp;"]"," []",""),"")</f>
        <v/>
      </c>
      <c r="E169" s="170" t="str">
        <f ca="1">IFERROR(IF(INDEX(INDIRECT(RangeContrQty),MATCH($A169,INDIRECT(RangeEstCount),0)),"(CQ)",""),"")</f>
        <v/>
      </c>
      <c r="F169" s="171" t="str">
        <f ca="1">IFERROR(IF(OR(NOT(Bid?),LEFT(UPPER($D169),4)="FXHR"),INDEX(INDIRECT(RangeUnitPrice),MATCH($A169,INDIRECT(RangeEstCount),0)),IF(Awd?,OFFSET(TabAmount,MATCH(INDEX(INDIRECT(RangeCount),MATCH($A169,INDIRECT(RangeEstCount),0)),OFFSET(TabCount,1,0,2*NumPayItems,1),0),MATCH(Awarded2,Bidders,0)),IF(OR($C169="",$D169="LPSM"),"","$"))),"")</f>
        <v/>
      </c>
      <c r="G169" s="171" t="str">
        <f ca="1">IFERROR(VALUE(C169)*F169,IF(AND(Bid?,NOT(Awd?),$D169="LPSM"),"$",F169))</f>
        <v/>
      </c>
      <c r="H169" s="374"/>
      <c r="I169" s="217" t="str">
        <f ca="1">IFERROR(VALUE(SUBSTITUTE(OFFSET(I169,-1,0)," "&amp;$D169,""))*$F169,"")</f>
        <v/>
      </c>
      <c r="J169" s="215" t="str">
        <f ca="1">IFERROR(VALUE(SUBSTITUTE(OFFSET(J169,-1,0)," "&amp;$D169,""))*$F169,"")</f>
        <v/>
      </c>
      <c r="K169" s="215" t="str">
        <f t="shared" ref="K169:M169" ca="1" si="166">IFERROR(VALUE(SUBSTITUTE(OFFSET(K169,-1,0)," "&amp;$D169,""))*$F169,"")</f>
        <v/>
      </c>
      <c r="L169" s="215" t="str">
        <f t="shared" ca="1" si="166"/>
        <v/>
      </c>
      <c r="M169" s="215" t="str">
        <f t="shared" ca="1" si="166"/>
        <v/>
      </c>
      <c r="N169" s="215" t="str">
        <f ca="1">IFERROR(VALUE(SUBSTITUTE(OFFSET(N169,-1,0)," "&amp;$D169,""))*$F169,"")</f>
        <v/>
      </c>
      <c r="O169" s="215" t="str">
        <f ca="1">IFERROR(VALUE(SUBSTITUTE(OFFSET(O169,-1,0)," "&amp;$D169,""))*$F169,"")</f>
        <v/>
      </c>
      <c r="P169" s="209" t="str">
        <f ca="1">IF(LEN(B169)&gt;0,ISNUMBER(MATCH(B169,Proposed[Item],0)),"")</f>
        <v/>
      </c>
    </row>
    <row r="170" spans="1:16" ht="15" x14ac:dyDescent="0.2">
      <c r="A170" s="276">
        <f t="shared" ca="1" si="132"/>
        <v>82</v>
      </c>
      <c r="B170" s="168" t="str">
        <f ca="1">IFERROR(INDEX(INDIRECT(RangeItems),MATCH($A170,INDIRECT(RangeEstCount),0)),"")</f>
        <v/>
      </c>
      <c r="C170" s="365" t="str">
        <f ca="1">IFERROR(INDEX(Calcs[Description],INDEX(INDIRECT(RangeCount),MATCH($A170,INDIRECT(RangeEstCount),0))),"")</f>
        <v/>
      </c>
      <c r="D170" s="365"/>
      <c r="E170" s="365"/>
      <c r="F170" s="365"/>
      <c r="G170" s="365"/>
      <c r="H170" s="375" t="str">
        <f ca="1">IF(AND(Bid?,NOT(Awd?)),C170,OFFSET(F170,1,0))</f>
        <v/>
      </c>
      <c r="I170" s="216" t="str">
        <f t="shared" ref="I170:O170" ca="1" si="167">IFERROR(SUM(OFFSET(INDIRECT(RangeQuantity),MATCH($A170,INDIRECT(RangeEstCount),0)-1,COLUMN(I170)-COLUMN($H170),1,1))&amp;" "&amp;OFFSET($D170,1,0),"")</f>
        <v/>
      </c>
      <c r="J170" s="277" t="str">
        <f t="shared" ca="1" si="167"/>
        <v/>
      </c>
      <c r="K170" s="277" t="str">
        <f t="shared" ca="1" si="167"/>
        <v/>
      </c>
      <c r="L170" s="277" t="str">
        <f t="shared" ca="1" si="167"/>
        <v/>
      </c>
      <c r="M170" s="277" t="str">
        <f t="shared" ca="1" si="167"/>
        <v/>
      </c>
      <c r="N170" s="277" t="str">
        <f t="shared" ca="1" si="167"/>
        <v/>
      </c>
      <c r="O170" s="277" t="str">
        <f t="shared" ca="1" si="167"/>
        <v/>
      </c>
      <c r="P170" s="209" t="str">
        <f ca="1">IF(LEN(B170)&gt;0,ISNUMBER(MATCH(B170,Proposed[Item],0)),"")</f>
        <v/>
      </c>
    </row>
    <row r="171" spans="1:16" ht="15" x14ac:dyDescent="0.2">
      <c r="A171" s="276">
        <f t="shared" ca="1" si="132"/>
        <v>82</v>
      </c>
      <c r="B171" s="111" t="str">
        <f ca="1">IFERROR("Line "&amp;INDEX(Calcs[Line],INDEX(INDIRECT(RangeCount),MATCH($A171,INDIRECT(RangeEstCount),0))),"")</f>
        <v/>
      </c>
      <c r="C171" s="169" t="str">
        <f ca="1">IFERROR(IF(AND($D171="LPSM",Bid?,All?),"ALL",TEXT(OFFSET(INDIRECT(RangeQuantity),MATCH($A171,INDIRECT(RangeEstCount),0)-1,MATCH(Account,Accounts,0)-1,1,1),IF($D171="LPSM","0%","#,##0"&amp;IF(OFFSET(Items[#Data],MATCH($A171,INDIRECT(RangeEstCount),0)-1,MATCH(Decimals,Items[#Headers],0)-1,1,1)&gt;0,"."&amp;REPT("0",OFFSET(Items[#Data],MATCH($A171,INDIRECT(RangeEstCount),0)-1,MATCH(Decimals,Items[#Headers],0)-1,1,1)),"")))),"")</f>
        <v/>
      </c>
      <c r="D171" s="170" t="str">
        <f ca="1">IFERROR(INDEX(INDIRECT(RangeUnit),MATCH($A171,INDIRECT(RangeEstCount),0))&amp;SUBSTITUTE(" ["&amp;INDEX(INDIRECT(RangeAmend),MATCH($A171,INDIRECT(RangeEstCount),0))&amp;"]"," []",""),"")</f>
        <v/>
      </c>
      <c r="E171" s="170" t="str">
        <f ca="1">IFERROR(IF(INDEX(INDIRECT(RangeContrQty),MATCH($A171,INDIRECT(RangeEstCount),0)),"(CQ)",""),"")</f>
        <v/>
      </c>
      <c r="F171" s="171" t="str">
        <f ca="1">IFERROR(IF(OR(NOT(Bid?),LEFT(UPPER($D171),4)="FXHR"),INDEX(INDIRECT(RangeUnitPrice),MATCH($A171,INDIRECT(RangeEstCount),0)),IF(Awd?,OFFSET(TabAmount,MATCH(INDEX(INDIRECT(RangeCount),MATCH($A171,INDIRECT(RangeEstCount),0)),OFFSET(TabCount,1,0,2*NumPayItems,1),0),MATCH(Awarded2,Bidders,0)),IF(OR($C171="",$D171="LPSM"),"","$"))),"")</f>
        <v/>
      </c>
      <c r="G171" s="171" t="str">
        <f ca="1">IFERROR(VALUE(C171)*F171,IF(AND(Bid?,NOT(Awd?),$D171="LPSM"),"$",F171))</f>
        <v/>
      </c>
      <c r="H171" s="374"/>
      <c r="I171" s="217" t="str">
        <f ca="1">IFERROR(VALUE(SUBSTITUTE(OFFSET(I171,-1,0)," "&amp;$D171,""))*$F171,"")</f>
        <v/>
      </c>
      <c r="J171" s="215" t="str">
        <f ca="1">IFERROR(VALUE(SUBSTITUTE(OFFSET(J171,-1,0)," "&amp;$D171,""))*$F171,"")</f>
        <v/>
      </c>
      <c r="K171" s="215" t="str">
        <f t="shared" ref="K171:M171" ca="1" si="168">IFERROR(VALUE(SUBSTITUTE(OFFSET(K171,-1,0)," "&amp;$D171,""))*$F171,"")</f>
        <v/>
      </c>
      <c r="L171" s="215" t="str">
        <f t="shared" ca="1" si="168"/>
        <v/>
      </c>
      <c r="M171" s="215" t="str">
        <f t="shared" ca="1" si="168"/>
        <v/>
      </c>
      <c r="N171" s="215" t="str">
        <f ca="1">IFERROR(VALUE(SUBSTITUTE(OFFSET(N171,-1,0)," "&amp;$D171,""))*$F171,"")</f>
        <v/>
      </c>
      <c r="O171" s="215" t="str">
        <f ca="1">IFERROR(VALUE(SUBSTITUTE(OFFSET(O171,-1,0)," "&amp;$D171,""))*$F171,"")</f>
        <v/>
      </c>
      <c r="P171" s="209" t="str">
        <f ca="1">IF(LEN(B171)&gt;0,ISNUMBER(MATCH(B171,Proposed[Item],0)),"")</f>
        <v/>
      </c>
    </row>
    <row r="172" spans="1:16" ht="15" x14ac:dyDescent="0.2">
      <c r="A172" s="276">
        <f t="shared" ca="1" si="132"/>
        <v>83</v>
      </c>
      <c r="B172" s="168" t="str">
        <f ca="1">IFERROR(INDEX(INDIRECT(RangeItems),MATCH($A172,INDIRECT(RangeEstCount),0)),"")</f>
        <v/>
      </c>
      <c r="C172" s="365" t="str">
        <f ca="1">IFERROR(INDEX(Calcs[Description],INDEX(INDIRECT(RangeCount),MATCH($A172,INDIRECT(RangeEstCount),0))),"")</f>
        <v/>
      </c>
      <c r="D172" s="365"/>
      <c r="E172" s="365"/>
      <c r="F172" s="365"/>
      <c r="G172" s="365"/>
      <c r="H172" s="375" t="str">
        <f ca="1">IF(AND(Bid?,NOT(Awd?)),C172,OFFSET(F172,1,0))</f>
        <v/>
      </c>
      <c r="I172" s="216" t="str">
        <f t="shared" ref="I172:O172" ca="1" si="169">IFERROR(SUM(OFFSET(INDIRECT(RangeQuantity),MATCH($A172,INDIRECT(RangeEstCount),0)-1,COLUMN(I172)-COLUMN($H172),1,1))&amp;" "&amp;OFFSET($D172,1,0),"")</f>
        <v/>
      </c>
      <c r="J172" s="277" t="str">
        <f t="shared" ca="1" si="169"/>
        <v/>
      </c>
      <c r="K172" s="277" t="str">
        <f t="shared" ca="1" si="169"/>
        <v/>
      </c>
      <c r="L172" s="277" t="str">
        <f t="shared" ca="1" si="169"/>
        <v/>
      </c>
      <c r="M172" s="277" t="str">
        <f t="shared" ca="1" si="169"/>
        <v/>
      </c>
      <c r="N172" s="277" t="str">
        <f t="shared" ca="1" si="169"/>
        <v/>
      </c>
      <c r="O172" s="277" t="str">
        <f t="shared" ca="1" si="169"/>
        <v/>
      </c>
      <c r="P172" s="209" t="str">
        <f ca="1">IF(LEN(B172)&gt;0,ISNUMBER(MATCH(B172,Proposed[Item],0)),"")</f>
        <v/>
      </c>
    </row>
    <row r="173" spans="1:16" ht="15" x14ac:dyDescent="0.2">
      <c r="A173" s="276">
        <f t="shared" ca="1" si="132"/>
        <v>83</v>
      </c>
      <c r="B173" s="111" t="str">
        <f ca="1">IFERROR("Line "&amp;INDEX(Calcs[Line],INDEX(INDIRECT(RangeCount),MATCH($A173,INDIRECT(RangeEstCount),0))),"")</f>
        <v/>
      </c>
      <c r="C173" s="169" t="str">
        <f ca="1">IFERROR(IF(AND($D173="LPSM",Bid?,All?),"ALL",TEXT(OFFSET(INDIRECT(RangeQuantity),MATCH($A173,INDIRECT(RangeEstCount),0)-1,MATCH(Account,Accounts,0)-1,1,1),IF($D173="LPSM","0%","#,##0"&amp;IF(OFFSET(Items[#Data],MATCH($A173,INDIRECT(RangeEstCount),0)-1,MATCH(Decimals,Items[#Headers],0)-1,1,1)&gt;0,"."&amp;REPT("0",OFFSET(Items[#Data],MATCH($A173,INDIRECT(RangeEstCount),0)-1,MATCH(Decimals,Items[#Headers],0)-1,1,1)),"")))),"")</f>
        <v/>
      </c>
      <c r="D173" s="170" t="str">
        <f ca="1">IFERROR(INDEX(INDIRECT(RangeUnit),MATCH($A173,INDIRECT(RangeEstCount),0))&amp;SUBSTITUTE(" ["&amp;INDEX(INDIRECT(RangeAmend),MATCH($A173,INDIRECT(RangeEstCount),0))&amp;"]"," []",""),"")</f>
        <v/>
      </c>
      <c r="E173" s="170" t="str">
        <f ca="1">IFERROR(IF(INDEX(INDIRECT(RangeContrQty),MATCH($A173,INDIRECT(RangeEstCount),0)),"(CQ)",""),"")</f>
        <v/>
      </c>
      <c r="F173" s="171" t="str">
        <f ca="1">IFERROR(IF(OR(NOT(Bid?),LEFT(UPPER($D173),4)="FXHR"),INDEX(INDIRECT(RangeUnitPrice),MATCH($A173,INDIRECT(RangeEstCount),0)),IF(Awd?,OFFSET(TabAmount,MATCH(INDEX(INDIRECT(RangeCount),MATCH($A173,INDIRECT(RangeEstCount),0)),OFFSET(TabCount,1,0,2*NumPayItems,1),0),MATCH(Awarded2,Bidders,0)),IF(OR($C173="",$D173="LPSM"),"","$"))),"")</f>
        <v/>
      </c>
      <c r="G173" s="171" t="str">
        <f ca="1">IFERROR(VALUE(C173)*F173,IF(AND(Bid?,NOT(Awd?),$D173="LPSM"),"$",F173))</f>
        <v/>
      </c>
      <c r="H173" s="374"/>
      <c r="I173" s="217" t="str">
        <f ca="1">IFERROR(VALUE(SUBSTITUTE(OFFSET(I173,-1,0)," "&amp;$D173,""))*$F173,"")</f>
        <v/>
      </c>
      <c r="J173" s="215" t="str">
        <f ca="1">IFERROR(VALUE(SUBSTITUTE(OFFSET(J173,-1,0)," "&amp;$D173,""))*$F173,"")</f>
        <v/>
      </c>
      <c r="K173" s="215" t="str">
        <f t="shared" ref="K173:M173" ca="1" si="170">IFERROR(VALUE(SUBSTITUTE(OFFSET(K173,-1,0)," "&amp;$D173,""))*$F173,"")</f>
        <v/>
      </c>
      <c r="L173" s="215" t="str">
        <f t="shared" ca="1" si="170"/>
        <v/>
      </c>
      <c r="M173" s="215" t="str">
        <f t="shared" ca="1" si="170"/>
        <v/>
      </c>
      <c r="N173" s="215" t="str">
        <f ca="1">IFERROR(VALUE(SUBSTITUTE(OFFSET(N173,-1,0)," "&amp;$D173,""))*$F173,"")</f>
        <v/>
      </c>
      <c r="O173" s="215" t="str">
        <f ca="1">IFERROR(VALUE(SUBSTITUTE(OFFSET(O173,-1,0)," "&amp;$D173,""))*$F173,"")</f>
        <v/>
      </c>
      <c r="P173" s="209" t="str">
        <f ca="1">IF(LEN(B173)&gt;0,ISNUMBER(MATCH(B173,Proposed[Item],0)),"")</f>
        <v/>
      </c>
    </row>
    <row r="174" spans="1:16" ht="15" x14ac:dyDescent="0.2">
      <c r="A174" s="276">
        <f t="shared" ca="1" si="132"/>
        <v>84</v>
      </c>
      <c r="B174" s="168" t="str">
        <f ca="1">IFERROR(INDEX(INDIRECT(RangeItems),MATCH($A174,INDIRECT(RangeEstCount),0)),"")</f>
        <v/>
      </c>
      <c r="C174" s="365" t="str">
        <f ca="1">IFERROR(INDEX(Calcs[Description],INDEX(INDIRECT(RangeCount),MATCH($A174,INDIRECT(RangeEstCount),0))),"")</f>
        <v/>
      </c>
      <c r="D174" s="365"/>
      <c r="E174" s="365"/>
      <c r="F174" s="365"/>
      <c r="G174" s="365"/>
      <c r="H174" s="375" t="str">
        <f ca="1">IF(AND(Bid?,NOT(Awd?)),C174,OFFSET(F174,1,0))</f>
        <v/>
      </c>
      <c r="I174" s="216" t="str">
        <f t="shared" ref="I174:O174" ca="1" si="171">IFERROR(SUM(OFFSET(INDIRECT(RangeQuantity),MATCH($A174,INDIRECT(RangeEstCount),0)-1,COLUMN(I174)-COLUMN($H174),1,1))&amp;" "&amp;OFFSET($D174,1,0),"")</f>
        <v/>
      </c>
      <c r="J174" s="277" t="str">
        <f t="shared" ca="1" si="171"/>
        <v/>
      </c>
      <c r="K174" s="277" t="str">
        <f t="shared" ca="1" si="171"/>
        <v/>
      </c>
      <c r="L174" s="277" t="str">
        <f t="shared" ca="1" si="171"/>
        <v/>
      </c>
      <c r="M174" s="277" t="str">
        <f t="shared" ca="1" si="171"/>
        <v/>
      </c>
      <c r="N174" s="277" t="str">
        <f t="shared" ca="1" si="171"/>
        <v/>
      </c>
      <c r="O174" s="277" t="str">
        <f t="shared" ca="1" si="171"/>
        <v/>
      </c>
      <c r="P174" s="209" t="str">
        <f ca="1">IF(LEN(B174)&gt;0,ISNUMBER(MATCH(B174,Proposed[Item],0)),"")</f>
        <v/>
      </c>
    </row>
    <row r="175" spans="1:16" ht="15" x14ac:dyDescent="0.2">
      <c r="A175" s="276">
        <f t="shared" ca="1" si="132"/>
        <v>84</v>
      </c>
      <c r="B175" s="111" t="str">
        <f ca="1">IFERROR("Line "&amp;INDEX(Calcs[Line],INDEX(INDIRECT(RangeCount),MATCH($A175,INDIRECT(RangeEstCount),0))),"")</f>
        <v/>
      </c>
      <c r="C175" s="169" t="str">
        <f ca="1">IFERROR(IF(AND($D175="LPSM",Bid?,All?),"ALL",TEXT(OFFSET(INDIRECT(RangeQuantity),MATCH($A175,INDIRECT(RangeEstCount),0)-1,MATCH(Account,Accounts,0)-1,1,1),IF($D175="LPSM","0%","#,##0"&amp;IF(OFFSET(Items[#Data],MATCH($A175,INDIRECT(RangeEstCount),0)-1,MATCH(Decimals,Items[#Headers],0)-1,1,1)&gt;0,"."&amp;REPT("0",OFFSET(Items[#Data],MATCH($A175,INDIRECT(RangeEstCount),0)-1,MATCH(Decimals,Items[#Headers],0)-1,1,1)),"")))),"")</f>
        <v/>
      </c>
      <c r="D175" s="170" t="str">
        <f ca="1">IFERROR(INDEX(INDIRECT(RangeUnit),MATCH($A175,INDIRECT(RangeEstCount),0))&amp;SUBSTITUTE(" ["&amp;INDEX(INDIRECT(RangeAmend),MATCH($A175,INDIRECT(RangeEstCount),0))&amp;"]"," []",""),"")</f>
        <v/>
      </c>
      <c r="E175" s="170" t="str">
        <f ca="1">IFERROR(IF(INDEX(INDIRECT(RangeContrQty),MATCH($A175,INDIRECT(RangeEstCount),0)),"(CQ)",""),"")</f>
        <v/>
      </c>
      <c r="F175" s="171" t="str">
        <f ca="1">IFERROR(IF(OR(NOT(Bid?),LEFT(UPPER($D175),4)="FXHR"),INDEX(INDIRECT(RangeUnitPrice),MATCH($A175,INDIRECT(RangeEstCount),0)),IF(Awd?,OFFSET(TabAmount,MATCH(INDEX(INDIRECT(RangeCount),MATCH($A175,INDIRECT(RangeEstCount),0)),OFFSET(TabCount,1,0,2*NumPayItems,1),0),MATCH(Awarded2,Bidders,0)),IF(OR($C175="",$D175="LPSM"),"","$"))),"")</f>
        <v/>
      </c>
      <c r="G175" s="171" t="str">
        <f ca="1">IFERROR(VALUE(C175)*F175,IF(AND(Bid?,NOT(Awd?),$D175="LPSM"),"$",F175))</f>
        <v/>
      </c>
      <c r="H175" s="374"/>
      <c r="I175" s="217" t="str">
        <f ca="1">IFERROR(VALUE(SUBSTITUTE(OFFSET(I175,-1,0)," "&amp;$D175,""))*$F175,"")</f>
        <v/>
      </c>
      <c r="J175" s="215" t="str">
        <f ca="1">IFERROR(VALUE(SUBSTITUTE(OFFSET(J175,-1,0)," "&amp;$D175,""))*$F175,"")</f>
        <v/>
      </c>
      <c r="K175" s="215" t="str">
        <f t="shared" ref="K175:M175" ca="1" si="172">IFERROR(VALUE(SUBSTITUTE(OFFSET(K175,-1,0)," "&amp;$D175,""))*$F175,"")</f>
        <v/>
      </c>
      <c r="L175" s="215" t="str">
        <f t="shared" ca="1" si="172"/>
        <v/>
      </c>
      <c r="M175" s="215" t="str">
        <f t="shared" ca="1" si="172"/>
        <v/>
      </c>
      <c r="N175" s="215" t="str">
        <f ca="1">IFERROR(VALUE(SUBSTITUTE(OFFSET(N175,-1,0)," "&amp;$D175,""))*$F175,"")</f>
        <v/>
      </c>
      <c r="O175" s="215" t="str">
        <f ca="1">IFERROR(VALUE(SUBSTITUTE(OFFSET(O175,-1,0)," "&amp;$D175,""))*$F175,"")</f>
        <v/>
      </c>
      <c r="P175" s="209" t="str">
        <f ca="1">IF(LEN(B175)&gt;0,ISNUMBER(MATCH(B175,Proposed[Item],0)),"")</f>
        <v/>
      </c>
    </row>
    <row r="176" spans="1:16" ht="15" x14ac:dyDescent="0.2">
      <c r="A176" s="276">
        <f t="shared" ca="1" si="132"/>
        <v>85</v>
      </c>
      <c r="B176" s="168" t="str">
        <f ca="1">IFERROR(INDEX(INDIRECT(RangeItems),MATCH($A176,INDIRECT(RangeEstCount),0)),"")</f>
        <v/>
      </c>
      <c r="C176" s="365" t="str">
        <f ca="1">IFERROR(INDEX(Calcs[Description],INDEX(INDIRECT(RangeCount),MATCH($A176,INDIRECT(RangeEstCount),0))),"")</f>
        <v/>
      </c>
      <c r="D176" s="365"/>
      <c r="E176" s="365"/>
      <c r="F176" s="365"/>
      <c r="G176" s="365"/>
      <c r="H176" s="375" t="str">
        <f ca="1">IF(AND(Bid?,NOT(Awd?)),C176,OFFSET(F176,1,0))</f>
        <v/>
      </c>
      <c r="I176" s="216" t="str">
        <f t="shared" ref="I176:O176" ca="1" si="173">IFERROR(SUM(OFFSET(INDIRECT(RangeQuantity),MATCH($A176,INDIRECT(RangeEstCount),0)-1,COLUMN(I176)-COLUMN($H176),1,1))&amp;" "&amp;OFFSET($D176,1,0),"")</f>
        <v/>
      </c>
      <c r="J176" s="277" t="str">
        <f t="shared" ca="1" si="173"/>
        <v/>
      </c>
      <c r="K176" s="277" t="str">
        <f t="shared" ca="1" si="173"/>
        <v/>
      </c>
      <c r="L176" s="277" t="str">
        <f t="shared" ca="1" si="173"/>
        <v/>
      </c>
      <c r="M176" s="277" t="str">
        <f t="shared" ca="1" si="173"/>
        <v/>
      </c>
      <c r="N176" s="277" t="str">
        <f t="shared" ca="1" si="173"/>
        <v/>
      </c>
      <c r="O176" s="277" t="str">
        <f t="shared" ca="1" si="173"/>
        <v/>
      </c>
      <c r="P176" s="209" t="str">
        <f ca="1">IF(LEN(B176)&gt;0,ISNUMBER(MATCH(B176,Proposed[Item],0)),"")</f>
        <v/>
      </c>
    </row>
    <row r="177" spans="1:16" ht="15" x14ac:dyDescent="0.2">
      <c r="A177" s="276">
        <f t="shared" ca="1" si="132"/>
        <v>85</v>
      </c>
      <c r="B177" s="111" t="str">
        <f ca="1">IFERROR("Line "&amp;INDEX(Calcs[Line],INDEX(INDIRECT(RangeCount),MATCH($A177,INDIRECT(RangeEstCount),0))),"")</f>
        <v/>
      </c>
      <c r="C177" s="169" t="str">
        <f ca="1">IFERROR(IF(AND($D177="LPSM",Bid?,All?),"ALL",TEXT(OFFSET(INDIRECT(RangeQuantity),MATCH($A177,INDIRECT(RangeEstCount),0)-1,MATCH(Account,Accounts,0)-1,1,1),IF($D177="LPSM","0%","#,##0"&amp;IF(OFFSET(Items[#Data],MATCH($A177,INDIRECT(RangeEstCount),0)-1,MATCH(Decimals,Items[#Headers],0)-1,1,1)&gt;0,"."&amp;REPT("0",OFFSET(Items[#Data],MATCH($A177,INDIRECT(RangeEstCount),0)-1,MATCH(Decimals,Items[#Headers],0)-1,1,1)),"")))),"")</f>
        <v/>
      </c>
      <c r="D177" s="170" t="str">
        <f ca="1">IFERROR(INDEX(INDIRECT(RangeUnit),MATCH($A177,INDIRECT(RangeEstCount),0))&amp;SUBSTITUTE(" ["&amp;INDEX(INDIRECT(RangeAmend),MATCH($A177,INDIRECT(RangeEstCount),0))&amp;"]"," []",""),"")</f>
        <v/>
      </c>
      <c r="E177" s="170" t="str">
        <f ca="1">IFERROR(IF(INDEX(INDIRECT(RangeContrQty),MATCH($A177,INDIRECT(RangeEstCount),0)),"(CQ)",""),"")</f>
        <v/>
      </c>
      <c r="F177" s="171" t="str">
        <f ca="1">IFERROR(IF(OR(NOT(Bid?),LEFT(UPPER($D177),4)="FXHR"),INDEX(INDIRECT(RangeUnitPrice),MATCH($A177,INDIRECT(RangeEstCount),0)),IF(Awd?,OFFSET(TabAmount,MATCH(INDEX(INDIRECT(RangeCount),MATCH($A177,INDIRECT(RangeEstCount),0)),OFFSET(TabCount,1,0,2*NumPayItems,1),0),MATCH(Awarded2,Bidders,0)),IF(OR($C177="",$D177="LPSM"),"","$"))),"")</f>
        <v/>
      </c>
      <c r="G177" s="171" t="str">
        <f ca="1">IFERROR(VALUE(C177)*F177,IF(AND(Bid?,NOT(Awd?),$D177="LPSM"),"$",F177))</f>
        <v/>
      </c>
      <c r="H177" s="374"/>
      <c r="I177" s="217" t="str">
        <f ca="1">IFERROR(VALUE(SUBSTITUTE(OFFSET(I177,-1,0)," "&amp;$D177,""))*$F177,"")</f>
        <v/>
      </c>
      <c r="J177" s="215" t="str">
        <f ca="1">IFERROR(VALUE(SUBSTITUTE(OFFSET(J177,-1,0)," "&amp;$D177,""))*$F177,"")</f>
        <v/>
      </c>
      <c r="K177" s="215" t="str">
        <f t="shared" ref="K177:M177" ca="1" si="174">IFERROR(VALUE(SUBSTITUTE(OFFSET(K177,-1,0)," "&amp;$D177,""))*$F177,"")</f>
        <v/>
      </c>
      <c r="L177" s="215" t="str">
        <f t="shared" ca="1" si="174"/>
        <v/>
      </c>
      <c r="M177" s="215" t="str">
        <f t="shared" ca="1" si="174"/>
        <v/>
      </c>
      <c r="N177" s="215" t="str">
        <f ca="1">IFERROR(VALUE(SUBSTITUTE(OFFSET(N177,-1,0)," "&amp;$D177,""))*$F177,"")</f>
        <v/>
      </c>
      <c r="O177" s="215" t="str">
        <f ca="1">IFERROR(VALUE(SUBSTITUTE(OFFSET(O177,-1,0)," "&amp;$D177,""))*$F177,"")</f>
        <v/>
      </c>
      <c r="P177" s="209" t="str">
        <f ca="1">IF(LEN(B177)&gt;0,ISNUMBER(MATCH(B177,Proposed[Item],0)),"")</f>
        <v/>
      </c>
    </row>
    <row r="178" spans="1:16" ht="15" x14ac:dyDescent="0.2">
      <c r="A178" s="276">
        <f t="shared" ca="1" si="132"/>
        <v>86</v>
      </c>
      <c r="B178" s="168" t="str">
        <f ca="1">IFERROR(INDEX(INDIRECT(RangeItems),MATCH($A178,INDIRECT(RangeEstCount),0)),"")</f>
        <v/>
      </c>
      <c r="C178" s="365" t="str">
        <f ca="1">IFERROR(INDEX(Calcs[Description],INDEX(INDIRECT(RangeCount),MATCH($A178,INDIRECT(RangeEstCount),0))),"")</f>
        <v/>
      </c>
      <c r="D178" s="365"/>
      <c r="E178" s="365"/>
      <c r="F178" s="365"/>
      <c r="G178" s="365"/>
      <c r="H178" s="375" t="str">
        <f ca="1">IF(AND(Bid?,NOT(Awd?)),C178,OFFSET(F178,1,0))</f>
        <v/>
      </c>
      <c r="I178" s="216" t="str">
        <f t="shared" ref="I178:O178" ca="1" si="175">IFERROR(SUM(OFFSET(INDIRECT(RangeQuantity),MATCH($A178,INDIRECT(RangeEstCount),0)-1,COLUMN(I178)-COLUMN($H178),1,1))&amp;" "&amp;OFFSET($D178,1,0),"")</f>
        <v/>
      </c>
      <c r="J178" s="277" t="str">
        <f t="shared" ca="1" si="175"/>
        <v/>
      </c>
      <c r="K178" s="277" t="str">
        <f t="shared" ca="1" si="175"/>
        <v/>
      </c>
      <c r="L178" s="277" t="str">
        <f t="shared" ca="1" si="175"/>
        <v/>
      </c>
      <c r="M178" s="277" t="str">
        <f t="shared" ca="1" si="175"/>
        <v/>
      </c>
      <c r="N178" s="277" t="str">
        <f t="shared" ca="1" si="175"/>
        <v/>
      </c>
      <c r="O178" s="277" t="str">
        <f t="shared" ca="1" si="175"/>
        <v/>
      </c>
      <c r="P178" s="209" t="str">
        <f ca="1">IF(LEN(B178)&gt;0,ISNUMBER(MATCH(B178,Proposed[Item],0)),"")</f>
        <v/>
      </c>
    </row>
    <row r="179" spans="1:16" ht="15" x14ac:dyDescent="0.2">
      <c r="A179" s="276">
        <f t="shared" ca="1" si="132"/>
        <v>86</v>
      </c>
      <c r="B179" s="111" t="str">
        <f ca="1">IFERROR("Line "&amp;INDEX(Calcs[Line],INDEX(INDIRECT(RangeCount),MATCH($A179,INDIRECT(RangeEstCount),0))),"")</f>
        <v/>
      </c>
      <c r="C179" s="169" t="str">
        <f ca="1">IFERROR(IF(AND($D179="LPSM",Bid?,All?),"ALL",TEXT(OFFSET(INDIRECT(RangeQuantity),MATCH($A179,INDIRECT(RangeEstCount),0)-1,MATCH(Account,Accounts,0)-1,1,1),IF($D179="LPSM","0%","#,##0"&amp;IF(OFFSET(Items[#Data],MATCH($A179,INDIRECT(RangeEstCount),0)-1,MATCH(Decimals,Items[#Headers],0)-1,1,1)&gt;0,"."&amp;REPT("0",OFFSET(Items[#Data],MATCH($A179,INDIRECT(RangeEstCount),0)-1,MATCH(Decimals,Items[#Headers],0)-1,1,1)),"")))),"")</f>
        <v/>
      </c>
      <c r="D179" s="170" t="str">
        <f ca="1">IFERROR(INDEX(INDIRECT(RangeUnit),MATCH($A179,INDIRECT(RangeEstCount),0))&amp;SUBSTITUTE(" ["&amp;INDEX(INDIRECT(RangeAmend),MATCH($A179,INDIRECT(RangeEstCount),0))&amp;"]"," []",""),"")</f>
        <v/>
      </c>
      <c r="E179" s="170" t="str">
        <f ca="1">IFERROR(IF(INDEX(INDIRECT(RangeContrQty),MATCH($A179,INDIRECT(RangeEstCount),0)),"(CQ)",""),"")</f>
        <v/>
      </c>
      <c r="F179" s="171" t="str">
        <f ca="1">IFERROR(IF(OR(NOT(Bid?),LEFT(UPPER($D179),4)="FXHR"),INDEX(INDIRECT(RangeUnitPrice),MATCH($A179,INDIRECT(RangeEstCount),0)),IF(Awd?,OFFSET(TabAmount,MATCH(INDEX(INDIRECT(RangeCount),MATCH($A179,INDIRECT(RangeEstCount),0)),OFFSET(TabCount,1,0,2*NumPayItems,1),0),MATCH(Awarded2,Bidders,0)),IF(OR($C179="",$D179="LPSM"),"","$"))),"")</f>
        <v/>
      </c>
      <c r="G179" s="171" t="str">
        <f ca="1">IFERROR(VALUE(C179)*F179,IF(AND(Bid?,NOT(Awd?),$D179="LPSM"),"$",F179))</f>
        <v/>
      </c>
      <c r="H179" s="374"/>
      <c r="I179" s="217" t="str">
        <f ca="1">IFERROR(VALUE(SUBSTITUTE(OFFSET(I179,-1,0)," "&amp;$D179,""))*$F179,"")</f>
        <v/>
      </c>
      <c r="J179" s="215" t="str">
        <f ca="1">IFERROR(VALUE(SUBSTITUTE(OFFSET(J179,-1,0)," "&amp;$D179,""))*$F179,"")</f>
        <v/>
      </c>
      <c r="K179" s="215" t="str">
        <f t="shared" ref="K179:M179" ca="1" si="176">IFERROR(VALUE(SUBSTITUTE(OFFSET(K179,-1,0)," "&amp;$D179,""))*$F179,"")</f>
        <v/>
      </c>
      <c r="L179" s="215" t="str">
        <f t="shared" ca="1" si="176"/>
        <v/>
      </c>
      <c r="M179" s="215" t="str">
        <f t="shared" ca="1" si="176"/>
        <v/>
      </c>
      <c r="N179" s="215" t="str">
        <f ca="1">IFERROR(VALUE(SUBSTITUTE(OFFSET(N179,-1,0)," "&amp;$D179,""))*$F179,"")</f>
        <v/>
      </c>
      <c r="O179" s="215" t="str">
        <f ca="1">IFERROR(VALUE(SUBSTITUTE(OFFSET(O179,-1,0)," "&amp;$D179,""))*$F179,"")</f>
        <v/>
      </c>
      <c r="P179" s="209" t="str">
        <f ca="1">IF(LEN(B179)&gt;0,ISNUMBER(MATCH(B179,Proposed[Item],0)),"")</f>
        <v/>
      </c>
    </row>
    <row r="180" spans="1:16" ht="15" x14ac:dyDescent="0.2">
      <c r="A180" s="276">
        <f t="shared" ca="1" si="132"/>
        <v>87</v>
      </c>
      <c r="B180" s="168" t="str">
        <f ca="1">IFERROR(INDEX(INDIRECT(RangeItems),MATCH($A180,INDIRECT(RangeEstCount),0)),"")</f>
        <v/>
      </c>
      <c r="C180" s="365" t="str">
        <f ca="1">IFERROR(INDEX(Calcs[Description],INDEX(INDIRECT(RangeCount),MATCH($A180,INDIRECT(RangeEstCount),0))),"")</f>
        <v/>
      </c>
      <c r="D180" s="365"/>
      <c r="E180" s="365"/>
      <c r="F180" s="365"/>
      <c r="G180" s="365"/>
      <c r="H180" s="375" t="str">
        <f ca="1">IF(AND(Bid?,NOT(Awd?)),C180,OFFSET(F180,1,0))</f>
        <v/>
      </c>
      <c r="I180" s="216" t="str">
        <f t="shared" ref="I180:O180" ca="1" si="177">IFERROR(SUM(OFFSET(INDIRECT(RangeQuantity),MATCH($A180,INDIRECT(RangeEstCount),0)-1,COLUMN(I180)-COLUMN($H180),1,1))&amp;" "&amp;OFFSET($D180,1,0),"")</f>
        <v/>
      </c>
      <c r="J180" s="277" t="str">
        <f t="shared" ca="1" si="177"/>
        <v/>
      </c>
      <c r="K180" s="277" t="str">
        <f t="shared" ca="1" si="177"/>
        <v/>
      </c>
      <c r="L180" s="277" t="str">
        <f t="shared" ca="1" si="177"/>
        <v/>
      </c>
      <c r="M180" s="277" t="str">
        <f t="shared" ca="1" si="177"/>
        <v/>
      </c>
      <c r="N180" s="277" t="str">
        <f t="shared" ca="1" si="177"/>
        <v/>
      </c>
      <c r="O180" s="277" t="str">
        <f t="shared" ca="1" si="177"/>
        <v/>
      </c>
      <c r="P180" s="209" t="str">
        <f ca="1">IF(LEN(B180)&gt;0,ISNUMBER(MATCH(B180,Proposed[Item],0)),"")</f>
        <v/>
      </c>
    </row>
    <row r="181" spans="1:16" ht="15" x14ac:dyDescent="0.2">
      <c r="A181" s="276">
        <f t="shared" ca="1" si="132"/>
        <v>87</v>
      </c>
      <c r="B181" s="111" t="str">
        <f ca="1">IFERROR("Line "&amp;INDEX(Calcs[Line],INDEX(INDIRECT(RangeCount),MATCH($A181,INDIRECT(RangeEstCount),0))),"")</f>
        <v/>
      </c>
      <c r="C181" s="169" t="str">
        <f ca="1">IFERROR(IF(AND($D181="LPSM",Bid?,All?),"ALL",TEXT(OFFSET(INDIRECT(RangeQuantity),MATCH($A181,INDIRECT(RangeEstCount),0)-1,MATCH(Account,Accounts,0)-1,1,1),IF($D181="LPSM","0%","#,##0"&amp;IF(OFFSET(Items[#Data],MATCH($A181,INDIRECT(RangeEstCount),0)-1,MATCH(Decimals,Items[#Headers],0)-1,1,1)&gt;0,"."&amp;REPT("0",OFFSET(Items[#Data],MATCH($A181,INDIRECT(RangeEstCount),0)-1,MATCH(Decimals,Items[#Headers],0)-1,1,1)),"")))),"")</f>
        <v/>
      </c>
      <c r="D181" s="170" t="str">
        <f ca="1">IFERROR(INDEX(INDIRECT(RangeUnit),MATCH($A181,INDIRECT(RangeEstCount),0))&amp;SUBSTITUTE(" ["&amp;INDEX(INDIRECT(RangeAmend),MATCH($A181,INDIRECT(RangeEstCount),0))&amp;"]"," []",""),"")</f>
        <v/>
      </c>
      <c r="E181" s="170" t="str">
        <f ca="1">IFERROR(IF(INDEX(INDIRECT(RangeContrQty),MATCH($A181,INDIRECT(RangeEstCount),0)),"(CQ)",""),"")</f>
        <v/>
      </c>
      <c r="F181" s="171" t="str">
        <f ca="1">IFERROR(IF(OR(NOT(Bid?),LEFT(UPPER($D181),4)="FXHR"),INDEX(INDIRECT(RangeUnitPrice),MATCH($A181,INDIRECT(RangeEstCount),0)),IF(Awd?,OFFSET(TabAmount,MATCH(INDEX(INDIRECT(RangeCount),MATCH($A181,INDIRECT(RangeEstCount),0)),OFFSET(TabCount,1,0,2*NumPayItems,1),0),MATCH(Awarded2,Bidders,0)),IF(OR($C181="",$D181="LPSM"),"","$"))),"")</f>
        <v/>
      </c>
      <c r="G181" s="171" t="str">
        <f ca="1">IFERROR(VALUE(C181)*F181,IF(AND(Bid?,NOT(Awd?),$D181="LPSM"),"$",F181))</f>
        <v/>
      </c>
      <c r="H181" s="374"/>
      <c r="I181" s="217" t="str">
        <f ca="1">IFERROR(VALUE(SUBSTITUTE(OFFSET(I181,-1,0)," "&amp;$D181,""))*$F181,"")</f>
        <v/>
      </c>
      <c r="J181" s="215" t="str">
        <f ca="1">IFERROR(VALUE(SUBSTITUTE(OFFSET(J181,-1,0)," "&amp;$D181,""))*$F181,"")</f>
        <v/>
      </c>
      <c r="K181" s="215" t="str">
        <f t="shared" ref="K181:M181" ca="1" si="178">IFERROR(VALUE(SUBSTITUTE(OFFSET(K181,-1,0)," "&amp;$D181,""))*$F181,"")</f>
        <v/>
      </c>
      <c r="L181" s="215" t="str">
        <f t="shared" ca="1" si="178"/>
        <v/>
      </c>
      <c r="M181" s="215" t="str">
        <f t="shared" ca="1" si="178"/>
        <v/>
      </c>
      <c r="N181" s="215" t="str">
        <f ca="1">IFERROR(VALUE(SUBSTITUTE(OFFSET(N181,-1,0)," "&amp;$D181,""))*$F181,"")</f>
        <v/>
      </c>
      <c r="O181" s="215" t="str">
        <f ca="1">IFERROR(VALUE(SUBSTITUTE(OFFSET(O181,-1,0)," "&amp;$D181,""))*$F181,"")</f>
        <v/>
      </c>
      <c r="P181" s="209" t="str">
        <f ca="1">IF(LEN(B181)&gt;0,ISNUMBER(MATCH(B181,Proposed[Item],0)),"")</f>
        <v/>
      </c>
    </row>
    <row r="182" spans="1:16" ht="15" x14ac:dyDescent="0.2">
      <c r="A182" s="276">
        <f t="shared" ca="1" si="132"/>
        <v>88</v>
      </c>
      <c r="B182" s="168" t="str">
        <f ca="1">IFERROR(INDEX(INDIRECT(RangeItems),MATCH($A182,INDIRECT(RangeEstCount),0)),"")</f>
        <v/>
      </c>
      <c r="C182" s="365" t="str">
        <f ca="1">IFERROR(INDEX(Calcs[Description],INDEX(INDIRECT(RangeCount),MATCH($A182,INDIRECT(RangeEstCount),0))),"")</f>
        <v/>
      </c>
      <c r="D182" s="365"/>
      <c r="E182" s="365"/>
      <c r="F182" s="365"/>
      <c r="G182" s="365"/>
      <c r="H182" s="375" t="str">
        <f ca="1">IF(AND(Bid?,NOT(Awd?)),C182,OFFSET(F182,1,0))</f>
        <v/>
      </c>
      <c r="I182" s="216" t="str">
        <f t="shared" ref="I182:O182" ca="1" si="179">IFERROR(SUM(OFFSET(INDIRECT(RangeQuantity),MATCH($A182,INDIRECT(RangeEstCount),0)-1,COLUMN(I182)-COLUMN($H182),1,1))&amp;" "&amp;OFFSET($D182,1,0),"")</f>
        <v/>
      </c>
      <c r="J182" s="277" t="str">
        <f t="shared" ca="1" si="179"/>
        <v/>
      </c>
      <c r="K182" s="277" t="str">
        <f t="shared" ca="1" si="179"/>
        <v/>
      </c>
      <c r="L182" s="277" t="str">
        <f t="shared" ca="1" si="179"/>
        <v/>
      </c>
      <c r="M182" s="277" t="str">
        <f t="shared" ca="1" si="179"/>
        <v/>
      </c>
      <c r="N182" s="277" t="str">
        <f t="shared" ca="1" si="179"/>
        <v/>
      </c>
      <c r="O182" s="277" t="str">
        <f t="shared" ca="1" si="179"/>
        <v/>
      </c>
      <c r="P182" s="209" t="str">
        <f ca="1">IF(LEN(B182)&gt;0,ISNUMBER(MATCH(B182,Proposed[Item],0)),"")</f>
        <v/>
      </c>
    </row>
    <row r="183" spans="1:16" ht="15" x14ac:dyDescent="0.2">
      <c r="A183" s="276">
        <f t="shared" ca="1" si="132"/>
        <v>88</v>
      </c>
      <c r="B183" s="111" t="str">
        <f ca="1">IFERROR("Line "&amp;INDEX(Calcs[Line],INDEX(INDIRECT(RangeCount),MATCH($A183,INDIRECT(RangeEstCount),0))),"")</f>
        <v/>
      </c>
      <c r="C183" s="169" t="str">
        <f ca="1">IFERROR(IF(AND($D183="LPSM",Bid?,All?),"ALL",TEXT(OFFSET(INDIRECT(RangeQuantity),MATCH($A183,INDIRECT(RangeEstCount),0)-1,MATCH(Account,Accounts,0)-1,1,1),IF($D183="LPSM","0%","#,##0"&amp;IF(OFFSET(Items[#Data],MATCH($A183,INDIRECT(RangeEstCount),0)-1,MATCH(Decimals,Items[#Headers],0)-1,1,1)&gt;0,"."&amp;REPT("0",OFFSET(Items[#Data],MATCH($A183,INDIRECT(RangeEstCount),0)-1,MATCH(Decimals,Items[#Headers],0)-1,1,1)),"")))),"")</f>
        <v/>
      </c>
      <c r="D183" s="170" t="str">
        <f ca="1">IFERROR(INDEX(INDIRECT(RangeUnit),MATCH($A183,INDIRECT(RangeEstCount),0))&amp;SUBSTITUTE(" ["&amp;INDEX(INDIRECT(RangeAmend),MATCH($A183,INDIRECT(RangeEstCount),0))&amp;"]"," []",""),"")</f>
        <v/>
      </c>
      <c r="E183" s="170" t="str">
        <f ca="1">IFERROR(IF(INDEX(INDIRECT(RangeContrQty),MATCH($A183,INDIRECT(RangeEstCount),0)),"(CQ)",""),"")</f>
        <v/>
      </c>
      <c r="F183" s="171" t="str">
        <f ca="1">IFERROR(IF(OR(NOT(Bid?),LEFT(UPPER($D183),4)="FXHR"),INDEX(INDIRECT(RangeUnitPrice),MATCH($A183,INDIRECT(RangeEstCount),0)),IF(Awd?,OFFSET(TabAmount,MATCH(INDEX(INDIRECT(RangeCount),MATCH($A183,INDIRECT(RangeEstCount),0)),OFFSET(TabCount,1,0,2*NumPayItems,1),0),MATCH(Awarded2,Bidders,0)),IF(OR($C183="",$D183="LPSM"),"","$"))),"")</f>
        <v/>
      </c>
      <c r="G183" s="171" t="str">
        <f ca="1">IFERROR(VALUE(C183)*F183,IF(AND(Bid?,NOT(Awd?),$D183="LPSM"),"$",F183))</f>
        <v/>
      </c>
      <c r="H183" s="374"/>
      <c r="I183" s="217" t="str">
        <f ca="1">IFERROR(VALUE(SUBSTITUTE(OFFSET(I183,-1,0)," "&amp;$D183,""))*$F183,"")</f>
        <v/>
      </c>
      <c r="J183" s="215" t="str">
        <f ca="1">IFERROR(VALUE(SUBSTITUTE(OFFSET(J183,-1,0)," "&amp;$D183,""))*$F183,"")</f>
        <v/>
      </c>
      <c r="K183" s="215" t="str">
        <f t="shared" ref="K183:M183" ca="1" si="180">IFERROR(VALUE(SUBSTITUTE(OFFSET(K183,-1,0)," "&amp;$D183,""))*$F183,"")</f>
        <v/>
      </c>
      <c r="L183" s="215" t="str">
        <f t="shared" ca="1" si="180"/>
        <v/>
      </c>
      <c r="M183" s="215" t="str">
        <f t="shared" ca="1" si="180"/>
        <v/>
      </c>
      <c r="N183" s="215" t="str">
        <f ca="1">IFERROR(VALUE(SUBSTITUTE(OFFSET(N183,-1,0)," "&amp;$D183,""))*$F183,"")</f>
        <v/>
      </c>
      <c r="O183" s="215" t="str">
        <f ca="1">IFERROR(VALUE(SUBSTITUTE(OFFSET(O183,-1,0)," "&amp;$D183,""))*$F183,"")</f>
        <v/>
      </c>
      <c r="P183" s="209" t="str">
        <f ca="1">IF(LEN(B183)&gt;0,ISNUMBER(MATCH(B183,Proposed[Item],0)),"")</f>
        <v/>
      </c>
    </row>
    <row r="184" spans="1:16" ht="15" x14ac:dyDescent="0.2">
      <c r="A184" s="276">
        <f t="shared" ca="1" si="132"/>
        <v>89</v>
      </c>
      <c r="B184" s="168" t="str">
        <f ca="1">IFERROR(INDEX(INDIRECT(RangeItems),MATCH($A184,INDIRECT(RangeEstCount),0)),"")</f>
        <v/>
      </c>
      <c r="C184" s="365" t="str">
        <f ca="1">IFERROR(INDEX(Calcs[Description],INDEX(INDIRECT(RangeCount),MATCH($A184,INDIRECT(RangeEstCount),0))),"")</f>
        <v/>
      </c>
      <c r="D184" s="365"/>
      <c r="E184" s="365"/>
      <c r="F184" s="365"/>
      <c r="G184" s="365"/>
      <c r="H184" s="375" t="str">
        <f ca="1">IF(AND(Bid?,NOT(Awd?)),C184,OFFSET(F184,1,0))</f>
        <v/>
      </c>
      <c r="I184" s="216" t="str">
        <f t="shared" ref="I184:O184" ca="1" si="181">IFERROR(SUM(OFFSET(INDIRECT(RangeQuantity),MATCH($A184,INDIRECT(RangeEstCount),0)-1,COLUMN(I184)-COLUMN($H184),1,1))&amp;" "&amp;OFFSET($D184,1,0),"")</f>
        <v/>
      </c>
      <c r="J184" s="277" t="str">
        <f t="shared" ca="1" si="181"/>
        <v/>
      </c>
      <c r="K184" s="277" t="str">
        <f t="shared" ca="1" si="181"/>
        <v/>
      </c>
      <c r="L184" s="277" t="str">
        <f t="shared" ca="1" si="181"/>
        <v/>
      </c>
      <c r="M184" s="277" t="str">
        <f t="shared" ca="1" si="181"/>
        <v/>
      </c>
      <c r="N184" s="277" t="str">
        <f t="shared" ca="1" si="181"/>
        <v/>
      </c>
      <c r="O184" s="277" t="str">
        <f t="shared" ca="1" si="181"/>
        <v/>
      </c>
      <c r="P184" s="209" t="str">
        <f ca="1">IF(LEN(B184)&gt;0,ISNUMBER(MATCH(B184,Proposed[Item],0)),"")</f>
        <v/>
      </c>
    </row>
    <row r="185" spans="1:16" ht="15" x14ac:dyDescent="0.2">
      <c r="A185" s="276">
        <f t="shared" ca="1" si="132"/>
        <v>89</v>
      </c>
      <c r="B185" s="111" t="str">
        <f ca="1">IFERROR("Line "&amp;INDEX(Calcs[Line],INDEX(INDIRECT(RangeCount),MATCH($A185,INDIRECT(RangeEstCount),0))),"")</f>
        <v/>
      </c>
      <c r="C185" s="169" t="str">
        <f ca="1">IFERROR(IF(AND($D185="LPSM",Bid?,All?),"ALL",TEXT(OFFSET(INDIRECT(RangeQuantity),MATCH($A185,INDIRECT(RangeEstCount),0)-1,MATCH(Account,Accounts,0)-1,1,1),IF($D185="LPSM","0%","#,##0"&amp;IF(OFFSET(Items[#Data],MATCH($A185,INDIRECT(RangeEstCount),0)-1,MATCH(Decimals,Items[#Headers],0)-1,1,1)&gt;0,"."&amp;REPT("0",OFFSET(Items[#Data],MATCH($A185,INDIRECT(RangeEstCount),0)-1,MATCH(Decimals,Items[#Headers],0)-1,1,1)),"")))),"")</f>
        <v/>
      </c>
      <c r="D185" s="170" t="str">
        <f ca="1">IFERROR(INDEX(INDIRECT(RangeUnit),MATCH($A185,INDIRECT(RangeEstCount),0))&amp;SUBSTITUTE(" ["&amp;INDEX(INDIRECT(RangeAmend),MATCH($A185,INDIRECT(RangeEstCount),0))&amp;"]"," []",""),"")</f>
        <v/>
      </c>
      <c r="E185" s="170" t="str">
        <f ca="1">IFERROR(IF(INDEX(INDIRECT(RangeContrQty),MATCH($A185,INDIRECT(RangeEstCount),0)),"(CQ)",""),"")</f>
        <v/>
      </c>
      <c r="F185" s="171" t="str">
        <f ca="1">IFERROR(IF(OR(NOT(Bid?),LEFT(UPPER($D185),4)="FXHR"),INDEX(INDIRECT(RangeUnitPrice),MATCH($A185,INDIRECT(RangeEstCount),0)),IF(Awd?,OFFSET(TabAmount,MATCH(INDEX(INDIRECT(RangeCount),MATCH($A185,INDIRECT(RangeEstCount),0)),OFFSET(TabCount,1,0,2*NumPayItems,1),0),MATCH(Awarded2,Bidders,0)),IF(OR($C185="",$D185="LPSM"),"","$"))),"")</f>
        <v/>
      </c>
      <c r="G185" s="171" t="str">
        <f ca="1">IFERROR(VALUE(C185)*F185,IF(AND(Bid?,NOT(Awd?),$D185="LPSM"),"$",F185))</f>
        <v/>
      </c>
      <c r="H185" s="374"/>
      <c r="I185" s="217" t="str">
        <f ca="1">IFERROR(VALUE(SUBSTITUTE(OFFSET(I185,-1,0)," "&amp;$D185,""))*$F185,"")</f>
        <v/>
      </c>
      <c r="J185" s="215" t="str">
        <f ca="1">IFERROR(VALUE(SUBSTITUTE(OFFSET(J185,-1,0)," "&amp;$D185,""))*$F185,"")</f>
        <v/>
      </c>
      <c r="K185" s="215" t="str">
        <f t="shared" ref="K185:M185" ca="1" si="182">IFERROR(VALUE(SUBSTITUTE(OFFSET(K185,-1,0)," "&amp;$D185,""))*$F185,"")</f>
        <v/>
      </c>
      <c r="L185" s="215" t="str">
        <f t="shared" ca="1" si="182"/>
        <v/>
      </c>
      <c r="M185" s="215" t="str">
        <f t="shared" ca="1" si="182"/>
        <v/>
      </c>
      <c r="N185" s="215" t="str">
        <f ca="1">IFERROR(VALUE(SUBSTITUTE(OFFSET(N185,-1,0)," "&amp;$D185,""))*$F185,"")</f>
        <v/>
      </c>
      <c r="O185" s="215" t="str">
        <f ca="1">IFERROR(VALUE(SUBSTITUTE(OFFSET(O185,-1,0)," "&amp;$D185,""))*$F185,"")</f>
        <v/>
      </c>
      <c r="P185" s="209" t="str">
        <f ca="1">IF(LEN(B185)&gt;0,ISNUMBER(MATCH(B185,Proposed[Item],0)),"")</f>
        <v/>
      </c>
    </row>
    <row r="186" spans="1:16" ht="15" x14ac:dyDescent="0.2">
      <c r="A186" s="276">
        <f t="shared" ca="1" si="132"/>
        <v>90</v>
      </c>
      <c r="B186" s="168" t="str">
        <f ca="1">IFERROR(INDEX(INDIRECT(RangeItems),MATCH($A186,INDIRECT(RangeEstCount),0)),"")</f>
        <v/>
      </c>
      <c r="C186" s="365" t="str">
        <f ca="1">IFERROR(INDEX(Calcs[Description],INDEX(INDIRECT(RangeCount),MATCH($A186,INDIRECT(RangeEstCount),0))),"")</f>
        <v/>
      </c>
      <c r="D186" s="365"/>
      <c r="E186" s="365"/>
      <c r="F186" s="365"/>
      <c r="G186" s="365"/>
      <c r="H186" s="375" t="str">
        <f ca="1">IF(AND(Bid?,NOT(Awd?)),C186,OFFSET(F186,1,0))</f>
        <v/>
      </c>
      <c r="I186" s="216" t="str">
        <f t="shared" ref="I186:O186" ca="1" si="183">IFERROR(SUM(OFFSET(INDIRECT(RangeQuantity),MATCH($A186,INDIRECT(RangeEstCount),0)-1,COLUMN(I186)-COLUMN($H186),1,1))&amp;" "&amp;OFFSET($D186,1,0),"")</f>
        <v/>
      </c>
      <c r="J186" s="277" t="str">
        <f t="shared" ca="1" si="183"/>
        <v/>
      </c>
      <c r="K186" s="277" t="str">
        <f t="shared" ca="1" si="183"/>
        <v/>
      </c>
      <c r="L186" s="277" t="str">
        <f t="shared" ca="1" si="183"/>
        <v/>
      </c>
      <c r="M186" s="277" t="str">
        <f t="shared" ca="1" si="183"/>
        <v/>
      </c>
      <c r="N186" s="277" t="str">
        <f t="shared" ca="1" si="183"/>
        <v/>
      </c>
      <c r="O186" s="277" t="str">
        <f t="shared" ca="1" si="183"/>
        <v/>
      </c>
      <c r="P186" s="209" t="str">
        <f ca="1">IF(LEN(B186)&gt;0,ISNUMBER(MATCH(B186,Proposed[Item],0)),"")</f>
        <v/>
      </c>
    </row>
    <row r="187" spans="1:16" ht="15" x14ac:dyDescent="0.2">
      <c r="A187" s="276">
        <f t="shared" ca="1" si="132"/>
        <v>90</v>
      </c>
      <c r="B187" s="111" t="str">
        <f ca="1">IFERROR("Line "&amp;INDEX(Calcs[Line],INDEX(INDIRECT(RangeCount),MATCH($A187,INDIRECT(RangeEstCount),0))),"")</f>
        <v/>
      </c>
      <c r="C187" s="169" t="str">
        <f ca="1">IFERROR(IF(AND($D187="LPSM",Bid?,All?),"ALL",TEXT(OFFSET(INDIRECT(RangeQuantity),MATCH($A187,INDIRECT(RangeEstCount),0)-1,MATCH(Account,Accounts,0)-1,1,1),IF($D187="LPSM","0%","#,##0"&amp;IF(OFFSET(Items[#Data],MATCH($A187,INDIRECT(RangeEstCount),0)-1,MATCH(Decimals,Items[#Headers],0)-1,1,1)&gt;0,"."&amp;REPT("0",OFFSET(Items[#Data],MATCH($A187,INDIRECT(RangeEstCount),0)-1,MATCH(Decimals,Items[#Headers],0)-1,1,1)),"")))),"")</f>
        <v/>
      </c>
      <c r="D187" s="170" t="str">
        <f ca="1">IFERROR(INDEX(INDIRECT(RangeUnit),MATCH($A187,INDIRECT(RangeEstCount),0))&amp;SUBSTITUTE(" ["&amp;INDEX(INDIRECT(RangeAmend),MATCH($A187,INDIRECT(RangeEstCount),0))&amp;"]"," []",""),"")</f>
        <v/>
      </c>
      <c r="E187" s="170" t="str">
        <f ca="1">IFERROR(IF(INDEX(INDIRECT(RangeContrQty),MATCH($A187,INDIRECT(RangeEstCount),0)),"(CQ)",""),"")</f>
        <v/>
      </c>
      <c r="F187" s="171" t="str">
        <f ca="1">IFERROR(IF(OR(NOT(Bid?),LEFT(UPPER($D187),4)="FXHR"),INDEX(INDIRECT(RangeUnitPrice),MATCH($A187,INDIRECT(RangeEstCount),0)),IF(Awd?,OFFSET(TabAmount,MATCH(INDEX(INDIRECT(RangeCount),MATCH($A187,INDIRECT(RangeEstCount),0)),OFFSET(TabCount,1,0,2*NumPayItems,1),0),MATCH(Awarded2,Bidders,0)),IF(OR($C187="",$D187="LPSM"),"","$"))),"")</f>
        <v/>
      </c>
      <c r="G187" s="171" t="str">
        <f ca="1">IFERROR(VALUE(C187)*F187,IF(AND(Bid?,NOT(Awd?),$D187="LPSM"),"$",F187))</f>
        <v/>
      </c>
      <c r="H187" s="374"/>
      <c r="I187" s="217" t="str">
        <f ca="1">IFERROR(VALUE(SUBSTITUTE(OFFSET(I187,-1,0)," "&amp;$D187,""))*$F187,"")</f>
        <v/>
      </c>
      <c r="J187" s="215" t="str">
        <f ca="1">IFERROR(VALUE(SUBSTITUTE(OFFSET(J187,-1,0)," "&amp;$D187,""))*$F187,"")</f>
        <v/>
      </c>
      <c r="K187" s="215" t="str">
        <f t="shared" ref="K187:M187" ca="1" si="184">IFERROR(VALUE(SUBSTITUTE(OFFSET(K187,-1,0)," "&amp;$D187,""))*$F187,"")</f>
        <v/>
      </c>
      <c r="L187" s="215" t="str">
        <f t="shared" ca="1" si="184"/>
        <v/>
      </c>
      <c r="M187" s="215" t="str">
        <f t="shared" ca="1" si="184"/>
        <v/>
      </c>
      <c r="N187" s="215" t="str">
        <f ca="1">IFERROR(VALUE(SUBSTITUTE(OFFSET(N187,-1,0)," "&amp;$D187,""))*$F187,"")</f>
        <v/>
      </c>
      <c r="O187" s="215" t="str">
        <f ca="1">IFERROR(VALUE(SUBSTITUTE(OFFSET(O187,-1,0)," "&amp;$D187,""))*$F187,"")</f>
        <v/>
      </c>
      <c r="P187" s="209" t="str">
        <f ca="1">IF(LEN(B187)&gt;0,ISNUMBER(MATCH(B187,Proposed[Item],0)),"")</f>
        <v/>
      </c>
    </row>
    <row r="188" spans="1:16" ht="15" x14ac:dyDescent="0.2">
      <c r="A188" s="276">
        <f t="shared" ca="1" si="132"/>
        <v>91</v>
      </c>
      <c r="B188" s="168" t="str">
        <f ca="1">IFERROR(INDEX(INDIRECT(RangeItems),MATCH($A188,INDIRECT(RangeEstCount),0)),"")</f>
        <v/>
      </c>
      <c r="C188" s="365" t="str">
        <f ca="1">IFERROR(INDEX(Calcs[Description],INDEX(INDIRECT(RangeCount),MATCH($A188,INDIRECT(RangeEstCount),0))),"")</f>
        <v/>
      </c>
      <c r="D188" s="365"/>
      <c r="E188" s="365"/>
      <c r="F188" s="365"/>
      <c r="G188" s="365"/>
      <c r="H188" s="375" t="str">
        <f ca="1">IF(AND(Bid?,NOT(Awd?)),C188,OFFSET(F188,1,0))</f>
        <v/>
      </c>
      <c r="I188" s="216" t="str">
        <f t="shared" ref="I188:O188" ca="1" si="185">IFERROR(SUM(OFFSET(INDIRECT(RangeQuantity),MATCH($A188,INDIRECT(RangeEstCount),0)-1,COLUMN(I188)-COLUMN($H188),1,1))&amp;" "&amp;OFFSET($D188,1,0),"")</f>
        <v/>
      </c>
      <c r="J188" s="277" t="str">
        <f t="shared" ca="1" si="185"/>
        <v/>
      </c>
      <c r="K188" s="277" t="str">
        <f t="shared" ca="1" si="185"/>
        <v/>
      </c>
      <c r="L188" s="277" t="str">
        <f t="shared" ca="1" si="185"/>
        <v/>
      </c>
      <c r="M188" s="277" t="str">
        <f t="shared" ca="1" si="185"/>
        <v/>
      </c>
      <c r="N188" s="277" t="str">
        <f t="shared" ca="1" si="185"/>
        <v/>
      </c>
      <c r="O188" s="277" t="str">
        <f t="shared" ca="1" si="185"/>
        <v/>
      </c>
      <c r="P188" s="209" t="str">
        <f ca="1">IF(LEN(B188)&gt;0,ISNUMBER(MATCH(B188,Proposed[Item],0)),"")</f>
        <v/>
      </c>
    </row>
    <row r="189" spans="1:16" ht="15" x14ac:dyDescent="0.2">
      <c r="A189" s="276">
        <f t="shared" ca="1" si="132"/>
        <v>91</v>
      </c>
      <c r="B189" s="111" t="str">
        <f ca="1">IFERROR("Line "&amp;INDEX(Calcs[Line],INDEX(INDIRECT(RangeCount),MATCH($A189,INDIRECT(RangeEstCount),0))),"")</f>
        <v/>
      </c>
      <c r="C189" s="169" t="str">
        <f ca="1">IFERROR(IF(AND($D189="LPSM",Bid?,All?),"ALL",TEXT(OFFSET(INDIRECT(RangeQuantity),MATCH($A189,INDIRECT(RangeEstCount),0)-1,MATCH(Account,Accounts,0)-1,1,1),IF($D189="LPSM","0%","#,##0"&amp;IF(OFFSET(Items[#Data],MATCH($A189,INDIRECT(RangeEstCount),0)-1,MATCH(Decimals,Items[#Headers],0)-1,1,1)&gt;0,"."&amp;REPT("0",OFFSET(Items[#Data],MATCH($A189,INDIRECT(RangeEstCount),0)-1,MATCH(Decimals,Items[#Headers],0)-1,1,1)),"")))),"")</f>
        <v/>
      </c>
      <c r="D189" s="170" t="str">
        <f ca="1">IFERROR(INDEX(INDIRECT(RangeUnit),MATCH($A189,INDIRECT(RangeEstCount),0))&amp;SUBSTITUTE(" ["&amp;INDEX(INDIRECT(RangeAmend),MATCH($A189,INDIRECT(RangeEstCount),0))&amp;"]"," []",""),"")</f>
        <v/>
      </c>
      <c r="E189" s="170" t="str">
        <f ca="1">IFERROR(IF(INDEX(INDIRECT(RangeContrQty),MATCH($A189,INDIRECT(RangeEstCount),0)),"(CQ)",""),"")</f>
        <v/>
      </c>
      <c r="F189" s="171" t="str">
        <f ca="1">IFERROR(IF(OR(NOT(Bid?),LEFT(UPPER($D189),4)="FXHR"),INDEX(INDIRECT(RangeUnitPrice),MATCH($A189,INDIRECT(RangeEstCount),0)),IF(Awd?,OFFSET(TabAmount,MATCH(INDEX(INDIRECT(RangeCount),MATCH($A189,INDIRECT(RangeEstCount),0)),OFFSET(TabCount,1,0,2*NumPayItems,1),0),MATCH(Awarded2,Bidders,0)),IF(OR($C189="",$D189="LPSM"),"","$"))),"")</f>
        <v/>
      </c>
      <c r="G189" s="171" t="str">
        <f ca="1">IFERROR(VALUE(C189)*F189,IF(AND(Bid?,NOT(Awd?),$D189="LPSM"),"$",F189))</f>
        <v/>
      </c>
      <c r="H189" s="374"/>
      <c r="I189" s="217" t="str">
        <f ca="1">IFERROR(VALUE(SUBSTITUTE(OFFSET(I189,-1,0)," "&amp;$D189,""))*$F189,"")</f>
        <v/>
      </c>
      <c r="J189" s="215" t="str">
        <f ca="1">IFERROR(VALUE(SUBSTITUTE(OFFSET(J189,-1,0)," "&amp;$D189,""))*$F189,"")</f>
        <v/>
      </c>
      <c r="K189" s="215" t="str">
        <f t="shared" ref="K189:M189" ca="1" si="186">IFERROR(VALUE(SUBSTITUTE(OFFSET(K189,-1,0)," "&amp;$D189,""))*$F189,"")</f>
        <v/>
      </c>
      <c r="L189" s="215" t="str">
        <f t="shared" ca="1" si="186"/>
        <v/>
      </c>
      <c r="M189" s="215" t="str">
        <f t="shared" ca="1" si="186"/>
        <v/>
      </c>
      <c r="N189" s="215" t="str">
        <f ca="1">IFERROR(VALUE(SUBSTITUTE(OFFSET(N189,-1,0)," "&amp;$D189,""))*$F189,"")</f>
        <v/>
      </c>
      <c r="O189" s="215" t="str">
        <f ca="1">IFERROR(VALUE(SUBSTITUTE(OFFSET(O189,-1,0)," "&amp;$D189,""))*$F189,"")</f>
        <v/>
      </c>
      <c r="P189" s="209" t="str">
        <f ca="1">IF(LEN(B189)&gt;0,ISNUMBER(MATCH(B189,Proposed[Item],0)),"")</f>
        <v/>
      </c>
    </row>
    <row r="190" spans="1:16" ht="15" x14ac:dyDescent="0.2">
      <c r="A190" s="276">
        <f t="shared" ca="1" si="132"/>
        <v>92</v>
      </c>
      <c r="B190" s="168" t="str">
        <f ca="1">IFERROR(INDEX(INDIRECT(RangeItems),MATCH($A190,INDIRECT(RangeEstCount),0)),"")</f>
        <v/>
      </c>
      <c r="C190" s="365" t="str">
        <f ca="1">IFERROR(INDEX(Calcs[Description],INDEX(INDIRECT(RangeCount),MATCH($A190,INDIRECT(RangeEstCount),0))),"")</f>
        <v/>
      </c>
      <c r="D190" s="365"/>
      <c r="E190" s="365"/>
      <c r="F190" s="365"/>
      <c r="G190" s="365"/>
      <c r="H190" s="375" t="str">
        <f ca="1">IF(AND(Bid?,NOT(Awd?)),C190,OFFSET(F190,1,0))</f>
        <v/>
      </c>
      <c r="I190" s="216" t="str">
        <f t="shared" ref="I190:O190" ca="1" si="187">IFERROR(SUM(OFFSET(INDIRECT(RangeQuantity),MATCH($A190,INDIRECT(RangeEstCount),0)-1,COLUMN(I190)-COLUMN($H190),1,1))&amp;" "&amp;OFFSET($D190,1,0),"")</f>
        <v/>
      </c>
      <c r="J190" s="277" t="str">
        <f t="shared" ca="1" si="187"/>
        <v/>
      </c>
      <c r="K190" s="277" t="str">
        <f t="shared" ca="1" si="187"/>
        <v/>
      </c>
      <c r="L190" s="277" t="str">
        <f t="shared" ca="1" si="187"/>
        <v/>
      </c>
      <c r="M190" s="277" t="str">
        <f t="shared" ca="1" si="187"/>
        <v/>
      </c>
      <c r="N190" s="277" t="str">
        <f t="shared" ca="1" si="187"/>
        <v/>
      </c>
      <c r="O190" s="277" t="str">
        <f t="shared" ca="1" si="187"/>
        <v/>
      </c>
      <c r="P190" s="209" t="str">
        <f ca="1">IF(LEN(B190)&gt;0,ISNUMBER(MATCH(B190,Proposed[Item],0)),"")</f>
        <v/>
      </c>
    </row>
    <row r="191" spans="1:16" ht="15" x14ac:dyDescent="0.2">
      <c r="A191" s="276">
        <f t="shared" ca="1" si="132"/>
        <v>92</v>
      </c>
      <c r="B191" s="111" t="str">
        <f ca="1">IFERROR("Line "&amp;INDEX(Calcs[Line],INDEX(INDIRECT(RangeCount),MATCH($A191,INDIRECT(RangeEstCount),0))),"")</f>
        <v/>
      </c>
      <c r="C191" s="169" t="str">
        <f ca="1">IFERROR(IF(AND($D191="LPSM",Bid?,All?),"ALL",TEXT(OFFSET(INDIRECT(RangeQuantity),MATCH($A191,INDIRECT(RangeEstCount),0)-1,MATCH(Account,Accounts,0)-1,1,1),IF($D191="LPSM","0%","#,##0"&amp;IF(OFFSET(Items[#Data],MATCH($A191,INDIRECT(RangeEstCount),0)-1,MATCH(Decimals,Items[#Headers],0)-1,1,1)&gt;0,"."&amp;REPT("0",OFFSET(Items[#Data],MATCH($A191,INDIRECT(RangeEstCount),0)-1,MATCH(Decimals,Items[#Headers],0)-1,1,1)),"")))),"")</f>
        <v/>
      </c>
      <c r="D191" s="170" t="str">
        <f ca="1">IFERROR(INDEX(INDIRECT(RangeUnit),MATCH($A191,INDIRECT(RangeEstCount),0))&amp;SUBSTITUTE(" ["&amp;INDEX(INDIRECT(RangeAmend),MATCH($A191,INDIRECT(RangeEstCount),0))&amp;"]"," []",""),"")</f>
        <v/>
      </c>
      <c r="E191" s="170" t="str">
        <f ca="1">IFERROR(IF(INDEX(INDIRECT(RangeContrQty),MATCH($A191,INDIRECT(RangeEstCount),0)),"(CQ)",""),"")</f>
        <v/>
      </c>
      <c r="F191" s="171" t="str">
        <f ca="1">IFERROR(IF(OR(NOT(Bid?),LEFT(UPPER($D191),4)="FXHR"),INDEX(INDIRECT(RangeUnitPrice),MATCH($A191,INDIRECT(RangeEstCount),0)),IF(Awd?,OFFSET(TabAmount,MATCH(INDEX(INDIRECT(RangeCount),MATCH($A191,INDIRECT(RangeEstCount),0)),OFFSET(TabCount,1,0,2*NumPayItems,1),0),MATCH(Awarded2,Bidders,0)),IF(OR($C191="",$D191="LPSM"),"","$"))),"")</f>
        <v/>
      </c>
      <c r="G191" s="171" t="str">
        <f ca="1">IFERROR(VALUE(C191)*F191,IF(AND(Bid?,NOT(Awd?),$D191="LPSM"),"$",F191))</f>
        <v/>
      </c>
      <c r="H191" s="374"/>
      <c r="I191" s="217" t="str">
        <f ca="1">IFERROR(VALUE(SUBSTITUTE(OFFSET(I191,-1,0)," "&amp;$D191,""))*$F191,"")</f>
        <v/>
      </c>
      <c r="J191" s="215" t="str">
        <f ca="1">IFERROR(VALUE(SUBSTITUTE(OFFSET(J191,-1,0)," "&amp;$D191,""))*$F191,"")</f>
        <v/>
      </c>
      <c r="K191" s="215" t="str">
        <f t="shared" ref="K191:M191" ca="1" si="188">IFERROR(VALUE(SUBSTITUTE(OFFSET(K191,-1,0)," "&amp;$D191,""))*$F191,"")</f>
        <v/>
      </c>
      <c r="L191" s="215" t="str">
        <f t="shared" ca="1" si="188"/>
        <v/>
      </c>
      <c r="M191" s="215" t="str">
        <f t="shared" ca="1" si="188"/>
        <v/>
      </c>
      <c r="N191" s="215" t="str">
        <f ca="1">IFERROR(VALUE(SUBSTITUTE(OFFSET(N191,-1,0)," "&amp;$D191,""))*$F191,"")</f>
        <v/>
      </c>
      <c r="O191" s="215" t="str">
        <f ca="1">IFERROR(VALUE(SUBSTITUTE(OFFSET(O191,-1,0)," "&amp;$D191,""))*$F191,"")</f>
        <v/>
      </c>
      <c r="P191" s="209" t="str">
        <f ca="1">IF(LEN(B191)&gt;0,ISNUMBER(MATCH(B191,Proposed[Item],0)),"")</f>
        <v/>
      </c>
    </row>
    <row r="192" spans="1:16" ht="15" x14ac:dyDescent="0.2">
      <c r="A192" s="276">
        <f t="shared" ca="1" si="132"/>
        <v>93</v>
      </c>
      <c r="B192" s="168" t="str">
        <f ca="1">IFERROR(INDEX(INDIRECT(RangeItems),MATCH($A192,INDIRECT(RangeEstCount),0)),"")</f>
        <v/>
      </c>
      <c r="C192" s="365" t="str">
        <f ca="1">IFERROR(INDEX(Calcs[Description],INDEX(INDIRECT(RangeCount),MATCH($A192,INDIRECT(RangeEstCount),0))),"")</f>
        <v/>
      </c>
      <c r="D192" s="365"/>
      <c r="E192" s="365"/>
      <c r="F192" s="365"/>
      <c r="G192" s="365"/>
      <c r="H192" s="375" t="str">
        <f ca="1">IF(AND(Bid?,NOT(Awd?)),C192,OFFSET(F192,1,0))</f>
        <v/>
      </c>
      <c r="I192" s="216" t="str">
        <f t="shared" ref="I192:O192" ca="1" si="189">IFERROR(SUM(OFFSET(INDIRECT(RangeQuantity),MATCH($A192,INDIRECT(RangeEstCount),0)-1,COLUMN(I192)-COLUMN($H192),1,1))&amp;" "&amp;OFFSET($D192,1,0),"")</f>
        <v/>
      </c>
      <c r="J192" s="277" t="str">
        <f t="shared" ca="1" si="189"/>
        <v/>
      </c>
      <c r="K192" s="277" t="str">
        <f t="shared" ca="1" si="189"/>
        <v/>
      </c>
      <c r="L192" s="277" t="str">
        <f t="shared" ca="1" si="189"/>
        <v/>
      </c>
      <c r="M192" s="277" t="str">
        <f t="shared" ca="1" si="189"/>
        <v/>
      </c>
      <c r="N192" s="277" t="str">
        <f t="shared" ca="1" si="189"/>
        <v/>
      </c>
      <c r="O192" s="277" t="str">
        <f t="shared" ca="1" si="189"/>
        <v/>
      </c>
      <c r="P192" s="209" t="str">
        <f ca="1">IF(LEN(B192)&gt;0,ISNUMBER(MATCH(B192,Proposed[Item],0)),"")</f>
        <v/>
      </c>
    </row>
    <row r="193" spans="1:16" ht="15" x14ac:dyDescent="0.2">
      <c r="A193" s="276">
        <f t="shared" ca="1" si="132"/>
        <v>93</v>
      </c>
      <c r="B193" s="111" t="str">
        <f ca="1">IFERROR("Line "&amp;INDEX(Calcs[Line],INDEX(INDIRECT(RangeCount),MATCH($A193,INDIRECT(RangeEstCount),0))),"")</f>
        <v/>
      </c>
      <c r="C193" s="169" t="str">
        <f ca="1">IFERROR(IF(AND($D193="LPSM",Bid?,All?),"ALL",TEXT(OFFSET(INDIRECT(RangeQuantity),MATCH($A193,INDIRECT(RangeEstCount),0)-1,MATCH(Account,Accounts,0)-1,1,1),IF($D193="LPSM","0%","#,##0"&amp;IF(OFFSET(Items[#Data],MATCH($A193,INDIRECT(RangeEstCount),0)-1,MATCH(Decimals,Items[#Headers],0)-1,1,1)&gt;0,"."&amp;REPT("0",OFFSET(Items[#Data],MATCH($A193,INDIRECT(RangeEstCount),0)-1,MATCH(Decimals,Items[#Headers],0)-1,1,1)),"")))),"")</f>
        <v/>
      </c>
      <c r="D193" s="170" t="str">
        <f ca="1">IFERROR(INDEX(INDIRECT(RangeUnit),MATCH($A193,INDIRECT(RangeEstCount),0))&amp;SUBSTITUTE(" ["&amp;INDEX(INDIRECT(RangeAmend),MATCH($A193,INDIRECT(RangeEstCount),0))&amp;"]"," []",""),"")</f>
        <v/>
      </c>
      <c r="E193" s="170" t="str">
        <f ca="1">IFERROR(IF(INDEX(INDIRECT(RangeContrQty),MATCH($A193,INDIRECT(RangeEstCount),0)),"(CQ)",""),"")</f>
        <v/>
      </c>
      <c r="F193" s="171" t="str">
        <f ca="1">IFERROR(IF(OR(NOT(Bid?),LEFT(UPPER($D193),4)="FXHR"),INDEX(INDIRECT(RangeUnitPrice),MATCH($A193,INDIRECT(RangeEstCount),0)),IF(Awd?,OFFSET(TabAmount,MATCH(INDEX(INDIRECT(RangeCount),MATCH($A193,INDIRECT(RangeEstCount),0)),OFFSET(TabCount,1,0,2*NumPayItems,1),0),MATCH(Awarded2,Bidders,0)),IF(OR($C193="",$D193="LPSM"),"","$"))),"")</f>
        <v/>
      </c>
      <c r="G193" s="171" t="str">
        <f ca="1">IFERROR(VALUE(C193)*F193,IF(AND(Bid?,NOT(Awd?),$D193="LPSM"),"$",F193))</f>
        <v/>
      </c>
      <c r="H193" s="374"/>
      <c r="I193" s="217" t="str">
        <f ca="1">IFERROR(VALUE(SUBSTITUTE(OFFSET(I193,-1,0)," "&amp;$D193,""))*$F193,"")</f>
        <v/>
      </c>
      <c r="J193" s="215" t="str">
        <f ca="1">IFERROR(VALUE(SUBSTITUTE(OFFSET(J193,-1,0)," "&amp;$D193,""))*$F193,"")</f>
        <v/>
      </c>
      <c r="K193" s="215" t="str">
        <f t="shared" ref="K193:M193" ca="1" si="190">IFERROR(VALUE(SUBSTITUTE(OFFSET(K193,-1,0)," "&amp;$D193,""))*$F193,"")</f>
        <v/>
      </c>
      <c r="L193" s="215" t="str">
        <f t="shared" ca="1" si="190"/>
        <v/>
      </c>
      <c r="M193" s="215" t="str">
        <f t="shared" ca="1" si="190"/>
        <v/>
      </c>
      <c r="N193" s="215" t="str">
        <f ca="1">IFERROR(VALUE(SUBSTITUTE(OFFSET(N193,-1,0)," "&amp;$D193,""))*$F193,"")</f>
        <v/>
      </c>
      <c r="O193" s="215" t="str">
        <f ca="1">IFERROR(VALUE(SUBSTITUTE(OFFSET(O193,-1,0)," "&amp;$D193,""))*$F193,"")</f>
        <v/>
      </c>
      <c r="P193" s="209" t="str">
        <f ca="1">IF(LEN(B193)&gt;0,ISNUMBER(MATCH(B193,Proposed[Item],0)),"")</f>
        <v/>
      </c>
    </row>
    <row r="194" spans="1:16" ht="15" x14ac:dyDescent="0.2">
      <c r="A194" s="276">
        <f t="shared" ca="1" si="132"/>
        <v>94</v>
      </c>
      <c r="B194" s="168" t="str">
        <f ca="1">IFERROR(INDEX(INDIRECT(RangeItems),MATCH($A194,INDIRECT(RangeEstCount),0)),"")</f>
        <v/>
      </c>
      <c r="C194" s="365" t="str">
        <f ca="1">IFERROR(INDEX(Calcs[Description],INDEX(INDIRECT(RangeCount),MATCH($A194,INDIRECT(RangeEstCount),0))),"")</f>
        <v/>
      </c>
      <c r="D194" s="365"/>
      <c r="E194" s="365"/>
      <c r="F194" s="365"/>
      <c r="G194" s="365"/>
      <c r="H194" s="375" t="str">
        <f ca="1">IF(AND(Bid?,NOT(Awd?)),C194,OFFSET(F194,1,0))</f>
        <v/>
      </c>
      <c r="I194" s="216" t="str">
        <f t="shared" ref="I194:O194" ca="1" si="191">IFERROR(SUM(OFFSET(INDIRECT(RangeQuantity),MATCH($A194,INDIRECT(RangeEstCount),0)-1,COLUMN(I194)-COLUMN($H194),1,1))&amp;" "&amp;OFFSET($D194,1,0),"")</f>
        <v/>
      </c>
      <c r="J194" s="277" t="str">
        <f t="shared" ca="1" si="191"/>
        <v/>
      </c>
      <c r="K194" s="277" t="str">
        <f t="shared" ca="1" si="191"/>
        <v/>
      </c>
      <c r="L194" s="277" t="str">
        <f t="shared" ca="1" si="191"/>
        <v/>
      </c>
      <c r="M194" s="277" t="str">
        <f t="shared" ca="1" si="191"/>
        <v/>
      </c>
      <c r="N194" s="277" t="str">
        <f t="shared" ca="1" si="191"/>
        <v/>
      </c>
      <c r="O194" s="277" t="str">
        <f t="shared" ca="1" si="191"/>
        <v/>
      </c>
      <c r="P194" s="209" t="str">
        <f ca="1">IF(LEN(B194)&gt;0,ISNUMBER(MATCH(B194,Proposed[Item],0)),"")</f>
        <v/>
      </c>
    </row>
    <row r="195" spans="1:16" ht="15" x14ac:dyDescent="0.2">
      <c r="A195" s="276">
        <f t="shared" ca="1" si="132"/>
        <v>94</v>
      </c>
      <c r="B195" s="111" t="str">
        <f ca="1">IFERROR("Line "&amp;INDEX(Calcs[Line],INDEX(INDIRECT(RangeCount),MATCH($A195,INDIRECT(RangeEstCount),0))),"")</f>
        <v/>
      </c>
      <c r="C195" s="169" t="str">
        <f ca="1">IFERROR(IF(AND($D195="LPSM",Bid?,All?),"ALL",TEXT(OFFSET(INDIRECT(RangeQuantity),MATCH($A195,INDIRECT(RangeEstCount),0)-1,MATCH(Account,Accounts,0)-1,1,1),IF($D195="LPSM","0%","#,##0"&amp;IF(OFFSET(Items[#Data],MATCH($A195,INDIRECT(RangeEstCount),0)-1,MATCH(Decimals,Items[#Headers],0)-1,1,1)&gt;0,"."&amp;REPT("0",OFFSET(Items[#Data],MATCH($A195,INDIRECT(RangeEstCount),0)-1,MATCH(Decimals,Items[#Headers],0)-1,1,1)),"")))),"")</f>
        <v/>
      </c>
      <c r="D195" s="170" t="str">
        <f ca="1">IFERROR(INDEX(INDIRECT(RangeUnit),MATCH($A195,INDIRECT(RangeEstCount),0))&amp;SUBSTITUTE(" ["&amp;INDEX(INDIRECT(RangeAmend),MATCH($A195,INDIRECT(RangeEstCount),0))&amp;"]"," []",""),"")</f>
        <v/>
      </c>
      <c r="E195" s="170" t="str">
        <f ca="1">IFERROR(IF(INDEX(INDIRECT(RangeContrQty),MATCH($A195,INDIRECT(RangeEstCount),0)),"(CQ)",""),"")</f>
        <v/>
      </c>
      <c r="F195" s="171" t="str">
        <f ca="1">IFERROR(IF(OR(NOT(Bid?),LEFT(UPPER($D195),4)="FXHR"),INDEX(INDIRECT(RangeUnitPrice),MATCH($A195,INDIRECT(RangeEstCount),0)),IF(Awd?,OFFSET(TabAmount,MATCH(INDEX(INDIRECT(RangeCount),MATCH($A195,INDIRECT(RangeEstCount),0)),OFFSET(TabCount,1,0,2*NumPayItems,1),0),MATCH(Awarded2,Bidders,0)),IF(OR($C195="",$D195="LPSM"),"","$"))),"")</f>
        <v/>
      </c>
      <c r="G195" s="171" t="str">
        <f ca="1">IFERROR(VALUE(C195)*F195,IF(AND(Bid?,NOT(Awd?),$D195="LPSM"),"$",F195))</f>
        <v/>
      </c>
      <c r="H195" s="374"/>
      <c r="I195" s="217" t="str">
        <f ca="1">IFERROR(VALUE(SUBSTITUTE(OFFSET(I195,-1,0)," "&amp;$D195,""))*$F195,"")</f>
        <v/>
      </c>
      <c r="J195" s="215" t="str">
        <f ca="1">IFERROR(VALUE(SUBSTITUTE(OFFSET(J195,-1,0)," "&amp;$D195,""))*$F195,"")</f>
        <v/>
      </c>
      <c r="K195" s="215" t="str">
        <f t="shared" ref="K195:M195" ca="1" si="192">IFERROR(VALUE(SUBSTITUTE(OFFSET(K195,-1,0)," "&amp;$D195,""))*$F195,"")</f>
        <v/>
      </c>
      <c r="L195" s="215" t="str">
        <f t="shared" ca="1" si="192"/>
        <v/>
      </c>
      <c r="M195" s="215" t="str">
        <f t="shared" ca="1" si="192"/>
        <v/>
      </c>
      <c r="N195" s="215" t="str">
        <f ca="1">IFERROR(VALUE(SUBSTITUTE(OFFSET(N195,-1,0)," "&amp;$D195,""))*$F195,"")</f>
        <v/>
      </c>
      <c r="O195" s="215" t="str">
        <f ca="1">IFERROR(VALUE(SUBSTITUTE(OFFSET(O195,-1,0)," "&amp;$D195,""))*$F195,"")</f>
        <v/>
      </c>
      <c r="P195" s="209" t="str">
        <f ca="1">IF(LEN(B195)&gt;0,ISNUMBER(MATCH(B195,Proposed[Item],0)),"")</f>
        <v/>
      </c>
    </row>
    <row r="196" spans="1:16" ht="15" x14ac:dyDescent="0.2">
      <c r="A196" s="276">
        <f t="shared" ca="1" si="132"/>
        <v>95</v>
      </c>
      <c r="B196" s="168" t="str">
        <f ca="1">IFERROR(INDEX(INDIRECT(RangeItems),MATCH($A196,INDIRECT(RangeEstCount),0)),"")</f>
        <v/>
      </c>
      <c r="C196" s="365" t="str">
        <f ca="1">IFERROR(INDEX(Calcs[Description],INDEX(INDIRECT(RangeCount),MATCH($A196,INDIRECT(RangeEstCount),0))),"")</f>
        <v/>
      </c>
      <c r="D196" s="365"/>
      <c r="E196" s="365"/>
      <c r="F196" s="365"/>
      <c r="G196" s="365"/>
      <c r="H196" s="375" t="str">
        <f ca="1">IF(AND(Bid?,NOT(Awd?)),C196,OFFSET(F196,1,0))</f>
        <v/>
      </c>
      <c r="I196" s="216" t="str">
        <f t="shared" ref="I196:O196" ca="1" si="193">IFERROR(SUM(OFFSET(INDIRECT(RangeQuantity),MATCH($A196,INDIRECT(RangeEstCount),0)-1,COLUMN(I196)-COLUMN($H196),1,1))&amp;" "&amp;OFFSET($D196,1,0),"")</f>
        <v/>
      </c>
      <c r="J196" s="277" t="str">
        <f t="shared" ca="1" si="193"/>
        <v/>
      </c>
      <c r="K196" s="277" t="str">
        <f t="shared" ca="1" si="193"/>
        <v/>
      </c>
      <c r="L196" s="277" t="str">
        <f t="shared" ca="1" si="193"/>
        <v/>
      </c>
      <c r="M196" s="277" t="str">
        <f t="shared" ca="1" si="193"/>
        <v/>
      </c>
      <c r="N196" s="277" t="str">
        <f t="shared" ca="1" si="193"/>
        <v/>
      </c>
      <c r="O196" s="277" t="str">
        <f t="shared" ca="1" si="193"/>
        <v/>
      </c>
      <c r="P196" s="209" t="str">
        <f ca="1">IF(LEN(B196)&gt;0,ISNUMBER(MATCH(B196,Proposed[Item],0)),"")</f>
        <v/>
      </c>
    </row>
    <row r="197" spans="1:16" ht="15" x14ac:dyDescent="0.2">
      <c r="A197" s="276">
        <f t="shared" ca="1" si="132"/>
        <v>95</v>
      </c>
      <c r="B197" s="111" t="str">
        <f ca="1">IFERROR("Line "&amp;INDEX(Calcs[Line],INDEX(INDIRECT(RangeCount),MATCH($A197,INDIRECT(RangeEstCount),0))),"")</f>
        <v/>
      </c>
      <c r="C197" s="169" t="str">
        <f ca="1">IFERROR(IF(AND($D197="LPSM",Bid?,All?),"ALL",TEXT(OFFSET(INDIRECT(RangeQuantity),MATCH($A197,INDIRECT(RangeEstCount),0)-1,MATCH(Account,Accounts,0)-1,1,1),IF($D197="LPSM","0%","#,##0"&amp;IF(OFFSET(Items[#Data],MATCH($A197,INDIRECT(RangeEstCount),0)-1,MATCH(Decimals,Items[#Headers],0)-1,1,1)&gt;0,"."&amp;REPT("0",OFFSET(Items[#Data],MATCH($A197,INDIRECT(RangeEstCount),0)-1,MATCH(Decimals,Items[#Headers],0)-1,1,1)),"")))),"")</f>
        <v/>
      </c>
      <c r="D197" s="170" t="str">
        <f ca="1">IFERROR(INDEX(INDIRECT(RangeUnit),MATCH($A197,INDIRECT(RangeEstCount),0))&amp;SUBSTITUTE(" ["&amp;INDEX(INDIRECT(RangeAmend),MATCH($A197,INDIRECT(RangeEstCount),0))&amp;"]"," []",""),"")</f>
        <v/>
      </c>
      <c r="E197" s="170" t="str">
        <f ca="1">IFERROR(IF(INDEX(INDIRECT(RangeContrQty),MATCH($A197,INDIRECT(RangeEstCount),0)),"(CQ)",""),"")</f>
        <v/>
      </c>
      <c r="F197" s="171" t="str">
        <f ca="1">IFERROR(IF(OR(NOT(Bid?),LEFT(UPPER($D197),4)="FXHR"),INDEX(INDIRECT(RangeUnitPrice),MATCH($A197,INDIRECT(RangeEstCount),0)),IF(Awd?,OFFSET(TabAmount,MATCH(INDEX(INDIRECT(RangeCount),MATCH($A197,INDIRECT(RangeEstCount),0)),OFFSET(TabCount,1,0,2*NumPayItems,1),0),MATCH(Awarded2,Bidders,0)),IF(OR($C197="",$D197="LPSM"),"","$"))),"")</f>
        <v/>
      </c>
      <c r="G197" s="171" t="str">
        <f ca="1">IFERROR(VALUE(C197)*F197,IF(AND(Bid?,NOT(Awd?),$D197="LPSM"),"$",F197))</f>
        <v/>
      </c>
      <c r="H197" s="374"/>
      <c r="I197" s="217" t="str">
        <f ca="1">IFERROR(VALUE(SUBSTITUTE(OFFSET(I197,-1,0)," "&amp;$D197,""))*$F197,"")</f>
        <v/>
      </c>
      <c r="J197" s="215" t="str">
        <f ca="1">IFERROR(VALUE(SUBSTITUTE(OFFSET(J197,-1,0)," "&amp;$D197,""))*$F197,"")</f>
        <v/>
      </c>
      <c r="K197" s="215" t="str">
        <f t="shared" ref="K197:M197" ca="1" si="194">IFERROR(VALUE(SUBSTITUTE(OFFSET(K197,-1,0)," "&amp;$D197,""))*$F197,"")</f>
        <v/>
      </c>
      <c r="L197" s="215" t="str">
        <f t="shared" ca="1" si="194"/>
        <v/>
      </c>
      <c r="M197" s="215" t="str">
        <f t="shared" ca="1" si="194"/>
        <v/>
      </c>
      <c r="N197" s="215" t="str">
        <f ca="1">IFERROR(VALUE(SUBSTITUTE(OFFSET(N197,-1,0)," "&amp;$D197,""))*$F197,"")</f>
        <v/>
      </c>
      <c r="O197" s="215" t="str">
        <f ca="1">IFERROR(VALUE(SUBSTITUTE(OFFSET(O197,-1,0)," "&amp;$D197,""))*$F197,"")</f>
        <v/>
      </c>
      <c r="P197" s="209" t="str">
        <f ca="1">IF(LEN(B197)&gt;0,ISNUMBER(MATCH(B197,Proposed[Item],0)),"")</f>
        <v/>
      </c>
    </row>
    <row r="198" spans="1:16" ht="15" x14ac:dyDescent="0.2">
      <c r="A198" s="276">
        <f t="shared" ca="1" si="132"/>
        <v>96</v>
      </c>
      <c r="B198" s="168" t="str">
        <f ca="1">IFERROR(INDEX(INDIRECT(RangeItems),MATCH($A198,INDIRECT(RangeEstCount),0)),"")</f>
        <v/>
      </c>
      <c r="C198" s="365" t="str">
        <f ca="1">IFERROR(INDEX(Calcs[Description],INDEX(INDIRECT(RangeCount),MATCH($A198,INDIRECT(RangeEstCount),0))),"")</f>
        <v/>
      </c>
      <c r="D198" s="365"/>
      <c r="E198" s="365"/>
      <c r="F198" s="365"/>
      <c r="G198" s="365"/>
      <c r="H198" s="375" t="str">
        <f ca="1">IF(AND(Bid?,NOT(Awd?)),C198,OFFSET(F198,1,0))</f>
        <v/>
      </c>
      <c r="I198" s="216" t="str">
        <f t="shared" ref="I198:O198" ca="1" si="195">IFERROR(SUM(OFFSET(INDIRECT(RangeQuantity),MATCH($A198,INDIRECT(RangeEstCount),0)-1,COLUMN(I198)-COLUMN($H198),1,1))&amp;" "&amp;OFFSET($D198,1,0),"")</f>
        <v/>
      </c>
      <c r="J198" s="277" t="str">
        <f t="shared" ca="1" si="195"/>
        <v/>
      </c>
      <c r="K198" s="277" t="str">
        <f t="shared" ca="1" si="195"/>
        <v/>
      </c>
      <c r="L198" s="277" t="str">
        <f t="shared" ca="1" si="195"/>
        <v/>
      </c>
      <c r="M198" s="277" t="str">
        <f t="shared" ca="1" si="195"/>
        <v/>
      </c>
      <c r="N198" s="277" t="str">
        <f t="shared" ca="1" si="195"/>
        <v/>
      </c>
      <c r="O198" s="277" t="str">
        <f t="shared" ca="1" si="195"/>
        <v/>
      </c>
      <c r="P198" s="209" t="str">
        <f ca="1">IF(LEN(B198)&gt;0,ISNUMBER(MATCH(B198,Proposed[Item],0)),"")</f>
        <v/>
      </c>
    </row>
    <row r="199" spans="1:16" ht="15" x14ac:dyDescent="0.2">
      <c r="A199" s="276">
        <f t="shared" ca="1" si="132"/>
        <v>96</v>
      </c>
      <c r="B199" s="111" t="str">
        <f ca="1">IFERROR("Line "&amp;INDEX(Calcs[Line],INDEX(INDIRECT(RangeCount),MATCH($A199,INDIRECT(RangeEstCount),0))),"")</f>
        <v/>
      </c>
      <c r="C199" s="169" t="str">
        <f ca="1">IFERROR(IF(AND($D199="LPSM",Bid?,All?),"ALL",TEXT(OFFSET(INDIRECT(RangeQuantity),MATCH($A199,INDIRECT(RangeEstCount),0)-1,MATCH(Account,Accounts,0)-1,1,1),IF($D199="LPSM","0%","#,##0"&amp;IF(OFFSET(Items[#Data],MATCH($A199,INDIRECT(RangeEstCount),0)-1,MATCH(Decimals,Items[#Headers],0)-1,1,1)&gt;0,"."&amp;REPT("0",OFFSET(Items[#Data],MATCH($A199,INDIRECT(RangeEstCount),0)-1,MATCH(Decimals,Items[#Headers],0)-1,1,1)),"")))),"")</f>
        <v/>
      </c>
      <c r="D199" s="170" t="str">
        <f ca="1">IFERROR(INDEX(INDIRECT(RangeUnit),MATCH($A199,INDIRECT(RangeEstCount),0))&amp;SUBSTITUTE(" ["&amp;INDEX(INDIRECT(RangeAmend),MATCH($A199,INDIRECT(RangeEstCount),0))&amp;"]"," []",""),"")</f>
        <v/>
      </c>
      <c r="E199" s="170" t="str">
        <f ca="1">IFERROR(IF(INDEX(INDIRECT(RangeContrQty),MATCH($A199,INDIRECT(RangeEstCount),0)),"(CQ)",""),"")</f>
        <v/>
      </c>
      <c r="F199" s="171" t="str">
        <f ca="1">IFERROR(IF(OR(NOT(Bid?),LEFT(UPPER($D199),4)="FXHR"),INDEX(INDIRECT(RangeUnitPrice),MATCH($A199,INDIRECT(RangeEstCount),0)),IF(Awd?,OFFSET(TabAmount,MATCH(INDEX(INDIRECT(RangeCount),MATCH($A199,INDIRECT(RangeEstCount),0)),OFFSET(TabCount,1,0,2*NumPayItems,1),0),MATCH(Awarded2,Bidders,0)),IF(OR($C199="",$D199="LPSM"),"","$"))),"")</f>
        <v/>
      </c>
      <c r="G199" s="171" t="str">
        <f ca="1">IFERROR(VALUE(C199)*F199,IF(AND(Bid?,NOT(Awd?),$D199="LPSM"),"$",F199))</f>
        <v/>
      </c>
      <c r="H199" s="374"/>
      <c r="I199" s="217" t="str">
        <f ca="1">IFERROR(VALUE(SUBSTITUTE(OFFSET(I199,-1,0)," "&amp;$D199,""))*$F199,"")</f>
        <v/>
      </c>
      <c r="J199" s="215" t="str">
        <f ca="1">IFERROR(VALUE(SUBSTITUTE(OFFSET(J199,-1,0)," "&amp;$D199,""))*$F199,"")</f>
        <v/>
      </c>
      <c r="K199" s="215" t="str">
        <f t="shared" ref="K199:M199" ca="1" si="196">IFERROR(VALUE(SUBSTITUTE(OFFSET(K199,-1,0)," "&amp;$D199,""))*$F199,"")</f>
        <v/>
      </c>
      <c r="L199" s="215" t="str">
        <f t="shared" ca="1" si="196"/>
        <v/>
      </c>
      <c r="M199" s="215" t="str">
        <f t="shared" ca="1" si="196"/>
        <v/>
      </c>
      <c r="N199" s="215" t="str">
        <f ca="1">IFERROR(VALUE(SUBSTITUTE(OFFSET(N199,-1,0)," "&amp;$D199,""))*$F199,"")</f>
        <v/>
      </c>
      <c r="O199" s="215" t="str">
        <f ca="1">IFERROR(VALUE(SUBSTITUTE(OFFSET(O199,-1,0)," "&amp;$D199,""))*$F199,"")</f>
        <v/>
      </c>
      <c r="P199" s="209" t="str">
        <f ca="1">IF(LEN(B199)&gt;0,ISNUMBER(MATCH(B199,Proposed[Item],0)),"")</f>
        <v/>
      </c>
    </row>
    <row r="200" spans="1:16" ht="15" x14ac:dyDescent="0.2">
      <c r="A200" s="276">
        <f t="shared" ref="A200:A263" ca="1" si="197">OFFSET(A200,-2,0)+1</f>
        <v>97</v>
      </c>
      <c r="B200" s="168" t="str">
        <f ca="1">IFERROR(INDEX(INDIRECT(RangeItems),MATCH($A200,INDIRECT(RangeEstCount),0)),"")</f>
        <v/>
      </c>
      <c r="C200" s="365" t="str">
        <f ca="1">IFERROR(INDEX(Calcs[Description],INDEX(INDIRECT(RangeCount),MATCH($A200,INDIRECT(RangeEstCount),0))),"")</f>
        <v/>
      </c>
      <c r="D200" s="365"/>
      <c r="E200" s="365"/>
      <c r="F200" s="365"/>
      <c r="G200" s="365"/>
      <c r="H200" s="375" t="str">
        <f ca="1">IF(AND(Bid?,NOT(Awd?)),C200,OFFSET(F200,1,0))</f>
        <v/>
      </c>
      <c r="I200" s="216" t="str">
        <f t="shared" ref="I200:O200" ca="1" si="198">IFERROR(SUM(OFFSET(INDIRECT(RangeQuantity),MATCH($A200,INDIRECT(RangeEstCount),0)-1,COLUMN(I200)-COLUMN($H200),1,1))&amp;" "&amp;OFFSET($D200,1,0),"")</f>
        <v/>
      </c>
      <c r="J200" s="277" t="str">
        <f t="shared" ca="1" si="198"/>
        <v/>
      </c>
      <c r="K200" s="277" t="str">
        <f t="shared" ca="1" si="198"/>
        <v/>
      </c>
      <c r="L200" s="277" t="str">
        <f t="shared" ca="1" si="198"/>
        <v/>
      </c>
      <c r="M200" s="277" t="str">
        <f t="shared" ca="1" si="198"/>
        <v/>
      </c>
      <c r="N200" s="277" t="str">
        <f t="shared" ca="1" si="198"/>
        <v/>
      </c>
      <c r="O200" s="277" t="str">
        <f t="shared" ca="1" si="198"/>
        <v/>
      </c>
      <c r="P200" s="209" t="str">
        <f ca="1">IF(LEN(B200)&gt;0,ISNUMBER(MATCH(B200,Proposed[Item],0)),"")</f>
        <v/>
      </c>
    </row>
    <row r="201" spans="1:16" ht="15" x14ac:dyDescent="0.2">
      <c r="A201" s="276">
        <f t="shared" ca="1" si="197"/>
        <v>97</v>
      </c>
      <c r="B201" s="111" t="str">
        <f ca="1">IFERROR("Line "&amp;INDEX(Calcs[Line],INDEX(INDIRECT(RangeCount),MATCH($A201,INDIRECT(RangeEstCount),0))),"")</f>
        <v/>
      </c>
      <c r="C201" s="169" t="str">
        <f ca="1">IFERROR(IF(AND($D201="LPSM",Bid?,All?),"ALL",TEXT(OFFSET(INDIRECT(RangeQuantity),MATCH($A201,INDIRECT(RangeEstCount),0)-1,MATCH(Account,Accounts,0)-1,1,1),IF($D201="LPSM","0%","#,##0"&amp;IF(OFFSET(Items[#Data],MATCH($A201,INDIRECT(RangeEstCount),0)-1,MATCH(Decimals,Items[#Headers],0)-1,1,1)&gt;0,"."&amp;REPT("0",OFFSET(Items[#Data],MATCH($A201,INDIRECT(RangeEstCount),0)-1,MATCH(Decimals,Items[#Headers],0)-1,1,1)),"")))),"")</f>
        <v/>
      </c>
      <c r="D201" s="170" t="str">
        <f ca="1">IFERROR(INDEX(INDIRECT(RangeUnit),MATCH($A201,INDIRECT(RangeEstCount),0))&amp;SUBSTITUTE(" ["&amp;INDEX(INDIRECT(RangeAmend),MATCH($A201,INDIRECT(RangeEstCount),0))&amp;"]"," []",""),"")</f>
        <v/>
      </c>
      <c r="E201" s="170" t="str">
        <f ca="1">IFERROR(IF(INDEX(INDIRECT(RangeContrQty),MATCH($A201,INDIRECT(RangeEstCount),0)),"(CQ)",""),"")</f>
        <v/>
      </c>
      <c r="F201" s="171" t="str">
        <f ca="1">IFERROR(IF(OR(NOT(Bid?),LEFT(UPPER($D201),4)="FXHR"),INDEX(INDIRECT(RangeUnitPrice),MATCH($A201,INDIRECT(RangeEstCount),0)),IF(Awd?,OFFSET(TabAmount,MATCH(INDEX(INDIRECT(RangeCount),MATCH($A201,INDIRECT(RangeEstCount),0)),OFFSET(TabCount,1,0,2*NumPayItems,1),0),MATCH(Awarded2,Bidders,0)),IF(OR($C201="",$D201="LPSM"),"","$"))),"")</f>
        <v/>
      </c>
      <c r="G201" s="171" t="str">
        <f ca="1">IFERROR(VALUE(C201)*F201,IF(AND(Bid?,NOT(Awd?),$D201="LPSM"),"$",F201))</f>
        <v/>
      </c>
      <c r="H201" s="374"/>
      <c r="I201" s="217" t="str">
        <f ca="1">IFERROR(VALUE(SUBSTITUTE(OFFSET(I201,-1,0)," "&amp;$D201,""))*$F201,"")</f>
        <v/>
      </c>
      <c r="J201" s="215" t="str">
        <f ca="1">IFERROR(VALUE(SUBSTITUTE(OFFSET(J201,-1,0)," "&amp;$D201,""))*$F201,"")</f>
        <v/>
      </c>
      <c r="K201" s="215" t="str">
        <f t="shared" ref="K201:M201" ca="1" si="199">IFERROR(VALUE(SUBSTITUTE(OFFSET(K201,-1,0)," "&amp;$D201,""))*$F201,"")</f>
        <v/>
      </c>
      <c r="L201" s="215" t="str">
        <f t="shared" ca="1" si="199"/>
        <v/>
      </c>
      <c r="M201" s="215" t="str">
        <f t="shared" ca="1" si="199"/>
        <v/>
      </c>
      <c r="N201" s="215" t="str">
        <f ca="1">IFERROR(VALUE(SUBSTITUTE(OFFSET(N201,-1,0)," "&amp;$D201,""))*$F201,"")</f>
        <v/>
      </c>
      <c r="O201" s="215" t="str">
        <f ca="1">IFERROR(VALUE(SUBSTITUTE(OFFSET(O201,-1,0)," "&amp;$D201,""))*$F201,"")</f>
        <v/>
      </c>
      <c r="P201" s="209" t="str">
        <f ca="1">IF(LEN(B201)&gt;0,ISNUMBER(MATCH(B201,Proposed[Item],0)),"")</f>
        <v/>
      </c>
    </row>
    <row r="202" spans="1:16" ht="15" x14ac:dyDescent="0.2">
      <c r="A202" s="276">
        <f t="shared" ca="1" si="197"/>
        <v>98</v>
      </c>
      <c r="B202" s="168" t="str">
        <f ca="1">IFERROR(INDEX(INDIRECT(RangeItems),MATCH($A202,INDIRECT(RangeEstCount),0)),"")</f>
        <v/>
      </c>
      <c r="C202" s="365" t="str">
        <f ca="1">IFERROR(INDEX(Calcs[Description],INDEX(INDIRECT(RangeCount),MATCH($A202,INDIRECT(RangeEstCount),0))),"")</f>
        <v/>
      </c>
      <c r="D202" s="365"/>
      <c r="E202" s="365"/>
      <c r="F202" s="365"/>
      <c r="G202" s="365"/>
      <c r="H202" s="375" t="str">
        <f ca="1">IF(AND(Bid?,NOT(Awd?)),C202,OFFSET(F202,1,0))</f>
        <v/>
      </c>
      <c r="I202" s="216" t="str">
        <f t="shared" ref="I202:O202" ca="1" si="200">IFERROR(SUM(OFFSET(INDIRECT(RangeQuantity),MATCH($A202,INDIRECT(RangeEstCount),0)-1,COLUMN(I202)-COLUMN($H202),1,1))&amp;" "&amp;OFFSET($D202,1,0),"")</f>
        <v/>
      </c>
      <c r="J202" s="277" t="str">
        <f t="shared" ca="1" si="200"/>
        <v/>
      </c>
      <c r="K202" s="277" t="str">
        <f t="shared" ca="1" si="200"/>
        <v/>
      </c>
      <c r="L202" s="277" t="str">
        <f t="shared" ca="1" si="200"/>
        <v/>
      </c>
      <c r="M202" s="277" t="str">
        <f t="shared" ca="1" si="200"/>
        <v/>
      </c>
      <c r="N202" s="277" t="str">
        <f t="shared" ca="1" si="200"/>
        <v/>
      </c>
      <c r="O202" s="277" t="str">
        <f t="shared" ca="1" si="200"/>
        <v/>
      </c>
      <c r="P202" s="209" t="str">
        <f ca="1">IF(LEN(B202)&gt;0,ISNUMBER(MATCH(B202,Proposed[Item],0)),"")</f>
        <v/>
      </c>
    </row>
    <row r="203" spans="1:16" ht="15" x14ac:dyDescent="0.2">
      <c r="A203" s="276">
        <f t="shared" ca="1" si="197"/>
        <v>98</v>
      </c>
      <c r="B203" s="111" t="str">
        <f ca="1">IFERROR("Line "&amp;INDEX(Calcs[Line],INDEX(INDIRECT(RangeCount),MATCH($A203,INDIRECT(RangeEstCount),0))),"")</f>
        <v/>
      </c>
      <c r="C203" s="169" t="str">
        <f ca="1">IFERROR(IF(AND($D203="LPSM",Bid?,All?),"ALL",TEXT(OFFSET(INDIRECT(RangeQuantity),MATCH($A203,INDIRECT(RangeEstCount),0)-1,MATCH(Account,Accounts,0)-1,1,1),IF($D203="LPSM","0%","#,##0"&amp;IF(OFFSET(Items[#Data],MATCH($A203,INDIRECT(RangeEstCount),0)-1,MATCH(Decimals,Items[#Headers],0)-1,1,1)&gt;0,"."&amp;REPT("0",OFFSET(Items[#Data],MATCH($A203,INDIRECT(RangeEstCount),0)-1,MATCH(Decimals,Items[#Headers],0)-1,1,1)),"")))),"")</f>
        <v/>
      </c>
      <c r="D203" s="170" t="str">
        <f ca="1">IFERROR(INDEX(INDIRECT(RangeUnit),MATCH($A203,INDIRECT(RangeEstCount),0))&amp;SUBSTITUTE(" ["&amp;INDEX(INDIRECT(RangeAmend),MATCH($A203,INDIRECT(RangeEstCount),0))&amp;"]"," []",""),"")</f>
        <v/>
      </c>
      <c r="E203" s="170" t="str">
        <f ca="1">IFERROR(IF(INDEX(INDIRECT(RangeContrQty),MATCH($A203,INDIRECT(RangeEstCount),0)),"(CQ)",""),"")</f>
        <v/>
      </c>
      <c r="F203" s="171" t="str">
        <f ca="1">IFERROR(IF(OR(NOT(Bid?),LEFT(UPPER($D203),4)="FXHR"),INDEX(INDIRECT(RangeUnitPrice),MATCH($A203,INDIRECT(RangeEstCount),0)),IF(Awd?,OFFSET(TabAmount,MATCH(INDEX(INDIRECT(RangeCount),MATCH($A203,INDIRECT(RangeEstCount),0)),OFFSET(TabCount,1,0,2*NumPayItems,1),0),MATCH(Awarded2,Bidders,0)),IF(OR($C203="",$D203="LPSM"),"","$"))),"")</f>
        <v/>
      </c>
      <c r="G203" s="171" t="str">
        <f ca="1">IFERROR(VALUE(C203)*F203,IF(AND(Bid?,NOT(Awd?),$D203="LPSM"),"$",F203))</f>
        <v/>
      </c>
      <c r="H203" s="374"/>
      <c r="I203" s="217" t="str">
        <f ca="1">IFERROR(VALUE(SUBSTITUTE(OFFSET(I203,-1,0)," "&amp;$D203,""))*$F203,"")</f>
        <v/>
      </c>
      <c r="J203" s="215" t="str">
        <f ca="1">IFERROR(VALUE(SUBSTITUTE(OFFSET(J203,-1,0)," "&amp;$D203,""))*$F203,"")</f>
        <v/>
      </c>
      <c r="K203" s="215" t="str">
        <f t="shared" ref="K203:M203" ca="1" si="201">IFERROR(VALUE(SUBSTITUTE(OFFSET(K203,-1,0)," "&amp;$D203,""))*$F203,"")</f>
        <v/>
      </c>
      <c r="L203" s="215" t="str">
        <f t="shared" ca="1" si="201"/>
        <v/>
      </c>
      <c r="M203" s="215" t="str">
        <f t="shared" ca="1" si="201"/>
        <v/>
      </c>
      <c r="N203" s="215" t="str">
        <f ca="1">IFERROR(VALUE(SUBSTITUTE(OFFSET(N203,-1,0)," "&amp;$D203,""))*$F203,"")</f>
        <v/>
      </c>
      <c r="O203" s="215" t="str">
        <f ca="1">IFERROR(VALUE(SUBSTITUTE(OFFSET(O203,-1,0)," "&amp;$D203,""))*$F203,"")</f>
        <v/>
      </c>
      <c r="P203" s="209" t="str">
        <f ca="1">IF(LEN(B203)&gt;0,ISNUMBER(MATCH(B203,Proposed[Item],0)),"")</f>
        <v/>
      </c>
    </row>
    <row r="204" spans="1:16" ht="15" x14ac:dyDescent="0.2">
      <c r="A204" s="276">
        <f t="shared" ca="1" si="197"/>
        <v>99</v>
      </c>
      <c r="B204" s="168" t="str">
        <f ca="1">IFERROR(INDEX(INDIRECT(RangeItems),MATCH($A204,INDIRECT(RangeEstCount),0)),"")</f>
        <v/>
      </c>
      <c r="C204" s="365" t="str">
        <f ca="1">IFERROR(INDEX(Calcs[Description],INDEX(INDIRECT(RangeCount),MATCH($A204,INDIRECT(RangeEstCount),0))),"")</f>
        <v/>
      </c>
      <c r="D204" s="365"/>
      <c r="E204" s="365"/>
      <c r="F204" s="365"/>
      <c r="G204" s="365"/>
      <c r="H204" s="375" t="str">
        <f ca="1">IF(AND(Bid?,NOT(Awd?)),C204,OFFSET(F204,1,0))</f>
        <v/>
      </c>
      <c r="I204" s="216" t="str">
        <f t="shared" ref="I204:O204" ca="1" si="202">IFERROR(SUM(OFFSET(INDIRECT(RangeQuantity),MATCH($A204,INDIRECT(RangeEstCount),0)-1,COLUMN(I204)-COLUMN($H204),1,1))&amp;" "&amp;OFFSET($D204,1,0),"")</f>
        <v/>
      </c>
      <c r="J204" s="277" t="str">
        <f t="shared" ca="1" si="202"/>
        <v/>
      </c>
      <c r="K204" s="277" t="str">
        <f t="shared" ca="1" si="202"/>
        <v/>
      </c>
      <c r="L204" s="277" t="str">
        <f t="shared" ca="1" si="202"/>
        <v/>
      </c>
      <c r="M204" s="277" t="str">
        <f t="shared" ca="1" si="202"/>
        <v/>
      </c>
      <c r="N204" s="277" t="str">
        <f t="shared" ca="1" si="202"/>
        <v/>
      </c>
      <c r="O204" s="277" t="str">
        <f t="shared" ca="1" si="202"/>
        <v/>
      </c>
      <c r="P204" s="209" t="str">
        <f ca="1">IF(LEN(B204)&gt;0,ISNUMBER(MATCH(B204,Proposed[Item],0)),"")</f>
        <v/>
      </c>
    </row>
    <row r="205" spans="1:16" ht="15" x14ac:dyDescent="0.2">
      <c r="A205" s="276">
        <f t="shared" ca="1" si="197"/>
        <v>99</v>
      </c>
      <c r="B205" s="111" t="str">
        <f ca="1">IFERROR("Line "&amp;INDEX(Calcs[Line],INDEX(INDIRECT(RangeCount),MATCH($A205,INDIRECT(RangeEstCount),0))),"")</f>
        <v/>
      </c>
      <c r="C205" s="169" t="str">
        <f ca="1">IFERROR(IF(AND($D205="LPSM",Bid?,All?),"ALL",TEXT(OFFSET(INDIRECT(RangeQuantity),MATCH($A205,INDIRECT(RangeEstCount),0)-1,MATCH(Account,Accounts,0)-1,1,1),IF($D205="LPSM","0%","#,##0"&amp;IF(OFFSET(Items[#Data],MATCH($A205,INDIRECT(RangeEstCount),0)-1,MATCH(Decimals,Items[#Headers],0)-1,1,1)&gt;0,"."&amp;REPT("0",OFFSET(Items[#Data],MATCH($A205,INDIRECT(RangeEstCount),0)-1,MATCH(Decimals,Items[#Headers],0)-1,1,1)),"")))),"")</f>
        <v/>
      </c>
      <c r="D205" s="170" t="str">
        <f ca="1">IFERROR(INDEX(INDIRECT(RangeUnit),MATCH($A205,INDIRECT(RangeEstCount),0))&amp;SUBSTITUTE(" ["&amp;INDEX(INDIRECT(RangeAmend),MATCH($A205,INDIRECT(RangeEstCount),0))&amp;"]"," []",""),"")</f>
        <v/>
      </c>
      <c r="E205" s="170" t="str">
        <f ca="1">IFERROR(IF(INDEX(INDIRECT(RangeContrQty),MATCH($A205,INDIRECT(RangeEstCount),0)),"(CQ)",""),"")</f>
        <v/>
      </c>
      <c r="F205" s="171" t="str">
        <f ca="1">IFERROR(IF(OR(NOT(Bid?),LEFT(UPPER($D205),4)="FXHR"),INDEX(INDIRECT(RangeUnitPrice),MATCH($A205,INDIRECT(RangeEstCount),0)),IF(Awd?,OFFSET(TabAmount,MATCH(INDEX(INDIRECT(RangeCount),MATCH($A205,INDIRECT(RangeEstCount),0)),OFFSET(TabCount,1,0,2*NumPayItems,1),0),MATCH(Awarded2,Bidders,0)),IF(OR($C205="",$D205="LPSM"),"","$"))),"")</f>
        <v/>
      </c>
      <c r="G205" s="171" t="str">
        <f ca="1">IFERROR(VALUE(C205)*F205,IF(AND(Bid?,NOT(Awd?),$D205="LPSM"),"$",F205))</f>
        <v/>
      </c>
      <c r="H205" s="374"/>
      <c r="I205" s="217" t="str">
        <f ca="1">IFERROR(VALUE(SUBSTITUTE(OFFSET(I205,-1,0)," "&amp;$D205,""))*$F205,"")</f>
        <v/>
      </c>
      <c r="J205" s="215" t="str">
        <f ca="1">IFERROR(VALUE(SUBSTITUTE(OFFSET(J205,-1,0)," "&amp;$D205,""))*$F205,"")</f>
        <v/>
      </c>
      <c r="K205" s="215" t="str">
        <f t="shared" ref="K205:M205" ca="1" si="203">IFERROR(VALUE(SUBSTITUTE(OFFSET(K205,-1,0)," "&amp;$D205,""))*$F205,"")</f>
        <v/>
      </c>
      <c r="L205" s="215" t="str">
        <f t="shared" ca="1" si="203"/>
        <v/>
      </c>
      <c r="M205" s="215" t="str">
        <f t="shared" ca="1" si="203"/>
        <v/>
      </c>
      <c r="N205" s="215" t="str">
        <f ca="1">IFERROR(VALUE(SUBSTITUTE(OFFSET(N205,-1,0)," "&amp;$D205,""))*$F205,"")</f>
        <v/>
      </c>
      <c r="O205" s="215" t="str">
        <f ca="1">IFERROR(VALUE(SUBSTITUTE(OFFSET(O205,-1,0)," "&amp;$D205,""))*$F205,"")</f>
        <v/>
      </c>
      <c r="P205" s="209" t="str">
        <f ca="1">IF(LEN(B205)&gt;0,ISNUMBER(MATCH(B205,Proposed[Item],0)),"")</f>
        <v/>
      </c>
    </row>
    <row r="206" spans="1:16" ht="15" x14ac:dyDescent="0.2">
      <c r="A206" s="276">
        <f t="shared" ca="1" si="197"/>
        <v>100</v>
      </c>
      <c r="B206" s="168" t="str">
        <f ca="1">IFERROR(INDEX(INDIRECT(RangeItems),MATCH($A206,INDIRECT(RangeEstCount),0)),"")</f>
        <v/>
      </c>
      <c r="C206" s="365" t="str">
        <f ca="1">IFERROR(INDEX(Calcs[Description],INDEX(INDIRECT(RangeCount),MATCH($A206,INDIRECT(RangeEstCount),0))),"")</f>
        <v/>
      </c>
      <c r="D206" s="365"/>
      <c r="E206" s="365"/>
      <c r="F206" s="365"/>
      <c r="G206" s="365"/>
      <c r="H206" s="375" t="str">
        <f ca="1">IF(AND(Bid?,NOT(Awd?)),C206,OFFSET(F206,1,0))</f>
        <v/>
      </c>
      <c r="I206" s="216" t="str">
        <f t="shared" ref="I206:O206" ca="1" si="204">IFERROR(SUM(OFFSET(INDIRECT(RangeQuantity),MATCH($A206,INDIRECT(RangeEstCount),0)-1,COLUMN(I206)-COLUMN($H206),1,1))&amp;" "&amp;OFFSET($D206,1,0),"")</f>
        <v/>
      </c>
      <c r="J206" s="277" t="str">
        <f t="shared" ca="1" si="204"/>
        <v/>
      </c>
      <c r="K206" s="277" t="str">
        <f t="shared" ca="1" si="204"/>
        <v/>
      </c>
      <c r="L206" s="277" t="str">
        <f t="shared" ca="1" si="204"/>
        <v/>
      </c>
      <c r="M206" s="277" t="str">
        <f t="shared" ca="1" si="204"/>
        <v/>
      </c>
      <c r="N206" s="277" t="str">
        <f t="shared" ca="1" si="204"/>
        <v/>
      </c>
      <c r="O206" s="277" t="str">
        <f t="shared" ca="1" si="204"/>
        <v/>
      </c>
      <c r="P206" s="209" t="str">
        <f ca="1">IF(LEN(B206)&gt;0,ISNUMBER(MATCH(B206,Proposed[Item],0)),"")</f>
        <v/>
      </c>
    </row>
    <row r="207" spans="1:16" ht="15" x14ac:dyDescent="0.2">
      <c r="A207" s="276">
        <f t="shared" ca="1" si="197"/>
        <v>100</v>
      </c>
      <c r="B207" s="111" t="str">
        <f ca="1">IFERROR("Line "&amp;INDEX(Calcs[Line],INDEX(INDIRECT(RangeCount),MATCH($A207,INDIRECT(RangeEstCount),0))),"")</f>
        <v/>
      </c>
      <c r="C207" s="169" t="str">
        <f ca="1">IFERROR(IF(AND($D207="LPSM",Bid?,All?),"ALL",TEXT(OFFSET(INDIRECT(RangeQuantity),MATCH($A207,INDIRECT(RangeEstCount),0)-1,MATCH(Account,Accounts,0)-1,1,1),IF($D207="LPSM","0%","#,##0"&amp;IF(OFFSET(Items[#Data],MATCH($A207,INDIRECT(RangeEstCount),0)-1,MATCH(Decimals,Items[#Headers],0)-1,1,1)&gt;0,"."&amp;REPT("0",OFFSET(Items[#Data],MATCH($A207,INDIRECT(RangeEstCount),0)-1,MATCH(Decimals,Items[#Headers],0)-1,1,1)),"")))),"")</f>
        <v/>
      </c>
      <c r="D207" s="170" t="str">
        <f ca="1">IFERROR(INDEX(INDIRECT(RangeUnit),MATCH($A207,INDIRECT(RangeEstCount),0))&amp;SUBSTITUTE(" ["&amp;INDEX(INDIRECT(RangeAmend),MATCH($A207,INDIRECT(RangeEstCount),0))&amp;"]"," []",""),"")</f>
        <v/>
      </c>
      <c r="E207" s="170" t="str">
        <f ca="1">IFERROR(IF(INDEX(INDIRECT(RangeContrQty),MATCH($A207,INDIRECT(RangeEstCount),0)),"(CQ)",""),"")</f>
        <v/>
      </c>
      <c r="F207" s="171" t="str">
        <f ca="1">IFERROR(IF(OR(NOT(Bid?),LEFT(UPPER($D207),4)="FXHR"),INDEX(INDIRECT(RangeUnitPrice),MATCH($A207,INDIRECT(RangeEstCount),0)),IF(Awd?,OFFSET(TabAmount,MATCH(INDEX(INDIRECT(RangeCount),MATCH($A207,INDIRECT(RangeEstCount),0)),OFFSET(TabCount,1,0,2*NumPayItems,1),0),MATCH(Awarded2,Bidders,0)),IF(OR($C207="",$D207="LPSM"),"","$"))),"")</f>
        <v/>
      </c>
      <c r="G207" s="171" t="str">
        <f ca="1">IFERROR(VALUE(C207)*F207,IF(AND(Bid?,NOT(Awd?),$D207="LPSM"),"$",F207))</f>
        <v/>
      </c>
      <c r="H207" s="374"/>
      <c r="I207" s="217" t="str">
        <f ca="1">IFERROR(VALUE(SUBSTITUTE(OFFSET(I207,-1,0)," "&amp;$D207,""))*$F207,"")</f>
        <v/>
      </c>
      <c r="J207" s="215" t="str">
        <f ca="1">IFERROR(VALUE(SUBSTITUTE(OFFSET(J207,-1,0)," "&amp;$D207,""))*$F207,"")</f>
        <v/>
      </c>
      <c r="K207" s="215" t="str">
        <f t="shared" ref="K207:M207" ca="1" si="205">IFERROR(VALUE(SUBSTITUTE(OFFSET(K207,-1,0)," "&amp;$D207,""))*$F207,"")</f>
        <v/>
      </c>
      <c r="L207" s="215" t="str">
        <f t="shared" ca="1" si="205"/>
        <v/>
      </c>
      <c r="M207" s="215" t="str">
        <f t="shared" ca="1" si="205"/>
        <v/>
      </c>
      <c r="N207" s="215" t="str">
        <f ca="1">IFERROR(VALUE(SUBSTITUTE(OFFSET(N207,-1,0)," "&amp;$D207,""))*$F207,"")</f>
        <v/>
      </c>
      <c r="O207" s="215" t="str">
        <f ca="1">IFERROR(VALUE(SUBSTITUTE(OFFSET(O207,-1,0)," "&amp;$D207,""))*$F207,"")</f>
        <v/>
      </c>
      <c r="P207" s="209" t="str">
        <f ca="1">IF(LEN(B207)&gt;0,ISNUMBER(MATCH(B207,Proposed[Item],0)),"")</f>
        <v/>
      </c>
    </row>
    <row r="208" spans="1:16" ht="15" x14ac:dyDescent="0.2">
      <c r="A208" s="276">
        <f t="shared" ca="1" si="197"/>
        <v>101</v>
      </c>
      <c r="B208" s="168" t="str">
        <f ca="1">IFERROR(INDEX(INDIRECT(RangeItems),MATCH($A208,INDIRECT(RangeEstCount),0)),"")</f>
        <v/>
      </c>
      <c r="C208" s="365" t="str">
        <f ca="1">IFERROR(INDEX(Calcs[Description],INDEX(INDIRECT(RangeCount),MATCH($A208,INDIRECT(RangeEstCount),0))),"")</f>
        <v/>
      </c>
      <c r="D208" s="365"/>
      <c r="E208" s="365"/>
      <c r="F208" s="365"/>
      <c r="G208" s="365"/>
      <c r="H208" s="375" t="str">
        <f ca="1">IF(AND(Bid?,NOT(Awd?)),C208,OFFSET(F208,1,0))</f>
        <v/>
      </c>
      <c r="I208" s="216" t="str">
        <f t="shared" ref="I208:O208" ca="1" si="206">IFERROR(SUM(OFFSET(INDIRECT(RangeQuantity),MATCH($A208,INDIRECT(RangeEstCount),0)-1,COLUMN(I208)-COLUMN($H208),1,1))&amp;" "&amp;OFFSET($D208,1,0),"")</f>
        <v/>
      </c>
      <c r="J208" s="277" t="str">
        <f t="shared" ca="1" si="206"/>
        <v/>
      </c>
      <c r="K208" s="277" t="str">
        <f t="shared" ca="1" si="206"/>
        <v/>
      </c>
      <c r="L208" s="277" t="str">
        <f t="shared" ca="1" si="206"/>
        <v/>
      </c>
      <c r="M208" s="277" t="str">
        <f t="shared" ca="1" si="206"/>
        <v/>
      </c>
      <c r="N208" s="277" t="str">
        <f t="shared" ca="1" si="206"/>
        <v/>
      </c>
      <c r="O208" s="277" t="str">
        <f t="shared" ca="1" si="206"/>
        <v/>
      </c>
      <c r="P208" s="209" t="str">
        <f ca="1">IF(LEN(B208)&gt;0,ISNUMBER(MATCH(B208,Proposed[Item],0)),"")</f>
        <v/>
      </c>
    </row>
    <row r="209" spans="1:16" ht="15" x14ac:dyDescent="0.2">
      <c r="A209" s="276">
        <f t="shared" ca="1" si="197"/>
        <v>101</v>
      </c>
      <c r="B209" s="111" t="str">
        <f ca="1">IFERROR("Line "&amp;INDEX(Calcs[Line],INDEX(INDIRECT(RangeCount),MATCH($A209,INDIRECT(RangeEstCount),0))),"")</f>
        <v/>
      </c>
      <c r="C209" s="169" t="str">
        <f ca="1">IFERROR(IF(AND($D209="LPSM",Bid?,All?),"ALL",TEXT(OFFSET(INDIRECT(RangeQuantity),MATCH($A209,INDIRECT(RangeEstCount),0)-1,MATCH(Account,Accounts,0)-1,1,1),IF($D209="LPSM","0%","#,##0"&amp;IF(OFFSET(Items[#Data],MATCH($A209,INDIRECT(RangeEstCount),0)-1,MATCH(Decimals,Items[#Headers],0)-1,1,1)&gt;0,"."&amp;REPT("0",OFFSET(Items[#Data],MATCH($A209,INDIRECT(RangeEstCount),0)-1,MATCH(Decimals,Items[#Headers],0)-1,1,1)),"")))),"")</f>
        <v/>
      </c>
      <c r="D209" s="170" t="str">
        <f ca="1">IFERROR(INDEX(INDIRECT(RangeUnit),MATCH($A209,INDIRECT(RangeEstCount),0))&amp;SUBSTITUTE(" ["&amp;INDEX(INDIRECT(RangeAmend),MATCH($A209,INDIRECT(RangeEstCount),0))&amp;"]"," []",""),"")</f>
        <v/>
      </c>
      <c r="E209" s="170" t="str">
        <f ca="1">IFERROR(IF(INDEX(INDIRECT(RangeContrQty),MATCH($A209,INDIRECT(RangeEstCount),0)),"(CQ)",""),"")</f>
        <v/>
      </c>
      <c r="F209" s="171" t="str">
        <f ca="1">IFERROR(IF(OR(NOT(Bid?),LEFT(UPPER($D209),4)="FXHR"),INDEX(INDIRECT(RangeUnitPrice),MATCH($A209,INDIRECT(RangeEstCount),0)),IF(Awd?,OFFSET(TabAmount,MATCH(INDEX(INDIRECT(RangeCount),MATCH($A209,INDIRECT(RangeEstCount),0)),OFFSET(TabCount,1,0,2*NumPayItems,1),0),MATCH(Awarded2,Bidders,0)),IF(OR($C209="",$D209="LPSM"),"","$"))),"")</f>
        <v/>
      </c>
      <c r="G209" s="171" t="str">
        <f ca="1">IFERROR(VALUE(C209)*F209,IF(AND(Bid?,NOT(Awd?),$D209="LPSM"),"$",F209))</f>
        <v/>
      </c>
      <c r="H209" s="374"/>
      <c r="I209" s="217" t="str">
        <f ca="1">IFERROR(VALUE(SUBSTITUTE(OFFSET(I209,-1,0)," "&amp;$D209,""))*$F209,"")</f>
        <v/>
      </c>
      <c r="J209" s="215" t="str">
        <f ca="1">IFERROR(VALUE(SUBSTITUTE(OFFSET(J209,-1,0)," "&amp;$D209,""))*$F209,"")</f>
        <v/>
      </c>
      <c r="K209" s="215" t="str">
        <f t="shared" ref="K209:M209" ca="1" si="207">IFERROR(VALUE(SUBSTITUTE(OFFSET(K209,-1,0)," "&amp;$D209,""))*$F209,"")</f>
        <v/>
      </c>
      <c r="L209" s="215" t="str">
        <f t="shared" ca="1" si="207"/>
        <v/>
      </c>
      <c r="M209" s="215" t="str">
        <f t="shared" ca="1" si="207"/>
        <v/>
      </c>
      <c r="N209" s="215" t="str">
        <f ca="1">IFERROR(VALUE(SUBSTITUTE(OFFSET(N209,-1,0)," "&amp;$D209,""))*$F209,"")</f>
        <v/>
      </c>
      <c r="O209" s="215" t="str">
        <f ca="1">IFERROR(VALUE(SUBSTITUTE(OFFSET(O209,-1,0)," "&amp;$D209,""))*$F209,"")</f>
        <v/>
      </c>
      <c r="P209" s="209" t="str">
        <f ca="1">IF(LEN(B209)&gt;0,ISNUMBER(MATCH(B209,Proposed[Item],0)),"")</f>
        <v/>
      </c>
    </row>
    <row r="210" spans="1:16" ht="15" x14ac:dyDescent="0.2">
      <c r="A210" s="276">
        <f t="shared" ca="1" si="197"/>
        <v>102</v>
      </c>
      <c r="B210" s="168" t="str">
        <f ca="1">IFERROR(INDEX(INDIRECT(RangeItems),MATCH($A210,INDIRECT(RangeEstCount),0)),"")</f>
        <v/>
      </c>
      <c r="C210" s="365" t="str">
        <f ca="1">IFERROR(INDEX(Calcs[Description],INDEX(INDIRECT(RangeCount),MATCH($A210,INDIRECT(RangeEstCount),0))),"")</f>
        <v/>
      </c>
      <c r="D210" s="365"/>
      <c r="E210" s="365"/>
      <c r="F210" s="365"/>
      <c r="G210" s="365"/>
      <c r="H210" s="375" t="str">
        <f ca="1">IF(AND(Bid?,NOT(Awd?)),C210,OFFSET(F210,1,0))</f>
        <v/>
      </c>
      <c r="I210" s="216" t="str">
        <f t="shared" ref="I210:O210" ca="1" si="208">IFERROR(SUM(OFFSET(INDIRECT(RangeQuantity),MATCH($A210,INDIRECT(RangeEstCount),0)-1,COLUMN(I210)-COLUMN($H210),1,1))&amp;" "&amp;OFFSET($D210,1,0),"")</f>
        <v/>
      </c>
      <c r="J210" s="277" t="str">
        <f t="shared" ca="1" si="208"/>
        <v/>
      </c>
      <c r="K210" s="277" t="str">
        <f t="shared" ca="1" si="208"/>
        <v/>
      </c>
      <c r="L210" s="277" t="str">
        <f t="shared" ca="1" si="208"/>
        <v/>
      </c>
      <c r="M210" s="277" t="str">
        <f t="shared" ca="1" si="208"/>
        <v/>
      </c>
      <c r="N210" s="277" t="str">
        <f t="shared" ca="1" si="208"/>
        <v/>
      </c>
      <c r="O210" s="277" t="str">
        <f t="shared" ca="1" si="208"/>
        <v/>
      </c>
      <c r="P210" s="209" t="str">
        <f ca="1">IF(LEN(B210)&gt;0,ISNUMBER(MATCH(B210,Proposed[Item],0)),"")</f>
        <v/>
      </c>
    </row>
    <row r="211" spans="1:16" ht="15" x14ac:dyDescent="0.2">
      <c r="A211" s="276">
        <f t="shared" ca="1" si="197"/>
        <v>102</v>
      </c>
      <c r="B211" s="111" t="str">
        <f ca="1">IFERROR("Line "&amp;INDEX(Calcs[Line],INDEX(INDIRECT(RangeCount),MATCH($A211,INDIRECT(RangeEstCount),0))),"")</f>
        <v/>
      </c>
      <c r="C211" s="169" t="str">
        <f ca="1">IFERROR(IF(AND($D211="LPSM",Bid?,All?),"ALL",TEXT(OFFSET(INDIRECT(RangeQuantity),MATCH($A211,INDIRECT(RangeEstCount),0)-1,MATCH(Account,Accounts,0)-1,1,1),IF($D211="LPSM","0%","#,##0"&amp;IF(OFFSET(Items[#Data],MATCH($A211,INDIRECT(RangeEstCount),0)-1,MATCH(Decimals,Items[#Headers],0)-1,1,1)&gt;0,"."&amp;REPT("0",OFFSET(Items[#Data],MATCH($A211,INDIRECT(RangeEstCount),0)-1,MATCH(Decimals,Items[#Headers],0)-1,1,1)),"")))),"")</f>
        <v/>
      </c>
      <c r="D211" s="170" t="str">
        <f ca="1">IFERROR(INDEX(INDIRECT(RangeUnit),MATCH($A211,INDIRECT(RangeEstCount),0))&amp;SUBSTITUTE(" ["&amp;INDEX(INDIRECT(RangeAmend),MATCH($A211,INDIRECT(RangeEstCount),0))&amp;"]"," []",""),"")</f>
        <v/>
      </c>
      <c r="E211" s="170" t="str">
        <f ca="1">IFERROR(IF(INDEX(INDIRECT(RangeContrQty),MATCH($A211,INDIRECT(RangeEstCount),0)),"(CQ)",""),"")</f>
        <v/>
      </c>
      <c r="F211" s="171" t="str">
        <f ca="1">IFERROR(IF(OR(NOT(Bid?),LEFT(UPPER($D211),4)="FXHR"),INDEX(INDIRECT(RangeUnitPrice),MATCH($A211,INDIRECT(RangeEstCount),0)),IF(Awd?,OFFSET(TabAmount,MATCH(INDEX(INDIRECT(RangeCount),MATCH($A211,INDIRECT(RangeEstCount),0)),OFFSET(TabCount,1,0,2*NumPayItems,1),0),MATCH(Awarded2,Bidders,0)),IF(OR($C211="",$D211="LPSM"),"","$"))),"")</f>
        <v/>
      </c>
      <c r="G211" s="171" t="str">
        <f ca="1">IFERROR(VALUE(C211)*F211,IF(AND(Bid?,NOT(Awd?),$D211="LPSM"),"$",F211))</f>
        <v/>
      </c>
      <c r="H211" s="374"/>
      <c r="I211" s="217" t="str">
        <f ca="1">IFERROR(VALUE(SUBSTITUTE(OFFSET(I211,-1,0)," "&amp;$D211,""))*$F211,"")</f>
        <v/>
      </c>
      <c r="J211" s="215" t="str">
        <f ca="1">IFERROR(VALUE(SUBSTITUTE(OFFSET(J211,-1,0)," "&amp;$D211,""))*$F211,"")</f>
        <v/>
      </c>
      <c r="K211" s="215" t="str">
        <f t="shared" ref="K211:M211" ca="1" si="209">IFERROR(VALUE(SUBSTITUTE(OFFSET(K211,-1,0)," "&amp;$D211,""))*$F211,"")</f>
        <v/>
      </c>
      <c r="L211" s="215" t="str">
        <f t="shared" ca="1" si="209"/>
        <v/>
      </c>
      <c r="M211" s="215" t="str">
        <f t="shared" ca="1" si="209"/>
        <v/>
      </c>
      <c r="N211" s="215" t="str">
        <f ca="1">IFERROR(VALUE(SUBSTITUTE(OFFSET(N211,-1,0)," "&amp;$D211,""))*$F211,"")</f>
        <v/>
      </c>
      <c r="O211" s="215" t="str">
        <f ca="1">IFERROR(VALUE(SUBSTITUTE(OFFSET(O211,-1,0)," "&amp;$D211,""))*$F211,"")</f>
        <v/>
      </c>
      <c r="P211" s="209" t="str">
        <f ca="1">IF(LEN(B211)&gt;0,ISNUMBER(MATCH(B211,Proposed[Item],0)),"")</f>
        <v/>
      </c>
    </row>
    <row r="212" spans="1:16" ht="15" x14ac:dyDescent="0.2">
      <c r="A212" s="276">
        <f t="shared" ca="1" si="197"/>
        <v>103</v>
      </c>
      <c r="B212" s="168" t="str">
        <f ca="1">IFERROR(INDEX(INDIRECT(RangeItems),MATCH($A212,INDIRECT(RangeEstCount),0)),"")</f>
        <v/>
      </c>
      <c r="C212" s="365" t="str">
        <f ca="1">IFERROR(INDEX(Calcs[Description],INDEX(INDIRECT(RangeCount),MATCH($A212,INDIRECT(RangeEstCount),0))),"")</f>
        <v/>
      </c>
      <c r="D212" s="365"/>
      <c r="E212" s="365"/>
      <c r="F212" s="365"/>
      <c r="G212" s="365"/>
      <c r="H212" s="375" t="str">
        <f ca="1">IF(AND(Bid?,NOT(Awd?)),C212,OFFSET(F212,1,0))</f>
        <v/>
      </c>
      <c r="I212" s="216" t="str">
        <f t="shared" ref="I212:O212" ca="1" si="210">IFERROR(SUM(OFFSET(INDIRECT(RangeQuantity),MATCH($A212,INDIRECT(RangeEstCount),0)-1,COLUMN(I212)-COLUMN($H212),1,1))&amp;" "&amp;OFFSET($D212,1,0),"")</f>
        <v/>
      </c>
      <c r="J212" s="277" t="str">
        <f t="shared" ca="1" si="210"/>
        <v/>
      </c>
      <c r="K212" s="277" t="str">
        <f t="shared" ca="1" si="210"/>
        <v/>
      </c>
      <c r="L212" s="277" t="str">
        <f t="shared" ca="1" si="210"/>
        <v/>
      </c>
      <c r="M212" s="277" t="str">
        <f t="shared" ca="1" si="210"/>
        <v/>
      </c>
      <c r="N212" s="277" t="str">
        <f t="shared" ca="1" si="210"/>
        <v/>
      </c>
      <c r="O212" s="277" t="str">
        <f t="shared" ca="1" si="210"/>
        <v/>
      </c>
      <c r="P212" s="209" t="str">
        <f ca="1">IF(LEN(B212)&gt;0,ISNUMBER(MATCH(B212,Proposed[Item],0)),"")</f>
        <v/>
      </c>
    </row>
    <row r="213" spans="1:16" ht="15" x14ac:dyDescent="0.2">
      <c r="A213" s="276">
        <f t="shared" ca="1" si="197"/>
        <v>103</v>
      </c>
      <c r="B213" s="111" t="str">
        <f ca="1">IFERROR("Line "&amp;INDEX(Calcs[Line],INDEX(INDIRECT(RangeCount),MATCH($A213,INDIRECT(RangeEstCount),0))),"")</f>
        <v/>
      </c>
      <c r="C213" s="169" t="str">
        <f ca="1">IFERROR(IF(AND($D213="LPSM",Bid?,All?),"ALL",TEXT(OFFSET(INDIRECT(RangeQuantity),MATCH($A213,INDIRECT(RangeEstCount),0)-1,MATCH(Account,Accounts,0)-1,1,1),IF($D213="LPSM","0%","#,##0"&amp;IF(OFFSET(Items[#Data],MATCH($A213,INDIRECT(RangeEstCount),0)-1,MATCH(Decimals,Items[#Headers],0)-1,1,1)&gt;0,"."&amp;REPT("0",OFFSET(Items[#Data],MATCH($A213,INDIRECT(RangeEstCount),0)-1,MATCH(Decimals,Items[#Headers],0)-1,1,1)),"")))),"")</f>
        <v/>
      </c>
      <c r="D213" s="170" t="str">
        <f ca="1">IFERROR(INDEX(INDIRECT(RangeUnit),MATCH($A213,INDIRECT(RangeEstCount),0))&amp;SUBSTITUTE(" ["&amp;INDEX(INDIRECT(RangeAmend),MATCH($A213,INDIRECT(RangeEstCount),0))&amp;"]"," []",""),"")</f>
        <v/>
      </c>
      <c r="E213" s="170" t="str">
        <f ca="1">IFERROR(IF(INDEX(INDIRECT(RangeContrQty),MATCH($A213,INDIRECT(RangeEstCount),0)),"(CQ)",""),"")</f>
        <v/>
      </c>
      <c r="F213" s="171" t="str">
        <f ca="1">IFERROR(IF(OR(NOT(Bid?),LEFT(UPPER($D213),4)="FXHR"),INDEX(INDIRECT(RangeUnitPrice),MATCH($A213,INDIRECT(RangeEstCount),0)),IF(Awd?,OFFSET(TabAmount,MATCH(INDEX(INDIRECT(RangeCount),MATCH($A213,INDIRECT(RangeEstCount),0)),OFFSET(TabCount,1,0,2*NumPayItems,1),0),MATCH(Awarded2,Bidders,0)),IF(OR($C213="",$D213="LPSM"),"","$"))),"")</f>
        <v/>
      </c>
      <c r="G213" s="171" t="str">
        <f ca="1">IFERROR(VALUE(C213)*F213,IF(AND(Bid?,NOT(Awd?),$D213="LPSM"),"$",F213))</f>
        <v/>
      </c>
      <c r="H213" s="374"/>
      <c r="I213" s="217" t="str">
        <f ca="1">IFERROR(VALUE(SUBSTITUTE(OFFSET(I213,-1,0)," "&amp;$D213,""))*$F213,"")</f>
        <v/>
      </c>
      <c r="J213" s="215" t="str">
        <f ca="1">IFERROR(VALUE(SUBSTITUTE(OFFSET(J213,-1,0)," "&amp;$D213,""))*$F213,"")</f>
        <v/>
      </c>
      <c r="K213" s="215" t="str">
        <f t="shared" ref="K213:M213" ca="1" si="211">IFERROR(VALUE(SUBSTITUTE(OFFSET(K213,-1,0)," "&amp;$D213,""))*$F213,"")</f>
        <v/>
      </c>
      <c r="L213" s="215" t="str">
        <f t="shared" ca="1" si="211"/>
        <v/>
      </c>
      <c r="M213" s="215" t="str">
        <f t="shared" ca="1" si="211"/>
        <v/>
      </c>
      <c r="N213" s="215" t="str">
        <f ca="1">IFERROR(VALUE(SUBSTITUTE(OFFSET(N213,-1,0)," "&amp;$D213,""))*$F213,"")</f>
        <v/>
      </c>
      <c r="O213" s="215" t="str">
        <f ca="1">IFERROR(VALUE(SUBSTITUTE(OFFSET(O213,-1,0)," "&amp;$D213,""))*$F213,"")</f>
        <v/>
      </c>
      <c r="P213" s="209" t="str">
        <f ca="1">IF(LEN(B213)&gt;0,ISNUMBER(MATCH(B213,Proposed[Item],0)),"")</f>
        <v/>
      </c>
    </row>
    <row r="214" spans="1:16" ht="15" x14ac:dyDescent="0.2">
      <c r="A214" s="276">
        <f t="shared" ca="1" si="197"/>
        <v>104</v>
      </c>
      <c r="B214" s="168" t="str">
        <f ca="1">IFERROR(INDEX(INDIRECT(RangeItems),MATCH($A214,INDIRECT(RangeEstCount),0)),"")</f>
        <v/>
      </c>
      <c r="C214" s="365" t="str">
        <f ca="1">IFERROR(INDEX(Calcs[Description],INDEX(INDIRECT(RangeCount),MATCH($A214,INDIRECT(RangeEstCount),0))),"")</f>
        <v/>
      </c>
      <c r="D214" s="365"/>
      <c r="E214" s="365"/>
      <c r="F214" s="365"/>
      <c r="G214" s="365"/>
      <c r="H214" s="375" t="str">
        <f ca="1">IF(AND(Bid?,NOT(Awd?)),C214,OFFSET(F214,1,0))</f>
        <v/>
      </c>
      <c r="I214" s="216" t="str">
        <f t="shared" ref="I214:O214" ca="1" si="212">IFERROR(SUM(OFFSET(INDIRECT(RangeQuantity),MATCH($A214,INDIRECT(RangeEstCount),0)-1,COLUMN(I214)-COLUMN($H214),1,1))&amp;" "&amp;OFFSET($D214,1,0),"")</f>
        <v/>
      </c>
      <c r="J214" s="277" t="str">
        <f t="shared" ca="1" si="212"/>
        <v/>
      </c>
      <c r="K214" s="277" t="str">
        <f t="shared" ca="1" si="212"/>
        <v/>
      </c>
      <c r="L214" s="277" t="str">
        <f t="shared" ca="1" si="212"/>
        <v/>
      </c>
      <c r="M214" s="277" t="str">
        <f t="shared" ca="1" si="212"/>
        <v/>
      </c>
      <c r="N214" s="277" t="str">
        <f t="shared" ca="1" si="212"/>
        <v/>
      </c>
      <c r="O214" s="277" t="str">
        <f t="shared" ca="1" si="212"/>
        <v/>
      </c>
      <c r="P214" s="209" t="str">
        <f ca="1">IF(LEN(B214)&gt;0,ISNUMBER(MATCH(B214,Proposed[Item],0)),"")</f>
        <v/>
      </c>
    </row>
    <row r="215" spans="1:16" ht="15" x14ac:dyDescent="0.2">
      <c r="A215" s="276">
        <f t="shared" ca="1" si="197"/>
        <v>104</v>
      </c>
      <c r="B215" s="111" t="str">
        <f ca="1">IFERROR("Line "&amp;INDEX(Calcs[Line],INDEX(INDIRECT(RangeCount),MATCH($A215,INDIRECT(RangeEstCount),0))),"")</f>
        <v/>
      </c>
      <c r="C215" s="169" t="str">
        <f ca="1">IFERROR(IF(AND($D215="LPSM",Bid?,All?),"ALL",TEXT(OFFSET(INDIRECT(RangeQuantity),MATCH($A215,INDIRECT(RangeEstCount),0)-1,MATCH(Account,Accounts,0)-1,1,1),IF($D215="LPSM","0%","#,##0"&amp;IF(OFFSET(Items[#Data],MATCH($A215,INDIRECT(RangeEstCount),0)-1,MATCH(Decimals,Items[#Headers],0)-1,1,1)&gt;0,"."&amp;REPT("0",OFFSET(Items[#Data],MATCH($A215,INDIRECT(RangeEstCount),0)-1,MATCH(Decimals,Items[#Headers],0)-1,1,1)),"")))),"")</f>
        <v/>
      </c>
      <c r="D215" s="170" t="str">
        <f ca="1">IFERROR(INDEX(INDIRECT(RangeUnit),MATCH($A215,INDIRECT(RangeEstCount),0))&amp;SUBSTITUTE(" ["&amp;INDEX(INDIRECT(RangeAmend),MATCH($A215,INDIRECT(RangeEstCount),0))&amp;"]"," []",""),"")</f>
        <v/>
      </c>
      <c r="E215" s="170" t="str">
        <f ca="1">IFERROR(IF(INDEX(INDIRECT(RangeContrQty),MATCH($A215,INDIRECT(RangeEstCount),0)),"(CQ)",""),"")</f>
        <v/>
      </c>
      <c r="F215" s="171" t="str">
        <f ca="1">IFERROR(IF(OR(NOT(Bid?),LEFT(UPPER($D215),4)="FXHR"),INDEX(INDIRECT(RangeUnitPrice),MATCH($A215,INDIRECT(RangeEstCount),0)),IF(Awd?,OFFSET(TabAmount,MATCH(INDEX(INDIRECT(RangeCount),MATCH($A215,INDIRECT(RangeEstCount),0)),OFFSET(TabCount,1,0,2*NumPayItems,1),0),MATCH(Awarded2,Bidders,0)),IF(OR($C215="",$D215="LPSM"),"","$"))),"")</f>
        <v/>
      </c>
      <c r="G215" s="171" t="str">
        <f ca="1">IFERROR(VALUE(C215)*F215,IF(AND(Bid?,NOT(Awd?),$D215="LPSM"),"$",F215))</f>
        <v/>
      </c>
      <c r="H215" s="374"/>
      <c r="I215" s="217" t="str">
        <f ca="1">IFERROR(VALUE(SUBSTITUTE(OFFSET(I215,-1,0)," "&amp;$D215,""))*$F215,"")</f>
        <v/>
      </c>
      <c r="J215" s="215" t="str">
        <f ca="1">IFERROR(VALUE(SUBSTITUTE(OFFSET(J215,-1,0)," "&amp;$D215,""))*$F215,"")</f>
        <v/>
      </c>
      <c r="K215" s="215" t="str">
        <f t="shared" ref="K215:M215" ca="1" si="213">IFERROR(VALUE(SUBSTITUTE(OFFSET(K215,-1,0)," "&amp;$D215,""))*$F215,"")</f>
        <v/>
      </c>
      <c r="L215" s="215" t="str">
        <f t="shared" ca="1" si="213"/>
        <v/>
      </c>
      <c r="M215" s="215" t="str">
        <f t="shared" ca="1" si="213"/>
        <v/>
      </c>
      <c r="N215" s="215" t="str">
        <f ca="1">IFERROR(VALUE(SUBSTITUTE(OFFSET(N215,-1,0)," "&amp;$D215,""))*$F215,"")</f>
        <v/>
      </c>
      <c r="O215" s="215" t="str">
        <f ca="1">IFERROR(VALUE(SUBSTITUTE(OFFSET(O215,-1,0)," "&amp;$D215,""))*$F215,"")</f>
        <v/>
      </c>
      <c r="P215" s="209" t="str">
        <f ca="1">IF(LEN(B215)&gt;0,ISNUMBER(MATCH(B215,Proposed[Item],0)),"")</f>
        <v/>
      </c>
    </row>
    <row r="216" spans="1:16" ht="15" x14ac:dyDescent="0.2">
      <c r="A216" s="276">
        <f t="shared" ca="1" si="197"/>
        <v>105</v>
      </c>
      <c r="B216" s="168" t="str">
        <f ca="1">IFERROR(INDEX(INDIRECT(RangeItems),MATCH($A216,INDIRECT(RangeEstCount),0)),"")</f>
        <v/>
      </c>
      <c r="C216" s="365" t="str">
        <f ca="1">IFERROR(INDEX(Calcs[Description],INDEX(INDIRECT(RangeCount),MATCH($A216,INDIRECT(RangeEstCount),0))),"")</f>
        <v/>
      </c>
      <c r="D216" s="365"/>
      <c r="E216" s="365"/>
      <c r="F216" s="365"/>
      <c r="G216" s="365"/>
      <c r="H216" s="375" t="str">
        <f ca="1">IF(AND(Bid?,NOT(Awd?)),C216,OFFSET(F216,1,0))</f>
        <v/>
      </c>
      <c r="I216" s="216" t="str">
        <f t="shared" ref="I216:O216" ca="1" si="214">IFERROR(SUM(OFFSET(INDIRECT(RangeQuantity),MATCH($A216,INDIRECT(RangeEstCount),0)-1,COLUMN(I216)-COLUMN($H216),1,1))&amp;" "&amp;OFFSET($D216,1,0),"")</f>
        <v/>
      </c>
      <c r="J216" s="277" t="str">
        <f t="shared" ca="1" si="214"/>
        <v/>
      </c>
      <c r="K216" s="277" t="str">
        <f t="shared" ca="1" si="214"/>
        <v/>
      </c>
      <c r="L216" s="277" t="str">
        <f t="shared" ca="1" si="214"/>
        <v/>
      </c>
      <c r="M216" s="277" t="str">
        <f t="shared" ca="1" si="214"/>
        <v/>
      </c>
      <c r="N216" s="277" t="str">
        <f t="shared" ca="1" si="214"/>
        <v/>
      </c>
      <c r="O216" s="277" t="str">
        <f t="shared" ca="1" si="214"/>
        <v/>
      </c>
      <c r="P216" s="209" t="str">
        <f ca="1">IF(LEN(B216)&gt;0,ISNUMBER(MATCH(B216,Proposed[Item],0)),"")</f>
        <v/>
      </c>
    </row>
    <row r="217" spans="1:16" ht="15" x14ac:dyDescent="0.2">
      <c r="A217" s="276">
        <f t="shared" ca="1" si="197"/>
        <v>105</v>
      </c>
      <c r="B217" s="111" t="str">
        <f ca="1">IFERROR("Line "&amp;INDEX(Calcs[Line],INDEX(INDIRECT(RangeCount),MATCH($A217,INDIRECT(RangeEstCount),0))),"")</f>
        <v/>
      </c>
      <c r="C217" s="169" t="str">
        <f ca="1">IFERROR(IF(AND($D217="LPSM",Bid?,All?),"ALL",TEXT(OFFSET(INDIRECT(RangeQuantity),MATCH($A217,INDIRECT(RangeEstCount),0)-1,MATCH(Account,Accounts,0)-1,1,1),IF($D217="LPSM","0%","#,##0"&amp;IF(OFFSET(Items[#Data],MATCH($A217,INDIRECT(RangeEstCount),0)-1,MATCH(Decimals,Items[#Headers],0)-1,1,1)&gt;0,"."&amp;REPT("0",OFFSET(Items[#Data],MATCH($A217,INDIRECT(RangeEstCount),0)-1,MATCH(Decimals,Items[#Headers],0)-1,1,1)),"")))),"")</f>
        <v/>
      </c>
      <c r="D217" s="170" t="str">
        <f ca="1">IFERROR(INDEX(INDIRECT(RangeUnit),MATCH($A217,INDIRECT(RangeEstCount),0))&amp;SUBSTITUTE(" ["&amp;INDEX(INDIRECT(RangeAmend),MATCH($A217,INDIRECT(RangeEstCount),0))&amp;"]"," []",""),"")</f>
        <v/>
      </c>
      <c r="E217" s="170" t="str">
        <f ca="1">IFERROR(IF(INDEX(INDIRECT(RangeContrQty),MATCH($A217,INDIRECT(RangeEstCount),0)),"(CQ)",""),"")</f>
        <v/>
      </c>
      <c r="F217" s="171" t="str">
        <f ca="1">IFERROR(IF(OR(NOT(Bid?),LEFT(UPPER($D217),4)="FXHR"),INDEX(INDIRECT(RangeUnitPrice),MATCH($A217,INDIRECT(RangeEstCount),0)),IF(Awd?,OFFSET(TabAmount,MATCH(INDEX(INDIRECT(RangeCount),MATCH($A217,INDIRECT(RangeEstCount),0)),OFFSET(TabCount,1,0,2*NumPayItems,1),0),MATCH(Awarded2,Bidders,0)),IF(OR($C217="",$D217="LPSM"),"","$"))),"")</f>
        <v/>
      </c>
      <c r="G217" s="171" t="str">
        <f ca="1">IFERROR(VALUE(C217)*F217,IF(AND(Bid?,NOT(Awd?),$D217="LPSM"),"$",F217))</f>
        <v/>
      </c>
      <c r="H217" s="374"/>
      <c r="I217" s="217" t="str">
        <f ca="1">IFERROR(VALUE(SUBSTITUTE(OFFSET(I217,-1,0)," "&amp;$D217,""))*$F217,"")</f>
        <v/>
      </c>
      <c r="J217" s="215" t="str">
        <f ca="1">IFERROR(VALUE(SUBSTITUTE(OFFSET(J217,-1,0)," "&amp;$D217,""))*$F217,"")</f>
        <v/>
      </c>
      <c r="K217" s="215" t="str">
        <f t="shared" ref="K217:M217" ca="1" si="215">IFERROR(VALUE(SUBSTITUTE(OFFSET(K217,-1,0)," "&amp;$D217,""))*$F217,"")</f>
        <v/>
      </c>
      <c r="L217" s="215" t="str">
        <f t="shared" ca="1" si="215"/>
        <v/>
      </c>
      <c r="M217" s="215" t="str">
        <f t="shared" ca="1" si="215"/>
        <v/>
      </c>
      <c r="N217" s="215" t="str">
        <f ca="1">IFERROR(VALUE(SUBSTITUTE(OFFSET(N217,-1,0)," "&amp;$D217,""))*$F217,"")</f>
        <v/>
      </c>
      <c r="O217" s="215" t="str">
        <f ca="1">IFERROR(VALUE(SUBSTITUTE(OFFSET(O217,-1,0)," "&amp;$D217,""))*$F217,"")</f>
        <v/>
      </c>
      <c r="P217" s="209" t="str">
        <f ca="1">IF(LEN(B217)&gt;0,ISNUMBER(MATCH(B217,Proposed[Item],0)),"")</f>
        <v/>
      </c>
    </row>
    <row r="218" spans="1:16" ht="15" x14ac:dyDescent="0.2">
      <c r="A218" s="276">
        <f t="shared" ca="1" si="197"/>
        <v>106</v>
      </c>
      <c r="B218" s="168" t="str">
        <f ca="1">IFERROR(INDEX(INDIRECT(RangeItems),MATCH($A218,INDIRECT(RangeEstCount),0)),"")</f>
        <v/>
      </c>
      <c r="C218" s="365" t="str">
        <f ca="1">IFERROR(INDEX(Calcs[Description],INDEX(INDIRECT(RangeCount),MATCH($A218,INDIRECT(RangeEstCount),0))),"")</f>
        <v/>
      </c>
      <c r="D218" s="365"/>
      <c r="E218" s="365"/>
      <c r="F218" s="365"/>
      <c r="G218" s="365"/>
      <c r="H218" s="375" t="str">
        <f ca="1">IF(AND(Bid?,NOT(Awd?)),C218,OFFSET(F218,1,0))</f>
        <v/>
      </c>
      <c r="I218" s="216" t="str">
        <f t="shared" ref="I218:O218" ca="1" si="216">IFERROR(SUM(OFFSET(INDIRECT(RangeQuantity),MATCH($A218,INDIRECT(RangeEstCount),0)-1,COLUMN(I218)-COLUMN($H218),1,1))&amp;" "&amp;OFFSET($D218,1,0),"")</f>
        <v/>
      </c>
      <c r="J218" s="277" t="str">
        <f t="shared" ca="1" si="216"/>
        <v/>
      </c>
      <c r="K218" s="277" t="str">
        <f t="shared" ca="1" si="216"/>
        <v/>
      </c>
      <c r="L218" s="277" t="str">
        <f t="shared" ca="1" si="216"/>
        <v/>
      </c>
      <c r="M218" s="277" t="str">
        <f t="shared" ca="1" si="216"/>
        <v/>
      </c>
      <c r="N218" s="277" t="str">
        <f t="shared" ca="1" si="216"/>
        <v/>
      </c>
      <c r="O218" s="277" t="str">
        <f t="shared" ca="1" si="216"/>
        <v/>
      </c>
      <c r="P218" s="209" t="str">
        <f ca="1">IF(LEN(B218)&gt;0,ISNUMBER(MATCH(B218,Proposed[Item],0)),"")</f>
        <v/>
      </c>
    </row>
    <row r="219" spans="1:16" ht="15" x14ac:dyDescent="0.2">
      <c r="A219" s="276">
        <f t="shared" ca="1" si="197"/>
        <v>106</v>
      </c>
      <c r="B219" s="111" t="str">
        <f ca="1">IFERROR("Line "&amp;INDEX(Calcs[Line],INDEX(INDIRECT(RangeCount),MATCH($A219,INDIRECT(RangeEstCount),0))),"")</f>
        <v/>
      </c>
      <c r="C219" s="169" t="str">
        <f ca="1">IFERROR(IF(AND($D219="LPSM",Bid?,All?),"ALL",TEXT(OFFSET(INDIRECT(RangeQuantity),MATCH($A219,INDIRECT(RangeEstCount),0)-1,MATCH(Account,Accounts,0)-1,1,1),IF($D219="LPSM","0%","#,##0"&amp;IF(OFFSET(Items[#Data],MATCH($A219,INDIRECT(RangeEstCount),0)-1,MATCH(Decimals,Items[#Headers],0)-1,1,1)&gt;0,"."&amp;REPT("0",OFFSET(Items[#Data],MATCH($A219,INDIRECT(RangeEstCount),0)-1,MATCH(Decimals,Items[#Headers],0)-1,1,1)),"")))),"")</f>
        <v/>
      </c>
      <c r="D219" s="170" t="str">
        <f ca="1">IFERROR(INDEX(INDIRECT(RangeUnit),MATCH($A219,INDIRECT(RangeEstCount),0))&amp;SUBSTITUTE(" ["&amp;INDEX(INDIRECT(RangeAmend),MATCH($A219,INDIRECT(RangeEstCount),0))&amp;"]"," []",""),"")</f>
        <v/>
      </c>
      <c r="E219" s="170" t="str">
        <f ca="1">IFERROR(IF(INDEX(INDIRECT(RangeContrQty),MATCH($A219,INDIRECT(RangeEstCount),0)),"(CQ)",""),"")</f>
        <v/>
      </c>
      <c r="F219" s="171" t="str">
        <f ca="1">IFERROR(IF(OR(NOT(Bid?),LEFT(UPPER($D219),4)="FXHR"),INDEX(INDIRECT(RangeUnitPrice),MATCH($A219,INDIRECT(RangeEstCount),0)),IF(Awd?,OFFSET(TabAmount,MATCH(INDEX(INDIRECT(RangeCount),MATCH($A219,INDIRECT(RangeEstCount),0)),OFFSET(TabCount,1,0,2*NumPayItems,1),0),MATCH(Awarded2,Bidders,0)),IF(OR($C219="",$D219="LPSM"),"","$"))),"")</f>
        <v/>
      </c>
      <c r="G219" s="171" t="str">
        <f ca="1">IFERROR(VALUE(C219)*F219,IF(AND(Bid?,NOT(Awd?),$D219="LPSM"),"$",F219))</f>
        <v/>
      </c>
      <c r="H219" s="374"/>
      <c r="I219" s="217" t="str">
        <f ca="1">IFERROR(VALUE(SUBSTITUTE(OFFSET(I219,-1,0)," "&amp;$D219,""))*$F219,"")</f>
        <v/>
      </c>
      <c r="J219" s="215" t="str">
        <f ca="1">IFERROR(VALUE(SUBSTITUTE(OFFSET(J219,-1,0)," "&amp;$D219,""))*$F219,"")</f>
        <v/>
      </c>
      <c r="K219" s="215" t="str">
        <f t="shared" ref="K219:M219" ca="1" si="217">IFERROR(VALUE(SUBSTITUTE(OFFSET(K219,-1,0)," "&amp;$D219,""))*$F219,"")</f>
        <v/>
      </c>
      <c r="L219" s="215" t="str">
        <f t="shared" ca="1" si="217"/>
        <v/>
      </c>
      <c r="M219" s="215" t="str">
        <f t="shared" ca="1" si="217"/>
        <v/>
      </c>
      <c r="N219" s="215" t="str">
        <f ca="1">IFERROR(VALUE(SUBSTITUTE(OFFSET(N219,-1,0)," "&amp;$D219,""))*$F219,"")</f>
        <v/>
      </c>
      <c r="O219" s="215" t="str">
        <f ca="1">IFERROR(VALUE(SUBSTITUTE(OFFSET(O219,-1,0)," "&amp;$D219,""))*$F219,"")</f>
        <v/>
      </c>
      <c r="P219" s="209" t="str">
        <f ca="1">IF(LEN(B219)&gt;0,ISNUMBER(MATCH(B219,Proposed[Item],0)),"")</f>
        <v/>
      </c>
    </row>
    <row r="220" spans="1:16" ht="15" x14ac:dyDescent="0.2">
      <c r="A220" s="276">
        <f t="shared" ca="1" si="197"/>
        <v>107</v>
      </c>
      <c r="B220" s="168" t="str">
        <f ca="1">IFERROR(INDEX(INDIRECT(RangeItems),MATCH($A220,INDIRECT(RangeEstCount),0)),"")</f>
        <v/>
      </c>
      <c r="C220" s="365" t="str">
        <f ca="1">IFERROR(INDEX(Calcs[Description],INDEX(INDIRECT(RangeCount),MATCH($A220,INDIRECT(RangeEstCount),0))),"")</f>
        <v/>
      </c>
      <c r="D220" s="365"/>
      <c r="E220" s="365"/>
      <c r="F220" s="365"/>
      <c r="G220" s="365"/>
      <c r="H220" s="375" t="str">
        <f ca="1">IF(AND(Bid?,NOT(Awd?)),C220,OFFSET(F220,1,0))</f>
        <v/>
      </c>
      <c r="I220" s="216" t="str">
        <f t="shared" ref="I220:O220" ca="1" si="218">IFERROR(SUM(OFFSET(INDIRECT(RangeQuantity),MATCH($A220,INDIRECT(RangeEstCount),0)-1,COLUMN(I220)-COLUMN($H220),1,1))&amp;" "&amp;OFFSET($D220,1,0),"")</f>
        <v/>
      </c>
      <c r="J220" s="277" t="str">
        <f t="shared" ca="1" si="218"/>
        <v/>
      </c>
      <c r="K220" s="277" t="str">
        <f t="shared" ca="1" si="218"/>
        <v/>
      </c>
      <c r="L220" s="277" t="str">
        <f t="shared" ca="1" si="218"/>
        <v/>
      </c>
      <c r="M220" s="277" t="str">
        <f t="shared" ca="1" si="218"/>
        <v/>
      </c>
      <c r="N220" s="277" t="str">
        <f t="shared" ca="1" si="218"/>
        <v/>
      </c>
      <c r="O220" s="277" t="str">
        <f t="shared" ca="1" si="218"/>
        <v/>
      </c>
      <c r="P220" s="209" t="str">
        <f ca="1">IF(LEN(B220)&gt;0,ISNUMBER(MATCH(B220,Proposed[Item],0)),"")</f>
        <v/>
      </c>
    </row>
    <row r="221" spans="1:16" ht="15" x14ac:dyDescent="0.2">
      <c r="A221" s="276">
        <f t="shared" ca="1" si="197"/>
        <v>107</v>
      </c>
      <c r="B221" s="111" t="str">
        <f ca="1">IFERROR("Line "&amp;INDEX(Calcs[Line],INDEX(INDIRECT(RangeCount),MATCH($A221,INDIRECT(RangeEstCount),0))),"")</f>
        <v/>
      </c>
      <c r="C221" s="169" t="str">
        <f ca="1">IFERROR(IF(AND($D221="LPSM",Bid?,All?),"ALL",TEXT(OFFSET(INDIRECT(RangeQuantity),MATCH($A221,INDIRECT(RangeEstCount),0)-1,MATCH(Account,Accounts,0)-1,1,1),IF($D221="LPSM","0%","#,##0"&amp;IF(OFFSET(Items[#Data],MATCH($A221,INDIRECT(RangeEstCount),0)-1,MATCH(Decimals,Items[#Headers],0)-1,1,1)&gt;0,"."&amp;REPT("0",OFFSET(Items[#Data],MATCH($A221,INDIRECT(RangeEstCount),0)-1,MATCH(Decimals,Items[#Headers],0)-1,1,1)),"")))),"")</f>
        <v/>
      </c>
      <c r="D221" s="170" t="str">
        <f ca="1">IFERROR(INDEX(INDIRECT(RangeUnit),MATCH($A221,INDIRECT(RangeEstCount),0))&amp;SUBSTITUTE(" ["&amp;INDEX(INDIRECT(RangeAmend),MATCH($A221,INDIRECT(RangeEstCount),0))&amp;"]"," []",""),"")</f>
        <v/>
      </c>
      <c r="E221" s="170" t="str">
        <f ca="1">IFERROR(IF(INDEX(INDIRECT(RangeContrQty),MATCH($A221,INDIRECT(RangeEstCount),0)),"(CQ)",""),"")</f>
        <v/>
      </c>
      <c r="F221" s="171" t="str">
        <f ca="1">IFERROR(IF(OR(NOT(Bid?),LEFT(UPPER($D221),4)="FXHR"),INDEX(INDIRECT(RangeUnitPrice),MATCH($A221,INDIRECT(RangeEstCount),0)),IF(Awd?,OFFSET(TabAmount,MATCH(INDEX(INDIRECT(RangeCount),MATCH($A221,INDIRECT(RangeEstCount),0)),OFFSET(TabCount,1,0,2*NumPayItems,1),0),MATCH(Awarded2,Bidders,0)),IF(OR($C221="",$D221="LPSM"),"","$"))),"")</f>
        <v/>
      </c>
      <c r="G221" s="171" t="str">
        <f ca="1">IFERROR(VALUE(C221)*F221,IF(AND(Bid?,NOT(Awd?),$D221="LPSM"),"$",F221))</f>
        <v/>
      </c>
      <c r="H221" s="374"/>
      <c r="I221" s="217" t="str">
        <f ca="1">IFERROR(VALUE(SUBSTITUTE(OFFSET(I221,-1,0)," "&amp;$D221,""))*$F221,"")</f>
        <v/>
      </c>
      <c r="J221" s="215" t="str">
        <f ca="1">IFERROR(VALUE(SUBSTITUTE(OFFSET(J221,-1,0)," "&amp;$D221,""))*$F221,"")</f>
        <v/>
      </c>
      <c r="K221" s="215" t="str">
        <f t="shared" ref="K221:M221" ca="1" si="219">IFERROR(VALUE(SUBSTITUTE(OFFSET(K221,-1,0)," "&amp;$D221,""))*$F221,"")</f>
        <v/>
      </c>
      <c r="L221" s="215" t="str">
        <f t="shared" ca="1" si="219"/>
        <v/>
      </c>
      <c r="M221" s="215" t="str">
        <f t="shared" ca="1" si="219"/>
        <v/>
      </c>
      <c r="N221" s="215" t="str">
        <f ca="1">IFERROR(VALUE(SUBSTITUTE(OFFSET(N221,-1,0)," "&amp;$D221,""))*$F221,"")</f>
        <v/>
      </c>
      <c r="O221" s="215" t="str">
        <f ca="1">IFERROR(VALUE(SUBSTITUTE(OFFSET(O221,-1,0)," "&amp;$D221,""))*$F221,"")</f>
        <v/>
      </c>
      <c r="P221" s="209" t="str">
        <f ca="1">IF(LEN(B221)&gt;0,ISNUMBER(MATCH(B221,Proposed[Item],0)),"")</f>
        <v/>
      </c>
    </row>
    <row r="222" spans="1:16" ht="15" x14ac:dyDescent="0.2">
      <c r="A222" s="276">
        <f t="shared" ca="1" si="197"/>
        <v>108</v>
      </c>
      <c r="B222" s="168" t="str">
        <f ca="1">IFERROR(INDEX(INDIRECT(RangeItems),MATCH($A222,INDIRECT(RangeEstCount),0)),"")</f>
        <v/>
      </c>
      <c r="C222" s="365" t="str">
        <f ca="1">IFERROR(INDEX(Calcs[Description],INDEX(INDIRECT(RangeCount),MATCH($A222,INDIRECT(RangeEstCount),0))),"")</f>
        <v/>
      </c>
      <c r="D222" s="365"/>
      <c r="E222" s="365"/>
      <c r="F222" s="365"/>
      <c r="G222" s="365"/>
      <c r="H222" s="375" t="str">
        <f ca="1">IF(AND(Bid?,NOT(Awd?)),C222,OFFSET(F222,1,0))</f>
        <v/>
      </c>
      <c r="I222" s="216" t="str">
        <f t="shared" ref="I222:O222" ca="1" si="220">IFERROR(SUM(OFFSET(INDIRECT(RangeQuantity),MATCH($A222,INDIRECT(RangeEstCount),0)-1,COLUMN(I222)-COLUMN($H222),1,1))&amp;" "&amp;OFFSET($D222,1,0),"")</f>
        <v/>
      </c>
      <c r="J222" s="277" t="str">
        <f t="shared" ca="1" si="220"/>
        <v/>
      </c>
      <c r="K222" s="277" t="str">
        <f t="shared" ca="1" si="220"/>
        <v/>
      </c>
      <c r="L222" s="277" t="str">
        <f t="shared" ca="1" si="220"/>
        <v/>
      </c>
      <c r="M222" s="277" t="str">
        <f t="shared" ca="1" si="220"/>
        <v/>
      </c>
      <c r="N222" s="277" t="str">
        <f t="shared" ca="1" si="220"/>
        <v/>
      </c>
      <c r="O222" s="277" t="str">
        <f t="shared" ca="1" si="220"/>
        <v/>
      </c>
      <c r="P222" s="209" t="str">
        <f ca="1">IF(LEN(B222)&gt;0,ISNUMBER(MATCH(B222,Proposed[Item],0)),"")</f>
        <v/>
      </c>
    </row>
    <row r="223" spans="1:16" ht="15" x14ac:dyDescent="0.2">
      <c r="A223" s="276">
        <f t="shared" ca="1" si="197"/>
        <v>108</v>
      </c>
      <c r="B223" s="111" t="str">
        <f ca="1">IFERROR("Line "&amp;INDEX(Calcs[Line],INDEX(INDIRECT(RangeCount),MATCH($A223,INDIRECT(RangeEstCount),0))),"")</f>
        <v/>
      </c>
      <c r="C223" s="169" t="str">
        <f ca="1">IFERROR(IF(AND($D223="LPSM",Bid?,All?),"ALL",TEXT(OFFSET(INDIRECT(RangeQuantity),MATCH($A223,INDIRECT(RangeEstCount),0)-1,MATCH(Account,Accounts,0)-1,1,1),IF($D223="LPSM","0%","#,##0"&amp;IF(OFFSET(Items[#Data],MATCH($A223,INDIRECT(RangeEstCount),0)-1,MATCH(Decimals,Items[#Headers],0)-1,1,1)&gt;0,"."&amp;REPT("0",OFFSET(Items[#Data],MATCH($A223,INDIRECT(RangeEstCount),0)-1,MATCH(Decimals,Items[#Headers],0)-1,1,1)),"")))),"")</f>
        <v/>
      </c>
      <c r="D223" s="170" t="str">
        <f ca="1">IFERROR(INDEX(INDIRECT(RangeUnit),MATCH($A223,INDIRECT(RangeEstCount),0))&amp;SUBSTITUTE(" ["&amp;INDEX(INDIRECT(RangeAmend),MATCH($A223,INDIRECT(RangeEstCount),0))&amp;"]"," []",""),"")</f>
        <v/>
      </c>
      <c r="E223" s="170" t="str">
        <f ca="1">IFERROR(IF(INDEX(INDIRECT(RangeContrQty),MATCH($A223,INDIRECT(RangeEstCount),0)),"(CQ)",""),"")</f>
        <v/>
      </c>
      <c r="F223" s="171" t="str">
        <f ca="1">IFERROR(IF(OR(NOT(Bid?),LEFT(UPPER($D223),4)="FXHR"),INDEX(INDIRECT(RangeUnitPrice),MATCH($A223,INDIRECT(RangeEstCount),0)),IF(Awd?,OFFSET(TabAmount,MATCH(INDEX(INDIRECT(RangeCount),MATCH($A223,INDIRECT(RangeEstCount),0)),OFFSET(TabCount,1,0,2*NumPayItems,1),0),MATCH(Awarded2,Bidders,0)),IF(OR($C223="",$D223="LPSM"),"","$"))),"")</f>
        <v/>
      </c>
      <c r="G223" s="171" t="str">
        <f ca="1">IFERROR(VALUE(C223)*F223,IF(AND(Bid?,NOT(Awd?),$D223="LPSM"),"$",F223))</f>
        <v/>
      </c>
      <c r="H223" s="374"/>
      <c r="I223" s="217" t="str">
        <f ca="1">IFERROR(VALUE(SUBSTITUTE(OFFSET(I223,-1,0)," "&amp;$D223,""))*$F223,"")</f>
        <v/>
      </c>
      <c r="J223" s="215" t="str">
        <f ca="1">IFERROR(VALUE(SUBSTITUTE(OFFSET(J223,-1,0)," "&amp;$D223,""))*$F223,"")</f>
        <v/>
      </c>
      <c r="K223" s="215" t="str">
        <f t="shared" ref="K223:M223" ca="1" si="221">IFERROR(VALUE(SUBSTITUTE(OFFSET(K223,-1,0)," "&amp;$D223,""))*$F223,"")</f>
        <v/>
      </c>
      <c r="L223" s="215" t="str">
        <f t="shared" ca="1" si="221"/>
        <v/>
      </c>
      <c r="M223" s="215" t="str">
        <f t="shared" ca="1" si="221"/>
        <v/>
      </c>
      <c r="N223" s="215" t="str">
        <f ca="1">IFERROR(VALUE(SUBSTITUTE(OFFSET(N223,-1,0)," "&amp;$D223,""))*$F223,"")</f>
        <v/>
      </c>
      <c r="O223" s="215" t="str">
        <f ca="1">IFERROR(VALUE(SUBSTITUTE(OFFSET(O223,-1,0)," "&amp;$D223,""))*$F223,"")</f>
        <v/>
      </c>
      <c r="P223" s="209" t="str">
        <f ca="1">IF(LEN(B223)&gt;0,ISNUMBER(MATCH(B223,Proposed[Item],0)),"")</f>
        <v/>
      </c>
    </row>
    <row r="224" spans="1:16" ht="15" x14ac:dyDescent="0.2">
      <c r="A224" s="276">
        <f t="shared" ca="1" si="197"/>
        <v>109</v>
      </c>
      <c r="B224" s="168" t="str">
        <f ca="1">IFERROR(INDEX(INDIRECT(RangeItems),MATCH($A224,INDIRECT(RangeEstCount),0)),"")</f>
        <v/>
      </c>
      <c r="C224" s="365" t="str">
        <f ca="1">IFERROR(INDEX(Calcs[Description],INDEX(INDIRECT(RangeCount),MATCH($A224,INDIRECT(RangeEstCount),0))),"")</f>
        <v/>
      </c>
      <c r="D224" s="365"/>
      <c r="E224" s="365"/>
      <c r="F224" s="365"/>
      <c r="G224" s="365"/>
      <c r="H224" s="375" t="str">
        <f ca="1">IF(AND(Bid?,NOT(Awd?)),C224,OFFSET(F224,1,0))</f>
        <v/>
      </c>
      <c r="I224" s="216" t="str">
        <f t="shared" ref="I224:O224" ca="1" si="222">IFERROR(SUM(OFFSET(INDIRECT(RangeQuantity),MATCH($A224,INDIRECT(RangeEstCount),0)-1,COLUMN(I224)-COLUMN($H224),1,1))&amp;" "&amp;OFFSET($D224,1,0),"")</f>
        <v/>
      </c>
      <c r="J224" s="277" t="str">
        <f t="shared" ca="1" si="222"/>
        <v/>
      </c>
      <c r="K224" s="277" t="str">
        <f t="shared" ca="1" si="222"/>
        <v/>
      </c>
      <c r="L224" s="277" t="str">
        <f t="shared" ca="1" si="222"/>
        <v/>
      </c>
      <c r="M224" s="277" t="str">
        <f t="shared" ca="1" si="222"/>
        <v/>
      </c>
      <c r="N224" s="277" t="str">
        <f t="shared" ca="1" si="222"/>
        <v/>
      </c>
      <c r="O224" s="277" t="str">
        <f t="shared" ca="1" si="222"/>
        <v/>
      </c>
      <c r="P224" s="209" t="str">
        <f ca="1">IF(LEN(B224)&gt;0,ISNUMBER(MATCH(B224,Proposed[Item],0)),"")</f>
        <v/>
      </c>
    </row>
    <row r="225" spans="1:16" ht="15" x14ac:dyDescent="0.2">
      <c r="A225" s="276">
        <f t="shared" ca="1" si="197"/>
        <v>109</v>
      </c>
      <c r="B225" s="111" t="str">
        <f ca="1">IFERROR("Line "&amp;INDEX(Calcs[Line],INDEX(INDIRECT(RangeCount),MATCH($A225,INDIRECT(RangeEstCount),0))),"")</f>
        <v/>
      </c>
      <c r="C225" s="169" t="str">
        <f ca="1">IFERROR(IF(AND($D225="LPSM",Bid?,All?),"ALL",TEXT(OFFSET(INDIRECT(RangeQuantity),MATCH($A225,INDIRECT(RangeEstCount),0)-1,MATCH(Account,Accounts,0)-1,1,1),IF($D225="LPSM","0%","#,##0"&amp;IF(OFFSET(Items[#Data],MATCH($A225,INDIRECT(RangeEstCount),0)-1,MATCH(Decimals,Items[#Headers],0)-1,1,1)&gt;0,"."&amp;REPT("0",OFFSET(Items[#Data],MATCH($A225,INDIRECT(RangeEstCount),0)-1,MATCH(Decimals,Items[#Headers],0)-1,1,1)),"")))),"")</f>
        <v/>
      </c>
      <c r="D225" s="170" t="str">
        <f ca="1">IFERROR(INDEX(INDIRECT(RangeUnit),MATCH($A225,INDIRECT(RangeEstCount),0))&amp;SUBSTITUTE(" ["&amp;INDEX(INDIRECT(RangeAmend),MATCH($A225,INDIRECT(RangeEstCount),0))&amp;"]"," []",""),"")</f>
        <v/>
      </c>
      <c r="E225" s="170" t="str">
        <f ca="1">IFERROR(IF(INDEX(INDIRECT(RangeContrQty),MATCH($A225,INDIRECT(RangeEstCount),0)),"(CQ)",""),"")</f>
        <v/>
      </c>
      <c r="F225" s="171" t="str">
        <f ca="1">IFERROR(IF(OR(NOT(Bid?),LEFT(UPPER($D225),4)="FXHR"),INDEX(INDIRECT(RangeUnitPrice),MATCH($A225,INDIRECT(RangeEstCount),0)),IF(Awd?,OFFSET(TabAmount,MATCH(INDEX(INDIRECT(RangeCount),MATCH($A225,INDIRECT(RangeEstCount),0)),OFFSET(TabCount,1,0,2*NumPayItems,1),0),MATCH(Awarded2,Bidders,0)),IF(OR($C225="",$D225="LPSM"),"","$"))),"")</f>
        <v/>
      </c>
      <c r="G225" s="171" t="str">
        <f ca="1">IFERROR(VALUE(C225)*F225,IF(AND(Bid?,NOT(Awd?),$D225="LPSM"),"$",F225))</f>
        <v/>
      </c>
      <c r="H225" s="374"/>
      <c r="I225" s="217" t="str">
        <f ca="1">IFERROR(VALUE(SUBSTITUTE(OFFSET(I225,-1,0)," "&amp;$D225,""))*$F225,"")</f>
        <v/>
      </c>
      <c r="J225" s="215" t="str">
        <f ca="1">IFERROR(VALUE(SUBSTITUTE(OFFSET(J225,-1,0)," "&amp;$D225,""))*$F225,"")</f>
        <v/>
      </c>
      <c r="K225" s="215" t="str">
        <f t="shared" ref="K225:M225" ca="1" si="223">IFERROR(VALUE(SUBSTITUTE(OFFSET(K225,-1,0)," "&amp;$D225,""))*$F225,"")</f>
        <v/>
      </c>
      <c r="L225" s="215" t="str">
        <f t="shared" ca="1" si="223"/>
        <v/>
      </c>
      <c r="M225" s="215" t="str">
        <f t="shared" ca="1" si="223"/>
        <v/>
      </c>
      <c r="N225" s="215" t="str">
        <f ca="1">IFERROR(VALUE(SUBSTITUTE(OFFSET(N225,-1,0)," "&amp;$D225,""))*$F225,"")</f>
        <v/>
      </c>
      <c r="O225" s="215" t="str">
        <f ca="1">IFERROR(VALUE(SUBSTITUTE(OFFSET(O225,-1,0)," "&amp;$D225,""))*$F225,"")</f>
        <v/>
      </c>
      <c r="P225" s="209" t="str">
        <f ca="1">IF(LEN(B225)&gt;0,ISNUMBER(MATCH(B225,Proposed[Item],0)),"")</f>
        <v/>
      </c>
    </row>
    <row r="226" spans="1:16" ht="15" x14ac:dyDescent="0.2">
      <c r="A226" s="276">
        <f t="shared" ca="1" si="197"/>
        <v>110</v>
      </c>
      <c r="B226" s="168" t="str">
        <f ca="1">IFERROR(INDEX(INDIRECT(RangeItems),MATCH($A226,INDIRECT(RangeEstCount),0)),"")</f>
        <v/>
      </c>
      <c r="C226" s="365" t="str">
        <f ca="1">IFERROR(INDEX(Calcs[Description],INDEX(INDIRECT(RangeCount),MATCH($A226,INDIRECT(RangeEstCount),0))),"")</f>
        <v/>
      </c>
      <c r="D226" s="365"/>
      <c r="E226" s="365"/>
      <c r="F226" s="365"/>
      <c r="G226" s="365"/>
      <c r="H226" s="375" t="str">
        <f ca="1">IF(AND(Bid?,NOT(Awd?)),C226,OFFSET(F226,1,0))</f>
        <v/>
      </c>
      <c r="I226" s="216" t="str">
        <f t="shared" ref="I226:O226" ca="1" si="224">IFERROR(SUM(OFFSET(INDIRECT(RangeQuantity),MATCH($A226,INDIRECT(RangeEstCount),0)-1,COLUMN(I226)-COLUMN($H226),1,1))&amp;" "&amp;OFFSET($D226,1,0),"")</f>
        <v/>
      </c>
      <c r="J226" s="277" t="str">
        <f t="shared" ca="1" si="224"/>
        <v/>
      </c>
      <c r="K226" s="277" t="str">
        <f t="shared" ca="1" si="224"/>
        <v/>
      </c>
      <c r="L226" s="277" t="str">
        <f t="shared" ca="1" si="224"/>
        <v/>
      </c>
      <c r="M226" s="277" t="str">
        <f t="shared" ca="1" si="224"/>
        <v/>
      </c>
      <c r="N226" s="277" t="str">
        <f t="shared" ca="1" si="224"/>
        <v/>
      </c>
      <c r="O226" s="277" t="str">
        <f t="shared" ca="1" si="224"/>
        <v/>
      </c>
      <c r="P226" s="209" t="str">
        <f ca="1">IF(LEN(B226)&gt;0,ISNUMBER(MATCH(B226,Proposed[Item],0)),"")</f>
        <v/>
      </c>
    </row>
    <row r="227" spans="1:16" ht="15" x14ac:dyDescent="0.2">
      <c r="A227" s="276">
        <f t="shared" ca="1" si="197"/>
        <v>110</v>
      </c>
      <c r="B227" s="111" t="str">
        <f ca="1">IFERROR("Line "&amp;INDEX(Calcs[Line],INDEX(INDIRECT(RangeCount),MATCH($A227,INDIRECT(RangeEstCount),0))),"")</f>
        <v/>
      </c>
      <c r="C227" s="169" t="str">
        <f ca="1">IFERROR(IF(AND($D227="LPSM",Bid?,All?),"ALL",TEXT(OFFSET(INDIRECT(RangeQuantity),MATCH($A227,INDIRECT(RangeEstCount),0)-1,MATCH(Account,Accounts,0)-1,1,1),IF($D227="LPSM","0%","#,##0"&amp;IF(OFFSET(Items[#Data],MATCH($A227,INDIRECT(RangeEstCount),0)-1,MATCH(Decimals,Items[#Headers],0)-1,1,1)&gt;0,"."&amp;REPT("0",OFFSET(Items[#Data],MATCH($A227,INDIRECT(RangeEstCount),0)-1,MATCH(Decimals,Items[#Headers],0)-1,1,1)),"")))),"")</f>
        <v/>
      </c>
      <c r="D227" s="170" t="str">
        <f ca="1">IFERROR(INDEX(INDIRECT(RangeUnit),MATCH($A227,INDIRECT(RangeEstCount),0))&amp;SUBSTITUTE(" ["&amp;INDEX(INDIRECT(RangeAmend),MATCH($A227,INDIRECT(RangeEstCount),0))&amp;"]"," []",""),"")</f>
        <v/>
      </c>
      <c r="E227" s="170" t="str">
        <f ca="1">IFERROR(IF(INDEX(INDIRECT(RangeContrQty),MATCH($A227,INDIRECT(RangeEstCount),0)),"(CQ)",""),"")</f>
        <v/>
      </c>
      <c r="F227" s="171" t="str">
        <f ca="1">IFERROR(IF(OR(NOT(Bid?),LEFT(UPPER($D227),4)="FXHR"),INDEX(INDIRECT(RangeUnitPrice),MATCH($A227,INDIRECT(RangeEstCount),0)),IF(Awd?,OFFSET(TabAmount,MATCH(INDEX(INDIRECT(RangeCount),MATCH($A227,INDIRECT(RangeEstCount),0)),OFFSET(TabCount,1,0,2*NumPayItems,1),0),MATCH(Awarded2,Bidders,0)),IF(OR($C227="",$D227="LPSM"),"","$"))),"")</f>
        <v/>
      </c>
      <c r="G227" s="171" t="str">
        <f ca="1">IFERROR(VALUE(C227)*F227,IF(AND(Bid?,NOT(Awd?),$D227="LPSM"),"$",F227))</f>
        <v/>
      </c>
      <c r="H227" s="374"/>
      <c r="I227" s="217" t="str">
        <f ca="1">IFERROR(VALUE(SUBSTITUTE(OFFSET(I227,-1,0)," "&amp;$D227,""))*$F227,"")</f>
        <v/>
      </c>
      <c r="J227" s="215" t="str">
        <f ca="1">IFERROR(VALUE(SUBSTITUTE(OFFSET(J227,-1,0)," "&amp;$D227,""))*$F227,"")</f>
        <v/>
      </c>
      <c r="K227" s="215" t="str">
        <f t="shared" ref="K227:M227" ca="1" si="225">IFERROR(VALUE(SUBSTITUTE(OFFSET(K227,-1,0)," "&amp;$D227,""))*$F227,"")</f>
        <v/>
      </c>
      <c r="L227" s="215" t="str">
        <f t="shared" ca="1" si="225"/>
        <v/>
      </c>
      <c r="M227" s="215" t="str">
        <f t="shared" ca="1" si="225"/>
        <v/>
      </c>
      <c r="N227" s="215" t="str">
        <f ca="1">IFERROR(VALUE(SUBSTITUTE(OFFSET(N227,-1,0)," "&amp;$D227,""))*$F227,"")</f>
        <v/>
      </c>
      <c r="O227" s="215" t="str">
        <f ca="1">IFERROR(VALUE(SUBSTITUTE(OFFSET(O227,-1,0)," "&amp;$D227,""))*$F227,"")</f>
        <v/>
      </c>
      <c r="P227" s="209" t="str">
        <f ca="1">IF(LEN(B227)&gt;0,ISNUMBER(MATCH(B227,Proposed[Item],0)),"")</f>
        <v/>
      </c>
    </row>
    <row r="228" spans="1:16" ht="15" x14ac:dyDescent="0.2">
      <c r="A228" s="276">
        <f t="shared" ca="1" si="197"/>
        <v>111</v>
      </c>
      <c r="B228" s="168" t="str">
        <f ca="1">IFERROR(INDEX(INDIRECT(RangeItems),MATCH($A228,INDIRECT(RangeEstCount),0)),"")</f>
        <v/>
      </c>
      <c r="C228" s="365" t="str">
        <f ca="1">IFERROR(INDEX(Calcs[Description],INDEX(INDIRECT(RangeCount),MATCH($A228,INDIRECT(RangeEstCount),0))),"")</f>
        <v/>
      </c>
      <c r="D228" s="365"/>
      <c r="E228" s="365"/>
      <c r="F228" s="365"/>
      <c r="G228" s="365"/>
      <c r="H228" s="375" t="str">
        <f ca="1">IF(AND(Bid?,NOT(Awd?)),C228,OFFSET(F228,1,0))</f>
        <v/>
      </c>
      <c r="I228" s="216" t="str">
        <f t="shared" ref="I228:O228" ca="1" si="226">IFERROR(SUM(OFFSET(INDIRECT(RangeQuantity),MATCH($A228,INDIRECT(RangeEstCount),0)-1,COLUMN(I228)-COLUMN($H228),1,1))&amp;" "&amp;OFFSET($D228,1,0),"")</f>
        <v/>
      </c>
      <c r="J228" s="277" t="str">
        <f t="shared" ca="1" si="226"/>
        <v/>
      </c>
      <c r="K228" s="277" t="str">
        <f t="shared" ca="1" si="226"/>
        <v/>
      </c>
      <c r="L228" s="277" t="str">
        <f t="shared" ca="1" si="226"/>
        <v/>
      </c>
      <c r="M228" s="277" t="str">
        <f t="shared" ca="1" si="226"/>
        <v/>
      </c>
      <c r="N228" s="277" t="str">
        <f t="shared" ca="1" si="226"/>
        <v/>
      </c>
      <c r="O228" s="277" t="str">
        <f t="shared" ca="1" si="226"/>
        <v/>
      </c>
      <c r="P228" s="209" t="str">
        <f ca="1">IF(LEN(B228)&gt;0,ISNUMBER(MATCH(B228,Proposed[Item],0)),"")</f>
        <v/>
      </c>
    </row>
    <row r="229" spans="1:16" ht="15" x14ac:dyDescent="0.2">
      <c r="A229" s="276">
        <f t="shared" ca="1" si="197"/>
        <v>111</v>
      </c>
      <c r="B229" s="111" t="str">
        <f ca="1">IFERROR("Line "&amp;INDEX(Calcs[Line],INDEX(INDIRECT(RangeCount),MATCH($A229,INDIRECT(RangeEstCount),0))),"")</f>
        <v/>
      </c>
      <c r="C229" s="169" t="str">
        <f ca="1">IFERROR(IF(AND($D229="LPSM",Bid?,All?),"ALL",TEXT(OFFSET(INDIRECT(RangeQuantity),MATCH($A229,INDIRECT(RangeEstCount),0)-1,MATCH(Account,Accounts,0)-1,1,1),IF($D229="LPSM","0%","#,##0"&amp;IF(OFFSET(Items[#Data],MATCH($A229,INDIRECT(RangeEstCount),0)-1,MATCH(Decimals,Items[#Headers],0)-1,1,1)&gt;0,"."&amp;REPT("0",OFFSET(Items[#Data],MATCH($A229,INDIRECT(RangeEstCount),0)-1,MATCH(Decimals,Items[#Headers],0)-1,1,1)),"")))),"")</f>
        <v/>
      </c>
      <c r="D229" s="170" t="str">
        <f ca="1">IFERROR(INDEX(INDIRECT(RangeUnit),MATCH($A229,INDIRECT(RangeEstCount),0))&amp;SUBSTITUTE(" ["&amp;INDEX(INDIRECT(RangeAmend),MATCH($A229,INDIRECT(RangeEstCount),0))&amp;"]"," []",""),"")</f>
        <v/>
      </c>
      <c r="E229" s="170" t="str">
        <f ca="1">IFERROR(IF(INDEX(INDIRECT(RangeContrQty),MATCH($A229,INDIRECT(RangeEstCount),0)),"(CQ)",""),"")</f>
        <v/>
      </c>
      <c r="F229" s="171" t="str">
        <f ca="1">IFERROR(IF(OR(NOT(Bid?),LEFT(UPPER($D229),4)="FXHR"),INDEX(INDIRECT(RangeUnitPrice),MATCH($A229,INDIRECT(RangeEstCount),0)),IF(Awd?,OFFSET(TabAmount,MATCH(INDEX(INDIRECT(RangeCount),MATCH($A229,INDIRECT(RangeEstCount),0)),OFFSET(TabCount,1,0,2*NumPayItems,1),0),MATCH(Awarded2,Bidders,0)),IF(OR($C229="",$D229="LPSM"),"","$"))),"")</f>
        <v/>
      </c>
      <c r="G229" s="171" t="str">
        <f ca="1">IFERROR(VALUE(C229)*F229,IF(AND(Bid?,NOT(Awd?),$D229="LPSM"),"$",F229))</f>
        <v/>
      </c>
      <c r="H229" s="374"/>
      <c r="I229" s="217" t="str">
        <f ca="1">IFERROR(VALUE(SUBSTITUTE(OFFSET(I229,-1,0)," "&amp;$D229,""))*$F229,"")</f>
        <v/>
      </c>
      <c r="J229" s="215" t="str">
        <f ca="1">IFERROR(VALUE(SUBSTITUTE(OFFSET(J229,-1,0)," "&amp;$D229,""))*$F229,"")</f>
        <v/>
      </c>
      <c r="K229" s="215" t="str">
        <f t="shared" ref="K229:M229" ca="1" si="227">IFERROR(VALUE(SUBSTITUTE(OFFSET(K229,-1,0)," "&amp;$D229,""))*$F229,"")</f>
        <v/>
      </c>
      <c r="L229" s="215" t="str">
        <f t="shared" ca="1" si="227"/>
        <v/>
      </c>
      <c r="M229" s="215" t="str">
        <f t="shared" ca="1" si="227"/>
        <v/>
      </c>
      <c r="N229" s="215" t="str">
        <f ca="1">IFERROR(VALUE(SUBSTITUTE(OFFSET(N229,-1,0)," "&amp;$D229,""))*$F229,"")</f>
        <v/>
      </c>
      <c r="O229" s="215" t="str">
        <f ca="1">IFERROR(VALUE(SUBSTITUTE(OFFSET(O229,-1,0)," "&amp;$D229,""))*$F229,"")</f>
        <v/>
      </c>
      <c r="P229" s="209" t="str">
        <f ca="1">IF(LEN(B229)&gt;0,ISNUMBER(MATCH(B229,Proposed[Item],0)),"")</f>
        <v/>
      </c>
    </row>
    <row r="230" spans="1:16" ht="15" x14ac:dyDescent="0.2">
      <c r="A230" s="276">
        <f t="shared" ca="1" si="197"/>
        <v>112</v>
      </c>
      <c r="B230" s="168" t="str">
        <f ca="1">IFERROR(INDEX(INDIRECT(RangeItems),MATCH($A230,INDIRECT(RangeEstCount),0)),"")</f>
        <v/>
      </c>
      <c r="C230" s="365" t="str">
        <f ca="1">IFERROR(INDEX(Calcs[Description],INDEX(INDIRECT(RangeCount),MATCH($A230,INDIRECT(RangeEstCount),0))),"")</f>
        <v/>
      </c>
      <c r="D230" s="365"/>
      <c r="E230" s="365"/>
      <c r="F230" s="365"/>
      <c r="G230" s="365"/>
      <c r="H230" s="375" t="str">
        <f ca="1">IF(AND(Bid?,NOT(Awd?)),C230,OFFSET(F230,1,0))</f>
        <v/>
      </c>
      <c r="I230" s="216" t="str">
        <f t="shared" ref="I230:O230" ca="1" si="228">IFERROR(SUM(OFFSET(INDIRECT(RangeQuantity),MATCH($A230,INDIRECT(RangeEstCount),0)-1,COLUMN(I230)-COLUMN($H230),1,1))&amp;" "&amp;OFFSET($D230,1,0),"")</f>
        <v/>
      </c>
      <c r="J230" s="277" t="str">
        <f t="shared" ca="1" si="228"/>
        <v/>
      </c>
      <c r="K230" s="277" t="str">
        <f t="shared" ca="1" si="228"/>
        <v/>
      </c>
      <c r="L230" s="277" t="str">
        <f t="shared" ca="1" si="228"/>
        <v/>
      </c>
      <c r="M230" s="277" t="str">
        <f t="shared" ca="1" si="228"/>
        <v/>
      </c>
      <c r="N230" s="277" t="str">
        <f t="shared" ca="1" si="228"/>
        <v/>
      </c>
      <c r="O230" s="277" t="str">
        <f t="shared" ca="1" si="228"/>
        <v/>
      </c>
      <c r="P230" s="209" t="str">
        <f ca="1">IF(LEN(B230)&gt;0,ISNUMBER(MATCH(B230,Proposed[Item],0)),"")</f>
        <v/>
      </c>
    </row>
    <row r="231" spans="1:16" ht="15" x14ac:dyDescent="0.2">
      <c r="A231" s="276">
        <f t="shared" ca="1" si="197"/>
        <v>112</v>
      </c>
      <c r="B231" s="111" t="str">
        <f ca="1">IFERROR("Line "&amp;INDEX(Calcs[Line],INDEX(INDIRECT(RangeCount),MATCH($A231,INDIRECT(RangeEstCount),0))),"")</f>
        <v/>
      </c>
      <c r="C231" s="169" t="str">
        <f ca="1">IFERROR(IF(AND($D231="LPSM",Bid?,All?),"ALL",TEXT(OFFSET(INDIRECT(RangeQuantity),MATCH($A231,INDIRECT(RangeEstCount),0)-1,MATCH(Account,Accounts,0)-1,1,1),IF($D231="LPSM","0%","#,##0"&amp;IF(OFFSET(Items[#Data],MATCH($A231,INDIRECT(RangeEstCount),0)-1,MATCH(Decimals,Items[#Headers],0)-1,1,1)&gt;0,"."&amp;REPT("0",OFFSET(Items[#Data],MATCH($A231,INDIRECT(RangeEstCount),0)-1,MATCH(Decimals,Items[#Headers],0)-1,1,1)),"")))),"")</f>
        <v/>
      </c>
      <c r="D231" s="170" t="str">
        <f ca="1">IFERROR(INDEX(INDIRECT(RangeUnit),MATCH($A231,INDIRECT(RangeEstCount),0))&amp;SUBSTITUTE(" ["&amp;INDEX(INDIRECT(RangeAmend),MATCH($A231,INDIRECT(RangeEstCount),0))&amp;"]"," []",""),"")</f>
        <v/>
      </c>
      <c r="E231" s="170" t="str">
        <f ca="1">IFERROR(IF(INDEX(INDIRECT(RangeContrQty),MATCH($A231,INDIRECT(RangeEstCount),0)),"(CQ)",""),"")</f>
        <v/>
      </c>
      <c r="F231" s="171" t="str">
        <f ca="1">IFERROR(IF(OR(NOT(Bid?),LEFT(UPPER($D231),4)="FXHR"),INDEX(INDIRECT(RangeUnitPrice),MATCH($A231,INDIRECT(RangeEstCount),0)),IF(Awd?,OFFSET(TabAmount,MATCH(INDEX(INDIRECT(RangeCount),MATCH($A231,INDIRECT(RangeEstCount),0)),OFFSET(TabCount,1,0,2*NumPayItems,1),0),MATCH(Awarded2,Bidders,0)),IF(OR($C231="",$D231="LPSM"),"","$"))),"")</f>
        <v/>
      </c>
      <c r="G231" s="171" t="str">
        <f ca="1">IFERROR(VALUE(C231)*F231,IF(AND(Bid?,NOT(Awd?),$D231="LPSM"),"$",F231))</f>
        <v/>
      </c>
      <c r="H231" s="374"/>
      <c r="I231" s="217" t="str">
        <f ca="1">IFERROR(VALUE(SUBSTITUTE(OFFSET(I231,-1,0)," "&amp;$D231,""))*$F231,"")</f>
        <v/>
      </c>
      <c r="J231" s="215" t="str">
        <f ca="1">IFERROR(VALUE(SUBSTITUTE(OFFSET(J231,-1,0)," "&amp;$D231,""))*$F231,"")</f>
        <v/>
      </c>
      <c r="K231" s="215" t="str">
        <f t="shared" ref="K231:M231" ca="1" si="229">IFERROR(VALUE(SUBSTITUTE(OFFSET(K231,-1,0)," "&amp;$D231,""))*$F231,"")</f>
        <v/>
      </c>
      <c r="L231" s="215" t="str">
        <f t="shared" ca="1" si="229"/>
        <v/>
      </c>
      <c r="M231" s="215" t="str">
        <f t="shared" ca="1" si="229"/>
        <v/>
      </c>
      <c r="N231" s="215" t="str">
        <f ca="1">IFERROR(VALUE(SUBSTITUTE(OFFSET(N231,-1,0)," "&amp;$D231,""))*$F231,"")</f>
        <v/>
      </c>
      <c r="O231" s="215" t="str">
        <f ca="1">IFERROR(VALUE(SUBSTITUTE(OFFSET(O231,-1,0)," "&amp;$D231,""))*$F231,"")</f>
        <v/>
      </c>
      <c r="P231" s="209" t="str">
        <f ca="1">IF(LEN(B231)&gt;0,ISNUMBER(MATCH(B231,Proposed[Item],0)),"")</f>
        <v/>
      </c>
    </row>
    <row r="232" spans="1:16" ht="15" x14ac:dyDescent="0.2">
      <c r="A232" s="276">
        <f t="shared" ca="1" si="197"/>
        <v>113</v>
      </c>
      <c r="B232" s="168" t="str">
        <f ca="1">IFERROR(INDEX(INDIRECT(RangeItems),MATCH($A232,INDIRECT(RangeEstCount),0)),"")</f>
        <v/>
      </c>
      <c r="C232" s="365" t="str">
        <f ca="1">IFERROR(INDEX(Calcs[Description],INDEX(INDIRECT(RangeCount),MATCH($A232,INDIRECT(RangeEstCount),0))),"")</f>
        <v/>
      </c>
      <c r="D232" s="365"/>
      <c r="E232" s="365"/>
      <c r="F232" s="365"/>
      <c r="G232" s="365"/>
      <c r="H232" s="375" t="str">
        <f ca="1">IF(AND(Bid?,NOT(Awd?)),C232,OFFSET(F232,1,0))</f>
        <v/>
      </c>
      <c r="I232" s="216" t="str">
        <f t="shared" ref="I232:O232" ca="1" si="230">IFERROR(SUM(OFFSET(INDIRECT(RangeQuantity),MATCH($A232,INDIRECT(RangeEstCount),0)-1,COLUMN(I232)-COLUMN($H232),1,1))&amp;" "&amp;OFFSET($D232,1,0),"")</f>
        <v/>
      </c>
      <c r="J232" s="277" t="str">
        <f t="shared" ca="1" si="230"/>
        <v/>
      </c>
      <c r="K232" s="277" t="str">
        <f t="shared" ca="1" si="230"/>
        <v/>
      </c>
      <c r="L232" s="277" t="str">
        <f t="shared" ca="1" si="230"/>
        <v/>
      </c>
      <c r="M232" s="277" t="str">
        <f t="shared" ca="1" si="230"/>
        <v/>
      </c>
      <c r="N232" s="277" t="str">
        <f t="shared" ca="1" si="230"/>
        <v/>
      </c>
      <c r="O232" s="277" t="str">
        <f t="shared" ca="1" si="230"/>
        <v/>
      </c>
      <c r="P232" s="209" t="str">
        <f ca="1">IF(LEN(B232)&gt;0,ISNUMBER(MATCH(B232,Proposed[Item],0)),"")</f>
        <v/>
      </c>
    </row>
    <row r="233" spans="1:16" ht="15" x14ac:dyDescent="0.2">
      <c r="A233" s="276">
        <f t="shared" ca="1" si="197"/>
        <v>113</v>
      </c>
      <c r="B233" s="111" t="str">
        <f ca="1">IFERROR("Line "&amp;INDEX(Calcs[Line],INDEX(INDIRECT(RangeCount),MATCH($A233,INDIRECT(RangeEstCount),0))),"")</f>
        <v/>
      </c>
      <c r="C233" s="169" t="str">
        <f ca="1">IFERROR(IF(AND($D233="LPSM",Bid?,All?),"ALL",TEXT(OFFSET(INDIRECT(RangeQuantity),MATCH($A233,INDIRECT(RangeEstCount),0)-1,MATCH(Account,Accounts,0)-1,1,1),IF($D233="LPSM","0%","#,##0"&amp;IF(OFFSET(Items[#Data],MATCH($A233,INDIRECT(RangeEstCount),0)-1,MATCH(Decimals,Items[#Headers],0)-1,1,1)&gt;0,"."&amp;REPT("0",OFFSET(Items[#Data],MATCH($A233,INDIRECT(RangeEstCount),0)-1,MATCH(Decimals,Items[#Headers],0)-1,1,1)),"")))),"")</f>
        <v/>
      </c>
      <c r="D233" s="170" t="str">
        <f ca="1">IFERROR(INDEX(INDIRECT(RangeUnit),MATCH($A233,INDIRECT(RangeEstCount),0))&amp;SUBSTITUTE(" ["&amp;INDEX(INDIRECT(RangeAmend),MATCH($A233,INDIRECT(RangeEstCount),0))&amp;"]"," []",""),"")</f>
        <v/>
      </c>
      <c r="E233" s="170" t="str">
        <f ca="1">IFERROR(IF(INDEX(INDIRECT(RangeContrQty),MATCH($A233,INDIRECT(RangeEstCount),0)),"(CQ)",""),"")</f>
        <v/>
      </c>
      <c r="F233" s="171" t="str">
        <f ca="1">IFERROR(IF(OR(NOT(Bid?),LEFT(UPPER($D233),4)="FXHR"),INDEX(INDIRECT(RangeUnitPrice),MATCH($A233,INDIRECT(RangeEstCount),0)),IF(Awd?,OFFSET(TabAmount,MATCH(INDEX(INDIRECT(RangeCount),MATCH($A233,INDIRECT(RangeEstCount),0)),OFFSET(TabCount,1,0,2*NumPayItems,1),0),MATCH(Awarded2,Bidders,0)),IF(OR($C233="",$D233="LPSM"),"","$"))),"")</f>
        <v/>
      </c>
      <c r="G233" s="171" t="str">
        <f ca="1">IFERROR(VALUE(C233)*F233,IF(AND(Bid?,NOT(Awd?),$D233="LPSM"),"$",F233))</f>
        <v/>
      </c>
      <c r="H233" s="374"/>
      <c r="I233" s="217" t="str">
        <f ca="1">IFERROR(VALUE(SUBSTITUTE(OFFSET(I233,-1,0)," "&amp;$D233,""))*$F233,"")</f>
        <v/>
      </c>
      <c r="J233" s="215" t="str">
        <f ca="1">IFERROR(VALUE(SUBSTITUTE(OFFSET(J233,-1,0)," "&amp;$D233,""))*$F233,"")</f>
        <v/>
      </c>
      <c r="K233" s="215" t="str">
        <f t="shared" ref="K233:M233" ca="1" si="231">IFERROR(VALUE(SUBSTITUTE(OFFSET(K233,-1,0)," "&amp;$D233,""))*$F233,"")</f>
        <v/>
      </c>
      <c r="L233" s="215" t="str">
        <f t="shared" ca="1" si="231"/>
        <v/>
      </c>
      <c r="M233" s="215" t="str">
        <f t="shared" ca="1" si="231"/>
        <v/>
      </c>
      <c r="N233" s="215" t="str">
        <f ca="1">IFERROR(VALUE(SUBSTITUTE(OFFSET(N233,-1,0)," "&amp;$D233,""))*$F233,"")</f>
        <v/>
      </c>
      <c r="O233" s="215" t="str">
        <f ca="1">IFERROR(VALUE(SUBSTITUTE(OFFSET(O233,-1,0)," "&amp;$D233,""))*$F233,"")</f>
        <v/>
      </c>
      <c r="P233" s="209" t="str">
        <f ca="1">IF(LEN(B233)&gt;0,ISNUMBER(MATCH(B233,Proposed[Item],0)),"")</f>
        <v/>
      </c>
    </row>
    <row r="234" spans="1:16" ht="15" x14ac:dyDescent="0.2">
      <c r="A234" s="276">
        <f t="shared" ca="1" si="197"/>
        <v>114</v>
      </c>
      <c r="B234" s="168" t="str">
        <f ca="1">IFERROR(INDEX(INDIRECT(RangeItems),MATCH($A234,INDIRECT(RangeEstCount),0)),"")</f>
        <v/>
      </c>
      <c r="C234" s="365" t="str">
        <f ca="1">IFERROR(INDEX(Calcs[Description],INDEX(INDIRECT(RangeCount),MATCH($A234,INDIRECT(RangeEstCount),0))),"")</f>
        <v/>
      </c>
      <c r="D234" s="365"/>
      <c r="E234" s="365"/>
      <c r="F234" s="365"/>
      <c r="G234" s="365"/>
      <c r="H234" s="375" t="str">
        <f ca="1">IF(AND(Bid?,NOT(Awd?)),C234,OFFSET(F234,1,0))</f>
        <v/>
      </c>
      <c r="I234" s="216" t="str">
        <f t="shared" ref="I234:O234" ca="1" si="232">IFERROR(SUM(OFFSET(INDIRECT(RangeQuantity),MATCH($A234,INDIRECT(RangeEstCount),0)-1,COLUMN(I234)-COLUMN($H234),1,1))&amp;" "&amp;OFFSET($D234,1,0),"")</f>
        <v/>
      </c>
      <c r="J234" s="277" t="str">
        <f t="shared" ca="1" si="232"/>
        <v/>
      </c>
      <c r="K234" s="277" t="str">
        <f t="shared" ca="1" si="232"/>
        <v/>
      </c>
      <c r="L234" s="277" t="str">
        <f t="shared" ca="1" si="232"/>
        <v/>
      </c>
      <c r="M234" s="277" t="str">
        <f t="shared" ca="1" si="232"/>
        <v/>
      </c>
      <c r="N234" s="277" t="str">
        <f t="shared" ca="1" si="232"/>
        <v/>
      </c>
      <c r="O234" s="277" t="str">
        <f t="shared" ca="1" si="232"/>
        <v/>
      </c>
      <c r="P234" s="209" t="str">
        <f ca="1">IF(LEN(B234)&gt;0,ISNUMBER(MATCH(B234,Proposed[Item],0)),"")</f>
        <v/>
      </c>
    </row>
    <row r="235" spans="1:16" ht="15" x14ac:dyDescent="0.2">
      <c r="A235" s="276">
        <f t="shared" ca="1" si="197"/>
        <v>114</v>
      </c>
      <c r="B235" s="111" t="str">
        <f ca="1">IFERROR("Line "&amp;INDEX(Calcs[Line],INDEX(INDIRECT(RangeCount),MATCH($A235,INDIRECT(RangeEstCount),0))),"")</f>
        <v/>
      </c>
      <c r="C235" s="169" t="str">
        <f ca="1">IFERROR(IF(AND($D235="LPSM",Bid?,All?),"ALL",TEXT(OFFSET(INDIRECT(RangeQuantity),MATCH($A235,INDIRECT(RangeEstCount),0)-1,MATCH(Account,Accounts,0)-1,1,1),IF($D235="LPSM","0%","#,##0"&amp;IF(OFFSET(Items[#Data],MATCH($A235,INDIRECT(RangeEstCount),0)-1,MATCH(Decimals,Items[#Headers],0)-1,1,1)&gt;0,"."&amp;REPT("0",OFFSET(Items[#Data],MATCH($A235,INDIRECT(RangeEstCount),0)-1,MATCH(Decimals,Items[#Headers],0)-1,1,1)),"")))),"")</f>
        <v/>
      </c>
      <c r="D235" s="170" t="str">
        <f ca="1">IFERROR(INDEX(INDIRECT(RangeUnit),MATCH($A235,INDIRECT(RangeEstCount),0))&amp;SUBSTITUTE(" ["&amp;INDEX(INDIRECT(RangeAmend),MATCH($A235,INDIRECT(RangeEstCount),0))&amp;"]"," []",""),"")</f>
        <v/>
      </c>
      <c r="E235" s="170" t="str">
        <f ca="1">IFERROR(IF(INDEX(INDIRECT(RangeContrQty),MATCH($A235,INDIRECT(RangeEstCount),0)),"(CQ)",""),"")</f>
        <v/>
      </c>
      <c r="F235" s="171" t="str">
        <f ca="1">IFERROR(IF(OR(NOT(Bid?),LEFT(UPPER($D235),4)="FXHR"),INDEX(INDIRECT(RangeUnitPrice),MATCH($A235,INDIRECT(RangeEstCount),0)),IF(Awd?,OFFSET(TabAmount,MATCH(INDEX(INDIRECT(RangeCount),MATCH($A235,INDIRECT(RangeEstCount),0)),OFFSET(TabCount,1,0,2*NumPayItems,1),0),MATCH(Awarded2,Bidders,0)),IF(OR($C235="",$D235="LPSM"),"","$"))),"")</f>
        <v/>
      </c>
      <c r="G235" s="171" t="str">
        <f ca="1">IFERROR(VALUE(C235)*F235,IF(AND(Bid?,NOT(Awd?),$D235="LPSM"),"$",F235))</f>
        <v/>
      </c>
      <c r="H235" s="374"/>
      <c r="I235" s="217" t="str">
        <f ca="1">IFERROR(VALUE(SUBSTITUTE(OFFSET(I235,-1,0)," "&amp;$D235,""))*$F235,"")</f>
        <v/>
      </c>
      <c r="J235" s="215" t="str">
        <f ca="1">IFERROR(VALUE(SUBSTITUTE(OFFSET(J235,-1,0)," "&amp;$D235,""))*$F235,"")</f>
        <v/>
      </c>
      <c r="K235" s="215" t="str">
        <f t="shared" ref="K235:M235" ca="1" si="233">IFERROR(VALUE(SUBSTITUTE(OFFSET(K235,-1,0)," "&amp;$D235,""))*$F235,"")</f>
        <v/>
      </c>
      <c r="L235" s="215" t="str">
        <f t="shared" ca="1" si="233"/>
        <v/>
      </c>
      <c r="M235" s="215" t="str">
        <f t="shared" ca="1" si="233"/>
        <v/>
      </c>
      <c r="N235" s="215" t="str">
        <f ca="1">IFERROR(VALUE(SUBSTITUTE(OFFSET(N235,-1,0)," "&amp;$D235,""))*$F235,"")</f>
        <v/>
      </c>
      <c r="O235" s="215" t="str">
        <f ca="1">IFERROR(VALUE(SUBSTITUTE(OFFSET(O235,-1,0)," "&amp;$D235,""))*$F235,"")</f>
        <v/>
      </c>
      <c r="P235" s="209" t="str">
        <f ca="1">IF(LEN(B235)&gt;0,ISNUMBER(MATCH(B235,Proposed[Item],0)),"")</f>
        <v/>
      </c>
    </row>
    <row r="236" spans="1:16" ht="15" x14ac:dyDescent="0.2">
      <c r="A236" s="276">
        <f t="shared" ca="1" si="197"/>
        <v>115</v>
      </c>
      <c r="B236" s="168" t="str">
        <f ca="1">IFERROR(INDEX(INDIRECT(RangeItems),MATCH($A236,INDIRECT(RangeEstCount),0)),"")</f>
        <v/>
      </c>
      <c r="C236" s="365" t="str">
        <f ca="1">IFERROR(INDEX(Calcs[Description],INDEX(INDIRECT(RangeCount),MATCH($A236,INDIRECT(RangeEstCount),0))),"")</f>
        <v/>
      </c>
      <c r="D236" s="365"/>
      <c r="E236" s="365"/>
      <c r="F236" s="365"/>
      <c r="G236" s="365"/>
      <c r="H236" s="375" t="str">
        <f ca="1">IF(AND(Bid?,NOT(Awd?)),C236,OFFSET(F236,1,0))</f>
        <v/>
      </c>
      <c r="I236" s="216" t="str">
        <f t="shared" ref="I236:O236" ca="1" si="234">IFERROR(SUM(OFFSET(INDIRECT(RangeQuantity),MATCH($A236,INDIRECT(RangeEstCount),0)-1,COLUMN(I236)-COLUMN($H236),1,1))&amp;" "&amp;OFFSET($D236,1,0),"")</f>
        <v/>
      </c>
      <c r="J236" s="277" t="str">
        <f t="shared" ca="1" si="234"/>
        <v/>
      </c>
      <c r="K236" s="277" t="str">
        <f t="shared" ca="1" si="234"/>
        <v/>
      </c>
      <c r="L236" s="277" t="str">
        <f t="shared" ca="1" si="234"/>
        <v/>
      </c>
      <c r="M236" s="277" t="str">
        <f t="shared" ca="1" si="234"/>
        <v/>
      </c>
      <c r="N236" s="277" t="str">
        <f t="shared" ca="1" si="234"/>
        <v/>
      </c>
      <c r="O236" s="277" t="str">
        <f t="shared" ca="1" si="234"/>
        <v/>
      </c>
      <c r="P236" s="209" t="str">
        <f ca="1">IF(LEN(B236)&gt;0,ISNUMBER(MATCH(B236,Proposed[Item],0)),"")</f>
        <v/>
      </c>
    </row>
    <row r="237" spans="1:16" ht="15" x14ac:dyDescent="0.2">
      <c r="A237" s="276">
        <f t="shared" ca="1" si="197"/>
        <v>115</v>
      </c>
      <c r="B237" s="111" t="str">
        <f ca="1">IFERROR("Line "&amp;INDEX(Calcs[Line],INDEX(INDIRECT(RangeCount),MATCH($A237,INDIRECT(RangeEstCount),0))),"")</f>
        <v/>
      </c>
      <c r="C237" s="169" t="str">
        <f ca="1">IFERROR(IF(AND($D237="LPSM",Bid?,All?),"ALL",TEXT(OFFSET(INDIRECT(RangeQuantity),MATCH($A237,INDIRECT(RangeEstCount),0)-1,MATCH(Account,Accounts,0)-1,1,1),IF($D237="LPSM","0%","#,##0"&amp;IF(OFFSET(Items[#Data],MATCH($A237,INDIRECT(RangeEstCount),0)-1,MATCH(Decimals,Items[#Headers],0)-1,1,1)&gt;0,"."&amp;REPT("0",OFFSET(Items[#Data],MATCH($A237,INDIRECT(RangeEstCount),0)-1,MATCH(Decimals,Items[#Headers],0)-1,1,1)),"")))),"")</f>
        <v/>
      </c>
      <c r="D237" s="170" t="str">
        <f ca="1">IFERROR(INDEX(INDIRECT(RangeUnit),MATCH($A237,INDIRECT(RangeEstCount),0))&amp;SUBSTITUTE(" ["&amp;INDEX(INDIRECT(RangeAmend),MATCH($A237,INDIRECT(RangeEstCount),0))&amp;"]"," []",""),"")</f>
        <v/>
      </c>
      <c r="E237" s="170" t="str">
        <f ca="1">IFERROR(IF(INDEX(INDIRECT(RangeContrQty),MATCH($A237,INDIRECT(RangeEstCount),0)),"(CQ)",""),"")</f>
        <v/>
      </c>
      <c r="F237" s="171" t="str">
        <f ca="1">IFERROR(IF(OR(NOT(Bid?),LEFT(UPPER($D237),4)="FXHR"),INDEX(INDIRECT(RangeUnitPrice),MATCH($A237,INDIRECT(RangeEstCount),0)),IF(Awd?,OFFSET(TabAmount,MATCH(INDEX(INDIRECT(RangeCount),MATCH($A237,INDIRECT(RangeEstCount),0)),OFFSET(TabCount,1,0,2*NumPayItems,1),0),MATCH(Awarded2,Bidders,0)),IF(OR($C237="",$D237="LPSM"),"","$"))),"")</f>
        <v/>
      </c>
      <c r="G237" s="171" t="str">
        <f ca="1">IFERROR(VALUE(C237)*F237,IF(AND(Bid?,NOT(Awd?),$D237="LPSM"),"$",F237))</f>
        <v/>
      </c>
      <c r="H237" s="374"/>
      <c r="I237" s="217" t="str">
        <f ca="1">IFERROR(VALUE(SUBSTITUTE(OFFSET(I237,-1,0)," "&amp;$D237,""))*$F237,"")</f>
        <v/>
      </c>
      <c r="J237" s="215" t="str">
        <f ca="1">IFERROR(VALUE(SUBSTITUTE(OFFSET(J237,-1,0)," "&amp;$D237,""))*$F237,"")</f>
        <v/>
      </c>
      <c r="K237" s="215" t="str">
        <f t="shared" ref="K237:M237" ca="1" si="235">IFERROR(VALUE(SUBSTITUTE(OFFSET(K237,-1,0)," "&amp;$D237,""))*$F237,"")</f>
        <v/>
      </c>
      <c r="L237" s="215" t="str">
        <f t="shared" ca="1" si="235"/>
        <v/>
      </c>
      <c r="M237" s="215" t="str">
        <f t="shared" ca="1" si="235"/>
        <v/>
      </c>
      <c r="N237" s="215" t="str">
        <f ca="1">IFERROR(VALUE(SUBSTITUTE(OFFSET(N237,-1,0)," "&amp;$D237,""))*$F237,"")</f>
        <v/>
      </c>
      <c r="O237" s="215" t="str">
        <f ca="1">IFERROR(VALUE(SUBSTITUTE(OFFSET(O237,-1,0)," "&amp;$D237,""))*$F237,"")</f>
        <v/>
      </c>
      <c r="P237" s="209" t="str">
        <f ca="1">IF(LEN(B237)&gt;0,ISNUMBER(MATCH(B237,Proposed[Item],0)),"")</f>
        <v/>
      </c>
    </row>
    <row r="238" spans="1:16" ht="15" x14ac:dyDescent="0.2">
      <c r="A238" s="276">
        <f t="shared" ca="1" si="197"/>
        <v>116</v>
      </c>
      <c r="B238" s="168" t="str">
        <f ca="1">IFERROR(INDEX(INDIRECT(RangeItems),MATCH($A238,INDIRECT(RangeEstCount),0)),"")</f>
        <v/>
      </c>
      <c r="C238" s="365" t="str">
        <f ca="1">IFERROR(INDEX(Calcs[Description],INDEX(INDIRECT(RangeCount),MATCH($A238,INDIRECT(RangeEstCount),0))),"")</f>
        <v/>
      </c>
      <c r="D238" s="365"/>
      <c r="E238" s="365"/>
      <c r="F238" s="365"/>
      <c r="G238" s="365"/>
      <c r="H238" s="375" t="str">
        <f ca="1">IF(AND(Bid?,NOT(Awd?)),C238,OFFSET(F238,1,0))</f>
        <v/>
      </c>
      <c r="I238" s="216" t="str">
        <f t="shared" ref="I238:O238" ca="1" si="236">IFERROR(SUM(OFFSET(INDIRECT(RangeQuantity),MATCH($A238,INDIRECT(RangeEstCount),0)-1,COLUMN(I238)-COLUMN($H238),1,1))&amp;" "&amp;OFFSET($D238,1,0),"")</f>
        <v/>
      </c>
      <c r="J238" s="277" t="str">
        <f t="shared" ca="1" si="236"/>
        <v/>
      </c>
      <c r="K238" s="277" t="str">
        <f t="shared" ca="1" si="236"/>
        <v/>
      </c>
      <c r="L238" s="277" t="str">
        <f t="shared" ca="1" si="236"/>
        <v/>
      </c>
      <c r="M238" s="277" t="str">
        <f t="shared" ca="1" si="236"/>
        <v/>
      </c>
      <c r="N238" s="277" t="str">
        <f t="shared" ca="1" si="236"/>
        <v/>
      </c>
      <c r="O238" s="277" t="str">
        <f t="shared" ca="1" si="236"/>
        <v/>
      </c>
      <c r="P238" s="209" t="str">
        <f ca="1">IF(LEN(B238)&gt;0,ISNUMBER(MATCH(B238,Proposed[Item],0)),"")</f>
        <v/>
      </c>
    </row>
    <row r="239" spans="1:16" ht="15" x14ac:dyDescent="0.2">
      <c r="A239" s="276">
        <f t="shared" ca="1" si="197"/>
        <v>116</v>
      </c>
      <c r="B239" s="111" t="str">
        <f ca="1">IFERROR("Line "&amp;INDEX(Calcs[Line],INDEX(INDIRECT(RangeCount),MATCH($A239,INDIRECT(RangeEstCount),0))),"")</f>
        <v/>
      </c>
      <c r="C239" s="169" t="str">
        <f ca="1">IFERROR(IF(AND($D239="LPSM",Bid?,All?),"ALL",TEXT(OFFSET(INDIRECT(RangeQuantity),MATCH($A239,INDIRECT(RangeEstCount),0)-1,MATCH(Account,Accounts,0)-1,1,1),IF($D239="LPSM","0%","#,##0"&amp;IF(OFFSET(Items[#Data],MATCH($A239,INDIRECT(RangeEstCount),0)-1,MATCH(Decimals,Items[#Headers],0)-1,1,1)&gt;0,"."&amp;REPT("0",OFFSET(Items[#Data],MATCH($A239,INDIRECT(RangeEstCount),0)-1,MATCH(Decimals,Items[#Headers],0)-1,1,1)),"")))),"")</f>
        <v/>
      </c>
      <c r="D239" s="170" t="str">
        <f ca="1">IFERROR(INDEX(INDIRECT(RangeUnit),MATCH($A239,INDIRECT(RangeEstCount),0))&amp;SUBSTITUTE(" ["&amp;INDEX(INDIRECT(RangeAmend),MATCH($A239,INDIRECT(RangeEstCount),0))&amp;"]"," []",""),"")</f>
        <v/>
      </c>
      <c r="E239" s="170" t="str">
        <f ca="1">IFERROR(IF(INDEX(INDIRECT(RangeContrQty),MATCH($A239,INDIRECT(RangeEstCount),0)),"(CQ)",""),"")</f>
        <v/>
      </c>
      <c r="F239" s="171" t="str">
        <f ca="1">IFERROR(IF(OR(NOT(Bid?),LEFT(UPPER($D239),4)="FXHR"),INDEX(INDIRECT(RangeUnitPrice),MATCH($A239,INDIRECT(RangeEstCount),0)),IF(Awd?,OFFSET(TabAmount,MATCH(INDEX(INDIRECT(RangeCount),MATCH($A239,INDIRECT(RangeEstCount),0)),OFFSET(TabCount,1,0,2*NumPayItems,1),0),MATCH(Awarded2,Bidders,0)),IF(OR($C239="",$D239="LPSM"),"","$"))),"")</f>
        <v/>
      </c>
      <c r="G239" s="171" t="str">
        <f ca="1">IFERROR(VALUE(C239)*F239,IF(AND(Bid?,NOT(Awd?),$D239="LPSM"),"$",F239))</f>
        <v/>
      </c>
      <c r="H239" s="374"/>
      <c r="I239" s="217" t="str">
        <f ca="1">IFERROR(VALUE(SUBSTITUTE(OFFSET(I239,-1,0)," "&amp;$D239,""))*$F239,"")</f>
        <v/>
      </c>
      <c r="J239" s="215" t="str">
        <f ca="1">IFERROR(VALUE(SUBSTITUTE(OFFSET(J239,-1,0)," "&amp;$D239,""))*$F239,"")</f>
        <v/>
      </c>
      <c r="K239" s="215" t="str">
        <f t="shared" ref="K239:M239" ca="1" si="237">IFERROR(VALUE(SUBSTITUTE(OFFSET(K239,-1,0)," "&amp;$D239,""))*$F239,"")</f>
        <v/>
      </c>
      <c r="L239" s="215" t="str">
        <f t="shared" ca="1" si="237"/>
        <v/>
      </c>
      <c r="M239" s="215" t="str">
        <f t="shared" ca="1" si="237"/>
        <v/>
      </c>
      <c r="N239" s="215" t="str">
        <f ca="1">IFERROR(VALUE(SUBSTITUTE(OFFSET(N239,-1,0)," "&amp;$D239,""))*$F239,"")</f>
        <v/>
      </c>
      <c r="O239" s="215" t="str">
        <f ca="1">IFERROR(VALUE(SUBSTITUTE(OFFSET(O239,-1,0)," "&amp;$D239,""))*$F239,"")</f>
        <v/>
      </c>
      <c r="P239" s="209" t="str">
        <f ca="1">IF(LEN(B239)&gt;0,ISNUMBER(MATCH(B239,Proposed[Item],0)),"")</f>
        <v/>
      </c>
    </row>
    <row r="240" spans="1:16" ht="15" x14ac:dyDescent="0.2">
      <c r="A240" s="276">
        <f t="shared" ca="1" si="197"/>
        <v>117</v>
      </c>
      <c r="B240" s="168" t="str">
        <f ca="1">IFERROR(INDEX(INDIRECT(RangeItems),MATCH($A240,INDIRECT(RangeEstCount),0)),"")</f>
        <v/>
      </c>
      <c r="C240" s="365" t="str">
        <f ca="1">IFERROR(INDEX(Calcs[Description],INDEX(INDIRECT(RangeCount),MATCH($A240,INDIRECT(RangeEstCount),0))),"")</f>
        <v/>
      </c>
      <c r="D240" s="365"/>
      <c r="E240" s="365"/>
      <c r="F240" s="365"/>
      <c r="G240" s="365"/>
      <c r="H240" s="375" t="str">
        <f ca="1">IF(AND(Bid?,NOT(Awd?)),C240,OFFSET(F240,1,0))</f>
        <v/>
      </c>
      <c r="I240" s="216" t="str">
        <f t="shared" ref="I240:O240" ca="1" si="238">IFERROR(SUM(OFFSET(INDIRECT(RangeQuantity),MATCH($A240,INDIRECT(RangeEstCount),0)-1,COLUMN(I240)-COLUMN($H240),1,1))&amp;" "&amp;OFFSET($D240,1,0),"")</f>
        <v/>
      </c>
      <c r="J240" s="277" t="str">
        <f t="shared" ca="1" si="238"/>
        <v/>
      </c>
      <c r="K240" s="277" t="str">
        <f t="shared" ca="1" si="238"/>
        <v/>
      </c>
      <c r="L240" s="277" t="str">
        <f t="shared" ca="1" si="238"/>
        <v/>
      </c>
      <c r="M240" s="277" t="str">
        <f t="shared" ca="1" si="238"/>
        <v/>
      </c>
      <c r="N240" s="277" t="str">
        <f t="shared" ca="1" si="238"/>
        <v/>
      </c>
      <c r="O240" s="277" t="str">
        <f t="shared" ca="1" si="238"/>
        <v/>
      </c>
      <c r="P240" s="209" t="str">
        <f ca="1">IF(LEN(B240)&gt;0,ISNUMBER(MATCH(B240,Proposed[Item],0)),"")</f>
        <v/>
      </c>
    </row>
    <row r="241" spans="1:16" ht="15" x14ac:dyDescent="0.2">
      <c r="A241" s="276">
        <f t="shared" ca="1" si="197"/>
        <v>117</v>
      </c>
      <c r="B241" s="111" t="str">
        <f ca="1">IFERROR("Line "&amp;INDEX(Calcs[Line],INDEX(INDIRECT(RangeCount),MATCH($A241,INDIRECT(RangeEstCount),0))),"")</f>
        <v/>
      </c>
      <c r="C241" s="169" t="str">
        <f ca="1">IFERROR(IF(AND($D241="LPSM",Bid?,All?),"ALL",TEXT(OFFSET(INDIRECT(RangeQuantity),MATCH($A241,INDIRECT(RangeEstCount),0)-1,MATCH(Account,Accounts,0)-1,1,1),IF($D241="LPSM","0%","#,##0"&amp;IF(OFFSET(Items[#Data],MATCH($A241,INDIRECT(RangeEstCount),0)-1,MATCH(Decimals,Items[#Headers],0)-1,1,1)&gt;0,"."&amp;REPT("0",OFFSET(Items[#Data],MATCH($A241,INDIRECT(RangeEstCount),0)-1,MATCH(Decimals,Items[#Headers],0)-1,1,1)),"")))),"")</f>
        <v/>
      </c>
      <c r="D241" s="170" t="str">
        <f ca="1">IFERROR(INDEX(INDIRECT(RangeUnit),MATCH($A241,INDIRECT(RangeEstCount),0))&amp;SUBSTITUTE(" ["&amp;INDEX(INDIRECT(RangeAmend),MATCH($A241,INDIRECT(RangeEstCount),0))&amp;"]"," []",""),"")</f>
        <v/>
      </c>
      <c r="E241" s="170" t="str">
        <f ca="1">IFERROR(IF(INDEX(INDIRECT(RangeContrQty),MATCH($A241,INDIRECT(RangeEstCount),0)),"(CQ)",""),"")</f>
        <v/>
      </c>
      <c r="F241" s="171" t="str">
        <f ca="1">IFERROR(IF(OR(NOT(Bid?),LEFT(UPPER($D241),4)="FXHR"),INDEX(INDIRECT(RangeUnitPrice),MATCH($A241,INDIRECT(RangeEstCount),0)),IF(Awd?,OFFSET(TabAmount,MATCH(INDEX(INDIRECT(RangeCount),MATCH($A241,INDIRECT(RangeEstCount),0)),OFFSET(TabCount,1,0,2*NumPayItems,1),0),MATCH(Awarded2,Bidders,0)),IF(OR($C241="",$D241="LPSM"),"","$"))),"")</f>
        <v/>
      </c>
      <c r="G241" s="171" t="str">
        <f ca="1">IFERROR(VALUE(C241)*F241,IF(AND(Bid?,NOT(Awd?),$D241="LPSM"),"$",F241))</f>
        <v/>
      </c>
      <c r="H241" s="374"/>
      <c r="I241" s="217" t="str">
        <f ca="1">IFERROR(VALUE(SUBSTITUTE(OFFSET(I241,-1,0)," "&amp;$D241,""))*$F241,"")</f>
        <v/>
      </c>
      <c r="J241" s="215" t="str">
        <f ca="1">IFERROR(VALUE(SUBSTITUTE(OFFSET(J241,-1,0)," "&amp;$D241,""))*$F241,"")</f>
        <v/>
      </c>
      <c r="K241" s="215" t="str">
        <f t="shared" ref="K241:M241" ca="1" si="239">IFERROR(VALUE(SUBSTITUTE(OFFSET(K241,-1,0)," "&amp;$D241,""))*$F241,"")</f>
        <v/>
      </c>
      <c r="L241" s="215" t="str">
        <f t="shared" ca="1" si="239"/>
        <v/>
      </c>
      <c r="M241" s="215" t="str">
        <f t="shared" ca="1" si="239"/>
        <v/>
      </c>
      <c r="N241" s="215" t="str">
        <f ca="1">IFERROR(VALUE(SUBSTITUTE(OFFSET(N241,-1,0)," "&amp;$D241,""))*$F241,"")</f>
        <v/>
      </c>
      <c r="O241" s="215" t="str">
        <f ca="1">IFERROR(VALUE(SUBSTITUTE(OFFSET(O241,-1,0)," "&amp;$D241,""))*$F241,"")</f>
        <v/>
      </c>
      <c r="P241" s="209" t="str">
        <f ca="1">IF(LEN(B241)&gt;0,ISNUMBER(MATCH(B241,Proposed[Item],0)),"")</f>
        <v/>
      </c>
    </row>
    <row r="242" spans="1:16" ht="15" x14ac:dyDescent="0.2">
      <c r="A242" s="276">
        <f t="shared" ca="1" si="197"/>
        <v>118</v>
      </c>
      <c r="B242" s="168" t="str">
        <f ca="1">IFERROR(INDEX(INDIRECT(RangeItems),MATCH($A242,INDIRECT(RangeEstCount),0)),"")</f>
        <v/>
      </c>
      <c r="C242" s="365" t="str">
        <f ca="1">IFERROR(INDEX(Calcs[Description],INDEX(INDIRECT(RangeCount),MATCH($A242,INDIRECT(RangeEstCount),0))),"")</f>
        <v/>
      </c>
      <c r="D242" s="365"/>
      <c r="E242" s="365"/>
      <c r="F242" s="365"/>
      <c r="G242" s="365"/>
      <c r="H242" s="375" t="str">
        <f ca="1">IF(AND(Bid?,NOT(Awd?)),C242,OFFSET(F242,1,0))</f>
        <v/>
      </c>
      <c r="I242" s="216" t="str">
        <f t="shared" ref="I242:O242" ca="1" si="240">IFERROR(SUM(OFFSET(INDIRECT(RangeQuantity),MATCH($A242,INDIRECT(RangeEstCount),0)-1,COLUMN(I242)-COLUMN($H242),1,1))&amp;" "&amp;OFFSET($D242,1,0),"")</f>
        <v/>
      </c>
      <c r="J242" s="277" t="str">
        <f t="shared" ca="1" si="240"/>
        <v/>
      </c>
      <c r="K242" s="277" t="str">
        <f t="shared" ca="1" si="240"/>
        <v/>
      </c>
      <c r="L242" s="277" t="str">
        <f t="shared" ca="1" si="240"/>
        <v/>
      </c>
      <c r="M242" s="277" t="str">
        <f t="shared" ca="1" si="240"/>
        <v/>
      </c>
      <c r="N242" s="277" t="str">
        <f t="shared" ca="1" si="240"/>
        <v/>
      </c>
      <c r="O242" s="277" t="str">
        <f t="shared" ca="1" si="240"/>
        <v/>
      </c>
      <c r="P242" s="209" t="str">
        <f ca="1">IF(LEN(B242)&gt;0,ISNUMBER(MATCH(B242,Proposed[Item],0)),"")</f>
        <v/>
      </c>
    </row>
    <row r="243" spans="1:16" ht="15" x14ac:dyDescent="0.2">
      <c r="A243" s="276">
        <f t="shared" ca="1" si="197"/>
        <v>118</v>
      </c>
      <c r="B243" s="111" t="str">
        <f ca="1">IFERROR("Line "&amp;INDEX(Calcs[Line],INDEX(INDIRECT(RangeCount),MATCH($A243,INDIRECT(RangeEstCount),0))),"")</f>
        <v/>
      </c>
      <c r="C243" s="169" t="str">
        <f ca="1">IFERROR(IF(AND($D243="LPSM",Bid?,All?),"ALL",TEXT(OFFSET(INDIRECT(RangeQuantity),MATCH($A243,INDIRECT(RangeEstCount),0)-1,MATCH(Account,Accounts,0)-1,1,1),IF($D243="LPSM","0%","#,##0"&amp;IF(OFFSET(Items[#Data],MATCH($A243,INDIRECT(RangeEstCount),0)-1,MATCH(Decimals,Items[#Headers],0)-1,1,1)&gt;0,"."&amp;REPT("0",OFFSET(Items[#Data],MATCH($A243,INDIRECT(RangeEstCount),0)-1,MATCH(Decimals,Items[#Headers],0)-1,1,1)),"")))),"")</f>
        <v/>
      </c>
      <c r="D243" s="170" t="str">
        <f ca="1">IFERROR(INDEX(INDIRECT(RangeUnit),MATCH($A243,INDIRECT(RangeEstCount),0))&amp;SUBSTITUTE(" ["&amp;INDEX(INDIRECT(RangeAmend),MATCH($A243,INDIRECT(RangeEstCount),0))&amp;"]"," []",""),"")</f>
        <v/>
      </c>
      <c r="E243" s="170" t="str">
        <f ca="1">IFERROR(IF(INDEX(INDIRECT(RangeContrQty),MATCH($A243,INDIRECT(RangeEstCount),0)),"(CQ)",""),"")</f>
        <v/>
      </c>
      <c r="F243" s="171" t="str">
        <f ca="1">IFERROR(IF(OR(NOT(Bid?),LEFT(UPPER($D243),4)="FXHR"),INDEX(INDIRECT(RangeUnitPrice),MATCH($A243,INDIRECT(RangeEstCount),0)),IF(Awd?,OFFSET(TabAmount,MATCH(INDEX(INDIRECT(RangeCount),MATCH($A243,INDIRECT(RangeEstCount),0)),OFFSET(TabCount,1,0,2*NumPayItems,1),0),MATCH(Awarded2,Bidders,0)),IF(OR($C243="",$D243="LPSM"),"","$"))),"")</f>
        <v/>
      </c>
      <c r="G243" s="171" t="str">
        <f ca="1">IFERROR(VALUE(C243)*F243,IF(AND(Bid?,NOT(Awd?),$D243="LPSM"),"$",F243))</f>
        <v/>
      </c>
      <c r="H243" s="374"/>
      <c r="I243" s="217" t="str">
        <f ca="1">IFERROR(VALUE(SUBSTITUTE(OFFSET(I243,-1,0)," "&amp;$D243,""))*$F243,"")</f>
        <v/>
      </c>
      <c r="J243" s="215" t="str">
        <f ca="1">IFERROR(VALUE(SUBSTITUTE(OFFSET(J243,-1,0)," "&amp;$D243,""))*$F243,"")</f>
        <v/>
      </c>
      <c r="K243" s="215" t="str">
        <f t="shared" ref="K243:M243" ca="1" si="241">IFERROR(VALUE(SUBSTITUTE(OFFSET(K243,-1,0)," "&amp;$D243,""))*$F243,"")</f>
        <v/>
      </c>
      <c r="L243" s="215" t="str">
        <f t="shared" ca="1" si="241"/>
        <v/>
      </c>
      <c r="M243" s="215" t="str">
        <f t="shared" ca="1" si="241"/>
        <v/>
      </c>
      <c r="N243" s="215" t="str">
        <f ca="1">IFERROR(VALUE(SUBSTITUTE(OFFSET(N243,-1,0)," "&amp;$D243,""))*$F243,"")</f>
        <v/>
      </c>
      <c r="O243" s="215" t="str">
        <f ca="1">IFERROR(VALUE(SUBSTITUTE(OFFSET(O243,-1,0)," "&amp;$D243,""))*$F243,"")</f>
        <v/>
      </c>
      <c r="P243" s="209" t="str">
        <f ca="1">IF(LEN(B243)&gt;0,ISNUMBER(MATCH(B243,Proposed[Item],0)),"")</f>
        <v/>
      </c>
    </row>
    <row r="244" spans="1:16" ht="15" x14ac:dyDescent="0.2">
      <c r="A244" s="276">
        <f t="shared" ca="1" si="197"/>
        <v>119</v>
      </c>
      <c r="B244" s="168" t="str">
        <f ca="1">IFERROR(INDEX(INDIRECT(RangeItems),MATCH($A244,INDIRECT(RangeEstCount),0)),"")</f>
        <v/>
      </c>
      <c r="C244" s="365" t="str">
        <f ca="1">IFERROR(INDEX(Calcs[Description],INDEX(INDIRECT(RangeCount),MATCH($A244,INDIRECT(RangeEstCount),0))),"")</f>
        <v/>
      </c>
      <c r="D244" s="365"/>
      <c r="E244" s="365"/>
      <c r="F244" s="365"/>
      <c r="G244" s="365"/>
      <c r="H244" s="375" t="str">
        <f ca="1">IF(AND(Bid?,NOT(Awd?)),C244,OFFSET(F244,1,0))</f>
        <v/>
      </c>
      <c r="I244" s="216" t="str">
        <f t="shared" ref="I244:O244" ca="1" si="242">IFERROR(SUM(OFFSET(INDIRECT(RangeQuantity),MATCH($A244,INDIRECT(RangeEstCount),0)-1,COLUMN(I244)-COLUMN($H244),1,1))&amp;" "&amp;OFFSET($D244,1,0),"")</f>
        <v/>
      </c>
      <c r="J244" s="277" t="str">
        <f t="shared" ca="1" si="242"/>
        <v/>
      </c>
      <c r="K244" s="277" t="str">
        <f t="shared" ca="1" si="242"/>
        <v/>
      </c>
      <c r="L244" s="277" t="str">
        <f t="shared" ca="1" si="242"/>
        <v/>
      </c>
      <c r="M244" s="277" t="str">
        <f t="shared" ca="1" si="242"/>
        <v/>
      </c>
      <c r="N244" s="277" t="str">
        <f t="shared" ca="1" si="242"/>
        <v/>
      </c>
      <c r="O244" s="277" t="str">
        <f t="shared" ca="1" si="242"/>
        <v/>
      </c>
      <c r="P244" s="209" t="str">
        <f ca="1">IF(LEN(B244)&gt;0,ISNUMBER(MATCH(B244,Proposed[Item],0)),"")</f>
        <v/>
      </c>
    </row>
    <row r="245" spans="1:16" ht="15" x14ac:dyDescent="0.2">
      <c r="A245" s="276">
        <f t="shared" ca="1" si="197"/>
        <v>119</v>
      </c>
      <c r="B245" s="111" t="str">
        <f ca="1">IFERROR("Line "&amp;INDEX(Calcs[Line],INDEX(INDIRECT(RangeCount),MATCH($A245,INDIRECT(RangeEstCount),0))),"")</f>
        <v/>
      </c>
      <c r="C245" s="169" t="str">
        <f ca="1">IFERROR(IF(AND($D245="LPSM",Bid?,All?),"ALL",TEXT(OFFSET(INDIRECT(RangeQuantity),MATCH($A245,INDIRECT(RangeEstCount),0)-1,MATCH(Account,Accounts,0)-1,1,1),IF($D245="LPSM","0%","#,##0"&amp;IF(OFFSET(Items[#Data],MATCH($A245,INDIRECT(RangeEstCount),0)-1,MATCH(Decimals,Items[#Headers],0)-1,1,1)&gt;0,"."&amp;REPT("0",OFFSET(Items[#Data],MATCH($A245,INDIRECT(RangeEstCount),0)-1,MATCH(Decimals,Items[#Headers],0)-1,1,1)),"")))),"")</f>
        <v/>
      </c>
      <c r="D245" s="170" t="str">
        <f ca="1">IFERROR(INDEX(INDIRECT(RangeUnit),MATCH($A245,INDIRECT(RangeEstCount),0))&amp;SUBSTITUTE(" ["&amp;INDEX(INDIRECT(RangeAmend),MATCH($A245,INDIRECT(RangeEstCount),0))&amp;"]"," []",""),"")</f>
        <v/>
      </c>
      <c r="E245" s="170" t="str">
        <f ca="1">IFERROR(IF(INDEX(INDIRECT(RangeContrQty),MATCH($A245,INDIRECT(RangeEstCount),0)),"(CQ)",""),"")</f>
        <v/>
      </c>
      <c r="F245" s="171" t="str">
        <f ca="1">IFERROR(IF(OR(NOT(Bid?),LEFT(UPPER($D245),4)="FXHR"),INDEX(INDIRECT(RangeUnitPrice),MATCH($A245,INDIRECT(RangeEstCount),0)),IF(Awd?,OFFSET(TabAmount,MATCH(INDEX(INDIRECT(RangeCount),MATCH($A245,INDIRECT(RangeEstCount),0)),OFFSET(TabCount,1,0,2*NumPayItems,1),0),MATCH(Awarded2,Bidders,0)),IF(OR($C245="",$D245="LPSM"),"","$"))),"")</f>
        <v/>
      </c>
      <c r="G245" s="171" t="str">
        <f ca="1">IFERROR(VALUE(C245)*F245,IF(AND(Bid?,NOT(Awd?),$D245="LPSM"),"$",F245))</f>
        <v/>
      </c>
      <c r="H245" s="374"/>
      <c r="I245" s="217" t="str">
        <f ca="1">IFERROR(VALUE(SUBSTITUTE(OFFSET(I245,-1,0)," "&amp;$D245,""))*$F245,"")</f>
        <v/>
      </c>
      <c r="J245" s="215" t="str">
        <f ca="1">IFERROR(VALUE(SUBSTITUTE(OFFSET(J245,-1,0)," "&amp;$D245,""))*$F245,"")</f>
        <v/>
      </c>
      <c r="K245" s="215" t="str">
        <f t="shared" ref="K245:M245" ca="1" si="243">IFERROR(VALUE(SUBSTITUTE(OFFSET(K245,-1,0)," "&amp;$D245,""))*$F245,"")</f>
        <v/>
      </c>
      <c r="L245" s="215" t="str">
        <f t="shared" ca="1" si="243"/>
        <v/>
      </c>
      <c r="M245" s="215" t="str">
        <f t="shared" ca="1" si="243"/>
        <v/>
      </c>
      <c r="N245" s="215" t="str">
        <f ca="1">IFERROR(VALUE(SUBSTITUTE(OFFSET(N245,-1,0)," "&amp;$D245,""))*$F245,"")</f>
        <v/>
      </c>
      <c r="O245" s="215" t="str">
        <f ca="1">IFERROR(VALUE(SUBSTITUTE(OFFSET(O245,-1,0)," "&amp;$D245,""))*$F245,"")</f>
        <v/>
      </c>
      <c r="P245" s="209" t="str">
        <f ca="1">IF(LEN(B245)&gt;0,ISNUMBER(MATCH(B245,Proposed[Item],0)),"")</f>
        <v/>
      </c>
    </row>
    <row r="246" spans="1:16" ht="15" x14ac:dyDescent="0.2">
      <c r="A246" s="276">
        <f t="shared" ca="1" si="197"/>
        <v>120</v>
      </c>
      <c r="B246" s="168" t="str">
        <f ca="1">IFERROR(INDEX(INDIRECT(RangeItems),MATCH($A246,INDIRECT(RangeEstCount),0)),"")</f>
        <v/>
      </c>
      <c r="C246" s="365" t="str">
        <f ca="1">IFERROR(INDEX(Calcs[Description],INDEX(INDIRECT(RangeCount),MATCH($A246,INDIRECT(RangeEstCount),0))),"")</f>
        <v/>
      </c>
      <c r="D246" s="365"/>
      <c r="E246" s="365"/>
      <c r="F246" s="365"/>
      <c r="G246" s="365"/>
      <c r="H246" s="375" t="str">
        <f ca="1">IF(AND(Bid?,NOT(Awd?)),C246,OFFSET(F246,1,0))</f>
        <v/>
      </c>
      <c r="I246" s="216" t="str">
        <f t="shared" ref="I246:O246" ca="1" si="244">IFERROR(SUM(OFFSET(INDIRECT(RangeQuantity),MATCH($A246,INDIRECT(RangeEstCount),0)-1,COLUMN(I246)-COLUMN($H246),1,1))&amp;" "&amp;OFFSET($D246,1,0),"")</f>
        <v/>
      </c>
      <c r="J246" s="277" t="str">
        <f t="shared" ca="1" si="244"/>
        <v/>
      </c>
      <c r="K246" s="277" t="str">
        <f t="shared" ca="1" si="244"/>
        <v/>
      </c>
      <c r="L246" s="277" t="str">
        <f t="shared" ca="1" si="244"/>
        <v/>
      </c>
      <c r="M246" s="277" t="str">
        <f t="shared" ca="1" si="244"/>
        <v/>
      </c>
      <c r="N246" s="277" t="str">
        <f t="shared" ca="1" si="244"/>
        <v/>
      </c>
      <c r="O246" s="277" t="str">
        <f t="shared" ca="1" si="244"/>
        <v/>
      </c>
      <c r="P246" s="209" t="str">
        <f ca="1">IF(LEN(B246)&gt;0,ISNUMBER(MATCH(B246,Proposed[Item],0)),"")</f>
        <v/>
      </c>
    </row>
    <row r="247" spans="1:16" ht="15" x14ac:dyDescent="0.2">
      <c r="A247" s="276">
        <f t="shared" ca="1" si="197"/>
        <v>120</v>
      </c>
      <c r="B247" s="111" t="str">
        <f ca="1">IFERROR("Line "&amp;INDEX(Calcs[Line],INDEX(INDIRECT(RangeCount),MATCH($A247,INDIRECT(RangeEstCount),0))),"")</f>
        <v/>
      </c>
      <c r="C247" s="169" t="str">
        <f ca="1">IFERROR(IF(AND($D247="LPSM",Bid?,All?),"ALL",TEXT(OFFSET(INDIRECT(RangeQuantity),MATCH($A247,INDIRECT(RangeEstCount),0)-1,MATCH(Account,Accounts,0)-1,1,1),IF($D247="LPSM","0%","#,##0"&amp;IF(OFFSET(Items[#Data],MATCH($A247,INDIRECT(RangeEstCount),0)-1,MATCH(Decimals,Items[#Headers],0)-1,1,1)&gt;0,"."&amp;REPT("0",OFFSET(Items[#Data],MATCH($A247,INDIRECT(RangeEstCount),0)-1,MATCH(Decimals,Items[#Headers],0)-1,1,1)),"")))),"")</f>
        <v/>
      </c>
      <c r="D247" s="170" t="str">
        <f ca="1">IFERROR(INDEX(INDIRECT(RangeUnit),MATCH($A247,INDIRECT(RangeEstCount),0))&amp;SUBSTITUTE(" ["&amp;INDEX(INDIRECT(RangeAmend),MATCH($A247,INDIRECT(RangeEstCount),0))&amp;"]"," []",""),"")</f>
        <v/>
      </c>
      <c r="E247" s="170" t="str">
        <f ca="1">IFERROR(IF(INDEX(INDIRECT(RangeContrQty),MATCH($A247,INDIRECT(RangeEstCount),0)),"(CQ)",""),"")</f>
        <v/>
      </c>
      <c r="F247" s="171" t="str">
        <f ca="1">IFERROR(IF(OR(NOT(Bid?),LEFT(UPPER($D247),4)="FXHR"),INDEX(INDIRECT(RangeUnitPrice),MATCH($A247,INDIRECT(RangeEstCount),0)),IF(Awd?,OFFSET(TabAmount,MATCH(INDEX(INDIRECT(RangeCount),MATCH($A247,INDIRECT(RangeEstCount),0)),OFFSET(TabCount,1,0,2*NumPayItems,1),0),MATCH(Awarded2,Bidders,0)),IF(OR($C247="",$D247="LPSM"),"","$"))),"")</f>
        <v/>
      </c>
      <c r="G247" s="171" t="str">
        <f ca="1">IFERROR(VALUE(C247)*F247,IF(AND(Bid?,NOT(Awd?),$D247="LPSM"),"$",F247))</f>
        <v/>
      </c>
      <c r="H247" s="374"/>
      <c r="I247" s="217" t="str">
        <f ca="1">IFERROR(VALUE(SUBSTITUTE(OFFSET(I247,-1,0)," "&amp;$D247,""))*$F247,"")</f>
        <v/>
      </c>
      <c r="J247" s="215" t="str">
        <f ca="1">IFERROR(VALUE(SUBSTITUTE(OFFSET(J247,-1,0)," "&amp;$D247,""))*$F247,"")</f>
        <v/>
      </c>
      <c r="K247" s="215" t="str">
        <f t="shared" ref="K247:M247" ca="1" si="245">IFERROR(VALUE(SUBSTITUTE(OFFSET(K247,-1,0)," "&amp;$D247,""))*$F247,"")</f>
        <v/>
      </c>
      <c r="L247" s="215" t="str">
        <f t="shared" ca="1" si="245"/>
        <v/>
      </c>
      <c r="M247" s="215" t="str">
        <f t="shared" ca="1" si="245"/>
        <v/>
      </c>
      <c r="N247" s="215" t="str">
        <f ca="1">IFERROR(VALUE(SUBSTITUTE(OFFSET(N247,-1,0)," "&amp;$D247,""))*$F247,"")</f>
        <v/>
      </c>
      <c r="O247" s="215" t="str">
        <f ca="1">IFERROR(VALUE(SUBSTITUTE(OFFSET(O247,-1,0)," "&amp;$D247,""))*$F247,"")</f>
        <v/>
      </c>
      <c r="P247" s="209" t="str">
        <f ca="1">IF(LEN(B247)&gt;0,ISNUMBER(MATCH(B247,Proposed[Item],0)),"")</f>
        <v/>
      </c>
    </row>
    <row r="248" spans="1:16" ht="15" x14ac:dyDescent="0.2">
      <c r="A248" s="276">
        <f t="shared" ca="1" si="197"/>
        <v>121</v>
      </c>
      <c r="B248" s="168" t="str">
        <f ca="1">IFERROR(INDEX(INDIRECT(RangeItems),MATCH($A248,INDIRECT(RangeEstCount),0)),"")</f>
        <v/>
      </c>
      <c r="C248" s="365" t="str">
        <f ca="1">IFERROR(INDEX(Calcs[Description],INDEX(INDIRECT(RangeCount),MATCH($A248,INDIRECT(RangeEstCount),0))),"")</f>
        <v/>
      </c>
      <c r="D248" s="365"/>
      <c r="E248" s="365"/>
      <c r="F248" s="365"/>
      <c r="G248" s="365"/>
      <c r="H248" s="375" t="str">
        <f ca="1">IF(AND(Bid?,NOT(Awd?)),C248,OFFSET(F248,1,0))</f>
        <v/>
      </c>
      <c r="I248" s="216" t="str">
        <f t="shared" ref="I248:O248" ca="1" si="246">IFERROR(SUM(OFFSET(INDIRECT(RangeQuantity),MATCH($A248,INDIRECT(RangeEstCount),0)-1,COLUMN(I248)-COLUMN($H248),1,1))&amp;" "&amp;OFFSET($D248,1,0),"")</f>
        <v/>
      </c>
      <c r="J248" s="277" t="str">
        <f t="shared" ca="1" si="246"/>
        <v/>
      </c>
      <c r="K248" s="277" t="str">
        <f t="shared" ca="1" si="246"/>
        <v/>
      </c>
      <c r="L248" s="277" t="str">
        <f t="shared" ca="1" si="246"/>
        <v/>
      </c>
      <c r="M248" s="277" t="str">
        <f t="shared" ca="1" si="246"/>
        <v/>
      </c>
      <c r="N248" s="277" t="str">
        <f t="shared" ca="1" si="246"/>
        <v/>
      </c>
      <c r="O248" s="277" t="str">
        <f t="shared" ca="1" si="246"/>
        <v/>
      </c>
      <c r="P248" s="209" t="str">
        <f ca="1">IF(LEN(B248)&gt;0,ISNUMBER(MATCH(B248,Proposed[Item],0)),"")</f>
        <v/>
      </c>
    </row>
    <row r="249" spans="1:16" ht="15" x14ac:dyDescent="0.2">
      <c r="A249" s="276">
        <f t="shared" ca="1" si="197"/>
        <v>121</v>
      </c>
      <c r="B249" s="111" t="str">
        <f ca="1">IFERROR("Line "&amp;INDEX(Calcs[Line],INDEX(INDIRECT(RangeCount),MATCH($A249,INDIRECT(RangeEstCount),0))),"")</f>
        <v/>
      </c>
      <c r="C249" s="169" t="str">
        <f ca="1">IFERROR(IF(AND($D249="LPSM",Bid?,All?),"ALL",TEXT(OFFSET(INDIRECT(RangeQuantity),MATCH($A249,INDIRECT(RangeEstCount),0)-1,MATCH(Account,Accounts,0)-1,1,1),IF($D249="LPSM","0%","#,##0"&amp;IF(OFFSET(Items[#Data],MATCH($A249,INDIRECT(RangeEstCount),0)-1,MATCH(Decimals,Items[#Headers],0)-1,1,1)&gt;0,"."&amp;REPT("0",OFFSET(Items[#Data],MATCH($A249,INDIRECT(RangeEstCount),0)-1,MATCH(Decimals,Items[#Headers],0)-1,1,1)),"")))),"")</f>
        <v/>
      </c>
      <c r="D249" s="170" t="str">
        <f ca="1">IFERROR(INDEX(INDIRECT(RangeUnit),MATCH($A249,INDIRECT(RangeEstCount),0))&amp;SUBSTITUTE(" ["&amp;INDEX(INDIRECT(RangeAmend),MATCH($A249,INDIRECT(RangeEstCount),0))&amp;"]"," []",""),"")</f>
        <v/>
      </c>
      <c r="E249" s="170" t="str">
        <f ca="1">IFERROR(IF(INDEX(INDIRECT(RangeContrQty),MATCH($A249,INDIRECT(RangeEstCount),0)),"(CQ)",""),"")</f>
        <v/>
      </c>
      <c r="F249" s="171" t="str">
        <f ca="1">IFERROR(IF(OR(NOT(Bid?),LEFT(UPPER($D249),4)="FXHR"),INDEX(INDIRECT(RangeUnitPrice),MATCH($A249,INDIRECT(RangeEstCount),0)),IF(Awd?,OFFSET(TabAmount,MATCH(INDEX(INDIRECT(RangeCount),MATCH($A249,INDIRECT(RangeEstCount),0)),OFFSET(TabCount,1,0,2*NumPayItems,1),0),MATCH(Awarded2,Bidders,0)),IF(OR($C249="",$D249="LPSM"),"","$"))),"")</f>
        <v/>
      </c>
      <c r="G249" s="171" t="str">
        <f ca="1">IFERROR(VALUE(C249)*F249,IF(AND(Bid?,NOT(Awd?),$D249="LPSM"),"$",F249))</f>
        <v/>
      </c>
      <c r="H249" s="374"/>
      <c r="I249" s="217" t="str">
        <f ca="1">IFERROR(VALUE(SUBSTITUTE(OFFSET(I249,-1,0)," "&amp;$D249,""))*$F249,"")</f>
        <v/>
      </c>
      <c r="J249" s="215" t="str">
        <f ca="1">IFERROR(VALUE(SUBSTITUTE(OFFSET(J249,-1,0)," "&amp;$D249,""))*$F249,"")</f>
        <v/>
      </c>
      <c r="K249" s="215" t="str">
        <f t="shared" ref="K249:M249" ca="1" si="247">IFERROR(VALUE(SUBSTITUTE(OFFSET(K249,-1,0)," "&amp;$D249,""))*$F249,"")</f>
        <v/>
      </c>
      <c r="L249" s="215" t="str">
        <f t="shared" ca="1" si="247"/>
        <v/>
      </c>
      <c r="M249" s="215" t="str">
        <f t="shared" ca="1" si="247"/>
        <v/>
      </c>
      <c r="N249" s="215" t="str">
        <f ca="1">IFERROR(VALUE(SUBSTITUTE(OFFSET(N249,-1,0)," "&amp;$D249,""))*$F249,"")</f>
        <v/>
      </c>
      <c r="O249" s="215" t="str">
        <f ca="1">IFERROR(VALUE(SUBSTITUTE(OFFSET(O249,-1,0)," "&amp;$D249,""))*$F249,"")</f>
        <v/>
      </c>
      <c r="P249" s="209" t="str">
        <f ca="1">IF(LEN(B249)&gt;0,ISNUMBER(MATCH(B249,Proposed[Item],0)),"")</f>
        <v/>
      </c>
    </row>
    <row r="250" spans="1:16" ht="15" x14ac:dyDescent="0.2">
      <c r="A250" s="276">
        <f t="shared" ca="1" si="197"/>
        <v>122</v>
      </c>
      <c r="B250" s="168" t="str">
        <f ca="1">IFERROR(INDEX(INDIRECT(RangeItems),MATCH($A250,INDIRECT(RangeEstCount),0)),"")</f>
        <v/>
      </c>
      <c r="C250" s="365" t="str">
        <f ca="1">IFERROR(INDEX(Calcs[Description],INDEX(INDIRECT(RangeCount),MATCH($A250,INDIRECT(RangeEstCount),0))),"")</f>
        <v/>
      </c>
      <c r="D250" s="365"/>
      <c r="E250" s="365"/>
      <c r="F250" s="365"/>
      <c r="G250" s="365"/>
      <c r="H250" s="375" t="str">
        <f ca="1">IF(AND(Bid?,NOT(Awd?)),C250,OFFSET(F250,1,0))</f>
        <v/>
      </c>
      <c r="I250" s="216" t="str">
        <f t="shared" ref="I250:O250" ca="1" si="248">IFERROR(SUM(OFFSET(INDIRECT(RangeQuantity),MATCH($A250,INDIRECT(RangeEstCount),0)-1,COLUMN(I250)-COLUMN($H250),1,1))&amp;" "&amp;OFFSET($D250,1,0),"")</f>
        <v/>
      </c>
      <c r="J250" s="277" t="str">
        <f t="shared" ca="1" si="248"/>
        <v/>
      </c>
      <c r="K250" s="277" t="str">
        <f t="shared" ca="1" si="248"/>
        <v/>
      </c>
      <c r="L250" s="277" t="str">
        <f t="shared" ca="1" si="248"/>
        <v/>
      </c>
      <c r="M250" s="277" t="str">
        <f t="shared" ca="1" si="248"/>
        <v/>
      </c>
      <c r="N250" s="277" t="str">
        <f t="shared" ca="1" si="248"/>
        <v/>
      </c>
      <c r="O250" s="277" t="str">
        <f t="shared" ca="1" si="248"/>
        <v/>
      </c>
      <c r="P250" s="209" t="str">
        <f ca="1">IF(LEN(B250)&gt;0,ISNUMBER(MATCH(B250,Proposed[Item],0)),"")</f>
        <v/>
      </c>
    </row>
    <row r="251" spans="1:16" ht="15" x14ac:dyDescent="0.2">
      <c r="A251" s="276">
        <f t="shared" ca="1" si="197"/>
        <v>122</v>
      </c>
      <c r="B251" s="111" t="str">
        <f ca="1">IFERROR("Line "&amp;INDEX(Calcs[Line],INDEX(INDIRECT(RangeCount),MATCH($A251,INDIRECT(RangeEstCount),0))),"")</f>
        <v/>
      </c>
      <c r="C251" s="169" t="str">
        <f ca="1">IFERROR(IF(AND($D251="LPSM",Bid?,All?),"ALL",TEXT(OFFSET(INDIRECT(RangeQuantity),MATCH($A251,INDIRECT(RangeEstCount),0)-1,MATCH(Account,Accounts,0)-1,1,1),IF($D251="LPSM","0%","#,##0"&amp;IF(OFFSET(Items[#Data],MATCH($A251,INDIRECT(RangeEstCount),0)-1,MATCH(Decimals,Items[#Headers],0)-1,1,1)&gt;0,"."&amp;REPT("0",OFFSET(Items[#Data],MATCH($A251,INDIRECT(RangeEstCount),0)-1,MATCH(Decimals,Items[#Headers],0)-1,1,1)),"")))),"")</f>
        <v/>
      </c>
      <c r="D251" s="170" t="str">
        <f ca="1">IFERROR(INDEX(INDIRECT(RangeUnit),MATCH($A251,INDIRECT(RangeEstCount),0))&amp;SUBSTITUTE(" ["&amp;INDEX(INDIRECT(RangeAmend),MATCH($A251,INDIRECT(RangeEstCount),0))&amp;"]"," []",""),"")</f>
        <v/>
      </c>
      <c r="E251" s="170" t="str">
        <f ca="1">IFERROR(IF(INDEX(INDIRECT(RangeContrQty),MATCH($A251,INDIRECT(RangeEstCount),0)),"(CQ)",""),"")</f>
        <v/>
      </c>
      <c r="F251" s="171" t="str">
        <f ca="1">IFERROR(IF(OR(NOT(Bid?),LEFT(UPPER($D251),4)="FXHR"),INDEX(INDIRECT(RangeUnitPrice),MATCH($A251,INDIRECT(RangeEstCount),0)),IF(Awd?,OFFSET(TabAmount,MATCH(INDEX(INDIRECT(RangeCount),MATCH($A251,INDIRECT(RangeEstCount),0)),OFFSET(TabCount,1,0,2*NumPayItems,1),0),MATCH(Awarded2,Bidders,0)),IF(OR($C251="",$D251="LPSM"),"","$"))),"")</f>
        <v/>
      </c>
      <c r="G251" s="171" t="str">
        <f ca="1">IFERROR(VALUE(C251)*F251,IF(AND(Bid?,NOT(Awd?),$D251="LPSM"),"$",F251))</f>
        <v/>
      </c>
      <c r="H251" s="374"/>
      <c r="I251" s="217" t="str">
        <f ca="1">IFERROR(VALUE(SUBSTITUTE(OFFSET(I251,-1,0)," "&amp;$D251,""))*$F251,"")</f>
        <v/>
      </c>
      <c r="J251" s="215" t="str">
        <f ca="1">IFERROR(VALUE(SUBSTITUTE(OFFSET(J251,-1,0)," "&amp;$D251,""))*$F251,"")</f>
        <v/>
      </c>
      <c r="K251" s="215" t="str">
        <f t="shared" ref="K251:M251" ca="1" si="249">IFERROR(VALUE(SUBSTITUTE(OFFSET(K251,-1,0)," "&amp;$D251,""))*$F251,"")</f>
        <v/>
      </c>
      <c r="L251" s="215" t="str">
        <f t="shared" ca="1" si="249"/>
        <v/>
      </c>
      <c r="M251" s="215" t="str">
        <f t="shared" ca="1" si="249"/>
        <v/>
      </c>
      <c r="N251" s="215" t="str">
        <f ca="1">IFERROR(VALUE(SUBSTITUTE(OFFSET(N251,-1,0)," "&amp;$D251,""))*$F251,"")</f>
        <v/>
      </c>
      <c r="O251" s="215" t="str">
        <f ca="1">IFERROR(VALUE(SUBSTITUTE(OFFSET(O251,-1,0)," "&amp;$D251,""))*$F251,"")</f>
        <v/>
      </c>
      <c r="P251" s="209" t="str">
        <f ca="1">IF(LEN(B251)&gt;0,ISNUMBER(MATCH(B251,Proposed[Item],0)),"")</f>
        <v/>
      </c>
    </row>
    <row r="252" spans="1:16" ht="15" x14ac:dyDescent="0.2">
      <c r="A252" s="276">
        <f t="shared" ca="1" si="197"/>
        <v>123</v>
      </c>
      <c r="B252" s="168" t="str">
        <f ca="1">IFERROR(INDEX(INDIRECT(RangeItems),MATCH($A252,INDIRECT(RangeEstCount),0)),"")</f>
        <v/>
      </c>
      <c r="C252" s="365" t="str">
        <f ca="1">IFERROR(INDEX(Calcs[Description],INDEX(INDIRECT(RangeCount),MATCH($A252,INDIRECT(RangeEstCount),0))),"")</f>
        <v/>
      </c>
      <c r="D252" s="365"/>
      <c r="E252" s="365"/>
      <c r="F252" s="365"/>
      <c r="G252" s="365"/>
      <c r="H252" s="375" t="str">
        <f ca="1">IF(AND(Bid?,NOT(Awd?)),C252,OFFSET(F252,1,0))</f>
        <v/>
      </c>
      <c r="I252" s="216" t="str">
        <f t="shared" ref="I252:O252" ca="1" si="250">IFERROR(SUM(OFFSET(INDIRECT(RangeQuantity),MATCH($A252,INDIRECT(RangeEstCount),0)-1,COLUMN(I252)-COLUMN($H252),1,1))&amp;" "&amp;OFFSET($D252,1,0),"")</f>
        <v/>
      </c>
      <c r="J252" s="277" t="str">
        <f t="shared" ca="1" si="250"/>
        <v/>
      </c>
      <c r="K252" s="277" t="str">
        <f t="shared" ca="1" si="250"/>
        <v/>
      </c>
      <c r="L252" s="277" t="str">
        <f t="shared" ca="1" si="250"/>
        <v/>
      </c>
      <c r="M252" s="277" t="str">
        <f t="shared" ca="1" si="250"/>
        <v/>
      </c>
      <c r="N252" s="277" t="str">
        <f t="shared" ca="1" si="250"/>
        <v/>
      </c>
      <c r="O252" s="277" t="str">
        <f t="shared" ca="1" si="250"/>
        <v/>
      </c>
      <c r="P252" s="209" t="str">
        <f ca="1">IF(LEN(B252)&gt;0,ISNUMBER(MATCH(B252,Proposed[Item],0)),"")</f>
        <v/>
      </c>
    </row>
    <row r="253" spans="1:16" ht="15" x14ac:dyDescent="0.2">
      <c r="A253" s="276">
        <f t="shared" ca="1" si="197"/>
        <v>123</v>
      </c>
      <c r="B253" s="111" t="str">
        <f ca="1">IFERROR("Line "&amp;INDEX(Calcs[Line],INDEX(INDIRECT(RangeCount),MATCH($A253,INDIRECT(RangeEstCount),0))),"")</f>
        <v/>
      </c>
      <c r="C253" s="169" t="str">
        <f ca="1">IFERROR(IF(AND($D253="LPSM",Bid?,All?),"ALL",TEXT(OFFSET(INDIRECT(RangeQuantity),MATCH($A253,INDIRECT(RangeEstCount),0)-1,MATCH(Account,Accounts,0)-1,1,1),IF($D253="LPSM","0%","#,##0"&amp;IF(OFFSET(Items[#Data],MATCH($A253,INDIRECT(RangeEstCount),0)-1,MATCH(Decimals,Items[#Headers],0)-1,1,1)&gt;0,"."&amp;REPT("0",OFFSET(Items[#Data],MATCH($A253,INDIRECT(RangeEstCount),0)-1,MATCH(Decimals,Items[#Headers],0)-1,1,1)),"")))),"")</f>
        <v/>
      </c>
      <c r="D253" s="170" t="str">
        <f ca="1">IFERROR(INDEX(INDIRECT(RangeUnit),MATCH($A253,INDIRECT(RangeEstCount),0))&amp;SUBSTITUTE(" ["&amp;INDEX(INDIRECT(RangeAmend),MATCH($A253,INDIRECT(RangeEstCount),0))&amp;"]"," []",""),"")</f>
        <v/>
      </c>
      <c r="E253" s="170" t="str">
        <f ca="1">IFERROR(IF(INDEX(INDIRECT(RangeContrQty),MATCH($A253,INDIRECT(RangeEstCount),0)),"(CQ)",""),"")</f>
        <v/>
      </c>
      <c r="F253" s="171" t="str">
        <f ca="1">IFERROR(IF(OR(NOT(Bid?),LEFT(UPPER($D253),4)="FXHR"),INDEX(INDIRECT(RangeUnitPrice),MATCH($A253,INDIRECT(RangeEstCount),0)),IF(Awd?,OFFSET(TabAmount,MATCH(INDEX(INDIRECT(RangeCount),MATCH($A253,INDIRECT(RangeEstCount),0)),OFFSET(TabCount,1,0,2*NumPayItems,1),0),MATCH(Awarded2,Bidders,0)),IF(OR($C253="",$D253="LPSM"),"","$"))),"")</f>
        <v/>
      </c>
      <c r="G253" s="171" t="str">
        <f ca="1">IFERROR(VALUE(C253)*F253,IF(AND(Bid?,NOT(Awd?),$D253="LPSM"),"$",F253))</f>
        <v/>
      </c>
      <c r="H253" s="374"/>
      <c r="I253" s="217" t="str">
        <f ca="1">IFERROR(VALUE(SUBSTITUTE(OFFSET(I253,-1,0)," "&amp;$D253,""))*$F253,"")</f>
        <v/>
      </c>
      <c r="J253" s="215" t="str">
        <f ca="1">IFERROR(VALUE(SUBSTITUTE(OFFSET(J253,-1,0)," "&amp;$D253,""))*$F253,"")</f>
        <v/>
      </c>
      <c r="K253" s="215" t="str">
        <f t="shared" ref="K253:M253" ca="1" si="251">IFERROR(VALUE(SUBSTITUTE(OFFSET(K253,-1,0)," "&amp;$D253,""))*$F253,"")</f>
        <v/>
      </c>
      <c r="L253" s="215" t="str">
        <f t="shared" ca="1" si="251"/>
        <v/>
      </c>
      <c r="M253" s="215" t="str">
        <f t="shared" ca="1" si="251"/>
        <v/>
      </c>
      <c r="N253" s="215" t="str">
        <f ca="1">IFERROR(VALUE(SUBSTITUTE(OFFSET(N253,-1,0)," "&amp;$D253,""))*$F253,"")</f>
        <v/>
      </c>
      <c r="O253" s="215" t="str">
        <f ca="1">IFERROR(VALUE(SUBSTITUTE(OFFSET(O253,-1,0)," "&amp;$D253,""))*$F253,"")</f>
        <v/>
      </c>
      <c r="P253" s="209" t="str">
        <f ca="1">IF(LEN(B253)&gt;0,ISNUMBER(MATCH(B253,Proposed[Item],0)),"")</f>
        <v/>
      </c>
    </row>
    <row r="254" spans="1:16" ht="15" x14ac:dyDescent="0.2">
      <c r="A254" s="276">
        <f t="shared" ca="1" si="197"/>
        <v>124</v>
      </c>
      <c r="B254" s="168" t="str">
        <f ca="1">IFERROR(INDEX(INDIRECT(RangeItems),MATCH($A254,INDIRECT(RangeEstCount),0)),"")</f>
        <v/>
      </c>
      <c r="C254" s="365" t="str">
        <f ca="1">IFERROR(INDEX(Calcs[Description],INDEX(INDIRECT(RangeCount),MATCH($A254,INDIRECT(RangeEstCount),0))),"")</f>
        <v/>
      </c>
      <c r="D254" s="365"/>
      <c r="E254" s="365"/>
      <c r="F254" s="365"/>
      <c r="G254" s="365"/>
      <c r="H254" s="375" t="str">
        <f ca="1">IF(AND(Bid?,NOT(Awd?)),C254,OFFSET(F254,1,0))</f>
        <v/>
      </c>
      <c r="I254" s="216" t="str">
        <f t="shared" ref="I254:O254" ca="1" si="252">IFERROR(SUM(OFFSET(INDIRECT(RangeQuantity),MATCH($A254,INDIRECT(RangeEstCount),0)-1,COLUMN(I254)-COLUMN($H254),1,1))&amp;" "&amp;OFFSET($D254,1,0),"")</f>
        <v/>
      </c>
      <c r="J254" s="277" t="str">
        <f t="shared" ca="1" si="252"/>
        <v/>
      </c>
      <c r="K254" s="277" t="str">
        <f t="shared" ca="1" si="252"/>
        <v/>
      </c>
      <c r="L254" s="277" t="str">
        <f t="shared" ca="1" si="252"/>
        <v/>
      </c>
      <c r="M254" s="277" t="str">
        <f t="shared" ca="1" si="252"/>
        <v/>
      </c>
      <c r="N254" s="277" t="str">
        <f t="shared" ca="1" si="252"/>
        <v/>
      </c>
      <c r="O254" s="277" t="str">
        <f t="shared" ca="1" si="252"/>
        <v/>
      </c>
      <c r="P254" s="209" t="str">
        <f ca="1">IF(LEN(B254)&gt;0,ISNUMBER(MATCH(B254,Proposed[Item],0)),"")</f>
        <v/>
      </c>
    </row>
    <row r="255" spans="1:16" ht="15" x14ac:dyDescent="0.2">
      <c r="A255" s="276">
        <f t="shared" ca="1" si="197"/>
        <v>124</v>
      </c>
      <c r="B255" s="111" t="str">
        <f ca="1">IFERROR("Line "&amp;INDEX(Calcs[Line],INDEX(INDIRECT(RangeCount),MATCH($A255,INDIRECT(RangeEstCount),0))),"")</f>
        <v/>
      </c>
      <c r="C255" s="169" t="str">
        <f ca="1">IFERROR(IF(AND($D255="LPSM",Bid?,All?),"ALL",TEXT(OFFSET(INDIRECT(RangeQuantity),MATCH($A255,INDIRECT(RangeEstCount),0)-1,MATCH(Account,Accounts,0)-1,1,1),IF($D255="LPSM","0%","#,##0"&amp;IF(OFFSET(Items[#Data],MATCH($A255,INDIRECT(RangeEstCount),0)-1,MATCH(Decimals,Items[#Headers],0)-1,1,1)&gt;0,"."&amp;REPT("0",OFFSET(Items[#Data],MATCH($A255,INDIRECT(RangeEstCount),0)-1,MATCH(Decimals,Items[#Headers],0)-1,1,1)),"")))),"")</f>
        <v/>
      </c>
      <c r="D255" s="170" t="str">
        <f ca="1">IFERROR(INDEX(INDIRECT(RangeUnit),MATCH($A255,INDIRECT(RangeEstCount),0))&amp;SUBSTITUTE(" ["&amp;INDEX(INDIRECT(RangeAmend),MATCH($A255,INDIRECT(RangeEstCount),0))&amp;"]"," []",""),"")</f>
        <v/>
      </c>
      <c r="E255" s="170" t="str">
        <f ca="1">IFERROR(IF(INDEX(INDIRECT(RangeContrQty),MATCH($A255,INDIRECT(RangeEstCount),0)),"(CQ)",""),"")</f>
        <v/>
      </c>
      <c r="F255" s="171" t="str">
        <f ca="1">IFERROR(IF(OR(NOT(Bid?),LEFT(UPPER($D255),4)="FXHR"),INDEX(INDIRECT(RangeUnitPrice),MATCH($A255,INDIRECT(RangeEstCount),0)),IF(Awd?,OFFSET(TabAmount,MATCH(INDEX(INDIRECT(RangeCount),MATCH($A255,INDIRECT(RangeEstCount),0)),OFFSET(TabCount,1,0,2*NumPayItems,1),0),MATCH(Awarded2,Bidders,0)),IF(OR($C255="",$D255="LPSM"),"","$"))),"")</f>
        <v/>
      </c>
      <c r="G255" s="171" t="str">
        <f ca="1">IFERROR(VALUE(C255)*F255,IF(AND(Bid?,NOT(Awd?),$D255="LPSM"),"$",F255))</f>
        <v/>
      </c>
      <c r="H255" s="374"/>
      <c r="I255" s="217" t="str">
        <f ca="1">IFERROR(VALUE(SUBSTITUTE(OFFSET(I255,-1,0)," "&amp;$D255,""))*$F255,"")</f>
        <v/>
      </c>
      <c r="J255" s="215" t="str">
        <f ca="1">IFERROR(VALUE(SUBSTITUTE(OFFSET(J255,-1,0)," "&amp;$D255,""))*$F255,"")</f>
        <v/>
      </c>
      <c r="K255" s="215" t="str">
        <f t="shared" ref="K255:M255" ca="1" si="253">IFERROR(VALUE(SUBSTITUTE(OFFSET(K255,-1,0)," "&amp;$D255,""))*$F255,"")</f>
        <v/>
      </c>
      <c r="L255" s="215" t="str">
        <f t="shared" ca="1" si="253"/>
        <v/>
      </c>
      <c r="M255" s="215" t="str">
        <f t="shared" ca="1" si="253"/>
        <v/>
      </c>
      <c r="N255" s="215" t="str">
        <f ca="1">IFERROR(VALUE(SUBSTITUTE(OFFSET(N255,-1,0)," "&amp;$D255,""))*$F255,"")</f>
        <v/>
      </c>
      <c r="O255" s="215" t="str">
        <f ca="1">IFERROR(VALUE(SUBSTITUTE(OFFSET(O255,-1,0)," "&amp;$D255,""))*$F255,"")</f>
        <v/>
      </c>
      <c r="P255" s="209" t="str">
        <f ca="1">IF(LEN(B255)&gt;0,ISNUMBER(MATCH(B255,Proposed[Item],0)),"")</f>
        <v/>
      </c>
    </row>
    <row r="256" spans="1:16" ht="15" x14ac:dyDescent="0.2">
      <c r="A256" s="276">
        <f t="shared" ca="1" si="197"/>
        <v>125</v>
      </c>
      <c r="B256" s="168" t="str">
        <f ca="1">IFERROR(INDEX(INDIRECT(RangeItems),MATCH($A256,INDIRECT(RangeEstCount),0)),"")</f>
        <v/>
      </c>
      <c r="C256" s="365" t="str">
        <f ca="1">IFERROR(INDEX(Calcs[Description],INDEX(INDIRECT(RangeCount),MATCH($A256,INDIRECT(RangeEstCount),0))),"")</f>
        <v/>
      </c>
      <c r="D256" s="365"/>
      <c r="E256" s="365"/>
      <c r="F256" s="365"/>
      <c r="G256" s="365"/>
      <c r="H256" s="375" t="str">
        <f ca="1">IF(AND(Bid?,NOT(Awd?)),C256,OFFSET(F256,1,0))</f>
        <v/>
      </c>
      <c r="I256" s="216" t="str">
        <f t="shared" ref="I256:O256" ca="1" si="254">IFERROR(SUM(OFFSET(INDIRECT(RangeQuantity),MATCH($A256,INDIRECT(RangeEstCount),0)-1,COLUMN(I256)-COLUMN($H256),1,1))&amp;" "&amp;OFFSET($D256,1,0),"")</f>
        <v/>
      </c>
      <c r="J256" s="277" t="str">
        <f t="shared" ca="1" si="254"/>
        <v/>
      </c>
      <c r="K256" s="277" t="str">
        <f t="shared" ca="1" si="254"/>
        <v/>
      </c>
      <c r="L256" s="277" t="str">
        <f t="shared" ca="1" si="254"/>
        <v/>
      </c>
      <c r="M256" s="277" t="str">
        <f t="shared" ca="1" si="254"/>
        <v/>
      </c>
      <c r="N256" s="277" t="str">
        <f t="shared" ca="1" si="254"/>
        <v/>
      </c>
      <c r="O256" s="277" t="str">
        <f t="shared" ca="1" si="254"/>
        <v/>
      </c>
      <c r="P256" s="209" t="str">
        <f ca="1">IF(LEN(B256)&gt;0,ISNUMBER(MATCH(B256,Proposed[Item],0)),"")</f>
        <v/>
      </c>
    </row>
    <row r="257" spans="1:16" ht="15" x14ac:dyDescent="0.2">
      <c r="A257" s="276">
        <f t="shared" ca="1" si="197"/>
        <v>125</v>
      </c>
      <c r="B257" s="111" t="str">
        <f ca="1">IFERROR("Line "&amp;INDEX(Calcs[Line],INDEX(INDIRECT(RangeCount),MATCH($A257,INDIRECT(RangeEstCount),0))),"")</f>
        <v/>
      </c>
      <c r="C257" s="169" t="str">
        <f ca="1">IFERROR(IF(AND($D257="LPSM",Bid?,All?),"ALL",TEXT(OFFSET(INDIRECT(RangeQuantity),MATCH($A257,INDIRECT(RangeEstCount),0)-1,MATCH(Account,Accounts,0)-1,1,1),IF($D257="LPSM","0%","#,##0"&amp;IF(OFFSET(Items[#Data],MATCH($A257,INDIRECT(RangeEstCount),0)-1,MATCH(Decimals,Items[#Headers],0)-1,1,1)&gt;0,"."&amp;REPT("0",OFFSET(Items[#Data],MATCH($A257,INDIRECT(RangeEstCount),0)-1,MATCH(Decimals,Items[#Headers],0)-1,1,1)),"")))),"")</f>
        <v/>
      </c>
      <c r="D257" s="170" t="str">
        <f ca="1">IFERROR(INDEX(INDIRECT(RangeUnit),MATCH($A257,INDIRECT(RangeEstCount),0))&amp;SUBSTITUTE(" ["&amp;INDEX(INDIRECT(RangeAmend),MATCH($A257,INDIRECT(RangeEstCount),0))&amp;"]"," []",""),"")</f>
        <v/>
      </c>
      <c r="E257" s="170" t="str">
        <f ca="1">IFERROR(IF(INDEX(INDIRECT(RangeContrQty),MATCH($A257,INDIRECT(RangeEstCount),0)),"(CQ)",""),"")</f>
        <v/>
      </c>
      <c r="F257" s="171" t="str">
        <f ca="1">IFERROR(IF(OR(NOT(Bid?),LEFT(UPPER($D257),4)="FXHR"),INDEX(INDIRECT(RangeUnitPrice),MATCH($A257,INDIRECT(RangeEstCount),0)),IF(Awd?,OFFSET(TabAmount,MATCH(INDEX(INDIRECT(RangeCount),MATCH($A257,INDIRECT(RangeEstCount),0)),OFFSET(TabCount,1,0,2*NumPayItems,1),0),MATCH(Awarded2,Bidders,0)),IF(OR($C257="",$D257="LPSM"),"","$"))),"")</f>
        <v/>
      </c>
      <c r="G257" s="171" t="str">
        <f ca="1">IFERROR(VALUE(C257)*F257,IF(AND(Bid?,NOT(Awd?),$D257="LPSM"),"$",F257))</f>
        <v/>
      </c>
      <c r="H257" s="374"/>
      <c r="I257" s="217" t="str">
        <f ca="1">IFERROR(VALUE(SUBSTITUTE(OFFSET(I257,-1,0)," "&amp;$D257,""))*$F257,"")</f>
        <v/>
      </c>
      <c r="J257" s="215" t="str">
        <f ca="1">IFERROR(VALUE(SUBSTITUTE(OFFSET(J257,-1,0)," "&amp;$D257,""))*$F257,"")</f>
        <v/>
      </c>
      <c r="K257" s="215" t="str">
        <f t="shared" ref="K257:M257" ca="1" si="255">IFERROR(VALUE(SUBSTITUTE(OFFSET(K257,-1,0)," "&amp;$D257,""))*$F257,"")</f>
        <v/>
      </c>
      <c r="L257" s="215" t="str">
        <f t="shared" ca="1" si="255"/>
        <v/>
      </c>
      <c r="M257" s="215" t="str">
        <f t="shared" ca="1" si="255"/>
        <v/>
      </c>
      <c r="N257" s="215" t="str">
        <f ca="1">IFERROR(VALUE(SUBSTITUTE(OFFSET(N257,-1,0)," "&amp;$D257,""))*$F257,"")</f>
        <v/>
      </c>
      <c r="O257" s="215" t="str">
        <f ca="1">IFERROR(VALUE(SUBSTITUTE(OFFSET(O257,-1,0)," "&amp;$D257,""))*$F257,"")</f>
        <v/>
      </c>
      <c r="P257" s="209" t="str">
        <f ca="1">IF(LEN(B257)&gt;0,ISNUMBER(MATCH(B257,Proposed[Item],0)),"")</f>
        <v/>
      </c>
    </row>
    <row r="258" spans="1:16" ht="15" x14ac:dyDescent="0.2">
      <c r="A258" s="276">
        <f t="shared" ca="1" si="197"/>
        <v>126</v>
      </c>
      <c r="B258" s="168" t="str">
        <f ca="1">IFERROR(INDEX(INDIRECT(RangeItems),MATCH($A258,INDIRECT(RangeEstCount),0)),"")</f>
        <v/>
      </c>
      <c r="C258" s="365" t="str">
        <f ca="1">IFERROR(INDEX(Calcs[Description],INDEX(INDIRECT(RangeCount),MATCH($A258,INDIRECT(RangeEstCount),0))),"")</f>
        <v/>
      </c>
      <c r="D258" s="365"/>
      <c r="E258" s="365"/>
      <c r="F258" s="365"/>
      <c r="G258" s="365"/>
      <c r="H258" s="375" t="str">
        <f ca="1">IF(AND(Bid?,NOT(Awd?)),C258,OFFSET(F258,1,0))</f>
        <v/>
      </c>
      <c r="I258" s="216" t="str">
        <f t="shared" ref="I258:O258" ca="1" si="256">IFERROR(SUM(OFFSET(INDIRECT(RangeQuantity),MATCH($A258,INDIRECT(RangeEstCount),0)-1,COLUMN(I258)-COLUMN($H258),1,1))&amp;" "&amp;OFFSET($D258,1,0),"")</f>
        <v/>
      </c>
      <c r="J258" s="277" t="str">
        <f t="shared" ca="1" si="256"/>
        <v/>
      </c>
      <c r="K258" s="277" t="str">
        <f t="shared" ca="1" si="256"/>
        <v/>
      </c>
      <c r="L258" s="277" t="str">
        <f t="shared" ca="1" si="256"/>
        <v/>
      </c>
      <c r="M258" s="277" t="str">
        <f t="shared" ca="1" si="256"/>
        <v/>
      </c>
      <c r="N258" s="277" t="str">
        <f t="shared" ca="1" si="256"/>
        <v/>
      </c>
      <c r="O258" s="277" t="str">
        <f t="shared" ca="1" si="256"/>
        <v/>
      </c>
      <c r="P258" s="209" t="str">
        <f ca="1">IF(LEN(B258)&gt;0,ISNUMBER(MATCH(B258,Proposed[Item],0)),"")</f>
        <v/>
      </c>
    </row>
    <row r="259" spans="1:16" ht="15" x14ac:dyDescent="0.2">
      <c r="A259" s="276">
        <f t="shared" ca="1" si="197"/>
        <v>126</v>
      </c>
      <c r="B259" s="111" t="str">
        <f ca="1">IFERROR("Line "&amp;INDEX(Calcs[Line],INDEX(INDIRECT(RangeCount),MATCH($A259,INDIRECT(RangeEstCount),0))),"")</f>
        <v/>
      </c>
      <c r="C259" s="169" t="str">
        <f ca="1">IFERROR(IF(AND($D259="LPSM",Bid?,All?),"ALL",TEXT(OFFSET(INDIRECT(RangeQuantity),MATCH($A259,INDIRECT(RangeEstCount),0)-1,MATCH(Account,Accounts,0)-1,1,1),IF($D259="LPSM","0%","#,##0"&amp;IF(OFFSET(Items[#Data],MATCH($A259,INDIRECT(RangeEstCount),0)-1,MATCH(Decimals,Items[#Headers],0)-1,1,1)&gt;0,"."&amp;REPT("0",OFFSET(Items[#Data],MATCH($A259,INDIRECT(RangeEstCount),0)-1,MATCH(Decimals,Items[#Headers],0)-1,1,1)),"")))),"")</f>
        <v/>
      </c>
      <c r="D259" s="170" t="str">
        <f ca="1">IFERROR(INDEX(INDIRECT(RangeUnit),MATCH($A259,INDIRECT(RangeEstCount),0))&amp;SUBSTITUTE(" ["&amp;INDEX(INDIRECT(RangeAmend),MATCH($A259,INDIRECT(RangeEstCount),0))&amp;"]"," []",""),"")</f>
        <v/>
      </c>
      <c r="E259" s="170" t="str">
        <f ca="1">IFERROR(IF(INDEX(INDIRECT(RangeContrQty),MATCH($A259,INDIRECT(RangeEstCount),0)),"(CQ)",""),"")</f>
        <v/>
      </c>
      <c r="F259" s="171" t="str">
        <f ca="1">IFERROR(IF(OR(NOT(Bid?),LEFT(UPPER($D259),4)="FXHR"),INDEX(INDIRECT(RangeUnitPrice),MATCH($A259,INDIRECT(RangeEstCount),0)),IF(Awd?,OFFSET(TabAmount,MATCH(INDEX(INDIRECT(RangeCount),MATCH($A259,INDIRECT(RangeEstCount),0)),OFFSET(TabCount,1,0,2*NumPayItems,1),0),MATCH(Awarded2,Bidders,0)),IF(OR($C259="",$D259="LPSM"),"","$"))),"")</f>
        <v/>
      </c>
      <c r="G259" s="171" t="str">
        <f ca="1">IFERROR(VALUE(C259)*F259,IF(AND(Bid?,NOT(Awd?),$D259="LPSM"),"$",F259))</f>
        <v/>
      </c>
      <c r="H259" s="374"/>
      <c r="I259" s="217" t="str">
        <f ca="1">IFERROR(VALUE(SUBSTITUTE(OFFSET(I259,-1,0)," "&amp;$D259,""))*$F259,"")</f>
        <v/>
      </c>
      <c r="J259" s="215" t="str">
        <f ca="1">IFERROR(VALUE(SUBSTITUTE(OFFSET(J259,-1,0)," "&amp;$D259,""))*$F259,"")</f>
        <v/>
      </c>
      <c r="K259" s="215" t="str">
        <f t="shared" ref="K259:M259" ca="1" si="257">IFERROR(VALUE(SUBSTITUTE(OFFSET(K259,-1,0)," "&amp;$D259,""))*$F259,"")</f>
        <v/>
      </c>
      <c r="L259" s="215" t="str">
        <f t="shared" ca="1" si="257"/>
        <v/>
      </c>
      <c r="M259" s="215" t="str">
        <f t="shared" ca="1" si="257"/>
        <v/>
      </c>
      <c r="N259" s="215" t="str">
        <f ca="1">IFERROR(VALUE(SUBSTITUTE(OFFSET(N259,-1,0)," "&amp;$D259,""))*$F259,"")</f>
        <v/>
      </c>
      <c r="O259" s="215" t="str">
        <f ca="1">IFERROR(VALUE(SUBSTITUTE(OFFSET(O259,-1,0)," "&amp;$D259,""))*$F259,"")</f>
        <v/>
      </c>
      <c r="P259" s="209" t="str">
        <f ca="1">IF(LEN(B259)&gt;0,ISNUMBER(MATCH(B259,Proposed[Item],0)),"")</f>
        <v/>
      </c>
    </row>
    <row r="260" spans="1:16" ht="15" x14ac:dyDescent="0.2">
      <c r="A260" s="276">
        <f t="shared" ca="1" si="197"/>
        <v>127</v>
      </c>
      <c r="B260" s="168" t="str">
        <f ca="1">IFERROR(INDEX(INDIRECT(RangeItems),MATCH($A260,INDIRECT(RangeEstCount),0)),"")</f>
        <v/>
      </c>
      <c r="C260" s="365" t="str">
        <f ca="1">IFERROR(INDEX(Calcs[Description],INDEX(INDIRECT(RangeCount),MATCH($A260,INDIRECT(RangeEstCount),0))),"")</f>
        <v/>
      </c>
      <c r="D260" s="365"/>
      <c r="E260" s="365"/>
      <c r="F260" s="365"/>
      <c r="G260" s="365"/>
      <c r="H260" s="375" t="str">
        <f ca="1">IF(AND(Bid?,NOT(Awd?)),C260,OFFSET(F260,1,0))</f>
        <v/>
      </c>
      <c r="I260" s="216" t="str">
        <f t="shared" ref="I260:O260" ca="1" si="258">IFERROR(SUM(OFFSET(INDIRECT(RangeQuantity),MATCH($A260,INDIRECT(RangeEstCount),0)-1,COLUMN(I260)-COLUMN($H260),1,1))&amp;" "&amp;OFFSET($D260,1,0),"")</f>
        <v/>
      </c>
      <c r="J260" s="277" t="str">
        <f t="shared" ca="1" si="258"/>
        <v/>
      </c>
      <c r="K260" s="277" t="str">
        <f t="shared" ca="1" si="258"/>
        <v/>
      </c>
      <c r="L260" s="277" t="str">
        <f t="shared" ca="1" si="258"/>
        <v/>
      </c>
      <c r="M260" s="277" t="str">
        <f t="shared" ca="1" si="258"/>
        <v/>
      </c>
      <c r="N260" s="277" t="str">
        <f t="shared" ca="1" si="258"/>
        <v/>
      </c>
      <c r="O260" s="277" t="str">
        <f t="shared" ca="1" si="258"/>
        <v/>
      </c>
      <c r="P260" s="209" t="str">
        <f ca="1">IF(LEN(B260)&gt;0,ISNUMBER(MATCH(B260,Proposed[Item],0)),"")</f>
        <v/>
      </c>
    </row>
    <row r="261" spans="1:16" ht="15" x14ac:dyDescent="0.2">
      <c r="A261" s="276">
        <f t="shared" ca="1" si="197"/>
        <v>127</v>
      </c>
      <c r="B261" s="111" t="str">
        <f ca="1">IFERROR("Line "&amp;INDEX(Calcs[Line],INDEX(INDIRECT(RangeCount),MATCH($A261,INDIRECT(RangeEstCount),0))),"")</f>
        <v/>
      </c>
      <c r="C261" s="169" t="str">
        <f ca="1">IFERROR(IF(AND($D261="LPSM",Bid?,All?),"ALL",TEXT(OFFSET(INDIRECT(RangeQuantity),MATCH($A261,INDIRECT(RangeEstCount),0)-1,MATCH(Account,Accounts,0)-1,1,1),IF($D261="LPSM","0%","#,##0"&amp;IF(OFFSET(Items[#Data],MATCH($A261,INDIRECT(RangeEstCount),0)-1,MATCH(Decimals,Items[#Headers],0)-1,1,1)&gt;0,"."&amp;REPT("0",OFFSET(Items[#Data],MATCH($A261,INDIRECT(RangeEstCount),0)-1,MATCH(Decimals,Items[#Headers],0)-1,1,1)),"")))),"")</f>
        <v/>
      </c>
      <c r="D261" s="170" t="str">
        <f ca="1">IFERROR(INDEX(INDIRECT(RangeUnit),MATCH($A261,INDIRECT(RangeEstCount),0))&amp;SUBSTITUTE(" ["&amp;INDEX(INDIRECT(RangeAmend),MATCH($A261,INDIRECT(RangeEstCount),0))&amp;"]"," []",""),"")</f>
        <v/>
      </c>
      <c r="E261" s="170" t="str">
        <f ca="1">IFERROR(IF(INDEX(INDIRECT(RangeContrQty),MATCH($A261,INDIRECT(RangeEstCount),0)),"(CQ)",""),"")</f>
        <v/>
      </c>
      <c r="F261" s="171" t="str">
        <f ca="1">IFERROR(IF(OR(NOT(Bid?),LEFT(UPPER($D261),4)="FXHR"),INDEX(INDIRECT(RangeUnitPrice),MATCH($A261,INDIRECT(RangeEstCount),0)),IF(Awd?,OFFSET(TabAmount,MATCH(INDEX(INDIRECT(RangeCount),MATCH($A261,INDIRECT(RangeEstCount),0)),OFFSET(TabCount,1,0,2*NumPayItems,1),0),MATCH(Awarded2,Bidders,0)),IF(OR($C261="",$D261="LPSM"),"","$"))),"")</f>
        <v/>
      </c>
      <c r="G261" s="171" t="str">
        <f ca="1">IFERROR(VALUE(C261)*F261,IF(AND(Bid?,NOT(Awd?),$D261="LPSM"),"$",F261))</f>
        <v/>
      </c>
      <c r="H261" s="374"/>
      <c r="I261" s="217" t="str">
        <f ca="1">IFERROR(VALUE(SUBSTITUTE(OFFSET(I261,-1,0)," "&amp;$D261,""))*$F261,"")</f>
        <v/>
      </c>
      <c r="J261" s="215" t="str">
        <f ca="1">IFERROR(VALUE(SUBSTITUTE(OFFSET(J261,-1,0)," "&amp;$D261,""))*$F261,"")</f>
        <v/>
      </c>
      <c r="K261" s="215" t="str">
        <f t="shared" ref="K261:M261" ca="1" si="259">IFERROR(VALUE(SUBSTITUTE(OFFSET(K261,-1,0)," "&amp;$D261,""))*$F261,"")</f>
        <v/>
      </c>
      <c r="L261" s="215" t="str">
        <f t="shared" ca="1" si="259"/>
        <v/>
      </c>
      <c r="M261" s="215" t="str">
        <f t="shared" ca="1" si="259"/>
        <v/>
      </c>
      <c r="N261" s="215" t="str">
        <f ca="1">IFERROR(VALUE(SUBSTITUTE(OFFSET(N261,-1,0)," "&amp;$D261,""))*$F261,"")</f>
        <v/>
      </c>
      <c r="O261" s="215" t="str">
        <f ca="1">IFERROR(VALUE(SUBSTITUTE(OFFSET(O261,-1,0)," "&amp;$D261,""))*$F261,"")</f>
        <v/>
      </c>
      <c r="P261" s="209" t="str">
        <f ca="1">IF(LEN(B261)&gt;0,ISNUMBER(MATCH(B261,Proposed[Item],0)),"")</f>
        <v/>
      </c>
    </row>
    <row r="262" spans="1:16" ht="15" x14ac:dyDescent="0.2">
      <c r="A262" s="276">
        <f t="shared" ca="1" si="197"/>
        <v>128</v>
      </c>
      <c r="B262" s="168" t="str">
        <f ca="1">IFERROR(INDEX(INDIRECT(RangeItems),MATCH($A262,INDIRECT(RangeEstCount),0)),"")</f>
        <v/>
      </c>
      <c r="C262" s="365" t="str">
        <f ca="1">IFERROR(INDEX(Calcs[Description],INDEX(INDIRECT(RangeCount),MATCH($A262,INDIRECT(RangeEstCount),0))),"")</f>
        <v/>
      </c>
      <c r="D262" s="365"/>
      <c r="E262" s="365"/>
      <c r="F262" s="365"/>
      <c r="G262" s="365"/>
      <c r="H262" s="375" t="str">
        <f ca="1">IF(AND(Bid?,NOT(Awd?)),C262,OFFSET(F262,1,0))</f>
        <v/>
      </c>
      <c r="I262" s="216" t="str">
        <f t="shared" ref="I262:O262" ca="1" si="260">IFERROR(SUM(OFFSET(INDIRECT(RangeQuantity),MATCH($A262,INDIRECT(RangeEstCount),0)-1,COLUMN(I262)-COLUMN($H262),1,1))&amp;" "&amp;OFFSET($D262,1,0),"")</f>
        <v/>
      </c>
      <c r="J262" s="277" t="str">
        <f t="shared" ca="1" si="260"/>
        <v/>
      </c>
      <c r="K262" s="277" t="str">
        <f t="shared" ca="1" si="260"/>
        <v/>
      </c>
      <c r="L262" s="277" t="str">
        <f t="shared" ca="1" si="260"/>
        <v/>
      </c>
      <c r="M262" s="277" t="str">
        <f t="shared" ca="1" si="260"/>
        <v/>
      </c>
      <c r="N262" s="277" t="str">
        <f t="shared" ca="1" si="260"/>
        <v/>
      </c>
      <c r="O262" s="277" t="str">
        <f t="shared" ca="1" si="260"/>
        <v/>
      </c>
      <c r="P262" s="209" t="str">
        <f ca="1">IF(LEN(B262)&gt;0,ISNUMBER(MATCH(B262,Proposed[Item],0)),"")</f>
        <v/>
      </c>
    </row>
    <row r="263" spans="1:16" ht="15" x14ac:dyDescent="0.2">
      <c r="A263" s="276">
        <f t="shared" ca="1" si="197"/>
        <v>128</v>
      </c>
      <c r="B263" s="111" t="str">
        <f ca="1">IFERROR("Line "&amp;INDEX(Calcs[Line],INDEX(INDIRECT(RangeCount),MATCH($A263,INDIRECT(RangeEstCount),0))),"")</f>
        <v/>
      </c>
      <c r="C263" s="169" t="str">
        <f ca="1">IFERROR(IF(AND($D263="LPSM",Bid?,All?),"ALL",TEXT(OFFSET(INDIRECT(RangeQuantity),MATCH($A263,INDIRECT(RangeEstCount),0)-1,MATCH(Account,Accounts,0)-1,1,1),IF($D263="LPSM","0%","#,##0"&amp;IF(OFFSET(Items[#Data],MATCH($A263,INDIRECT(RangeEstCount),0)-1,MATCH(Decimals,Items[#Headers],0)-1,1,1)&gt;0,"."&amp;REPT("0",OFFSET(Items[#Data],MATCH($A263,INDIRECT(RangeEstCount),0)-1,MATCH(Decimals,Items[#Headers],0)-1,1,1)),"")))),"")</f>
        <v/>
      </c>
      <c r="D263" s="170" t="str">
        <f ca="1">IFERROR(INDEX(INDIRECT(RangeUnit),MATCH($A263,INDIRECT(RangeEstCount),0))&amp;SUBSTITUTE(" ["&amp;INDEX(INDIRECT(RangeAmend),MATCH($A263,INDIRECT(RangeEstCount),0))&amp;"]"," []",""),"")</f>
        <v/>
      </c>
      <c r="E263" s="170" t="str">
        <f ca="1">IFERROR(IF(INDEX(INDIRECT(RangeContrQty),MATCH($A263,INDIRECT(RangeEstCount),0)),"(CQ)",""),"")</f>
        <v/>
      </c>
      <c r="F263" s="171" t="str">
        <f ca="1">IFERROR(IF(OR(NOT(Bid?),LEFT(UPPER($D263),4)="FXHR"),INDEX(INDIRECT(RangeUnitPrice),MATCH($A263,INDIRECT(RangeEstCount),0)),IF(Awd?,OFFSET(TabAmount,MATCH(INDEX(INDIRECT(RangeCount),MATCH($A263,INDIRECT(RangeEstCount),0)),OFFSET(TabCount,1,0,2*NumPayItems,1),0),MATCH(Awarded2,Bidders,0)),IF(OR($C263="",$D263="LPSM"),"","$"))),"")</f>
        <v/>
      </c>
      <c r="G263" s="171" t="str">
        <f ca="1">IFERROR(VALUE(C263)*F263,IF(AND(Bid?,NOT(Awd?),$D263="LPSM"),"$",F263))</f>
        <v/>
      </c>
      <c r="H263" s="374"/>
      <c r="I263" s="217" t="str">
        <f ca="1">IFERROR(VALUE(SUBSTITUTE(OFFSET(I263,-1,0)," "&amp;$D263,""))*$F263,"")</f>
        <v/>
      </c>
      <c r="J263" s="215" t="str">
        <f ca="1">IFERROR(VALUE(SUBSTITUTE(OFFSET(J263,-1,0)," "&amp;$D263,""))*$F263,"")</f>
        <v/>
      </c>
      <c r="K263" s="215" t="str">
        <f t="shared" ref="K263:M263" ca="1" si="261">IFERROR(VALUE(SUBSTITUTE(OFFSET(K263,-1,0)," "&amp;$D263,""))*$F263,"")</f>
        <v/>
      </c>
      <c r="L263" s="215" t="str">
        <f t="shared" ca="1" si="261"/>
        <v/>
      </c>
      <c r="M263" s="215" t="str">
        <f t="shared" ca="1" si="261"/>
        <v/>
      </c>
      <c r="N263" s="215" t="str">
        <f ca="1">IFERROR(VALUE(SUBSTITUTE(OFFSET(N263,-1,0)," "&amp;$D263,""))*$F263,"")</f>
        <v/>
      </c>
      <c r="O263" s="215" t="str">
        <f ca="1">IFERROR(VALUE(SUBSTITUTE(OFFSET(O263,-1,0)," "&amp;$D263,""))*$F263,"")</f>
        <v/>
      </c>
      <c r="P263" s="209" t="str">
        <f ca="1">IF(LEN(B263)&gt;0,ISNUMBER(MATCH(B263,Proposed[Item],0)),"")</f>
        <v/>
      </c>
    </row>
    <row r="264" spans="1:16" ht="15" x14ac:dyDescent="0.2">
      <c r="A264" s="276">
        <f t="shared" ref="A264:A327" ca="1" si="262">OFFSET(A264,-2,0)+1</f>
        <v>129</v>
      </c>
      <c r="B264" s="168" t="str">
        <f ca="1">IFERROR(INDEX(INDIRECT(RangeItems),MATCH($A264,INDIRECT(RangeEstCount),0)),"")</f>
        <v/>
      </c>
      <c r="C264" s="365" t="str">
        <f ca="1">IFERROR(INDEX(Calcs[Description],INDEX(INDIRECT(RangeCount),MATCH($A264,INDIRECT(RangeEstCount),0))),"")</f>
        <v/>
      </c>
      <c r="D264" s="365"/>
      <c r="E264" s="365"/>
      <c r="F264" s="365"/>
      <c r="G264" s="365"/>
      <c r="H264" s="375" t="str">
        <f ca="1">IF(AND(Bid?,NOT(Awd?)),C264,OFFSET(F264,1,0))</f>
        <v/>
      </c>
      <c r="I264" s="216" t="str">
        <f t="shared" ref="I264:O264" ca="1" si="263">IFERROR(SUM(OFFSET(INDIRECT(RangeQuantity),MATCH($A264,INDIRECT(RangeEstCount),0)-1,COLUMN(I264)-COLUMN($H264),1,1))&amp;" "&amp;OFFSET($D264,1,0),"")</f>
        <v/>
      </c>
      <c r="J264" s="277" t="str">
        <f t="shared" ca="1" si="263"/>
        <v/>
      </c>
      <c r="K264" s="277" t="str">
        <f t="shared" ca="1" si="263"/>
        <v/>
      </c>
      <c r="L264" s="277" t="str">
        <f t="shared" ca="1" si="263"/>
        <v/>
      </c>
      <c r="M264" s="277" t="str">
        <f t="shared" ca="1" si="263"/>
        <v/>
      </c>
      <c r="N264" s="277" t="str">
        <f t="shared" ca="1" si="263"/>
        <v/>
      </c>
      <c r="O264" s="277" t="str">
        <f t="shared" ca="1" si="263"/>
        <v/>
      </c>
      <c r="P264" s="209" t="str">
        <f ca="1">IF(LEN(B264)&gt;0,ISNUMBER(MATCH(B264,Proposed[Item],0)),"")</f>
        <v/>
      </c>
    </row>
    <row r="265" spans="1:16" ht="15" x14ac:dyDescent="0.2">
      <c r="A265" s="276">
        <f t="shared" ca="1" si="262"/>
        <v>129</v>
      </c>
      <c r="B265" s="111" t="str">
        <f ca="1">IFERROR("Line "&amp;INDEX(Calcs[Line],INDEX(INDIRECT(RangeCount),MATCH($A265,INDIRECT(RangeEstCount),0))),"")</f>
        <v/>
      </c>
      <c r="C265" s="169" t="str">
        <f ca="1">IFERROR(IF(AND($D265="LPSM",Bid?,All?),"ALL",TEXT(OFFSET(INDIRECT(RangeQuantity),MATCH($A265,INDIRECT(RangeEstCount),0)-1,MATCH(Account,Accounts,0)-1,1,1),IF($D265="LPSM","0%","#,##0"&amp;IF(OFFSET(Items[#Data],MATCH($A265,INDIRECT(RangeEstCount),0)-1,MATCH(Decimals,Items[#Headers],0)-1,1,1)&gt;0,"."&amp;REPT("0",OFFSET(Items[#Data],MATCH($A265,INDIRECT(RangeEstCount),0)-1,MATCH(Decimals,Items[#Headers],0)-1,1,1)),"")))),"")</f>
        <v/>
      </c>
      <c r="D265" s="170" t="str">
        <f ca="1">IFERROR(INDEX(INDIRECT(RangeUnit),MATCH($A265,INDIRECT(RangeEstCount),0))&amp;SUBSTITUTE(" ["&amp;INDEX(INDIRECT(RangeAmend),MATCH($A265,INDIRECT(RangeEstCount),0))&amp;"]"," []",""),"")</f>
        <v/>
      </c>
      <c r="E265" s="170" t="str">
        <f ca="1">IFERROR(IF(INDEX(INDIRECT(RangeContrQty),MATCH($A265,INDIRECT(RangeEstCount),0)),"(CQ)",""),"")</f>
        <v/>
      </c>
      <c r="F265" s="171" t="str">
        <f ca="1">IFERROR(IF(OR(NOT(Bid?),LEFT(UPPER($D265),4)="FXHR"),INDEX(INDIRECT(RangeUnitPrice),MATCH($A265,INDIRECT(RangeEstCount),0)),IF(Awd?,OFFSET(TabAmount,MATCH(INDEX(INDIRECT(RangeCount),MATCH($A265,INDIRECT(RangeEstCount),0)),OFFSET(TabCount,1,0,2*NumPayItems,1),0),MATCH(Awarded2,Bidders,0)),IF(OR($C265="",$D265="LPSM"),"","$"))),"")</f>
        <v/>
      </c>
      <c r="G265" s="171" t="str">
        <f ca="1">IFERROR(VALUE(C265)*F265,IF(AND(Bid?,NOT(Awd?),$D265="LPSM"),"$",F265))</f>
        <v/>
      </c>
      <c r="H265" s="374"/>
      <c r="I265" s="217" t="str">
        <f ca="1">IFERROR(VALUE(SUBSTITUTE(OFFSET(I265,-1,0)," "&amp;$D265,""))*$F265,"")</f>
        <v/>
      </c>
      <c r="J265" s="215" t="str">
        <f ca="1">IFERROR(VALUE(SUBSTITUTE(OFFSET(J265,-1,0)," "&amp;$D265,""))*$F265,"")</f>
        <v/>
      </c>
      <c r="K265" s="215" t="str">
        <f t="shared" ref="K265:M265" ca="1" si="264">IFERROR(VALUE(SUBSTITUTE(OFFSET(K265,-1,0)," "&amp;$D265,""))*$F265,"")</f>
        <v/>
      </c>
      <c r="L265" s="215" t="str">
        <f t="shared" ca="1" si="264"/>
        <v/>
      </c>
      <c r="M265" s="215" t="str">
        <f t="shared" ca="1" si="264"/>
        <v/>
      </c>
      <c r="N265" s="215" t="str">
        <f ca="1">IFERROR(VALUE(SUBSTITUTE(OFFSET(N265,-1,0)," "&amp;$D265,""))*$F265,"")</f>
        <v/>
      </c>
      <c r="O265" s="215" t="str">
        <f ca="1">IFERROR(VALUE(SUBSTITUTE(OFFSET(O265,-1,0)," "&amp;$D265,""))*$F265,"")</f>
        <v/>
      </c>
      <c r="P265" s="209" t="str">
        <f ca="1">IF(LEN(B265)&gt;0,ISNUMBER(MATCH(B265,Proposed[Item],0)),"")</f>
        <v/>
      </c>
    </row>
    <row r="266" spans="1:16" ht="15" x14ac:dyDescent="0.2">
      <c r="A266" s="276">
        <f t="shared" ca="1" si="262"/>
        <v>130</v>
      </c>
      <c r="B266" s="168" t="str">
        <f ca="1">IFERROR(INDEX(INDIRECT(RangeItems),MATCH($A266,INDIRECT(RangeEstCount),0)),"")</f>
        <v/>
      </c>
      <c r="C266" s="365" t="str">
        <f ca="1">IFERROR(INDEX(Calcs[Description],INDEX(INDIRECT(RangeCount),MATCH($A266,INDIRECT(RangeEstCount),0))),"")</f>
        <v/>
      </c>
      <c r="D266" s="365"/>
      <c r="E266" s="365"/>
      <c r="F266" s="365"/>
      <c r="G266" s="365"/>
      <c r="H266" s="375" t="str">
        <f ca="1">IF(AND(Bid?,NOT(Awd?)),C266,OFFSET(F266,1,0))</f>
        <v/>
      </c>
      <c r="I266" s="216" t="str">
        <f t="shared" ref="I266:O266" ca="1" si="265">IFERROR(SUM(OFFSET(INDIRECT(RangeQuantity),MATCH($A266,INDIRECT(RangeEstCount),0)-1,COLUMN(I266)-COLUMN($H266),1,1))&amp;" "&amp;OFFSET($D266,1,0),"")</f>
        <v/>
      </c>
      <c r="J266" s="277" t="str">
        <f t="shared" ca="1" si="265"/>
        <v/>
      </c>
      <c r="K266" s="277" t="str">
        <f t="shared" ca="1" si="265"/>
        <v/>
      </c>
      <c r="L266" s="277" t="str">
        <f t="shared" ca="1" si="265"/>
        <v/>
      </c>
      <c r="M266" s="277" t="str">
        <f t="shared" ca="1" si="265"/>
        <v/>
      </c>
      <c r="N266" s="277" t="str">
        <f t="shared" ca="1" si="265"/>
        <v/>
      </c>
      <c r="O266" s="277" t="str">
        <f t="shared" ca="1" si="265"/>
        <v/>
      </c>
      <c r="P266" s="209" t="str">
        <f ca="1">IF(LEN(B266)&gt;0,ISNUMBER(MATCH(B266,Proposed[Item],0)),"")</f>
        <v/>
      </c>
    </row>
    <row r="267" spans="1:16" ht="15" x14ac:dyDescent="0.2">
      <c r="A267" s="276">
        <f t="shared" ca="1" si="262"/>
        <v>130</v>
      </c>
      <c r="B267" s="111" t="str">
        <f ca="1">IFERROR("Line "&amp;INDEX(Calcs[Line],INDEX(INDIRECT(RangeCount),MATCH($A267,INDIRECT(RangeEstCount),0))),"")</f>
        <v/>
      </c>
      <c r="C267" s="169" t="str">
        <f ca="1">IFERROR(IF(AND($D267="LPSM",Bid?,All?),"ALL",TEXT(OFFSET(INDIRECT(RangeQuantity),MATCH($A267,INDIRECT(RangeEstCount),0)-1,MATCH(Account,Accounts,0)-1,1,1),IF($D267="LPSM","0%","#,##0"&amp;IF(OFFSET(Items[#Data],MATCH($A267,INDIRECT(RangeEstCount),0)-1,MATCH(Decimals,Items[#Headers],0)-1,1,1)&gt;0,"."&amp;REPT("0",OFFSET(Items[#Data],MATCH($A267,INDIRECT(RangeEstCount),0)-1,MATCH(Decimals,Items[#Headers],0)-1,1,1)),"")))),"")</f>
        <v/>
      </c>
      <c r="D267" s="170" t="str">
        <f ca="1">IFERROR(INDEX(INDIRECT(RangeUnit),MATCH($A267,INDIRECT(RangeEstCount),0))&amp;SUBSTITUTE(" ["&amp;INDEX(INDIRECT(RangeAmend),MATCH($A267,INDIRECT(RangeEstCount),0))&amp;"]"," []",""),"")</f>
        <v/>
      </c>
      <c r="E267" s="170" t="str">
        <f ca="1">IFERROR(IF(INDEX(INDIRECT(RangeContrQty),MATCH($A267,INDIRECT(RangeEstCount),0)),"(CQ)",""),"")</f>
        <v/>
      </c>
      <c r="F267" s="171" t="str">
        <f ca="1">IFERROR(IF(OR(NOT(Bid?),LEFT(UPPER($D267),4)="FXHR"),INDEX(INDIRECT(RangeUnitPrice),MATCH($A267,INDIRECT(RangeEstCount),0)),IF(Awd?,OFFSET(TabAmount,MATCH(INDEX(INDIRECT(RangeCount),MATCH($A267,INDIRECT(RangeEstCount),0)),OFFSET(TabCount,1,0,2*NumPayItems,1),0),MATCH(Awarded2,Bidders,0)),IF(OR($C267="",$D267="LPSM"),"","$"))),"")</f>
        <v/>
      </c>
      <c r="G267" s="171" t="str">
        <f ca="1">IFERROR(VALUE(C267)*F267,IF(AND(Bid?,NOT(Awd?),$D267="LPSM"),"$",F267))</f>
        <v/>
      </c>
      <c r="H267" s="374"/>
      <c r="I267" s="217" t="str">
        <f ca="1">IFERROR(VALUE(SUBSTITUTE(OFFSET(I267,-1,0)," "&amp;$D267,""))*$F267,"")</f>
        <v/>
      </c>
      <c r="J267" s="215" t="str">
        <f ca="1">IFERROR(VALUE(SUBSTITUTE(OFFSET(J267,-1,0)," "&amp;$D267,""))*$F267,"")</f>
        <v/>
      </c>
      <c r="K267" s="215" t="str">
        <f t="shared" ref="K267:M267" ca="1" si="266">IFERROR(VALUE(SUBSTITUTE(OFFSET(K267,-1,0)," "&amp;$D267,""))*$F267,"")</f>
        <v/>
      </c>
      <c r="L267" s="215" t="str">
        <f t="shared" ca="1" si="266"/>
        <v/>
      </c>
      <c r="M267" s="215" t="str">
        <f t="shared" ca="1" si="266"/>
        <v/>
      </c>
      <c r="N267" s="215" t="str">
        <f ca="1">IFERROR(VALUE(SUBSTITUTE(OFFSET(N267,-1,0)," "&amp;$D267,""))*$F267,"")</f>
        <v/>
      </c>
      <c r="O267" s="215" t="str">
        <f ca="1">IFERROR(VALUE(SUBSTITUTE(OFFSET(O267,-1,0)," "&amp;$D267,""))*$F267,"")</f>
        <v/>
      </c>
      <c r="P267" s="209" t="str">
        <f ca="1">IF(LEN(B267)&gt;0,ISNUMBER(MATCH(B267,Proposed[Item],0)),"")</f>
        <v/>
      </c>
    </row>
    <row r="268" spans="1:16" ht="15" x14ac:dyDescent="0.2">
      <c r="A268" s="276">
        <f t="shared" ca="1" si="262"/>
        <v>131</v>
      </c>
      <c r="B268" s="168" t="str">
        <f ca="1">IFERROR(INDEX(INDIRECT(RangeItems),MATCH($A268,INDIRECT(RangeEstCount),0)),"")</f>
        <v/>
      </c>
      <c r="C268" s="365" t="str">
        <f ca="1">IFERROR(INDEX(Calcs[Description],INDEX(INDIRECT(RangeCount),MATCH($A268,INDIRECT(RangeEstCount),0))),"")</f>
        <v/>
      </c>
      <c r="D268" s="365"/>
      <c r="E268" s="365"/>
      <c r="F268" s="365"/>
      <c r="G268" s="365"/>
      <c r="H268" s="375" t="str">
        <f ca="1">IF(AND(Bid?,NOT(Awd?)),C268,OFFSET(F268,1,0))</f>
        <v/>
      </c>
      <c r="I268" s="216" t="str">
        <f t="shared" ref="I268:O268" ca="1" si="267">IFERROR(SUM(OFFSET(INDIRECT(RangeQuantity),MATCH($A268,INDIRECT(RangeEstCount),0)-1,COLUMN(I268)-COLUMN($H268),1,1))&amp;" "&amp;OFFSET($D268,1,0),"")</f>
        <v/>
      </c>
      <c r="J268" s="277" t="str">
        <f t="shared" ca="1" si="267"/>
        <v/>
      </c>
      <c r="K268" s="277" t="str">
        <f t="shared" ca="1" si="267"/>
        <v/>
      </c>
      <c r="L268" s="277" t="str">
        <f t="shared" ca="1" si="267"/>
        <v/>
      </c>
      <c r="M268" s="277" t="str">
        <f t="shared" ca="1" si="267"/>
        <v/>
      </c>
      <c r="N268" s="277" t="str">
        <f t="shared" ca="1" si="267"/>
        <v/>
      </c>
      <c r="O268" s="277" t="str">
        <f t="shared" ca="1" si="267"/>
        <v/>
      </c>
      <c r="P268" s="209" t="str">
        <f ca="1">IF(LEN(B268)&gt;0,ISNUMBER(MATCH(B268,Proposed[Item],0)),"")</f>
        <v/>
      </c>
    </row>
    <row r="269" spans="1:16" ht="15" x14ac:dyDescent="0.2">
      <c r="A269" s="276">
        <f t="shared" ca="1" si="262"/>
        <v>131</v>
      </c>
      <c r="B269" s="111" t="str">
        <f ca="1">IFERROR("Line "&amp;INDEX(Calcs[Line],INDEX(INDIRECT(RangeCount),MATCH($A269,INDIRECT(RangeEstCount),0))),"")</f>
        <v/>
      </c>
      <c r="C269" s="169" t="str">
        <f ca="1">IFERROR(IF(AND($D269="LPSM",Bid?,All?),"ALL",TEXT(OFFSET(INDIRECT(RangeQuantity),MATCH($A269,INDIRECT(RangeEstCount),0)-1,MATCH(Account,Accounts,0)-1,1,1),IF($D269="LPSM","0%","#,##0"&amp;IF(OFFSET(Items[#Data],MATCH($A269,INDIRECT(RangeEstCount),0)-1,MATCH(Decimals,Items[#Headers],0)-1,1,1)&gt;0,"."&amp;REPT("0",OFFSET(Items[#Data],MATCH($A269,INDIRECT(RangeEstCount),0)-1,MATCH(Decimals,Items[#Headers],0)-1,1,1)),"")))),"")</f>
        <v/>
      </c>
      <c r="D269" s="170" t="str">
        <f ca="1">IFERROR(INDEX(INDIRECT(RangeUnit),MATCH($A269,INDIRECT(RangeEstCount),0))&amp;SUBSTITUTE(" ["&amp;INDEX(INDIRECT(RangeAmend),MATCH($A269,INDIRECT(RangeEstCount),0))&amp;"]"," []",""),"")</f>
        <v/>
      </c>
      <c r="E269" s="170" t="str">
        <f ca="1">IFERROR(IF(INDEX(INDIRECT(RangeContrQty),MATCH($A269,INDIRECT(RangeEstCount),0)),"(CQ)",""),"")</f>
        <v/>
      </c>
      <c r="F269" s="171" t="str">
        <f ca="1">IFERROR(IF(OR(NOT(Bid?),LEFT(UPPER($D269),4)="FXHR"),INDEX(INDIRECT(RangeUnitPrice),MATCH($A269,INDIRECT(RangeEstCount),0)),IF(Awd?,OFFSET(TabAmount,MATCH(INDEX(INDIRECT(RangeCount),MATCH($A269,INDIRECT(RangeEstCount),0)),OFFSET(TabCount,1,0,2*NumPayItems,1),0),MATCH(Awarded2,Bidders,0)),IF(OR($C269="",$D269="LPSM"),"","$"))),"")</f>
        <v/>
      </c>
      <c r="G269" s="171" t="str">
        <f ca="1">IFERROR(VALUE(C269)*F269,IF(AND(Bid?,NOT(Awd?),$D269="LPSM"),"$",F269))</f>
        <v/>
      </c>
      <c r="H269" s="374"/>
      <c r="I269" s="217" t="str">
        <f ca="1">IFERROR(VALUE(SUBSTITUTE(OFFSET(I269,-1,0)," "&amp;$D269,""))*$F269,"")</f>
        <v/>
      </c>
      <c r="J269" s="215" t="str">
        <f ca="1">IFERROR(VALUE(SUBSTITUTE(OFFSET(J269,-1,0)," "&amp;$D269,""))*$F269,"")</f>
        <v/>
      </c>
      <c r="K269" s="215" t="str">
        <f t="shared" ref="K269:M269" ca="1" si="268">IFERROR(VALUE(SUBSTITUTE(OFFSET(K269,-1,0)," "&amp;$D269,""))*$F269,"")</f>
        <v/>
      </c>
      <c r="L269" s="215" t="str">
        <f t="shared" ca="1" si="268"/>
        <v/>
      </c>
      <c r="M269" s="215" t="str">
        <f t="shared" ca="1" si="268"/>
        <v/>
      </c>
      <c r="N269" s="215" t="str">
        <f ca="1">IFERROR(VALUE(SUBSTITUTE(OFFSET(N269,-1,0)," "&amp;$D269,""))*$F269,"")</f>
        <v/>
      </c>
      <c r="O269" s="215" t="str">
        <f ca="1">IFERROR(VALUE(SUBSTITUTE(OFFSET(O269,-1,0)," "&amp;$D269,""))*$F269,"")</f>
        <v/>
      </c>
      <c r="P269" s="209" t="str">
        <f ca="1">IF(LEN(B269)&gt;0,ISNUMBER(MATCH(B269,Proposed[Item],0)),"")</f>
        <v/>
      </c>
    </row>
    <row r="270" spans="1:16" ht="15" x14ac:dyDescent="0.2">
      <c r="A270" s="276">
        <f t="shared" ca="1" si="262"/>
        <v>132</v>
      </c>
      <c r="B270" s="168" t="str">
        <f ca="1">IFERROR(INDEX(INDIRECT(RangeItems),MATCH($A270,INDIRECT(RangeEstCount),0)),"")</f>
        <v/>
      </c>
      <c r="C270" s="365" t="str">
        <f ca="1">IFERROR(INDEX(Calcs[Description],INDEX(INDIRECT(RangeCount),MATCH($A270,INDIRECT(RangeEstCount),0))),"")</f>
        <v/>
      </c>
      <c r="D270" s="365"/>
      <c r="E270" s="365"/>
      <c r="F270" s="365"/>
      <c r="G270" s="365"/>
      <c r="H270" s="375" t="str">
        <f ca="1">IF(AND(Bid?,NOT(Awd?)),C270,OFFSET(F270,1,0))</f>
        <v/>
      </c>
      <c r="I270" s="216" t="str">
        <f t="shared" ref="I270:O270" ca="1" si="269">IFERROR(SUM(OFFSET(INDIRECT(RangeQuantity),MATCH($A270,INDIRECT(RangeEstCount),0)-1,COLUMN(I270)-COLUMN($H270),1,1))&amp;" "&amp;OFFSET($D270,1,0),"")</f>
        <v/>
      </c>
      <c r="J270" s="277" t="str">
        <f t="shared" ca="1" si="269"/>
        <v/>
      </c>
      <c r="K270" s="277" t="str">
        <f t="shared" ca="1" si="269"/>
        <v/>
      </c>
      <c r="L270" s="277" t="str">
        <f t="shared" ca="1" si="269"/>
        <v/>
      </c>
      <c r="M270" s="277" t="str">
        <f t="shared" ca="1" si="269"/>
        <v/>
      </c>
      <c r="N270" s="277" t="str">
        <f t="shared" ca="1" si="269"/>
        <v/>
      </c>
      <c r="O270" s="277" t="str">
        <f t="shared" ca="1" si="269"/>
        <v/>
      </c>
      <c r="P270" s="209" t="str">
        <f ca="1">IF(LEN(B270)&gt;0,ISNUMBER(MATCH(B270,Proposed[Item],0)),"")</f>
        <v/>
      </c>
    </row>
    <row r="271" spans="1:16" ht="15" x14ac:dyDescent="0.2">
      <c r="A271" s="276">
        <f t="shared" ca="1" si="262"/>
        <v>132</v>
      </c>
      <c r="B271" s="111" t="str">
        <f ca="1">IFERROR("Line "&amp;INDEX(Calcs[Line],INDEX(INDIRECT(RangeCount),MATCH($A271,INDIRECT(RangeEstCount),0))),"")</f>
        <v/>
      </c>
      <c r="C271" s="169" t="str">
        <f ca="1">IFERROR(IF(AND($D271="LPSM",Bid?,All?),"ALL",TEXT(OFFSET(INDIRECT(RangeQuantity),MATCH($A271,INDIRECT(RangeEstCount),0)-1,MATCH(Account,Accounts,0)-1,1,1),IF($D271="LPSM","0%","#,##0"&amp;IF(OFFSET(Items[#Data],MATCH($A271,INDIRECT(RangeEstCount),0)-1,MATCH(Decimals,Items[#Headers],0)-1,1,1)&gt;0,"."&amp;REPT("0",OFFSET(Items[#Data],MATCH($A271,INDIRECT(RangeEstCount),0)-1,MATCH(Decimals,Items[#Headers],0)-1,1,1)),"")))),"")</f>
        <v/>
      </c>
      <c r="D271" s="170" t="str">
        <f ca="1">IFERROR(INDEX(INDIRECT(RangeUnit),MATCH($A271,INDIRECT(RangeEstCount),0))&amp;SUBSTITUTE(" ["&amp;INDEX(INDIRECT(RangeAmend),MATCH($A271,INDIRECT(RangeEstCount),0))&amp;"]"," []",""),"")</f>
        <v/>
      </c>
      <c r="E271" s="170" t="str">
        <f ca="1">IFERROR(IF(INDEX(INDIRECT(RangeContrQty),MATCH($A271,INDIRECT(RangeEstCount),0)),"(CQ)",""),"")</f>
        <v/>
      </c>
      <c r="F271" s="171" t="str">
        <f ca="1">IFERROR(IF(OR(NOT(Bid?),LEFT(UPPER($D271),4)="FXHR"),INDEX(INDIRECT(RangeUnitPrice),MATCH($A271,INDIRECT(RangeEstCount),0)),IF(Awd?,OFFSET(TabAmount,MATCH(INDEX(INDIRECT(RangeCount),MATCH($A271,INDIRECT(RangeEstCount),0)),OFFSET(TabCount,1,0,2*NumPayItems,1),0),MATCH(Awarded2,Bidders,0)),IF(OR($C271="",$D271="LPSM"),"","$"))),"")</f>
        <v/>
      </c>
      <c r="G271" s="171" t="str">
        <f ca="1">IFERROR(VALUE(C271)*F271,IF(AND(Bid?,NOT(Awd?),$D271="LPSM"),"$",F271))</f>
        <v/>
      </c>
      <c r="H271" s="374"/>
      <c r="I271" s="217" t="str">
        <f ca="1">IFERROR(VALUE(SUBSTITUTE(OFFSET(I271,-1,0)," "&amp;$D271,""))*$F271,"")</f>
        <v/>
      </c>
      <c r="J271" s="215" t="str">
        <f ca="1">IFERROR(VALUE(SUBSTITUTE(OFFSET(J271,-1,0)," "&amp;$D271,""))*$F271,"")</f>
        <v/>
      </c>
      <c r="K271" s="215" t="str">
        <f t="shared" ref="K271:M271" ca="1" si="270">IFERROR(VALUE(SUBSTITUTE(OFFSET(K271,-1,0)," "&amp;$D271,""))*$F271,"")</f>
        <v/>
      </c>
      <c r="L271" s="215" t="str">
        <f t="shared" ca="1" si="270"/>
        <v/>
      </c>
      <c r="M271" s="215" t="str">
        <f t="shared" ca="1" si="270"/>
        <v/>
      </c>
      <c r="N271" s="215" t="str">
        <f ca="1">IFERROR(VALUE(SUBSTITUTE(OFFSET(N271,-1,0)," "&amp;$D271,""))*$F271,"")</f>
        <v/>
      </c>
      <c r="O271" s="215" t="str">
        <f ca="1">IFERROR(VALUE(SUBSTITUTE(OFFSET(O271,-1,0)," "&amp;$D271,""))*$F271,"")</f>
        <v/>
      </c>
      <c r="P271" s="209" t="str">
        <f ca="1">IF(LEN(B271)&gt;0,ISNUMBER(MATCH(B271,Proposed[Item],0)),"")</f>
        <v/>
      </c>
    </row>
    <row r="272" spans="1:16" ht="15" x14ac:dyDescent="0.2">
      <c r="A272" s="276">
        <f t="shared" ca="1" si="262"/>
        <v>133</v>
      </c>
      <c r="B272" s="168" t="str">
        <f ca="1">IFERROR(INDEX(INDIRECT(RangeItems),MATCH($A272,INDIRECT(RangeEstCount),0)),"")</f>
        <v/>
      </c>
      <c r="C272" s="365" t="str">
        <f ca="1">IFERROR(INDEX(Calcs[Description],INDEX(INDIRECT(RangeCount),MATCH($A272,INDIRECT(RangeEstCount),0))),"")</f>
        <v/>
      </c>
      <c r="D272" s="365"/>
      <c r="E272" s="365"/>
      <c r="F272" s="365"/>
      <c r="G272" s="365"/>
      <c r="H272" s="375" t="str">
        <f ca="1">IF(AND(Bid?,NOT(Awd?)),C272,OFFSET(F272,1,0))</f>
        <v/>
      </c>
      <c r="I272" s="216" t="str">
        <f t="shared" ref="I272:O272" ca="1" si="271">IFERROR(SUM(OFFSET(INDIRECT(RangeQuantity),MATCH($A272,INDIRECT(RangeEstCount),0)-1,COLUMN(I272)-COLUMN($H272),1,1))&amp;" "&amp;OFFSET($D272,1,0),"")</f>
        <v/>
      </c>
      <c r="J272" s="277" t="str">
        <f t="shared" ca="1" si="271"/>
        <v/>
      </c>
      <c r="K272" s="277" t="str">
        <f t="shared" ca="1" si="271"/>
        <v/>
      </c>
      <c r="L272" s="277" t="str">
        <f t="shared" ca="1" si="271"/>
        <v/>
      </c>
      <c r="M272" s="277" t="str">
        <f t="shared" ca="1" si="271"/>
        <v/>
      </c>
      <c r="N272" s="277" t="str">
        <f t="shared" ca="1" si="271"/>
        <v/>
      </c>
      <c r="O272" s="277" t="str">
        <f t="shared" ca="1" si="271"/>
        <v/>
      </c>
      <c r="P272" s="209" t="str">
        <f ca="1">IF(LEN(B272)&gt;0,ISNUMBER(MATCH(B272,Proposed[Item],0)),"")</f>
        <v/>
      </c>
    </row>
    <row r="273" spans="1:16" ht="15" x14ac:dyDescent="0.2">
      <c r="A273" s="276">
        <f t="shared" ca="1" si="262"/>
        <v>133</v>
      </c>
      <c r="B273" s="111" t="str">
        <f ca="1">IFERROR("Line "&amp;INDEX(Calcs[Line],INDEX(INDIRECT(RangeCount),MATCH($A273,INDIRECT(RangeEstCount),0))),"")</f>
        <v/>
      </c>
      <c r="C273" s="169" t="str">
        <f ca="1">IFERROR(IF(AND($D273="LPSM",Bid?,All?),"ALL",TEXT(OFFSET(INDIRECT(RangeQuantity),MATCH($A273,INDIRECT(RangeEstCount),0)-1,MATCH(Account,Accounts,0)-1,1,1),IF($D273="LPSM","0%","#,##0"&amp;IF(OFFSET(Items[#Data],MATCH($A273,INDIRECT(RangeEstCount),0)-1,MATCH(Decimals,Items[#Headers],0)-1,1,1)&gt;0,"."&amp;REPT("0",OFFSET(Items[#Data],MATCH($A273,INDIRECT(RangeEstCount),0)-1,MATCH(Decimals,Items[#Headers],0)-1,1,1)),"")))),"")</f>
        <v/>
      </c>
      <c r="D273" s="170" t="str">
        <f ca="1">IFERROR(INDEX(INDIRECT(RangeUnit),MATCH($A273,INDIRECT(RangeEstCount),0))&amp;SUBSTITUTE(" ["&amp;INDEX(INDIRECT(RangeAmend),MATCH($A273,INDIRECT(RangeEstCount),0))&amp;"]"," []",""),"")</f>
        <v/>
      </c>
      <c r="E273" s="170" t="str">
        <f ca="1">IFERROR(IF(INDEX(INDIRECT(RangeContrQty),MATCH($A273,INDIRECT(RangeEstCount),0)),"(CQ)",""),"")</f>
        <v/>
      </c>
      <c r="F273" s="171" t="str">
        <f ca="1">IFERROR(IF(OR(NOT(Bid?),LEFT(UPPER($D273),4)="FXHR"),INDEX(INDIRECT(RangeUnitPrice),MATCH($A273,INDIRECT(RangeEstCount),0)),IF(Awd?,OFFSET(TabAmount,MATCH(INDEX(INDIRECT(RangeCount),MATCH($A273,INDIRECT(RangeEstCount),0)),OFFSET(TabCount,1,0,2*NumPayItems,1),0),MATCH(Awarded2,Bidders,0)),IF(OR($C273="",$D273="LPSM"),"","$"))),"")</f>
        <v/>
      </c>
      <c r="G273" s="171" t="str">
        <f ca="1">IFERROR(VALUE(C273)*F273,IF(AND(Bid?,NOT(Awd?),$D273="LPSM"),"$",F273))</f>
        <v/>
      </c>
      <c r="H273" s="374"/>
      <c r="I273" s="217" t="str">
        <f ca="1">IFERROR(VALUE(SUBSTITUTE(OFFSET(I273,-1,0)," "&amp;$D273,""))*$F273,"")</f>
        <v/>
      </c>
      <c r="J273" s="215" t="str">
        <f ca="1">IFERROR(VALUE(SUBSTITUTE(OFFSET(J273,-1,0)," "&amp;$D273,""))*$F273,"")</f>
        <v/>
      </c>
      <c r="K273" s="215" t="str">
        <f t="shared" ref="K273:M273" ca="1" si="272">IFERROR(VALUE(SUBSTITUTE(OFFSET(K273,-1,0)," "&amp;$D273,""))*$F273,"")</f>
        <v/>
      </c>
      <c r="L273" s="215" t="str">
        <f t="shared" ca="1" si="272"/>
        <v/>
      </c>
      <c r="M273" s="215" t="str">
        <f t="shared" ca="1" si="272"/>
        <v/>
      </c>
      <c r="N273" s="215" t="str">
        <f ca="1">IFERROR(VALUE(SUBSTITUTE(OFFSET(N273,-1,0)," "&amp;$D273,""))*$F273,"")</f>
        <v/>
      </c>
      <c r="O273" s="215" t="str">
        <f ca="1">IFERROR(VALUE(SUBSTITUTE(OFFSET(O273,-1,0)," "&amp;$D273,""))*$F273,"")</f>
        <v/>
      </c>
      <c r="P273" s="209" t="str">
        <f ca="1">IF(LEN(B273)&gt;0,ISNUMBER(MATCH(B273,Proposed[Item],0)),"")</f>
        <v/>
      </c>
    </row>
    <row r="274" spans="1:16" ht="15" x14ac:dyDescent="0.2">
      <c r="A274" s="276">
        <f t="shared" ca="1" si="262"/>
        <v>134</v>
      </c>
      <c r="B274" s="168" t="str">
        <f ca="1">IFERROR(INDEX(INDIRECT(RangeItems),MATCH($A274,INDIRECT(RangeEstCount),0)),"")</f>
        <v/>
      </c>
      <c r="C274" s="365" t="str">
        <f ca="1">IFERROR(INDEX(Calcs[Description],INDEX(INDIRECT(RangeCount),MATCH($A274,INDIRECT(RangeEstCount),0))),"")</f>
        <v/>
      </c>
      <c r="D274" s="365"/>
      <c r="E274" s="365"/>
      <c r="F274" s="365"/>
      <c r="G274" s="365"/>
      <c r="H274" s="375" t="str">
        <f ca="1">IF(AND(Bid?,NOT(Awd?)),C274,OFFSET(F274,1,0))</f>
        <v/>
      </c>
      <c r="I274" s="216" t="str">
        <f t="shared" ref="I274:O274" ca="1" si="273">IFERROR(SUM(OFFSET(INDIRECT(RangeQuantity),MATCH($A274,INDIRECT(RangeEstCount),0)-1,COLUMN(I274)-COLUMN($H274),1,1))&amp;" "&amp;OFFSET($D274,1,0),"")</f>
        <v/>
      </c>
      <c r="J274" s="277" t="str">
        <f t="shared" ca="1" si="273"/>
        <v/>
      </c>
      <c r="K274" s="277" t="str">
        <f t="shared" ca="1" si="273"/>
        <v/>
      </c>
      <c r="L274" s="277" t="str">
        <f t="shared" ca="1" si="273"/>
        <v/>
      </c>
      <c r="M274" s="277" t="str">
        <f t="shared" ca="1" si="273"/>
        <v/>
      </c>
      <c r="N274" s="277" t="str">
        <f t="shared" ca="1" si="273"/>
        <v/>
      </c>
      <c r="O274" s="277" t="str">
        <f t="shared" ca="1" si="273"/>
        <v/>
      </c>
      <c r="P274" s="209" t="str">
        <f ca="1">IF(LEN(B274)&gt;0,ISNUMBER(MATCH(B274,Proposed[Item],0)),"")</f>
        <v/>
      </c>
    </row>
    <row r="275" spans="1:16" ht="15" x14ac:dyDescent="0.2">
      <c r="A275" s="276">
        <f t="shared" ca="1" si="262"/>
        <v>134</v>
      </c>
      <c r="B275" s="111" t="str">
        <f ca="1">IFERROR("Line "&amp;INDEX(Calcs[Line],INDEX(INDIRECT(RangeCount),MATCH($A275,INDIRECT(RangeEstCount),0))),"")</f>
        <v/>
      </c>
      <c r="C275" s="169" t="str">
        <f ca="1">IFERROR(IF(AND($D275="LPSM",Bid?,All?),"ALL",TEXT(OFFSET(INDIRECT(RangeQuantity),MATCH($A275,INDIRECT(RangeEstCount),0)-1,MATCH(Account,Accounts,0)-1,1,1),IF($D275="LPSM","0%","#,##0"&amp;IF(OFFSET(Items[#Data],MATCH($A275,INDIRECT(RangeEstCount),0)-1,MATCH(Decimals,Items[#Headers],0)-1,1,1)&gt;0,"."&amp;REPT("0",OFFSET(Items[#Data],MATCH($A275,INDIRECT(RangeEstCount),0)-1,MATCH(Decimals,Items[#Headers],0)-1,1,1)),"")))),"")</f>
        <v/>
      </c>
      <c r="D275" s="170" t="str">
        <f ca="1">IFERROR(INDEX(INDIRECT(RangeUnit),MATCH($A275,INDIRECT(RangeEstCount),0))&amp;SUBSTITUTE(" ["&amp;INDEX(INDIRECT(RangeAmend),MATCH($A275,INDIRECT(RangeEstCount),0))&amp;"]"," []",""),"")</f>
        <v/>
      </c>
      <c r="E275" s="170" t="str">
        <f ca="1">IFERROR(IF(INDEX(INDIRECT(RangeContrQty),MATCH($A275,INDIRECT(RangeEstCount),0)),"(CQ)",""),"")</f>
        <v/>
      </c>
      <c r="F275" s="171" t="str">
        <f ca="1">IFERROR(IF(OR(NOT(Bid?),LEFT(UPPER($D275),4)="FXHR"),INDEX(INDIRECT(RangeUnitPrice),MATCH($A275,INDIRECT(RangeEstCount),0)),IF(Awd?,OFFSET(TabAmount,MATCH(INDEX(INDIRECT(RangeCount),MATCH($A275,INDIRECT(RangeEstCount),0)),OFFSET(TabCount,1,0,2*NumPayItems,1),0),MATCH(Awarded2,Bidders,0)),IF(OR($C275="",$D275="LPSM"),"","$"))),"")</f>
        <v/>
      </c>
      <c r="G275" s="171" t="str">
        <f ca="1">IFERROR(VALUE(C275)*F275,IF(AND(Bid?,NOT(Awd?),$D275="LPSM"),"$",F275))</f>
        <v/>
      </c>
      <c r="H275" s="374"/>
      <c r="I275" s="217" t="str">
        <f ca="1">IFERROR(VALUE(SUBSTITUTE(OFFSET(I275,-1,0)," "&amp;$D275,""))*$F275,"")</f>
        <v/>
      </c>
      <c r="J275" s="215" t="str">
        <f ca="1">IFERROR(VALUE(SUBSTITUTE(OFFSET(J275,-1,0)," "&amp;$D275,""))*$F275,"")</f>
        <v/>
      </c>
      <c r="K275" s="215" t="str">
        <f t="shared" ref="K275:M275" ca="1" si="274">IFERROR(VALUE(SUBSTITUTE(OFFSET(K275,-1,0)," "&amp;$D275,""))*$F275,"")</f>
        <v/>
      </c>
      <c r="L275" s="215" t="str">
        <f t="shared" ca="1" si="274"/>
        <v/>
      </c>
      <c r="M275" s="215" t="str">
        <f t="shared" ca="1" si="274"/>
        <v/>
      </c>
      <c r="N275" s="215" t="str">
        <f ca="1">IFERROR(VALUE(SUBSTITUTE(OFFSET(N275,-1,0)," "&amp;$D275,""))*$F275,"")</f>
        <v/>
      </c>
      <c r="O275" s="215" t="str">
        <f ca="1">IFERROR(VALUE(SUBSTITUTE(OFFSET(O275,-1,0)," "&amp;$D275,""))*$F275,"")</f>
        <v/>
      </c>
      <c r="P275" s="209" t="str">
        <f ca="1">IF(LEN(B275)&gt;0,ISNUMBER(MATCH(B275,Proposed[Item],0)),"")</f>
        <v/>
      </c>
    </row>
    <row r="276" spans="1:16" ht="15" x14ac:dyDescent="0.2">
      <c r="A276" s="276">
        <f t="shared" ca="1" si="262"/>
        <v>135</v>
      </c>
      <c r="B276" s="168" t="str">
        <f ca="1">IFERROR(INDEX(INDIRECT(RangeItems),MATCH($A276,INDIRECT(RangeEstCount),0)),"")</f>
        <v/>
      </c>
      <c r="C276" s="365" t="str">
        <f ca="1">IFERROR(INDEX(Calcs[Description],INDEX(INDIRECT(RangeCount),MATCH($A276,INDIRECT(RangeEstCount),0))),"")</f>
        <v/>
      </c>
      <c r="D276" s="365"/>
      <c r="E276" s="365"/>
      <c r="F276" s="365"/>
      <c r="G276" s="365"/>
      <c r="H276" s="375" t="str">
        <f ca="1">IF(AND(Bid?,NOT(Awd?)),C276,OFFSET(F276,1,0))</f>
        <v/>
      </c>
      <c r="I276" s="216" t="str">
        <f t="shared" ref="I276:O276" ca="1" si="275">IFERROR(SUM(OFFSET(INDIRECT(RangeQuantity),MATCH($A276,INDIRECT(RangeEstCount),0)-1,COLUMN(I276)-COLUMN($H276),1,1))&amp;" "&amp;OFFSET($D276,1,0),"")</f>
        <v/>
      </c>
      <c r="J276" s="277" t="str">
        <f t="shared" ca="1" si="275"/>
        <v/>
      </c>
      <c r="K276" s="277" t="str">
        <f t="shared" ca="1" si="275"/>
        <v/>
      </c>
      <c r="L276" s="277" t="str">
        <f t="shared" ca="1" si="275"/>
        <v/>
      </c>
      <c r="M276" s="277" t="str">
        <f t="shared" ca="1" si="275"/>
        <v/>
      </c>
      <c r="N276" s="277" t="str">
        <f t="shared" ca="1" si="275"/>
        <v/>
      </c>
      <c r="O276" s="277" t="str">
        <f t="shared" ca="1" si="275"/>
        <v/>
      </c>
      <c r="P276" s="209" t="str">
        <f ca="1">IF(LEN(B276)&gt;0,ISNUMBER(MATCH(B276,Proposed[Item],0)),"")</f>
        <v/>
      </c>
    </row>
    <row r="277" spans="1:16" ht="15" x14ac:dyDescent="0.2">
      <c r="A277" s="276">
        <f t="shared" ca="1" si="262"/>
        <v>135</v>
      </c>
      <c r="B277" s="111" t="str">
        <f ca="1">IFERROR("Line "&amp;INDEX(Calcs[Line],INDEX(INDIRECT(RangeCount),MATCH($A277,INDIRECT(RangeEstCount),0))),"")</f>
        <v/>
      </c>
      <c r="C277" s="169" t="str">
        <f ca="1">IFERROR(IF(AND($D277="LPSM",Bid?,All?),"ALL",TEXT(OFFSET(INDIRECT(RangeQuantity),MATCH($A277,INDIRECT(RangeEstCount),0)-1,MATCH(Account,Accounts,0)-1,1,1),IF($D277="LPSM","0%","#,##0"&amp;IF(OFFSET(Items[#Data],MATCH($A277,INDIRECT(RangeEstCount),0)-1,MATCH(Decimals,Items[#Headers],0)-1,1,1)&gt;0,"."&amp;REPT("0",OFFSET(Items[#Data],MATCH($A277,INDIRECT(RangeEstCount),0)-1,MATCH(Decimals,Items[#Headers],0)-1,1,1)),"")))),"")</f>
        <v/>
      </c>
      <c r="D277" s="170" t="str">
        <f ca="1">IFERROR(INDEX(INDIRECT(RangeUnit),MATCH($A277,INDIRECT(RangeEstCount),0))&amp;SUBSTITUTE(" ["&amp;INDEX(INDIRECT(RangeAmend),MATCH($A277,INDIRECT(RangeEstCount),0))&amp;"]"," []",""),"")</f>
        <v/>
      </c>
      <c r="E277" s="170" t="str">
        <f ca="1">IFERROR(IF(INDEX(INDIRECT(RangeContrQty),MATCH($A277,INDIRECT(RangeEstCount),0)),"(CQ)",""),"")</f>
        <v/>
      </c>
      <c r="F277" s="171" t="str">
        <f ca="1">IFERROR(IF(OR(NOT(Bid?),LEFT(UPPER($D277),4)="FXHR"),INDEX(INDIRECT(RangeUnitPrice),MATCH($A277,INDIRECT(RangeEstCount),0)),IF(Awd?,OFFSET(TabAmount,MATCH(INDEX(INDIRECT(RangeCount),MATCH($A277,INDIRECT(RangeEstCount),0)),OFFSET(TabCount,1,0,2*NumPayItems,1),0),MATCH(Awarded2,Bidders,0)),IF(OR($C277="",$D277="LPSM"),"","$"))),"")</f>
        <v/>
      </c>
      <c r="G277" s="171" t="str">
        <f ca="1">IFERROR(VALUE(C277)*F277,IF(AND(Bid?,NOT(Awd?),$D277="LPSM"),"$",F277))</f>
        <v/>
      </c>
      <c r="H277" s="374"/>
      <c r="I277" s="217" t="str">
        <f ca="1">IFERROR(VALUE(SUBSTITUTE(OFFSET(I277,-1,0)," "&amp;$D277,""))*$F277,"")</f>
        <v/>
      </c>
      <c r="J277" s="215" t="str">
        <f ca="1">IFERROR(VALUE(SUBSTITUTE(OFFSET(J277,-1,0)," "&amp;$D277,""))*$F277,"")</f>
        <v/>
      </c>
      <c r="K277" s="215" t="str">
        <f t="shared" ref="K277:M277" ca="1" si="276">IFERROR(VALUE(SUBSTITUTE(OFFSET(K277,-1,0)," "&amp;$D277,""))*$F277,"")</f>
        <v/>
      </c>
      <c r="L277" s="215" t="str">
        <f t="shared" ca="1" si="276"/>
        <v/>
      </c>
      <c r="M277" s="215" t="str">
        <f t="shared" ca="1" si="276"/>
        <v/>
      </c>
      <c r="N277" s="215" t="str">
        <f ca="1">IFERROR(VALUE(SUBSTITUTE(OFFSET(N277,-1,0)," "&amp;$D277,""))*$F277,"")</f>
        <v/>
      </c>
      <c r="O277" s="215" t="str">
        <f ca="1">IFERROR(VALUE(SUBSTITUTE(OFFSET(O277,-1,0)," "&amp;$D277,""))*$F277,"")</f>
        <v/>
      </c>
      <c r="P277" s="209" t="str">
        <f ca="1">IF(LEN(B277)&gt;0,ISNUMBER(MATCH(B277,Proposed[Item],0)),"")</f>
        <v/>
      </c>
    </row>
    <row r="278" spans="1:16" ht="15" x14ac:dyDescent="0.2">
      <c r="A278" s="276">
        <f t="shared" ca="1" si="262"/>
        <v>136</v>
      </c>
      <c r="B278" s="168" t="str">
        <f ca="1">IFERROR(INDEX(INDIRECT(RangeItems),MATCH($A278,INDIRECT(RangeEstCount),0)),"")</f>
        <v/>
      </c>
      <c r="C278" s="365" t="str">
        <f ca="1">IFERROR(INDEX(Calcs[Description],INDEX(INDIRECT(RangeCount),MATCH($A278,INDIRECT(RangeEstCount),0))),"")</f>
        <v/>
      </c>
      <c r="D278" s="365"/>
      <c r="E278" s="365"/>
      <c r="F278" s="365"/>
      <c r="G278" s="365"/>
      <c r="H278" s="375" t="str">
        <f ca="1">IF(AND(Bid?,NOT(Awd?)),C278,OFFSET(F278,1,0))</f>
        <v/>
      </c>
      <c r="I278" s="216" t="str">
        <f t="shared" ref="I278:O278" ca="1" si="277">IFERROR(SUM(OFFSET(INDIRECT(RangeQuantity),MATCH($A278,INDIRECT(RangeEstCount),0)-1,COLUMN(I278)-COLUMN($H278),1,1))&amp;" "&amp;OFFSET($D278,1,0),"")</f>
        <v/>
      </c>
      <c r="J278" s="277" t="str">
        <f t="shared" ca="1" si="277"/>
        <v/>
      </c>
      <c r="K278" s="277" t="str">
        <f t="shared" ca="1" si="277"/>
        <v/>
      </c>
      <c r="L278" s="277" t="str">
        <f t="shared" ca="1" si="277"/>
        <v/>
      </c>
      <c r="M278" s="277" t="str">
        <f t="shared" ca="1" si="277"/>
        <v/>
      </c>
      <c r="N278" s="277" t="str">
        <f t="shared" ca="1" si="277"/>
        <v/>
      </c>
      <c r="O278" s="277" t="str">
        <f t="shared" ca="1" si="277"/>
        <v/>
      </c>
      <c r="P278" s="209" t="str">
        <f ca="1">IF(LEN(B278)&gt;0,ISNUMBER(MATCH(B278,Proposed[Item],0)),"")</f>
        <v/>
      </c>
    </row>
    <row r="279" spans="1:16" ht="15" x14ac:dyDescent="0.2">
      <c r="A279" s="276">
        <f t="shared" ca="1" si="262"/>
        <v>136</v>
      </c>
      <c r="B279" s="111" t="str">
        <f ca="1">IFERROR("Line "&amp;INDEX(Calcs[Line],INDEX(INDIRECT(RangeCount),MATCH($A279,INDIRECT(RangeEstCount),0))),"")</f>
        <v/>
      </c>
      <c r="C279" s="169" t="str">
        <f ca="1">IFERROR(IF(AND($D279="LPSM",Bid?,All?),"ALL",TEXT(OFFSET(INDIRECT(RangeQuantity),MATCH($A279,INDIRECT(RangeEstCount),0)-1,MATCH(Account,Accounts,0)-1,1,1),IF($D279="LPSM","0%","#,##0"&amp;IF(OFFSET(Items[#Data],MATCH($A279,INDIRECT(RangeEstCount),0)-1,MATCH(Decimals,Items[#Headers],0)-1,1,1)&gt;0,"."&amp;REPT("0",OFFSET(Items[#Data],MATCH($A279,INDIRECT(RangeEstCount),0)-1,MATCH(Decimals,Items[#Headers],0)-1,1,1)),"")))),"")</f>
        <v/>
      </c>
      <c r="D279" s="170" t="str">
        <f ca="1">IFERROR(INDEX(INDIRECT(RangeUnit),MATCH($A279,INDIRECT(RangeEstCount),0))&amp;SUBSTITUTE(" ["&amp;INDEX(INDIRECT(RangeAmend),MATCH($A279,INDIRECT(RangeEstCount),0))&amp;"]"," []",""),"")</f>
        <v/>
      </c>
      <c r="E279" s="170" t="str">
        <f ca="1">IFERROR(IF(INDEX(INDIRECT(RangeContrQty),MATCH($A279,INDIRECT(RangeEstCount),0)),"(CQ)",""),"")</f>
        <v/>
      </c>
      <c r="F279" s="171" t="str">
        <f ca="1">IFERROR(IF(OR(NOT(Bid?),LEFT(UPPER($D279),4)="FXHR"),INDEX(INDIRECT(RangeUnitPrice),MATCH($A279,INDIRECT(RangeEstCount),0)),IF(Awd?,OFFSET(TabAmount,MATCH(INDEX(INDIRECT(RangeCount),MATCH($A279,INDIRECT(RangeEstCount),0)),OFFSET(TabCount,1,0,2*NumPayItems,1),0),MATCH(Awarded2,Bidders,0)),IF(OR($C279="",$D279="LPSM"),"","$"))),"")</f>
        <v/>
      </c>
      <c r="G279" s="171" t="str">
        <f ca="1">IFERROR(VALUE(C279)*F279,IF(AND(Bid?,NOT(Awd?),$D279="LPSM"),"$",F279))</f>
        <v/>
      </c>
      <c r="H279" s="374"/>
      <c r="I279" s="217" t="str">
        <f ca="1">IFERROR(VALUE(SUBSTITUTE(OFFSET(I279,-1,0)," "&amp;$D279,""))*$F279,"")</f>
        <v/>
      </c>
      <c r="J279" s="215" t="str">
        <f ca="1">IFERROR(VALUE(SUBSTITUTE(OFFSET(J279,-1,0)," "&amp;$D279,""))*$F279,"")</f>
        <v/>
      </c>
      <c r="K279" s="215" t="str">
        <f t="shared" ref="K279:M279" ca="1" si="278">IFERROR(VALUE(SUBSTITUTE(OFFSET(K279,-1,0)," "&amp;$D279,""))*$F279,"")</f>
        <v/>
      </c>
      <c r="L279" s="215" t="str">
        <f t="shared" ca="1" si="278"/>
        <v/>
      </c>
      <c r="M279" s="215" t="str">
        <f t="shared" ca="1" si="278"/>
        <v/>
      </c>
      <c r="N279" s="215" t="str">
        <f ca="1">IFERROR(VALUE(SUBSTITUTE(OFFSET(N279,-1,0)," "&amp;$D279,""))*$F279,"")</f>
        <v/>
      </c>
      <c r="O279" s="215" t="str">
        <f ca="1">IFERROR(VALUE(SUBSTITUTE(OFFSET(O279,-1,0)," "&amp;$D279,""))*$F279,"")</f>
        <v/>
      </c>
      <c r="P279" s="209" t="str">
        <f ca="1">IF(LEN(B279)&gt;0,ISNUMBER(MATCH(B279,Proposed[Item],0)),"")</f>
        <v/>
      </c>
    </row>
    <row r="280" spans="1:16" ht="15" x14ac:dyDescent="0.2">
      <c r="A280" s="276">
        <f t="shared" ca="1" si="262"/>
        <v>137</v>
      </c>
      <c r="B280" s="168" t="str">
        <f ca="1">IFERROR(INDEX(INDIRECT(RangeItems),MATCH($A280,INDIRECT(RangeEstCount),0)),"")</f>
        <v/>
      </c>
      <c r="C280" s="365" t="str">
        <f ca="1">IFERROR(INDEX(Calcs[Description],INDEX(INDIRECT(RangeCount),MATCH($A280,INDIRECT(RangeEstCount),0))),"")</f>
        <v/>
      </c>
      <c r="D280" s="365"/>
      <c r="E280" s="365"/>
      <c r="F280" s="365"/>
      <c r="G280" s="365"/>
      <c r="H280" s="375" t="str">
        <f ca="1">IF(AND(Bid?,NOT(Awd?)),C280,OFFSET(F280,1,0))</f>
        <v/>
      </c>
      <c r="I280" s="216" t="str">
        <f t="shared" ref="I280:O280" ca="1" si="279">IFERROR(SUM(OFFSET(INDIRECT(RangeQuantity),MATCH($A280,INDIRECT(RangeEstCount),0)-1,COLUMN(I280)-COLUMN($H280),1,1))&amp;" "&amp;OFFSET($D280,1,0),"")</f>
        <v/>
      </c>
      <c r="J280" s="277" t="str">
        <f t="shared" ca="1" si="279"/>
        <v/>
      </c>
      <c r="K280" s="277" t="str">
        <f t="shared" ca="1" si="279"/>
        <v/>
      </c>
      <c r="L280" s="277" t="str">
        <f t="shared" ca="1" si="279"/>
        <v/>
      </c>
      <c r="M280" s="277" t="str">
        <f t="shared" ca="1" si="279"/>
        <v/>
      </c>
      <c r="N280" s="277" t="str">
        <f t="shared" ca="1" si="279"/>
        <v/>
      </c>
      <c r="O280" s="277" t="str">
        <f t="shared" ca="1" si="279"/>
        <v/>
      </c>
      <c r="P280" s="209" t="str">
        <f ca="1">IF(LEN(B280)&gt;0,ISNUMBER(MATCH(B280,Proposed[Item],0)),"")</f>
        <v/>
      </c>
    </row>
    <row r="281" spans="1:16" ht="15" x14ac:dyDescent="0.2">
      <c r="A281" s="276">
        <f t="shared" ca="1" si="262"/>
        <v>137</v>
      </c>
      <c r="B281" s="111" t="str">
        <f ca="1">IFERROR("Line "&amp;INDEX(Calcs[Line],INDEX(INDIRECT(RangeCount),MATCH($A281,INDIRECT(RangeEstCount),0))),"")</f>
        <v/>
      </c>
      <c r="C281" s="169" t="str">
        <f ca="1">IFERROR(IF(AND($D281="LPSM",Bid?,All?),"ALL",TEXT(OFFSET(INDIRECT(RangeQuantity),MATCH($A281,INDIRECT(RangeEstCount),0)-1,MATCH(Account,Accounts,0)-1,1,1),IF($D281="LPSM","0%","#,##0"&amp;IF(OFFSET(Items[#Data],MATCH($A281,INDIRECT(RangeEstCount),0)-1,MATCH(Decimals,Items[#Headers],0)-1,1,1)&gt;0,"."&amp;REPT("0",OFFSET(Items[#Data],MATCH($A281,INDIRECT(RangeEstCount),0)-1,MATCH(Decimals,Items[#Headers],0)-1,1,1)),"")))),"")</f>
        <v/>
      </c>
      <c r="D281" s="170" t="str">
        <f ca="1">IFERROR(INDEX(INDIRECT(RangeUnit),MATCH($A281,INDIRECT(RangeEstCount),0))&amp;SUBSTITUTE(" ["&amp;INDEX(INDIRECT(RangeAmend),MATCH($A281,INDIRECT(RangeEstCount),0))&amp;"]"," []",""),"")</f>
        <v/>
      </c>
      <c r="E281" s="170" t="str">
        <f ca="1">IFERROR(IF(INDEX(INDIRECT(RangeContrQty),MATCH($A281,INDIRECT(RangeEstCount),0)),"(CQ)",""),"")</f>
        <v/>
      </c>
      <c r="F281" s="171" t="str">
        <f ca="1">IFERROR(IF(OR(NOT(Bid?),LEFT(UPPER($D281),4)="FXHR"),INDEX(INDIRECT(RangeUnitPrice),MATCH($A281,INDIRECT(RangeEstCount),0)),IF(Awd?,OFFSET(TabAmount,MATCH(INDEX(INDIRECT(RangeCount),MATCH($A281,INDIRECT(RangeEstCount),0)),OFFSET(TabCount,1,0,2*NumPayItems,1),0),MATCH(Awarded2,Bidders,0)),IF(OR($C281="",$D281="LPSM"),"","$"))),"")</f>
        <v/>
      </c>
      <c r="G281" s="171" t="str">
        <f ca="1">IFERROR(VALUE(C281)*F281,IF(AND(Bid?,NOT(Awd?),$D281="LPSM"),"$",F281))</f>
        <v/>
      </c>
      <c r="H281" s="374"/>
      <c r="I281" s="217" t="str">
        <f ca="1">IFERROR(VALUE(SUBSTITUTE(OFFSET(I281,-1,0)," "&amp;$D281,""))*$F281,"")</f>
        <v/>
      </c>
      <c r="J281" s="215" t="str">
        <f ca="1">IFERROR(VALUE(SUBSTITUTE(OFFSET(J281,-1,0)," "&amp;$D281,""))*$F281,"")</f>
        <v/>
      </c>
      <c r="K281" s="215" t="str">
        <f t="shared" ref="K281:M281" ca="1" si="280">IFERROR(VALUE(SUBSTITUTE(OFFSET(K281,-1,0)," "&amp;$D281,""))*$F281,"")</f>
        <v/>
      </c>
      <c r="L281" s="215" t="str">
        <f t="shared" ca="1" si="280"/>
        <v/>
      </c>
      <c r="M281" s="215" t="str">
        <f t="shared" ca="1" si="280"/>
        <v/>
      </c>
      <c r="N281" s="215" t="str">
        <f ca="1">IFERROR(VALUE(SUBSTITUTE(OFFSET(N281,-1,0)," "&amp;$D281,""))*$F281,"")</f>
        <v/>
      </c>
      <c r="O281" s="215" t="str">
        <f ca="1">IFERROR(VALUE(SUBSTITUTE(OFFSET(O281,-1,0)," "&amp;$D281,""))*$F281,"")</f>
        <v/>
      </c>
      <c r="P281" s="209" t="str">
        <f ca="1">IF(LEN(B281)&gt;0,ISNUMBER(MATCH(B281,Proposed[Item],0)),"")</f>
        <v/>
      </c>
    </row>
    <row r="282" spans="1:16" ht="15" x14ac:dyDescent="0.2">
      <c r="A282" s="276">
        <f t="shared" ca="1" si="262"/>
        <v>138</v>
      </c>
      <c r="B282" s="168" t="str">
        <f ca="1">IFERROR(INDEX(INDIRECT(RangeItems),MATCH($A282,INDIRECT(RangeEstCount),0)),"")</f>
        <v/>
      </c>
      <c r="C282" s="365" t="str">
        <f ca="1">IFERROR(INDEX(Calcs[Description],INDEX(INDIRECT(RangeCount),MATCH($A282,INDIRECT(RangeEstCount),0))),"")</f>
        <v/>
      </c>
      <c r="D282" s="365"/>
      <c r="E282" s="365"/>
      <c r="F282" s="365"/>
      <c r="G282" s="365"/>
      <c r="H282" s="375" t="str">
        <f ca="1">IF(AND(Bid?,NOT(Awd?)),C282,OFFSET(F282,1,0))</f>
        <v/>
      </c>
      <c r="I282" s="216" t="str">
        <f t="shared" ref="I282:O282" ca="1" si="281">IFERROR(SUM(OFFSET(INDIRECT(RangeQuantity),MATCH($A282,INDIRECT(RangeEstCount),0)-1,COLUMN(I282)-COLUMN($H282),1,1))&amp;" "&amp;OFFSET($D282,1,0),"")</f>
        <v/>
      </c>
      <c r="J282" s="277" t="str">
        <f t="shared" ca="1" si="281"/>
        <v/>
      </c>
      <c r="K282" s="277" t="str">
        <f t="shared" ca="1" si="281"/>
        <v/>
      </c>
      <c r="L282" s="277" t="str">
        <f t="shared" ca="1" si="281"/>
        <v/>
      </c>
      <c r="M282" s="277" t="str">
        <f t="shared" ca="1" si="281"/>
        <v/>
      </c>
      <c r="N282" s="277" t="str">
        <f t="shared" ca="1" si="281"/>
        <v/>
      </c>
      <c r="O282" s="277" t="str">
        <f t="shared" ca="1" si="281"/>
        <v/>
      </c>
      <c r="P282" s="209" t="str">
        <f ca="1">IF(LEN(B282)&gt;0,ISNUMBER(MATCH(B282,Proposed[Item],0)),"")</f>
        <v/>
      </c>
    </row>
    <row r="283" spans="1:16" ht="15" x14ac:dyDescent="0.2">
      <c r="A283" s="276">
        <f t="shared" ca="1" si="262"/>
        <v>138</v>
      </c>
      <c r="B283" s="111" t="str">
        <f ca="1">IFERROR("Line "&amp;INDEX(Calcs[Line],INDEX(INDIRECT(RangeCount),MATCH($A283,INDIRECT(RangeEstCount),0))),"")</f>
        <v/>
      </c>
      <c r="C283" s="169" t="str">
        <f ca="1">IFERROR(IF(AND($D283="LPSM",Bid?,All?),"ALL",TEXT(OFFSET(INDIRECT(RangeQuantity),MATCH($A283,INDIRECT(RangeEstCount),0)-1,MATCH(Account,Accounts,0)-1,1,1),IF($D283="LPSM","0%","#,##0"&amp;IF(OFFSET(Items[#Data],MATCH($A283,INDIRECT(RangeEstCount),0)-1,MATCH(Decimals,Items[#Headers],0)-1,1,1)&gt;0,"."&amp;REPT("0",OFFSET(Items[#Data],MATCH($A283,INDIRECT(RangeEstCount),0)-1,MATCH(Decimals,Items[#Headers],0)-1,1,1)),"")))),"")</f>
        <v/>
      </c>
      <c r="D283" s="170" t="str">
        <f ca="1">IFERROR(INDEX(INDIRECT(RangeUnit),MATCH($A283,INDIRECT(RangeEstCount),0))&amp;SUBSTITUTE(" ["&amp;INDEX(INDIRECT(RangeAmend),MATCH($A283,INDIRECT(RangeEstCount),0))&amp;"]"," []",""),"")</f>
        <v/>
      </c>
      <c r="E283" s="170" t="str">
        <f ca="1">IFERROR(IF(INDEX(INDIRECT(RangeContrQty),MATCH($A283,INDIRECT(RangeEstCount),0)),"(CQ)",""),"")</f>
        <v/>
      </c>
      <c r="F283" s="171" t="str">
        <f ca="1">IFERROR(IF(OR(NOT(Bid?),LEFT(UPPER($D283),4)="FXHR"),INDEX(INDIRECT(RangeUnitPrice),MATCH($A283,INDIRECT(RangeEstCount),0)),IF(Awd?,OFFSET(TabAmount,MATCH(INDEX(INDIRECT(RangeCount),MATCH($A283,INDIRECT(RangeEstCount),0)),OFFSET(TabCount,1,0,2*NumPayItems,1),0),MATCH(Awarded2,Bidders,0)),IF(OR($C283="",$D283="LPSM"),"","$"))),"")</f>
        <v/>
      </c>
      <c r="G283" s="171" t="str">
        <f ca="1">IFERROR(VALUE(C283)*F283,IF(AND(Bid?,NOT(Awd?),$D283="LPSM"),"$",F283))</f>
        <v/>
      </c>
      <c r="H283" s="374"/>
      <c r="I283" s="217" t="str">
        <f ca="1">IFERROR(VALUE(SUBSTITUTE(OFFSET(I283,-1,0)," "&amp;$D283,""))*$F283,"")</f>
        <v/>
      </c>
      <c r="J283" s="215" t="str">
        <f ca="1">IFERROR(VALUE(SUBSTITUTE(OFFSET(J283,-1,0)," "&amp;$D283,""))*$F283,"")</f>
        <v/>
      </c>
      <c r="K283" s="215" t="str">
        <f t="shared" ref="K283:M283" ca="1" si="282">IFERROR(VALUE(SUBSTITUTE(OFFSET(K283,-1,0)," "&amp;$D283,""))*$F283,"")</f>
        <v/>
      </c>
      <c r="L283" s="215" t="str">
        <f t="shared" ca="1" si="282"/>
        <v/>
      </c>
      <c r="M283" s="215" t="str">
        <f t="shared" ca="1" si="282"/>
        <v/>
      </c>
      <c r="N283" s="215" t="str">
        <f ca="1">IFERROR(VALUE(SUBSTITUTE(OFFSET(N283,-1,0)," "&amp;$D283,""))*$F283,"")</f>
        <v/>
      </c>
      <c r="O283" s="215" t="str">
        <f ca="1">IFERROR(VALUE(SUBSTITUTE(OFFSET(O283,-1,0)," "&amp;$D283,""))*$F283,"")</f>
        <v/>
      </c>
      <c r="P283" s="209" t="str">
        <f ca="1">IF(LEN(B283)&gt;0,ISNUMBER(MATCH(B283,Proposed[Item],0)),"")</f>
        <v/>
      </c>
    </row>
    <row r="284" spans="1:16" ht="15" x14ac:dyDescent="0.2">
      <c r="A284" s="276">
        <f t="shared" ca="1" si="262"/>
        <v>139</v>
      </c>
      <c r="B284" s="168" t="str">
        <f ca="1">IFERROR(INDEX(INDIRECT(RangeItems),MATCH($A284,INDIRECT(RangeEstCount),0)),"")</f>
        <v/>
      </c>
      <c r="C284" s="365" t="str">
        <f ca="1">IFERROR(INDEX(Calcs[Description],INDEX(INDIRECT(RangeCount),MATCH($A284,INDIRECT(RangeEstCount),0))),"")</f>
        <v/>
      </c>
      <c r="D284" s="365"/>
      <c r="E284" s="365"/>
      <c r="F284" s="365"/>
      <c r="G284" s="365"/>
      <c r="H284" s="375" t="str">
        <f ca="1">IF(AND(Bid?,NOT(Awd?)),C284,OFFSET(F284,1,0))</f>
        <v/>
      </c>
      <c r="I284" s="216" t="str">
        <f t="shared" ref="I284:O284" ca="1" si="283">IFERROR(SUM(OFFSET(INDIRECT(RangeQuantity),MATCH($A284,INDIRECT(RangeEstCount),0)-1,COLUMN(I284)-COLUMN($H284),1,1))&amp;" "&amp;OFFSET($D284,1,0),"")</f>
        <v/>
      </c>
      <c r="J284" s="277" t="str">
        <f t="shared" ca="1" si="283"/>
        <v/>
      </c>
      <c r="K284" s="277" t="str">
        <f t="shared" ca="1" si="283"/>
        <v/>
      </c>
      <c r="L284" s="277" t="str">
        <f t="shared" ca="1" si="283"/>
        <v/>
      </c>
      <c r="M284" s="277" t="str">
        <f t="shared" ca="1" si="283"/>
        <v/>
      </c>
      <c r="N284" s="277" t="str">
        <f t="shared" ca="1" si="283"/>
        <v/>
      </c>
      <c r="O284" s="277" t="str">
        <f t="shared" ca="1" si="283"/>
        <v/>
      </c>
      <c r="P284" s="209" t="str">
        <f ca="1">IF(LEN(B284)&gt;0,ISNUMBER(MATCH(B284,Proposed[Item],0)),"")</f>
        <v/>
      </c>
    </row>
    <row r="285" spans="1:16" ht="15" x14ac:dyDescent="0.2">
      <c r="A285" s="276">
        <f t="shared" ca="1" si="262"/>
        <v>139</v>
      </c>
      <c r="B285" s="111" t="str">
        <f ca="1">IFERROR("Line "&amp;INDEX(Calcs[Line],INDEX(INDIRECT(RangeCount),MATCH($A285,INDIRECT(RangeEstCount),0))),"")</f>
        <v/>
      </c>
      <c r="C285" s="169" t="str">
        <f ca="1">IFERROR(IF(AND($D285="LPSM",Bid?,All?),"ALL",TEXT(OFFSET(INDIRECT(RangeQuantity),MATCH($A285,INDIRECT(RangeEstCount),0)-1,MATCH(Account,Accounts,0)-1,1,1),IF($D285="LPSM","0%","#,##0"&amp;IF(OFFSET(Items[#Data],MATCH($A285,INDIRECT(RangeEstCount),0)-1,MATCH(Decimals,Items[#Headers],0)-1,1,1)&gt;0,"."&amp;REPT("0",OFFSET(Items[#Data],MATCH($A285,INDIRECT(RangeEstCount),0)-1,MATCH(Decimals,Items[#Headers],0)-1,1,1)),"")))),"")</f>
        <v/>
      </c>
      <c r="D285" s="170" t="str">
        <f ca="1">IFERROR(INDEX(INDIRECT(RangeUnit),MATCH($A285,INDIRECT(RangeEstCount),0))&amp;SUBSTITUTE(" ["&amp;INDEX(INDIRECT(RangeAmend),MATCH($A285,INDIRECT(RangeEstCount),0))&amp;"]"," []",""),"")</f>
        <v/>
      </c>
      <c r="E285" s="170" t="str">
        <f ca="1">IFERROR(IF(INDEX(INDIRECT(RangeContrQty),MATCH($A285,INDIRECT(RangeEstCount),0)),"(CQ)",""),"")</f>
        <v/>
      </c>
      <c r="F285" s="171" t="str">
        <f ca="1">IFERROR(IF(OR(NOT(Bid?),LEFT(UPPER($D285),4)="FXHR"),INDEX(INDIRECT(RangeUnitPrice),MATCH($A285,INDIRECT(RangeEstCount),0)),IF(Awd?,OFFSET(TabAmount,MATCH(INDEX(INDIRECT(RangeCount),MATCH($A285,INDIRECT(RangeEstCount),0)),OFFSET(TabCount,1,0,2*NumPayItems,1),0),MATCH(Awarded2,Bidders,0)),IF(OR($C285="",$D285="LPSM"),"","$"))),"")</f>
        <v/>
      </c>
      <c r="G285" s="171" t="str">
        <f ca="1">IFERROR(VALUE(C285)*F285,IF(AND(Bid?,NOT(Awd?),$D285="LPSM"),"$",F285))</f>
        <v/>
      </c>
      <c r="H285" s="374"/>
      <c r="I285" s="217" t="str">
        <f ca="1">IFERROR(VALUE(SUBSTITUTE(OFFSET(I285,-1,0)," "&amp;$D285,""))*$F285,"")</f>
        <v/>
      </c>
      <c r="J285" s="215" t="str">
        <f ca="1">IFERROR(VALUE(SUBSTITUTE(OFFSET(J285,-1,0)," "&amp;$D285,""))*$F285,"")</f>
        <v/>
      </c>
      <c r="K285" s="215" t="str">
        <f t="shared" ref="K285:M285" ca="1" si="284">IFERROR(VALUE(SUBSTITUTE(OFFSET(K285,-1,0)," "&amp;$D285,""))*$F285,"")</f>
        <v/>
      </c>
      <c r="L285" s="215" t="str">
        <f t="shared" ca="1" si="284"/>
        <v/>
      </c>
      <c r="M285" s="215" t="str">
        <f t="shared" ca="1" si="284"/>
        <v/>
      </c>
      <c r="N285" s="215" t="str">
        <f ca="1">IFERROR(VALUE(SUBSTITUTE(OFFSET(N285,-1,0)," "&amp;$D285,""))*$F285,"")</f>
        <v/>
      </c>
      <c r="O285" s="215" t="str">
        <f ca="1">IFERROR(VALUE(SUBSTITUTE(OFFSET(O285,-1,0)," "&amp;$D285,""))*$F285,"")</f>
        <v/>
      </c>
      <c r="P285" s="209" t="str">
        <f ca="1">IF(LEN(B285)&gt;0,ISNUMBER(MATCH(B285,Proposed[Item],0)),"")</f>
        <v/>
      </c>
    </row>
    <row r="286" spans="1:16" ht="15" x14ac:dyDescent="0.2">
      <c r="A286" s="276">
        <f t="shared" ca="1" si="262"/>
        <v>140</v>
      </c>
      <c r="B286" s="168" t="str">
        <f ca="1">IFERROR(INDEX(INDIRECT(RangeItems),MATCH($A286,INDIRECT(RangeEstCount),0)),"")</f>
        <v/>
      </c>
      <c r="C286" s="365" t="str">
        <f ca="1">IFERROR(INDEX(Calcs[Description],INDEX(INDIRECT(RangeCount),MATCH($A286,INDIRECT(RangeEstCount),0))),"")</f>
        <v/>
      </c>
      <c r="D286" s="365"/>
      <c r="E286" s="365"/>
      <c r="F286" s="365"/>
      <c r="G286" s="365"/>
      <c r="H286" s="375" t="str">
        <f ca="1">IF(AND(Bid?,NOT(Awd?)),C286,OFFSET(F286,1,0))</f>
        <v/>
      </c>
      <c r="I286" s="216" t="str">
        <f t="shared" ref="I286:O286" ca="1" si="285">IFERROR(SUM(OFFSET(INDIRECT(RangeQuantity),MATCH($A286,INDIRECT(RangeEstCount),0)-1,COLUMN(I286)-COLUMN($H286),1,1))&amp;" "&amp;OFFSET($D286,1,0),"")</f>
        <v/>
      </c>
      <c r="J286" s="277" t="str">
        <f t="shared" ca="1" si="285"/>
        <v/>
      </c>
      <c r="K286" s="277" t="str">
        <f t="shared" ca="1" si="285"/>
        <v/>
      </c>
      <c r="L286" s="277" t="str">
        <f t="shared" ca="1" si="285"/>
        <v/>
      </c>
      <c r="M286" s="277" t="str">
        <f t="shared" ca="1" si="285"/>
        <v/>
      </c>
      <c r="N286" s="277" t="str">
        <f t="shared" ca="1" si="285"/>
        <v/>
      </c>
      <c r="O286" s="277" t="str">
        <f t="shared" ca="1" si="285"/>
        <v/>
      </c>
      <c r="P286" s="209" t="str">
        <f ca="1">IF(LEN(B286)&gt;0,ISNUMBER(MATCH(B286,Proposed[Item],0)),"")</f>
        <v/>
      </c>
    </row>
    <row r="287" spans="1:16" ht="15" x14ac:dyDescent="0.2">
      <c r="A287" s="276">
        <f t="shared" ca="1" si="262"/>
        <v>140</v>
      </c>
      <c r="B287" s="111" t="str">
        <f ca="1">IFERROR("Line "&amp;INDEX(Calcs[Line],INDEX(INDIRECT(RangeCount),MATCH($A287,INDIRECT(RangeEstCount),0))),"")</f>
        <v/>
      </c>
      <c r="C287" s="169" t="str">
        <f ca="1">IFERROR(IF(AND($D287="LPSM",Bid?,All?),"ALL",TEXT(OFFSET(INDIRECT(RangeQuantity),MATCH($A287,INDIRECT(RangeEstCount),0)-1,MATCH(Account,Accounts,0)-1,1,1),IF($D287="LPSM","0%","#,##0"&amp;IF(OFFSET(Items[#Data],MATCH($A287,INDIRECT(RangeEstCount),0)-1,MATCH(Decimals,Items[#Headers],0)-1,1,1)&gt;0,"."&amp;REPT("0",OFFSET(Items[#Data],MATCH($A287,INDIRECT(RangeEstCount),0)-1,MATCH(Decimals,Items[#Headers],0)-1,1,1)),"")))),"")</f>
        <v/>
      </c>
      <c r="D287" s="170" t="str">
        <f ca="1">IFERROR(INDEX(INDIRECT(RangeUnit),MATCH($A287,INDIRECT(RangeEstCount),0))&amp;SUBSTITUTE(" ["&amp;INDEX(INDIRECT(RangeAmend),MATCH($A287,INDIRECT(RangeEstCount),0))&amp;"]"," []",""),"")</f>
        <v/>
      </c>
      <c r="E287" s="170" t="str">
        <f ca="1">IFERROR(IF(INDEX(INDIRECT(RangeContrQty),MATCH($A287,INDIRECT(RangeEstCount),0)),"(CQ)",""),"")</f>
        <v/>
      </c>
      <c r="F287" s="171" t="str">
        <f ca="1">IFERROR(IF(OR(NOT(Bid?),LEFT(UPPER($D287),4)="FXHR"),INDEX(INDIRECT(RangeUnitPrice),MATCH($A287,INDIRECT(RangeEstCount),0)),IF(Awd?,OFFSET(TabAmount,MATCH(INDEX(INDIRECT(RangeCount),MATCH($A287,INDIRECT(RangeEstCount),0)),OFFSET(TabCount,1,0,2*NumPayItems,1),0),MATCH(Awarded2,Bidders,0)),IF(OR($C287="",$D287="LPSM"),"","$"))),"")</f>
        <v/>
      </c>
      <c r="G287" s="171" t="str">
        <f ca="1">IFERROR(VALUE(C287)*F287,IF(AND(Bid?,NOT(Awd?),$D287="LPSM"),"$",F287))</f>
        <v/>
      </c>
      <c r="H287" s="374"/>
      <c r="I287" s="217" t="str">
        <f ca="1">IFERROR(VALUE(SUBSTITUTE(OFFSET(I287,-1,0)," "&amp;$D287,""))*$F287,"")</f>
        <v/>
      </c>
      <c r="J287" s="215" t="str">
        <f ca="1">IFERROR(VALUE(SUBSTITUTE(OFFSET(J287,-1,0)," "&amp;$D287,""))*$F287,"")</f>
        <v/>
      </c>
      <c r="K287" s="215" t="str">
        <f t="shared" ref="K287:M287" ca="1" si="286">IFERROR(VALUE(SUBSTITUTE(OFFSET(K287,-1,0)," "&amp;$D287,""))*$F287,"")</f>
        <v/>
      </c>
      <c r="L287" s="215" t="str">
        <f t="shared" ca="1" si="286"/>
        <v/>
      </c>
      <c r="M287" s="215" t="str">
        <f t="shared" ca="1" si="286"/>
        <v/>
      </c>
      <c r="N287" s="215" t="str">
        <f ca="1">IFERROR(VALUE(SUBSTITUTE(OFFSET(N287,-1,0)," "&amp;$D287,""))*$F287,"")</f>
        <v/>
      </c>
      <c r="O287" s="215" t="str">
        <f ca="1">IFERROR(VALUE(SUBSTITUTE(OFFSET(O287,-1,0)," "&amp;$D287,""))*$F287,"")</f>
        <v/>
      </c>
      <c r="P287" s="209" t="str">
        <f ca="1">IF(LEN(B287)&gt;0,ISNUMBER(MATCH(B287,Proposed[Item],0)),"")</f>
        <v/>
      </c>
    </row>
    <row r="288" spans="1:16" ht="15" x14ac:dyDescent="0.2">
      <c r="A288" s="276">
        <f t="shared" ca="1" si="262"/>
        <v>141</v>
      </c>
      <c r="B288" s="168" t="str">
        <f ca="1">IFERROR(INDEX(INDIRECT(RangeItems),MATCH($A288,INDIRECT(RangeEstCount),0)),"")</f>
        <v/>
      </c>
      <c r="C288" s="365" t="str">
        <f ca="1">IFERROR(INDEX(Calcs[Description],INDEX(INDIRECT(RangeCount),MATCH($A288,INDIRECT(RangeEstCount),0))),"")</f>
        <v/>
      </c>
      <c r="D288" s="365"/>
      <c r="E288" s="365"/>
      <c r="F288" s="365"/>
      <c r="G288" s="365"/>
      <c r="H288" s="375" t="str">
        <f ca="1">IF(AND(Bid?,NOT(Awd?)),C288,OFFSET(F288,1,0))</f>
        <v/>
      </c>
      <c r="I288" s="216" t="str">
        <f t="shared" ref="I288:O288" ca="1" si="287">IFERROR(SUM(OFFSET(INDIRECT(RangeQuantity),MATCH($A288,INDIRECT(RangeEstCount),0)-1,COLUMN(I288)-COLUMN($H288),1,1))&amp;" "&amp;OFFSET($D288,1,0),"")</f>
        <v/>
      </c>
      <c r="J288" s="277" t="str">
        <f t="shared" ca="1" si="287"/>
        <v/>
      </c>
      <c r="K288" s="277" t="str">
        <f t="shared" ca="1" si="287"/>
        <v/>
      </c>
      <c r="L288" s="277" t="str">
        <f t="shared" ca="1" si="287"/>
        <v/>
      </c>
      <c r="M288" s="277" t="str">
        <f t="shared" ca="1" si="287"/>
        <v/>
      </c>
      <c r="N288" s="277" t="str">
        <f t="shared" ca="1" si="287"/>
        <v/>
      </c>
      <c r="O288" s="277" t="str">
        <f t="shared" ca="1" si="287"/>
        <v/>
      </c>
      <c r="P288" s="209" t="str">
        <f ca="1">IF(LEN(B288)&gt;0,ISNUMBER(MATCH(B288,Proposed[Item],0)),"")</f>
        <v/>
      </c>
    </row>
    <row r="289" spans="1:16" ht="15" x14ac:dyDescent="0.2">
      <c r="A289" s="276">
        <f t="shared" ca="1" si="262"/>
        <v>141</v>
      </c>
      <c r="B289" s="111" t="str">
        <f ca="1">IFERROR("Line "&amp;INDEX(Calcs[Line],INDEX(INDIRECT(RangeCount),MATCH($A289,INDIRECT(RangeEstCount),0))),"")</f>
        <v/>
      </c>
      <c r="C289" s="169" t="str">
        <f ca="1">IFERROR(IF(AND($D289="LPSM",Bid?,All?),"ALL",TEXT(OFFSET(INDIRECT(RangeQuantity),MATCH($A289,INDIRECT(RangeEstCount),0)-1,MATCH(Account,Accounts,0)-1,1,1),IF($D289="LPSM","0%","#,##0"&amp;IF(OFFSET(Items[#Data],MATCH($A289,INDIRECT(RangeEstCount),0)-1,MATCH(Decimals,Items[#Headers],0)-1,1,1)&gt;0,"."&amp;REPT("0",OFFSET(Items[#Data],MATCH($A289,INDIRECT(RangeEstCount),0)-1,MATCH(Decimals,Items[#Headers],0)-1,1,1)),"")))),"")</f>
        <v/>
      </c>
      <c r="D289" s="170" t="str">
        <f ca="1">IFERROR(INDEX(INDIRECT(RangeUnit),MATCH($A289,INDIRECT(RangeEstCount),0))&amp;SUBSTITUTE(" ["&amp;INDEX(INDIRECT(RangeAmend),MATCH($A289,INDIRECT(RangeEstCount),0))&amp;"]"," []",""),"")</f>
        <v/>
      </c>
      <c r="E289" s="170" t="str">
        <f ca="1">IFERROR(IF(INDEX(INDIRECT(RangeContrQty),MATCH($A289,INDIRECT(RangeEstCount),0)),"(CQ)",""),"")</f>
        <v/>
      </c>
      <c r="F289" s="171" t="str">
        <f ca="1">IFERROR(IF(OR(NOT(Bid?),LEFT(UPPER($D289),4)="FXHR"),INDEX(INDIRECT(RangeUnitPrice),MATCH($A289,INDIRECT(RangeEstCount),0)),IF(Awd?,OFFSET(TabAmount,MATCH(INDEX(INDIRECT(RangeCount),MATCH($A289,INDIRECT(RangeEstCount),0)),OFFSET(TabCount,1,0,2*NumPayItems,1),0),MATCH(Awarded2,Bidders,0)),IF(OR($C289="",$D289="LPSM"),"","$"))),"")</f>
        <v/>
      </c>
      <c r="G289" s="171" t="str">
        <f ca="1">IFERROR(VALUE(C289)*F289,IF(AND(Bid?,NOT(Awd?),$D289="LPSM"),"$",F289))</f>
        <v/>
      </c>
      <c r="H289" s="374"/>
      <c r="I289" s="217" t="str">
        <f ca="1">IFERROR(VALUE(SUBSTITUTE(OFFSET(I289,-1,0)," "&amp;$D289,""))*$F289,"")</f>
        <v/>
      </c>
      <c r="J289" s="215" t="str">
        <f ca="1">IFERROR(VALUE(SUBSTITUTE(OFFSET(J289,-1,0)," "&amp;$D289,""))*$F289,"")</f>
        <v/>
      </c>
      <c r="K289" s="215" t="str">
        <f t="shared" ref="K289:M289" ca="1" si="288">IFERROR(VALUE(SUBSTITUTE(OFFSET(K289,-1,0)," "&amp;$D289,""))*$F289,"")</f>
        <v/>
      </c>
      <c r="L289" s="215" t="str">
        <f t="shared" ca="1" si="288"/>
        <v/>
      </c>
      <c r="M289" s="215" t="str">
        <f t="shared" ca="1" si="288"/>
        <v/>
      </c>
      <c r="N289" s="215" t="str">
        <f ca="1">IFERROR(VALUE(SUBSTITUTE(OFFSET(N289,-1,0)," "&amp;$D289,""))*$F289,"")</f>
        <v/>
      </c>
      <c r="O289" s="215" t="str">
        <f ca="1">IFERROR(VALUE(SUBSTITUTE(OFFSET(O289,-1,0)," "&amp;$D289,""))*$F289,"")</f>
        <v/>
      </c>
      <c r="P289" s="209" t="str">
        <f ca="1">IF(LEN(B289)&gt;0,ISNUMBER(MATCH(B289,Proposed[Item],0)),"")</f>
        <v/>
      </c>
    </row>
    <row r="290" spans="1:16" ht="15" x14ac:dyDescent="0.2">
      <c r="A290" s="276">
        <f t="shared" ca="1" si="262"/>
        <v>142</v>
      </c>
      <c r="B290" s="168" t="str">
        <f ca="1">IFERROR(INDEX(INDIRECT(RangeItems),MATCH($A290,INDIRECT(RangeEstCount),0)),"")</f>
        <v/>
      </c>
      <c r="C290" s="365" t="str">
        <f ca="1">IFERROR(INDEX(Calcs[Description],INDEX(INDIRECT(RangeCount),MATCH($A290,INDIRECT(RangeEstCount),0))),"")</f>
        <v/>
      </c>
      <c r="D290" s="365"/>
      <c r="E290" s="365"/>
      <c r="F290" s="365"/>
      <c r="G290" s="365"/>
      <c r="H290" s="375" t="str">
        <f ca="1">IF(AND(Bid?,NOT(Awd?)),C290,OFFSET(F290,1,0))</f>
        <v/>
      </c>
      <c r="I290" s="216" t="str">
        <f t="shared" ref="I290:O290" ca="1" si="289">IFERROR(SUM(OFFSET(INDIRECT(RangeQuantity),MATCH($A290,INDIRECT(RangeEstCount),0)-1,COLUMN(I290)-COLUMN($H290),1,1))&amp;" "&amp;OFFSET($D290,1,0),"")</f>
        <v/>
      </c>
      <c r="J290" s="277" t="str">
        <f t="shared" ca="1" si="289"/>
        <v/>
      </c>
      <c r="K290" s="277" t="str">
        <f t="shared" ca="1" si="289"/>
        <v/>
      </c>
      <c r="L290" s="277" t="str">
        <f t="shared" ca="1" si="289"/>
        <v/>
      </c>
      <c r="M290" s="277" t="str">
        <f t="shared" ca="1" si="289"/>
        <v/>
      </c>
      <c r="N290" s="277" t="str">
        <f t="shared" ca="1" si="289"/>
        <v/>
      </c>
      <c r="O290" s="277" t="str">
        <f t="shared" ca="1" si="289"/>
        <v/>
      </c>
      <c r="P290" s="209" t="str">
        <f ca="1">IF(LEN(B290)&gt;0,ISNUMBER(MATCH(B290,Proposed[Item],0)),"")</f>
        <v/>
      </c>
    </row>
    <row r="291" spans="1:16" ht="15" x14ac:dyDescent="0.2">
      <c r="A291" s="276">
        <f t="shared" ca="1" si="262"/>
        <v>142</v>
      </c>
      <c r="B291" s="111" t="str">
        <f ca="1">IFERROR("Line "&amp;INDEX(Calcs[Line],INDEX(INDIRECT(RangeCount),MATCH($A291,INDIRECT(RangeEstCount),0))),"")</f>
        <v/>
      </c>
      <c r="C291" s="169" t="str">
        <f ca="1">IFERROR(IF(AND($D291="LPSM",Bid?,All?),"ALL",TEXT(OFFSET(INDIRECT(RangeQuantity),MATCH($A291,INDIRECT(RangeEstCount),0)-1,MATCH(Account,Accounts,0)-1,1,1),IF($D291="LPSM","0%","#,##0"&amp;IF(OFFSET(Items[#Data],MATCH($A291,INDIRECT(RangeEstCount),0)-1,MATCH(Decimals,Items[#Headers],0)-1,1,1)&gt;0,"."&amp;REPT("0",OFFSET(Items[#Data],MATCH($A291,INDIRECT(RangeEstCount),0)-1,MATCH(Decimals,Items[#Headers],0)-1,1,1)),"")))),"")</f>
        <v/>
      </c>
      <c r="D291" s="170" t="str">
        <f ca="1">IFERROR(INDEX(INDIRECT(RangeUnit),MATCH($A291,INDIRECT(RangeEstCount),0))&amp;SUBSTITUTE(" ["&amp;INDEX(INDIRECT(RangeAmend),MATCH($A291,INDIRECT(RangeEstCount),0))&amp;"]"," []",""),"")</f>
        <v/>
      </c>
      <c r="E291" s="170" t="str">
        <f ca="1">IFERROR(IF(INDEX(INDIRECT(RangeContrQty),MATCH($A291,INDIRECT(RangeEstCount),0)),"(CQ)",""),"")</f>
        <v/>
      </c>
      <c r="F291" s="171" t="str">
        <f ca="1">IFERROR(IF(OR(NOT(Bid?),LEFT(UPPER($D291),4)="FXHR"),INDEX(INDIRECT(RangeUnitPrice),MATCH($A291,INDIRECT(RangeEstCount),0)),IF(Awd?,OFFSET(TabAmount,MATCH(INDEX(INDIRECT(RangeCount),MATCH($A291,INDIRECT(RangeEstCount),0)),OFFSET(TabCount,1,0,2*NumPayItems,1),0),MATCH(Awarded2,Bidders,0)),IF(OR($C291="",$D291="LPSM"),"","$"))),"")</f>
        <v/>
      </c>
      <c r="G291" s="171" t="str">
        <f ca="1">IFERROR(VALUE(C291)*F291,IF(AND(Bid?,NOT(Awd?),$D291="LPSM"),"$",F291))</f>
        <v/>
      </c>
      <c r="H291" s="374"/>
      <c r="I291" s="217" t="str">
        <f ca="1">IFERROR(VALUE(SUBSTITUTE(OFFSET(I291,-1,0)," "&amp;$D291,""))*$F291,"")</f>
        <v/>
      </c>
      <c r="J291" s="215" t="str">
        <f ca="1">IFERROR(VALUE(SUBSTITUTE(OFFSET(J291,-1,0)," "&amp;$D291,""))*$F291,"")</f>
        <v/>
      </c>
      <c r="K291" s="215" t="str">
        <f t="shared" ref="K291:M291" ca="1" si="290">IFERROR(VALUE(SUBSTITUTE(OFFSET(K291,-1,0)," "&amp;$D291,""))*$F291,"")</f>
        <v/>
      </c>
      <c r="L291" s="215" t="str">
        <f t="shared" ca="1" si="290"/>
        <v/>
      </c>
      <c r="M291" s="215" t="str">
        <f t="shared" ca="1" si="290"/>
        <v/>
      </c>
      <c r="N291" s="215" t="str">
        <f ca="1">IFERROR(VALUE(SUBSTITUTE(OFFSET(N291,-1,0)," "&amp;$D291,""))*$F291,"")</f>
        <v/>
      </c>
      <c r="O291" s="215" t="str">
        <f ca="1">IFERROR(VALUE(SUBSTITUTE(OFFSET(O291,-1,0)," "&amp;$D291,""))*$F291,"")</f>
        <v/>
      </c>
      <c r="P291" s="209" t="str">
        <f ca="1">IF(LEN(B291)&gt;0,ISNUMBER(MATCH(B291,Proposed[Item],0)),"")</f>
        <v/>
      </c>
    </row>
    <row r="292" spans="1:16" ht="15" x14ac:dyDescent="0.2">
      <c r="A292" s="276">
        <f t="shared" ca="1" si="262"/>
        <v>143</v>
      </c>
      <c r="B292" s="168" t="str">
        <f ca="1">IFERROR(INDEX(INDIRECT(RangeItems),MATCH($A292,INDIRECT(RangeEstCount),0)),"")</f>
        <v/>
      </c>
      <c r="C292" s="365" t="str">
        <f ca="1">IFERROR(INDEX(Calcs[Description],INDEX(INDIRECT(RangeCount),MATCH($A292,INDIRECT(RangeEstCount),0))),"")</f>
        <v/>
      </c>
      <c r="D292" s="365"/>
      <c r="E292" s="365"/>
      <c r="F292" s="365"/>
      <c r="G292" s="365"/>
      <c r="H292" s="375" t="str">
        <f ca="1">IF(AND(Bid?,NOT(Awd?)),C292,OFFSET(F292,1,0))</f>
        <v/>
      </c>
      <c r="I292" s="216" t="str">
        <f t="shared" ref="I292:O292" ca="1" si="291">IFERROR(SUM(OFFSET(INDIRECT(RangeQuantity),MATCH($A292,INDIRECT(RangeEstCount),0)-1,COLUMN(I292)-COLUMN($H292),1,1))&amp;" "&amp;OFFSET($D292,1,0),"")</f>
        <v/>
      </c>
      <c r="J292" s="277" t="str">
        <f t="shared" ca="1" si="291"/>
        <v/>
      </c>
      <c r="K292" s="277" t="str">
        <f t="shared" ca="1" si="291"/>
        <v/>
      </c>
      <c r="L292" s="277" t="str">
        <f t="shared" ca="1" si="291"/>
        <v/>
      </c>
      <c r="M292" s="277" t="str">
        <f t="shared" ca="1" si="291"/>
        <v/>
      </c>
      <c r="N292" s="277" t="str">
        <f t="shared" ca="1" si="291"/>
        <v/>
      </c>
      <c r="O292" s="277" t="str">
        <f t="shared" ca="1" si="291"/>
        <v/>
      </c>
      <c r="P292" s="209" t="str">
        <f ca="1">IF(LEN(B292)&gt;0,ISNUMBER(MATCH(B292,Proposed[Item],0)),"")</f>
        <v/>
      </c>
    </row>
    <row r="293" spans="1:16" ht="15" x14ac:dyDescent="0.2">
      <c r="A293" s="276">
        <f t="shared" ca="1" si="262"/>
        <v>143</v>
      </c>
      <c r="B293" s="111" t="str">
        <f ca="1">IFERROR("Line "&amp;INDEX(Calcs[Line],INDEX(INDIRECT(RangeCount),MATCH($A293,INDIRECT(RangeEstCount),0))),"")</f>
        <v/>
      </c>
      <c r="C293" s="169" t="str">
        <f ca="1">IFERROR(IF(AND($D293="LPSM",Bid?,All?),"ALL",TEXT(OFFSET(INDIRECT(RangeQuantity),MATCH($A293,INDIRECT(RangeEstCount),0)-1,MATCH(Account,Accounts,0)-1,1,1),IF($D293="LPSM","0%","#,##0"&amp;IF(OFFSET(Items[#Data],MATCH($A293,INDIRECT(RangeEstCount),0)-1,MATCH(Decimals,Items[#Headers],0)-1,1,1)&gt;0,"."&amp;REPT("0",OFFSET(Items[#Data],MATCH($A293,INDIRECT(RangeEstCount),0)-1,MATCH(Decimals,Items[#Headers],0)-1,1,1)),"")))),"")</f>
        <v/>
      </c>
      <c r="D293" s="170" t="str">
        <f ca="1">IFERROR(INDEX(INDIRECT(RangeUnit),MATCH($A293,INDIRECT(RangeEstCount),0))&amp;SUBSTITUTE(" ["&amp;INDEX(INDIRECT(RangeAmend),MATCH($A293,INDIRECT(RangeEstCount),0))&amp;"]"," []",""),"")</f>
        <v/>
      </c>
      <c r="E293" s="170" t="str">
        <f ca="1">IFERROR(IF(INDEX(INDIRECT(RangeContrQty),MATCH($A293,INDIRECT(RangeEstCount),0)),"(CQ)",""),"")</f>
        <v/>
      </c>
      <c r="F293" s="171" t="str">
        <f ca="1">IFERROR(IF(OR(NOT(Bid?),LEFT(UPPER($D293),4)="FXHR"),INDEX(INDIRECT(RangeUnitPrice),MATCH($A293,INDIRECT(RangeEstCount),0)),IF(Awd?,OFFSET(TabAmount,MATCH(INDEX(INDIRECT(RangeCount),MATCH($A293,INDIRECT(RangeEstCount),0)),OFFSET(TabCount,1,0,2*NumPayItems,1),0),MATCH(Awarded2,Bidders,0)),IF(OR($C293="",$D293="LPSM"),"","$"))),"")</f>
        <v/>
      </c>
      <c r="G293" s="171" t="str">
        <f ca="1">IFERROR(VALUE(C293)*F293,IF(AND(Bid?,NOT(Awd?),$D293="LPSM"),"$",F293))</f>
        <v/>
      </c>
      <c r="H293" s="374"/>
      <c r="I293" s="217" t="str">
        <f ca="1">IFERROR(VALUE(SUBSTITUTE(OFFSET(I293,-1,0)," "&amp;$D293,""))*$F293,"")</f>
        <v/>
      </c>
      <c r="J293" s="215" t="str">
        <f ca="1">IFERROR(VALUE(SUBSTITUTE(OFFSET(J293,-1,0)," "&amp;$D293,""))*$F293,"")</f>
        <v/>
      </c>
      <c r="K293" s="215" t="str">
        <f t="shared" ref="K293:M293" ca="1" si="292">IFERROR(VALUE(SUBSTITUTE(OFFSET(K293,-1,0)," "&amp;$D293,""))*$F293,"")</f>
        <v/>
      </c>
      <c r="L293" s="215" t="str">
        <f t="shared" ca="1" si="292"/>
        <v/>
      </c>
      <c r="M293" s="215" t="str">
        <f t="shared" ca="1" si="292"/>
        <v/>
      </c>
      <c r="N293" s="215" t="str">
        <f ca="1">IFERROR(VALUE(SUBSTITUTE(OFFSET(N293,-1,0)," "&amp;$D293,""))*$F293,"")</f>
        <v/>
      </c>
      <c r="O293" s="215" t="str">
        <f ca="1">IFERROR(VALUE(SUBSTITUTE(OFFSET(O293,-1,0)," "&amp;$D293,""))*$F293,"")</f>
        <v/>
      </c>
      <c r="P293" s="209" t="str">
        <f ca="1">IF(LEN(B293)&gt;0,ISNUMBER(MATCH(B293,Proposed[Item],0)),"")</f>
        <v/>
      </c>
    </row>
    <row r="294" spans="1:16" ht="15" x14ac:dyDescent="0.2">
      <c r="A294" s="276">
        <f t="shared" ca="1" si="262"/>
        <v>144</v>
      </c>
      <c r="B294" s="168" t="str">
        <f ca="1">IFERROR(INDEX(INDIRECT(RangeItems),MATCH($A294,INDIRECT(RangeEstCount),0)),"")</f>
        <v/>
      </c>
      <c r="C294" s="365" t="str">
        <f ca="1">IFERROR(INDEX(Calcs[Description],INDEX(INDIRECT(RangeCount),MATCH($A294,INDIRECT(RangeEstCount),0))),"")</f>
        <v/>
      </c>
      <c r="D294" s="365"/>
      <c r="E294" s="365"/>
      <c r="F294" s="365"/>
      <c r="G294" s="365"/>
      <c r="H294" s="375" t="str">
        <f ca="1">IF(AND(Bid?,NOT(Awd?)),C294,OFFSET(F294,1,0))</f>
        <v/>
      </c>
      <c r="I294" s="216" t="str">
        <f t="shared" ref="I294:O294" ca="1" si="293">IFERROR(SUM(OFFSET(INDIRECT(RangeQuantity),MATCH($A294,INDIRECT(RangeEstCount),0)-1,COLUMN(I294)-COLUMN($H294),1,1))&amp;" "&amp;OFFSET($D294,1,0),"")</f>
        <v/>
      </c>
      <c r="J294" s="277" t="str">
        <f t="shared" ca="1" si="293"/>
        <v/>
      </c>
      <c r="K294" s="277" t="str">
        <f t="shared" ca="1" si="293"/>
        <v/>
      </c>
      <c r="L294" s="277" t="str">
        <f t="shared" ca="1" si="293"/>
        <v/>
      </c>
      <c r="M294" s="277" t="str">
        <f t="shared" ca="1" si="293"/>
        <v/>
      </c>
      <c r="N294" s="277" t="str">
        <f t="shared" ca="1" si="293"/>
        <v/>
      </c>
      <c r="O294" s="277" t="str">
        <f t="shared" ca="1" si="293"/>
        <v/>
      </c>
      <c r="P294" s="209" t="str">
        <f ca="1">IF(LEN(B294)&gt;0,ISNUMBER(MATCH(B294,Proposed[Item],0)),"")</f>
        <v/>
      </c>
    </row>
    <row r="295" spans="1:16" ht="15" x14ac:dyDescent="0.2">
      <c r="A295" s="276">
        <f t="shared" ca="1" si="262"/>
        <v>144</v>
      </c>
      <c r="B295" s="111" t="str">
        <f ca="1">IFERROR("Line "&amp;INDEX(Calcs[Line],INDEX(INDIRECT(RangeCount),MATCH($A295,INDIRECT(RangeEstCount),0))),"")</f>
        <v/>
      </c>
      <c r="C295" s="169" t="str">
        <f ca="1">IFERROR(IF(AND($D295="LPSM",Bid?,All?),"ALL",TEXT(OFFSET(INDIRECT(RangeQuantity),MATCH($A295,INDIRECT(RangeEstCount),0)-1,MATCH(Account,Accounts,0)-1,1,1),IF($D295="LPSM","0%","#,##0"&amp;IF(OFFSET(Items[#Data],MATCH($A295,INDIRECT(RangeEstCount),0)-1,MATCH(Decimals,Items[#Headers],0)-1,1,1)&gt;0,"."&amp;REPT("0",OFFSET(Items[#Data],MATCH($A295,INDIRECT(RangeEstCount),0)-1,MATCH(Decimals,Items[#Headers],0)-1,1,1)),"")))),"")</f>
        <v/>
      </c>
      <c r="D295" s="170" t="str">
        <f ca="1">IFERROR(INDEX(INDIRECT(RangeUnit),MATCH($A295,INDIRECT(RangeEstCount),0))&amp;SUBSTITUTE(" ["&amp;INDEX(INDIRECT(RangeAmend),MATCH($A295,INDIRECT(RangeEstCount),0))&amp;"]"," []",""),"")</f>
        <v/>
      </c>
      <c r="E295" s="170" t="str">
        <f ca="1">IFERROR(IF(INDEX(INDIRECT(RangeContrQty),MATCH($A295,INDIRECT(RangeEstCount),0)),"(CQ)",""),"")</f>
        <v/>
      </c>
      <c r="F295" s="171" t="str">
        <f ca="1">IFERROR(IF(OR(NOT(Bid?),LEFT(UPPER($D295),4)="FXHR"),INDEX(INDIRECT(RangeUnitPrice),MATCH($A295,INDIRECT(RangeEstCount),0)),IF(Awd?,OFFSET(TabAmount,MATCH(INDEX(INDIRECT(RangeCount),MATCH($A295,INDIRECT(RangeEstCount),0)),OFFSET(TabCount,1,0,2*NumPayItems,1),0),MATCH(Awarded2,Bidders,0)),IF(OR($C295="",$D295="LPSM"),"","$"))),"")</f>
        <v/>
      </c>
      <c r="G295" s="171" t="str">
        <f ca="1">IFERROR(VALUE(C295)*F295,IF(AND(Bid?,NOT(Awd?),$D295="LPSM"),"$",F295))</f>
        <v/>
      </c>
      <c r="H295" s="374"/>
      <c r="I295" s="217" t="str">
        <f ca="1">IFERROR(VALUE(SUBSTITUTE(OFFSET(I295,-1,0)," "&amp;$D295,""))*$F295,"")</f>
        <v/>
      </c>
      <c r="J295" s="215" t="str">
        <f ca="1">IFERROR(VALUE(SUBSTITUTE(OFFSET(J295,-1,0)," "&amp;$D295,""))*$F295,"")</f>
        <v/>
      </c>
      <c r="K295" s="215" t="str">
        <f t="shared" ref="K295:M295" ca="1" si="294">IFERROR(VALUE(SUBSTITUTE(OFFSET(K295,-1,0)," "&amp;$D295,""))*$F295,"")</f>
        <v/>
      </c>
      <c r="L295" s="215" t="str">
        <f t="shared" ca="1" si="294"/>
        <v/>
      </c>
      <c r="M295" s="215" t="str">
        <f t="shared" ca="1" si="294"/>
        <v/>
      </c>
      <c r="N295" s="215" t="str">
        <f ca="1">IFERROR(VALUE(SUBSTITUTE(OFFSET(N295,-1,0)," "&amp;$D295,""))*$F295,"")</f>
        <v/>
      </c>
      <c r="O295" s="215" t="str">
        <f ca="1">IFERROR(VALUE(SUBSTITUTE(OFFSET(O295,-1,0)," "&amp;$D295,""))*$F295,"")</f>
        <v/>
      </c>
      <c r="P295" s="209" t="str">
        <f ca="1">IF(LEN(B295)&gt;0,ISNUMBER(MATCH(B295,Proposed[Item],0)),"")</f>
        <v/>
      </c>
    </row>
    <row r="296" spans="1:16" ht="15" x14ac:dyDescent="0.2">
      <c r="A296" s="276">
        <f t="shared" ca="1" si="262"/>
        <v>145</v>
      </c>
      <c r="B296" s="168" t="str">
        <f ca="1">IFERROR(INDEX(INDIRECT(RangeItems),MATCH($A296,INDIRECT(RangeEstCount),0)),"")</f>
        <v/>
      </c>
      <c r="C296" s="365" t="str">
        <f ca="1">IFERROR(INDEX(Calcs[Description],INDEX(INDIRECT(RangeCount),MATCH($A296,INDIRECT(RangeEstCount),0))),"")</f>
        <v/>
      </c>
      <c r="D296" s="365"/>
      <c r="E296" s="365"/>
      <c r="F296" s="365"/>
      <c r="G296" s="365"/>
      <c r="H296" s="375" t="str">
        <f ca="1">IF(AND(Bid?,NOT(Awd?)),C296,OFFSET(F296,1,0))</f>
        <v/>
      </c>
      <c r="I296" s="216" t="str">
        <f t="shared" ref="I296:O296" ca="1" si="295">IFERROR(SUM(OFFSET(INDIRECT(RangeQuantity),MATCH($A296,INDIRECT(RangeEstCount),0)-1,COLUMN(I296)-COLUMN($H296),1,1))&amp;" "&amp;OFFSET($D296,1,0),"")</f>
        <v/>
      </c>
      <c r="J296" s="277" t="str">
        <f t="shared" ca="1" si="295"/>
        <v/>
      </c>
      <c r="K296" s="277" t="str">
        <f t="shared" ca="1" si="295"/>
        <v/>
      </c>
      <c r="L296" s="277" t="str">
        <f t="shared" ca="1" si="295"/>
        <v/>
      </c>
      <c r="M296" s="277" t="str">
        <f t="shared" ca="1" si="295"/>
        <v/>
      </c>
      <c r="N296" s="277" t="str">
        <f t="shared" ca="1" si="295"/>
        <v/>
      </c>
      <c r="O296" s="277" t="str">
        <f t="shared" ca="1" si="295"/>
        <v/>
      </c>
      <c r="P296" s="209" t="str">
        <f ca="1">IF(LEN(B296)&gt;0,ISNUMBER(MATCH(B296,Proposed[Item],0)),"")</f>
        <v/>
      </c>
    </row>
    <row r="297" spans="1:16" ht="15" x14ac:dyDescent="0.2">
      <c r="A297" s="276">
        <f t="shared" ca="1" si="262"/>
        <v>145</v>
      </c>
      <c r="B297" s="111" t="str">
        <f ca="1">IFERROR("Line "&amp;INDEX(Calcs[Line],INDEX(INDIRECT(RangeCount),MATCH($A297,INDIRECT(RangeEstCount),0))),"")</f>
        <v/>
      </c>
      <c r="C297" s="169" t="str">
        <f ca="1">IFERROR(IF(AND($D297="LPSM",Bid?,All?),"ALL",TEXT(OFFSET(INDIRECT(RangeQuantity),MATCH($A297,INDIRECT(RangeEstCount),0)-1,MATCH(Account,Accounts,0)-1,1,1),IF($D297="LPSM","0%","#,##0"&amp;IF(OFFSET(Items[#Data],MATCH($A297,INDIRECT(RangeEstCount),0)-1,MATCH(Decimals,Items[#Headers],0)-1,1,1)&gt;0,"."&amp;REPT("0",OFFSET(Items[#Data],MATCH($A297,INDIRECT(RangeEstCount),0)-1,MATCH(Decimals,Items[#Headers],0)-1,1,1)),"")))),"")</f>
        <v/>
      </c>
      <c r="D297" s="170" t="str">
        <f ca="1">IFERROR(INDEX(INDIRECT(RangeUnit),MATCH($A297,INDIRECT(RangeEstCount),0))&amp;SUBSTITUTE(" ["&amp;INDEX(INDIRECT(RangeAmend),MATCH($A297,INDIRECT(RangeEstCount),0))&amp;"]"," []",""),"")</f>
        <v/>
      </c>
      <c r="E297" s="170" t="str">
        <f ca="1">IFERROR(IF(INDEX(INDIRECT(RangeContrQty),MATCH($A297,INDIRECT(RangeEstCount),0)),"(CQ)",""),"")</f>
        <v/>
      </c>
      <c r="F297" s="171" t="str">
        <f ca="1">IFERROR(IF(OR(NOT(Bid?),LEFT(UPPER($D297),4)="FXHR"),INDEX(INDIRECT(RangeUnitPrice),MATCH($A297,INDIRECT(RangeEstCount),0)),IF(Awd?,OFFSET(TabAmount,MATCH(INDEX(INDIRECT(RangeCount),MATCH($A297,INDIRECT(RangeEstCount),0)),OFFSET(TabCount,1,0,2*NumPayItems,1),0),MATCH(Awarded2,Bidders,0)),IF(OR($C297="",$D297="LPSM"),"","$"))),"")</f>
        <v/>
      </c>
      <c r="G297" s="171" t="str">
        <f ca="1">IFERROR(VALUE(C297)*F297,IF(AND(Bid?,NOT(Awd?),$D297="LPSM"),"$",F297))</f>
        <v/>
      </c>
      <c r="H297" s="374"/>
      <c r="I297" s="217" t="str">
        <f ca="1">IFERROR(VALUE(SUBSTITUTE(OFFSET(I297,-1,0)," "&amp;$D297,""))*$F297,"")</f>
        <v/>
      </c>
      <c r="J297" s="215" t="str">
        <f ca="1">IFERROR(VALUE(SUBSTITUTE(OFFSET(J297,-1,0)," "&amp;$D297,""))*$F297,"")</f>
        <v/>
      </c>
      <c r="K297" s="215" t="str">
        <f t="shared" ref="K297:M297" ca="1" si="296">IFERROR(VALUE(SUBSTITUTE(OFFSET(K297,-1,0)," "&amp;$D297,""))*$F297,"")</f>
        <v/>
      </c>
      <c r="L297" s="215" t="str">
        <f t="shared" ca="1" si="296"/>
        <v/>
      </c>
      <c r="M297" s="215" t="str">
        <f t="shared" ca="1" si="296"/>
        <v/>
      </c>
      <c r="N297" s="215" t="str">
        <f ca="1">IFERROR(VALUE(SUBSTITUTE(OFFSET(N297,-1,0)," "&amp;$D297,""))*$F297,"")</f>
        <v/>
      </c>
      <c r="O297" s="215" t="str">
        <f ca="1">IFERROR(VALUE(SUBSTITUTE(OFFSET(O297,-1,0)," "&amp;$D297,""))*$F297,"")</f>
        <v/>
      </c>
      <c r="P297" s="209" t="str">
        <f ca="1">IF(LEN(B297)&gt;0,ISNUMBER(MATCH(B297,Proposed[Item],0)),"")</f>
        <v/>
      </c>
    </row>
    <row r="298" spans="1:16" ht="15" x14ac:dyDescent="0.2">
      <c r="A298" s="276">
        <f t="shared" ca="1" si="262"/>
        <v>146</v>
      </c>
      <c r="B298" s="168" t="str">
        <f ca="1">IFERROR(INDEX(INDIRECT(RangeItems),MATCH($A298,INDIRECT(RangeEstCount),0)),"")</f>
        <v/>
      </c>
      <c r="C298" s="365" t="str">
        <f ca="1">IFERROR(INDEX(Calcs[Description],INDEX(INDIRECT(RangeCount),MATCH($A298,INDIRECT(RangeEstCount),0))),"")</f>
        <v/>
      </c>
      <c r="D298" s="365"/>
      <c r="E298" s="365"/>
      <c r="F298" s="365"/>
      <c r="G298" s="365"/>
      <c r="H298" s="375" t="str">
        <f ca="1">IF(AND(Bid?,NOT(Awd?)),C298,OFFSET(F298,1,0))</f>
        <v/>
      </c>
      <c r="I298" s="216" t="str">
        <f t="shared" ref="I298:O298" ca="1" si="297">IFERROR(SUM(OFFSET(INDIRECT(RangeQuantity),MATCH($A298,INDIRECT(RangeEstCount),0)-1,COLUMN(I298)-COLUMN($H298),1,1))&amp;" "&amp;OFFSET($D298,1,0),"")</f>
        <v/>
      </c>
      <c r="J298" s="277" t="str">
        <f t="shared" ca="1" si="297"/>
        <v/>
      </c>
      <c r="K298" s="277" t="str">
        <f t="shared" ca="1" si="297"/>
        <v/>
      </c>
      <c r="L298" s="277" t="str">
        <f t="shared" ca="1" si="297"/>
        <v/>
      </c>
      <c r="M298" s="277" t="str">
        <f t="shared" ca="1" si="297"/>
        <v/>
      </c>
      <c r="N298" s="277" t="str">
        <f t="shared" ca="1" si="297"/>
        <v/>
      </c>
      <c r="O298" s="277" t="str">
        <f t="shared" ca="1" si="297"/>
        <v/>
      </c>
      <c r="P298" s="209" t="str">
        <f ca="1">IF(LEN(B298)&gt;0,ISNUMBER(MATCH(B298,Proposed[Item],0)),"")</f>
        <v/>
      </c>
    </row>
    <row r="299" spans="1:16" ht="15" x14ac:dyDescent="0.2">
      <c r="A299" s="276">
        <f t="shared" ca="1" si="262"/>
        <v>146</v>
      </c>
      <c r="B299" s="111" t="str">
        <f ca="1">IFERROR("Line "&amp;INDEX(Calcs[Line],INDEX(INDIRECT(RangeCount),MATCH($A299,INDIRECT(RangeEstCount),0))),"")</f>
        <v/>
      </c>
      <c r="C299" s="169" t="str">
        <f ca="1">IFERROR(IF(AND($D299="LPSM",Bid?,All?),"ALL",TEXT(OFFSET(INDIRECT(RangeQuantity),MATCH($A299,INDIRECT(RangeEstCount),0)-1,MATCH(Account,Accounts,0)-1,1,1),IF($D299="LPSM","0%","#,##0"&amp;IF(OFFSET(Items[#Data],MATCH($A299,INDIRECT(RangeEstCount),0)-1,MATCH(Decimals,Items[#Headers],0)-1,1,1)&gt;0,"."&amp;REPT("0",OFFSET(Items[#Data],MATCH($A299,INDIRECT(RangeEstCount),0)-1,MATCH(Decimals,Items[#Headers],0)-1,1,1)),"")))),"")</f>
        <v/>
      </c>
      <c r="D299" s="170" t="str">
        <f ca="1">IFERROR(INDEX(INDIRECT(RangeUnit),MATCH($A299,INDIRECT(RangeEstCount),0))&amp;SUBSTITUTE(" ["&amp;INDEX(INDIRECT(RangeAmend),MATCH($A299,INDIRECT(RangeEstCount),0))&amp;"]"," []",""),"")</f>
        <v/>
      </c>
      <c r="E299" s="170" t="str">
        <f ca="1">IFERROR(IF(INDEX(INDIRECT(RangeContrQty),MATCH($A299,INDIRECT(RangeEstCount),0)),"(CQ)",""),"")</f>
        <v/>
      </c>
      <c r="F299" s="171" t="str">
        <f ca="1">IFERROR(IF(OR(NOT(Bid?),LEFT(UPPER($D299),4)="FXHR"),INDEX(INDIRECT(RangeUnitPrice),MATCH($A299,INDIRECT(RangeEstCount),0)),IF(Awd?,OFFSET(TabAmount,MATCH(INDEX(INDIRECT(RangeCount),MATCH($A299,INDIRECT(RangeEstCount),0)),OFFSET(TabCount,1,0,2*NumPayItems,1),0),MATCH(Awarded2,Bidders,0)),IF(OR($C299="",$D299="LPSM"),"","$"))),"")</f>
        <v/>
      </c>
      <c r="G299" s="171" t="str">
        <f ca="1">IFERROR(VALUE(C299)*F299,IF(AND(Bid?,NOT(Awd?),$D299="LPSM"),"$",F299))</f>
        <v/>
      </c>
      <c r="H299" s="374"/>
      <c r="I299" s="217" t="str">
        <f ca="1">IFERROR(VALUE(SUBSTITUTE(OFFSET(I299,-1,0)," "&amp;$D299,""))*$F299,"")</f>
        <v/>
      </c>
      <c r="J299" s="215" t="str">
        <f ca="1">IFERROR(VALUE(SUBSTITUTE(OFFSET(J299,-1,0)," "&amp;$D299,""))*$F299,"")</f>
        <v/>
      </c>
      <c r="K299" s="215" t="str">
        <f t="shared" ref="K299:M299" ca="1" si="298">IFERROR(VALUE(SUBSTITUTE(OFFSET(K299,-1,0)," "&amp;$D299,""))*$F299,"")</f>
        <v/>
      </c>
      <c r="L299" s="215" t="str">
        <f t="shared" ca="1" si="298"/>
        <v/>
      </c>
      <c r="M299" s="215" t="str">
        <f t="shared" ca="1" si="298"/>
        <v/>
      </c>
      <c r="N299" s="215" t="str">
        <f ca="1">IFERROR(VALUE(SUBSTITUTE(OFFSET(N299,-1,0)," "&amp;$D299,""))*$F299,"")</f>
        <v/>
      </c>
      <c r="O299" s="215" t="str">
        <f ca="1">IFERROR(VALUE(SUBSTITUTE(OFFSET(O299,-1,0)," "&amp;$D299,""))*$F299,"")</f>
        <v/>
      </c>
      <c r="P299" s="209" t="str">
        <f ca="1">IF(LEN(B299)&gt;0,ISNUMBER(MATCH(B299,Proposed[Item],0)),"")</f>
        <v/>
      </c>
    </row>
    <row r="300" spans="1:16" ht="15" x14ac:dyDescent="0.2">
      <c r="A300" s="276">
        <f t="shared" ca="1" si="262"/>
        <v>147</v>
      </c>
      <c r="B300" s="168" t="str">
        <f ca="1">IFERROR(INDEX(INDIRECT(RangeItems),MATCH($A300,INDIRECT(RangeEstCount),0)),"")</f>
        <v/>
      </c>
      <c r="C300" s="365" t="str">
        <f ca="1">IFERROR(INDEX(Calcs[Description],INDEX(INDIRECT(RangeCount),MATCH($A300,INDIRECT(RangeEstCount),0))),"")</f>
        <v/>
      </c>
      <c r="D300" s="365"/>
      <c r="E300" s="365"/>
      <c r="F300" s="365"/>
      <c r="G300" s="365"/>
      <c r="H300" s="375" t="str">
        <f ca="1">IF(AND(Bid?,NOT(Awd?)),C300,OFFSET(F300,1,0))</f>
        <v/>
      </c>
      <c r="I300" s="216" t="str">
        <f t="shared" ref="I300:O300" ca="1" si="299">IFERROR(SUM(OFFSET(INDIRECT(RangeQuantity),MATCH($A300,INDIRECT(RangeEstCount),0)-1,COLUMN(I300)-COLUMN($H300),1,1))&amp;" "&amp;OFFSET($D300,1,0),"")</f>
        <v/>
      </c>
      <c r="J300" s="277" t="str">
        <f t="shared" ca="1" si="299"/>
        <v/>
      </c>
      <c r="K300" s="277" t="str">
        <f t="shared" ca="1" si="299"/>
        <v/>
      </c>
      <c r="L300" s="277" t="str">
        <f t="shared" ca="1" si="299"/>
        <v/>
      </c>
      <c r="M300" s="277" t="str">
        <f t="shared" ca="1" si="299"/>
        <v/>
      </c>
      <c r="N300" s="277" t="str">
        <f t="shared" ca="1" si="299"/>
        <v/>
      </c>
      <c r="O300" s="277" t="str">
        <f t="shared" ca="1" si="299"/>
        <v/>
      </c>
      <c r="P300" s="209" t="str">
        <f ca="1">IF(LEN(B300)&gt;0,ISNUMBER(MATCH(B300,Proposed[Item],0)),"")</f>
        <v/>
      </c>
    </row>
    <row r="301" spans="1:16" ht="15" x14ac:dyDescent="0.2">
      <c r="A301" s="276">
        <f t="shared" ca="1" si="262"/>
        <v>147</v>
      </c>
      <c r="B301" s="111" t="str">
        <f ca="1">IFERROR("Line "&amp;INDEX(Calcs[Line],INDEX(INDIRECT(RangeCount),MATCH($A301,INDIRECT(RangeEstCount),0))),"")</f>
        <v/>
      </c>
      <c r="C301" s="169" t="str">
        <f ca="1">IFERROR(IF(AND($D301="LPSM",Bid?,All?),"ALL",TEXT(OFFSET(INDIRECT(RangeQuantity),MATCH($A301,INDIRECT(RangeEstCount),0)-1,MATCH(Account,Accounts,0)-1,1,1),IF($D301="LPSM","0%","#,##0"&amp;IF(OFFSET(Items[#Data],MATCH($A301,INDIRECT(RangeEstCount),0)-1,MATCH(Decimals,Items[#Headers],0)-1,1,1)&gt;0,"."&amp;REPT("0",OFFSET(Items[#Data],MATCH($A301,INDIRECT(RangeEstCount),0)-1,MATCH(Decimals,Items[#Headers],0)-1,1,1)),"")))),"")</f>
        <v/>
      </c>
      <c r="D301" s="170" t="str">
        <f ca="1">IFERROR(INDEX(INDIRECT(RangeUnit),MATCH($A301,INDIRECT(RangeEstCount),0))&amp;SUBSTITUTE(" ["&amp;INDEX(INDIRECT(RangeAmend),MATCH($A301,INDIRECT(RangeEstCount),0))&amp;"]"," []",""),"")</f>
        <v/>
      </c>
      <c r="E301" s="170" t="str">
        <f ca="1">IFERROR(IF(INDEX(INDIRECT(RangeContrQty),MATCH($A301,INDIRECT(RangeEstCount),0)),"(CQ)",""),"")</f>
        <v/>
      </c>
      <c r="F301" s="171" t="str">
        <f ca="1">IFERROR(IF(OR(NOT(Bid?),LEFT(UPPER($D301),4)="FXHR"),INDEX(INDIRECT(RangeUnitPrice),MATCH($A301,INDIRECT(RangeEstCount),0)),IF(Awd?,OFFSET(TabAmount,MATCH(INDEX(INDIRECT(RangeCount),MATCH($A301,INDIRECT(RangeEstCount),0)),OFFSET(TabCount,1,0,2*NumPayItems,1),0),MATCH(Awarded2,Bidders,0)),IF(OR($C301="",$D301="LPSM"),"","$"))),"")</f>
        <v/>
      </c>
      <c r="G301" s="171" t="str">
        <f ca="1">IFERROR(VALUE(C301)*F301,IF(AND(Bid?,NOT(Awd?),$D301="LPSM"),"$",F301))</f>
        <v/>
      </c>
      <c r="H301" s="374"/>
      <c r="I301" s="217" t="str">
        <f ca="1">IFERROR(VALUE(SUBSTITUTE(OFFSET(I301,-1,0)," "&amp;$D301,""))*$F301,"")</f>
        <v/>
      </c>
      <c r="J301" s="215" t="str">
        <f ca="1">IFERROR(VALUE(SUBSTITUTE(OFFSET(J301,-1,0)," "&amp;$D301,""))*$F301,"")</f>
        <v/>
      </c>
      <c r="K301" s="215" t="str">
        <f t="shared" ref="K301:M301" ca="1" si="300">IFERROR(VALUE(SUBSTITUTE(OFFSET(K301,-1,0)," "&amp;$D301,""))*$F301,"")</f>
        <v/>
      </c>
      <c r="L301" s="215" t="str">
        <f t="shared" ca="1" si="300"/>
        <v/>
      </c>
      <c r="M301" s="215" t="str">
        <f t="shared" ca="1" si="300"/>
        <v/>
      </c>
      <c r="N301" s="215" t="str">
        <f ca="1">IFERROR(VALUE(SUBSTITUTE(OFFSET(N301,-1,0)," "&amp;$D301,""))*$F301,"")</f>
        <v/>
      </c>
      <c r="O301" s="215" t="str">
        <f ca="1">IFERROR(VALUE(SUBSTITUTE(OFFSET(O301,-1,0)," "&amp;$D301,""))*$F301,"")</f>
        <v/>
      </c>
      <c r="P301" s="209" t="str">
        <f ca="1">IF(LEN(B301)&gt;0,ISNUMBER(MATCH(B301,Proposed[Item],0)),"")</f>
        <v/>
      </c>
    </row>
    <row r="302" spans="1:16" ht="15" x14ac:dyDescent="0.2">
      <c r="A302" s="276">
        <f t="shared" ca="1" si="262"/>
        <v>148</v>
      </c>
      <c r="B302" s="168" t="str">
        <f ca="1">IFERROR(INDEX(INDIRECT(RangeItems),MATCH($A302,INDIRECT(RangeEstCount),0)),"")</f>
        <v/>
      </c>
      <c r="C302" s="365" t="str">
        <f ca="1">IFERROR(INDEX(Calcs[Description],INDEX(INDIRECT(RangeCount),MATCH($A302,INDIRECT(RangeEstCount),0))),"")</f>
        <v/>
      </c>
      <c r="D302" s="365"/>
      <c r="E302" s="365"/>
      <c r="F302" s="365"/>
      <c r="G302" s="365"/>
      <c r="H302" s="375" t="str">
        <f ca="1">IF(AND(Bid?,NOT(Awd?)),C302,OFFSET(F302,1,0))</f>
        <v/>
      </c>
      <c r="I302" s="216" t="str">
        <f t="shared" ref="I302:O302" ca="1" si="301">IFERROR(SUM(OFFSET(INDIRECT(RangeQuantity),MATCH($A302,INDIRECT(RangeEstCount),0)-1,COLUMN(I302)-COLUMN($H302),1,1))&amp;" "&amp;OFFSET($D302,1,0),"")</f>
        <v/>
      </c>
      <c r="J302" s="277" t="str">
        <f t="shared" ca="1" si="301"/>
        <v/>
      </c>
      <c r="K302" s="277" t="str">
        <f t="shared" ca="1" si="301"/>
        <v/>
      </c>
      <c r="L302" s="277" t="str">
        <f t="shared" ca="1" si="301"/>
        <v/>
      </c>
      <c r="M302" s="277" t="str">
        <f t="shared" ca="1" si="301"/>
        <v/>
      </c>
      <c r="N302" s="277" t="str">
        <f t="shared" ca="1" si="301"/>
        <v/>
      </c>
      <c r="O302" s="277" t="str">
        <f t="shared" ca="1" si="301"/>
        <v/>
      </c>
      <c r="P302" s="209" t="str">
        <f ca="1">IF(LEN(B302)&gt;0,ISNUMBER(MATCH(B302,Proposed[Item],0)),"")</f>
        <v/>
      </c>
    </row>
    <row r="303" spans="1:16" ht="15" x14ac:dyDescent="0.2">
      <c r="A303" s="276">
        <f t="shared" ca="1" si="262"/>
        <v>148</v>
      </c>
      <c r="B303" s="111" t="str">
        <f ca="1">IFERROR("Line "&amp;INDEX(Calcs[Line],INDEX(INDIRECT(RangeCount),MATCH($A303,INDIRECT(RangeEstCount),0))),"")</f>
        <v/>
      </c>
      <c r="C303" s="169" t="str">
        <f ca="1">IFERROR(IF(AND($D303="LPSM",Bid?,All?),"ALL",TEXT(OFFSET(INDIRECT(RangeQuantity),MATCH($A303,INDIRECT(RangeEstCount),0)-1,MATCH(Account,Accounts,0)-1,1,1),IF($D303="LPSM","0%","#,##0"&amp;IF(OFFSET(Items[#Data],MATCH($A303,INDIRECT(RangeEstCount),0)-1,MATCH(Decimals,Items[#Headers],0)-1,1,1)&gt;0,"."&amp;REPT("0",OFFSET(Items[#Data],MATCH($A303,INDIRECT(RangeEstCount),0)-1,MATCH(Decimals,Items[#Headers],0)-1,1,1)),"")))),"")</f>
        <v/>
      </c>
      <c r="D303" s="170" t="str">
        <f ca="1">IFERROR(INDEX(INDIRECT(RangeUnit),MATCH($A303,INDIRECT(RangeEstCount),0))&amp;SUBSTITUTE(" ["&amp;INDEX(INDIRECT(RangeAmend),MATCH($A303,INDIRECT(RangeEstCount),0))&amp;"]"," []",""),"")</f>
        <v/>
      </c>
      <c r="E303" s="170" t="str">
        <f ca="1">IFERROR(IF(INDEX(INDIRECT(RangeContrQty),MATCH($A303,INDIRECT(RangeEstCount),0)),"(CQ)",""),"")</f>
        <v/>
      </c>
      <c r="F303" s="171" t="str">
        <f ca="1">IFERROR(IF(OR(NOT(Bid?),LEFT(UPPER($D303),4)="FXHR"),INDEX(INDIRECT(RangeUnitPrice),MATCH($A303,INDIRECT(RangeEstCount),0)),IF(Awd?,OFFSET(TabAmount,MATCH(INDEX(INDIRECT(RangeCount),MATCH($A303,INDIRECT(RangeEstCount),0)),OFFSET(TabCount,1,0,2*NumPayItems,1),0),MATCH(Awarded2,Bidders,0)),IF(OR($C303="",$D303="LPSM"),"","$"))),"")</f>
        <v/>
      </c>
      <c r="G303" s="171" t="str">
        <f ca="1">IFERROR(VALUE(C303)*F303,IF(AND(Bid?,NOT(Awd?),$D303="LPSM"),"$",F303))</f>
        <v/>
      </c>
      <c r="H303" s="374"/>
      <c r="I303" s="217" t="str">
        <f ca="1">IFERROR(VALUE(SUBSTITUTE(OFFSET(I303,-1,0)," "&amp;$D303,""))*$F303,"")</f>
        <v/>
      </c>
      <c r="J303" s="215" t="str">
        <f ca="1">IFERROR(VALUE(SUBSTITUTE(OFFSET(J303,-1,0)," "&amp;$D303,""))*$F303,"")</f>
        <v/>
      </c>
      <c r="K303" s="215" t="str">
        <f t="shared" ref="K303:M303" ca="1" si="302">IFERROR(VALUE(SUBSTITUTE(OFFSET(K303,-1,0)," "&amp;$D303,""))*$F303,"")</f>
        <v/>
      </c>
      <c r="L303" s="215" t="str">
        <f t="shared" ca="1" si="302"/>
        <v/>
      </c>
      <c r="M303" s="215" t="str">
        <f t="shared" ca="1" si="302"/>
        <v/>
      </c>
      <c r="N303" s="215" t="str">
        <f ca="1">IFERROR(VALUE(SUBSTITUTE(OFFSET(N303,-1,0)," "&amp;$D303,""))*$F303,"")</f>
        <v/>
      </c>
      <c r="O303" s="215" t="str">
        <f ca="1">IFERROR(VALUE(SUBSTITUTE(OFFSET(O303,-1,0)," "&amp;$D303,""))*$F303,"")</f>
        <v/>
      </c>
      <c r="P303" s="209" t="str">
        <f ca="1">IF(LEN(B303)&gt;0,ISNUMBER(MATCH(B303,Proposed[Item],0)),"")</f>
        <v/>
      </c>
    </row>
    <row r="304" spans="1:16" ht="15" x14ac:dyDescent="0.2">
      <c r="A304" s="276">
        <f t="shared" ca="1" si="262"/>
        <v>149</v>
      </c>
      <c r="B304" s="168" t="str">
        <f ca="1">IFERROR(INDEX(INDIRECT(RangeItems),MATCH($A304,INDIRECT(RangeEstCount),0)),"")</f>
        <v/>
      </c>
      <c r="C304" s="365" t="str">
        <f ca="1">IFERROR(INDEX(Calcs[Description],INDEX(INDIRECT(RangeCount),MATCH($A304,INDIRECT(RangeEstCount),0))),"")</f>
        <v/>
      </c>
      <c r="D304" s="365"/>
      <c r="E304" s="365"/>
      <c r="F304" s="365"/>
      <c r="G304" s="365"/>
      <c r="H304" s="375" t="str">
        <f ca="1">IF(AND(Bid?,NOT(Awd?)),C304,OFFSET(F304,1,0))</f>
        <v/>
      </c>
      <c r="I304" s="216" t="str">
        <f t="shared" ref="I304:O304" ca="1" si="303">IFERROR(SUM(OFFSET(INDIRECT(RangeQuantity),MATCH($A304,INDIRECT(RangeEstCount),0)-1,COLUMN(I304)-COLUMN($H304),1,1))&amp;" "&amp;OFFSET($D304,1,0),"")</f>
        <v/>
      </c>
      <c r="J304" s="277" t="str">
        <f t="shared" ca="1" si="303"/>
        <v/>
      </c>
      <c r="K304" s="277" t="str">
        <f t="shared" ca="1" si="303"/>
        <v/>
      </c>
      <c r="L304" s="277" t="str">
        <f t="shared" ca="1" si="303"/>
        <v/>
      </c>
      <c r="M304" s="277" t="str">
        <f t="shared" ca="1" si="303"/>
        <v/>
      </c>
      <c r="N304" s="277" t="str">
        <f t="shared" ca="1" si="303"/>
        <v/>
      </c>
      <c r="O304" s="277" t="str">
        <f t="shared" ca="1" si="303"/>
        <v/>
      </c>
      <c r="P304" s="209" t="str">
        <f ca="1">IF(LEN(B304)&gt;0,ISNUMBER(MATCH(B304,Proposed[Item],0)),"")</f>
        <v/>
      </c>
    </row>
    <row r="305" spans="1:16" ht="15" x14ac:dyDescent="0.2">
      <c r="A305" s="276">
        <f t="shared" ca="1" si="262"/>
        <v>149</v>
      </c>
      <c r="B305" s="111" t="str">
        <f ca="1">IFERROR("Line "&amp;INDEX(Calcs[Line],INDEX(INDIRECT(RangeCount),MATCH($A305,INDIRECT(RangeEstCount),0))),"")</f>
        <v/>
      </c>
      <c r="C305" s="169" t="str">
        <f ca="1">IFERROR(IF(AND($D305="LPSM",Bid?,All?),"ALL",TEXT(OFFSET(INDIRECT(RangeQuantity),MATCH($A305,INDIRECT(RangeEstCount),0)-1,MATCH(Account,Accounts,0)-1,1,1),IF($D305="LPSM","0%","#,##0"&amp;IF(OFFSET(Items[#Data],MATCH($A305,INDIRECT(RangeEstCount),0)-1,MATCH(Decimals,Items[#Headers],0)-1,1,1)&gt;0,"."&amp;REPT("0",OFFSET(Items[#Data],MATCH($A305,INDIRECT(RangeEstCount),0)-1,MATCH(Decimals,Items[#Headers],0)-1,1,1)),"")))),"")</f>
        <v/>
      </c>
      <c r="D305" s="170" t="str">
        <f ca="1">IFERROR(INDEX(INDIRECT(RangeUnit),MATCH($A305,INDIRECT(RangeEstCount),0))&amp;SUBSTITUTE(" ["&amp;INDEX(INDIRECT(RangeAmend),MATCH($A305,INDIRECT(RangeEstCount),0))&amp;"]"," []",""),"")</f>
        <v/>
      </c>
      <c r="E305" s="170" t="str">
        <f ca="1">IFERROR(IF(INDEX(INDIRECT(RangeContrQty),MATCH($A305,INDIRECT(RangeEstCount),0)),"(CQ)",""),"")</f>
        <v/>
      </c>
      <c r="F305" s="171" t="str">
        <f ca="1">IFERROR(IF(OR(NOT(Bid?),LEFT(UPPER($D305),4)="FXHR"),INDEX(INDIRECT(RangeUnitPrice),MATCH($A305,INDIRECT(RangeEstCount),0)),IF(Awd?,OFFSET(TabAmount,MATCH(INDEX(INDIRECT(RangeCount),MATCH($A305,INDIRECT(RangeEstCount),0)),OFFSET(TabCount,1,0,2*NumPayItems,1),0),MATCH(Awarded2,Bidders,0)),IF(OR($C305="",$D305="LPSM"),"","$"))),"")</f>
        <v/>
      </c>
      <c r="G305" s="171" t="str">
        <f ca="1">IFERROR(VALUE(C305)*F305,IF(AND(Bid?,NOT(Awd?),$D305="LPSM"),"$",F305))</f>
        <v/>
      </c>
      <c r="H305" s="374"/>
      <c r="I305" s="217" t="str">
        <f ca="1">IFERROR(VALUE(SUBSTITUTE(OFFSET(I305,-1,0)," "&amp;$D305,""))*$F305,"")</f>
        <v/>
      </c>
      <c r="J305" s="215" t="str">
        <f ca="1">IFERROR(VALUE(SUBSTITUTE(OFFSET(J305,-1,0)," "&amp;$D305,""))*$F305,"")</f>
        <v/>
      </c>
      <c r="K305" s="215" t="str">
        <f t="shared" ref="K305:M305" ca="1" si="304">IFERROR(VALUE(SUBSTITUTE(OFFSET(K305,-1,0)," "&amp;$D305,""))*$F305,"")</f>
        <v/>
      </c>
      <c r="L305" s="215" t="str">
        <f t="shared" ca="1" si="304"/>
        <v/>
      </c>
      <c r="M305" s="215" t="str">
        <f t="shared" ca="1" si="304"/>
        <v/>
      </c>
      <c r="N305" s="215" t="str">
        <f ca="1">IFERROR(VALUE(SUBSTITUTE(OFFSET(N305,-1,0)," "&amp;$D305,""))*$F305,"")</f>
        <v/>
      </c>
      <c r="O305" s="215" t="str">
        <f ca="1">IFERROR(VALUE(SUBSTITUTE(OFFSET(O305,-1,0)," "&amp;$D305,""))*$F305,"")</f>
        <v/>
      </c>
      <c r="P305" s="209" t="str">
        <f ca="1">IF(LEN(B305)&gt;0,ISNUMBER(MATCH(B305,Proposed[Item],0)),"")</f>
        <v/>
      </c>
    </row>
    <row r="306" spans="1:16" ht="15" x14ac:dyDescent="0.2">
      <c r="A306" s="276">
        <f t="shared" ca="1" si="262"/>
        <v>150</v>
      </c>
      <c r="B306" s="168" t="str">
        <f ca="1">IFERROR(INDEX(INDIRECT(RangeItems),MATCH($A306,INDIRECT(RangeEstCount),0)),"")</f>
        <v/>
      </c>
      <c r="C306" s="365" t="str">
        <f ca="1">IFERROR(INDEX(Calcs[Description],INDEX(INDIRECT(RangeCount),MATCH($A306,INDIRECT(RangeEstCount),0))),"")</f>
        <v/>
      </c>
      <c r="D306" s="365"/>
      <c r="E306" s="365"/>
      <c r="F306" s="365"/>
      <c r="G306" s="365"/>
      <c r="H306" s="375" t="str">
        <f ca="1">IF(AND(Bid?,NOT(Awd?)),C306,OFFSET(F306,1,0))</f>
        <v/>
      </c>
      <c r="I306" s="216" t="str">
        <f t="shared" ref="I306:O306" ca="1" si="305">IFERROR(SUM(OFFSET(INDIRECT(RangeQuantity),MATCH($A306,INDIRECT(RangeEstCount),0)-1,COLUMN(I306)-COLUMN($H306),1,1))&amp;" "&amp;OFFSET($D306,1,0),"")</f>
        <v/>
      </c>
      <c r="J306" s="277" t="str">
        <f t="shared" ca="1" si="305"/>
        <v/>
      </c>
      <c r="K306" s="277" t="str">
        <f t="shared" ca="1" si="305"/>
        <v/>
      </c>
      <c r="L306" s="277" t="str">
        <f t="shared" ca="1" si="305"/>
        <v/>
      </c>
      <c r="M306" s="277" t="str">
        <f t="shared" ca="1" si="305"/>
        <v/>
      </c>
      <c r="N306" s="277" t="str">
        <f t="shared" ca="1" si="305"/>
        <v/>
      </c>
      <c r="O306" s="277" t="str">
        <f t="shared" ca="1" si="305"/>
        <v/>
      </c>
      <c r="P306" s="209" t="str">
        <f ca="1">IF(LEN(B306)&gt;0,ISNUMBER(MATCH(B306,Proposed[Item],0)),"")</f>
        <v/>
      </c>
    </row>
    <row r="307" spans="1:16" ht="15" x14ac:dyDescent="0.2">
      <c r="A307" s="276">
        <f t="shared" ca="1" si="262"/>
        <v>150</v>
      </c>
      <c r="B307" s="111" t="str">
        <f ca="1">IFERROR("Line "&amp;INDEX(Calcs[Line],INDEX(INDIRECT(RangeCount),MATCH($A307,INDIRECT(RangeEstCount),0))),"")</f>
        <v/>
      </c>
      <c r="C307" s="169" t="str">
        <f ca="1">IFERROR(IF(AND($D307="LPSM",Bid?,All?),"ALL",TEXT(OFFSET(INDIRECT(RangeQuantity),MATCH($A307,INDIRECT(RangeEstCount),0)-1,MATCH(Account,Accounts,0)-1,1,1),IF($D307="LPSM","0%","#,##0"&amp;IF(OFFSET(Items[#Data],MATCH($A307,INDIRECT(RangeEstCount),0)-1,MATCH(Decimals,Items[#Headers],0)-1,1,1)&gt;0,"."&amp;REPT("0",OFFSET(Items[#Data],MATCH($A307,INDIRECT(RangeEstCount),0)-1,MATCH(Decimals,Items[#Headers],0)-1,1,1)),"")))),"")</f>
        <v/>
      </c>
      <c r="D307" s="170" t="str">
        <f ca="1">IFERROR(INDEX(INDIRECT(RangeUnit),MATCH($A307,INDIRECT(RangeEstCount),0))&amp;SUBSTITUTE(" ["&amp;INDEX(INDIRECT(RangeAmend),MATCH($A307,INDIRECT(RangeEstCount),0))&amp;"]"," []",""),"")</f>
        <v/>
      </c>
      <c r="E307" s="170" t="str">
        <f ca="1">IFERROR(IF(INDEX(INDIRECT(RangeContrQty),MATCH($A307,INDIRECT(RangeEstCount),0)),"(CQ)",""),"")</f>
        <v/>
      </c>
      <c r="F307" s="171" t="str">
        <f ca="1">IFERROR(IF(OR(NOT(Bid?),LEFT(UPPER($D307),4)="FXHR"),INDEX(INDIRECT(RangeUnitPrice),MATCH($A307,INDIRECT(RangeEstCount),0)),IF(Awd?,OFFSET(TabAmount,MATCH(INDEX(INDIRECT(RangeCount),MATCH($A307,INDIRECT(RangeEstCount),0)),OFFSET(TabCount,1,0,2*NumPayItems,1),0),MATCH(Awarded2,Bidders,0)),IF(OR($C307="",$D307="LPSM"),"","$"))),"")</f>
        <v/>
      </c>
      <c r="G307" s="171" t="str">
        <f ca="1">IFERROR(VALUE(C307)*F307,IF(AND(Bid?,NOT(Awd?),$D307="LPSM"),"$",F307))</f>
        <v/>
      </c>
      <c r="H307" s="374"/>
      <c r="I307" s="217" t="str">
        <f ca="1">IFERROR(VALUE(SUBSTITUTE(OFFSET(I307,-1,0)," "&amp;$D307,""))*$F307,"")</f>
        <v/>
      </c>
      <c r="J307" s="215" t="str">
        <f ca="1">IFERROR(VALUE(SUBSTITUTE(OFFSET(J307,-1,0)," "&amp;$D307,""))*$F307,"")</f>
        <v/>
      </c>
      <c r="K307" s="215" t="str">
        <f t="shared" ref="K307:M307" ca="1" si="306">IFERROR(VALUE(SUBSTITUTE(OFFSET(K307,-1,0)," "&amp;$D307,""))*$F307,"")</f>
        <v/>
      </c>
      <c r="L307" s="215" t="str">
        <f t="shared" ca="1" si="306"/>
        <v/>
      </c>
      <c r="M307" s="215" t="str">
        <f t="shared" ca="1" si="306"/>
        <v/>
      </c>
      <c r="N307" s="215" t="str">
        <f ca="1">IFERROR(VALUE(SUBSTITUTE(OFFSET(N307,-1,0)," "&amp;$D307,""))*$F307,"")</f>
        <v/>
      </c>
      <c r="O307" s="215" t="str">
        <f ca="1">IFERROR(VALUE(SUBSTITUTE(OFFSET(O307,-1,0)," "&amp;$D307,""))*$F307,"")</f>
        <v/>
      </c>
      <c r="P307" s="209" t="str">
        <f ca="1">IF(LEN(B307)&gt;0,ISNUMBER(MATCH(B307,Proposed[Item],0)),"")</f>
        <v/>
      </c>
    </row>
    <row r="308" spans="1:16" ht="15" x14ac:dyDescent="0.2">
      <c r="A308" s="276">
        <f t="shared" ca="1" si="262"/>
        <v>151</v>
      </c>
      <c r="B308" s="168" t="str">
        <f ca="1">IFERROR(INDEX(INDIRECT(RangeItems),MATCH($A308,INDIRECT(RangeEstCount),0)),"")</f>
        <v/>
      </c>
      <c r="C308" s="365" t="str">
        <f ca="1">IFERROR(INDEX(Calcs[Description],INDEX(INDIRECT(RangeCount),MATCH($A308,INDIRECT(RangeEstCount),0))),"")</f>
        <v/>
      </c>
      <c r="D308" s="365"/>
      <c r="E308" s="365"/>
      <c r="F308" s="365"/>
      <c r="G308" s="365"/>
      <c r="H308" s="375" t="str">
        <f ca="1">IF(AND(Bid?,NOT(Awd?)),C308,OFFSET(F308,1,0))</f>
        <v/>
      </c>
      <c r="I308" s="216" t="str">
        <f t="shared" ref="I308:O308" ca="1" si="307">IFERROR(SUM(OFFSET(INDIRECT(RangeQuantity),MATCH($A308,INDIRECT(RangeEstCount),0)-1,COLUMN(I308)-COLUMN($H308),1,1))&amp;" "&amp;OFFSET($D308,1,0),"")</f>
        <v/>
      </c>
      <c r="J308" s="277" t="str">
        <f t="shared" ca="1" si="307"/>
        <v/>
      </c>
      <c r="K308" s="277" t="str">
        <f t="shared" ca="1" si="307"/>
        <v/>
      </c>
      <c r="L308" s="277" t="str">
        <f t="shared" ca="1" si="307"/>
        <v/>
      </c>
      <c r="M308" s="277" t="str">
        <f t="shared" ca="1" si="307"/>
        <v/>
      </c>
      <c r="N308" s="277" t="str">
        <f t="shared" ca="1" si="307"/>
        <v/>
      </c>
      <c r="O308" s="277" t="str">
        <f t="shared" ca="1" si="307"/>
        <v/>
      </c>
      <c r="P308" s="209" t="str">
        <f ca="1">IF(LEN(B308)&gt;0,ISNUMBER(MATCH(B308,Proposed[Item],0)),"")</f>
        <v/>
      </c>
    </row>
    <row r="309" spans="1:16" ht="15" x14ac:dyDescent="0.2">
      <c r="A309" s="276">
        <f t="shared" ca="1" si="262"/>
        <v>151</v>
      </c>
      <c r="B309" s="111" t="str">
        <f ca="1">IFERROR("Line "&amp;INDEX(Calcs[Line],INDEX(INDIRECT(RangeCount),MATCH($A309,INDIRECT(RangeEstCount),0))),"")</f>
        <v/>
      </c>
      <c r="C309" s="169" t="str">
        <f ca="1">IFERROR(IF(AND($D309="LPSM",Bid?,All?),"ALL",TEXT(OFFSET(INDIRECT(RangeQuantity),MATCH($A309,INDIRECT(RangeEstCount),0)-1,MATCH(Account,Accounts,0)-1,1,1),IF($D309="LPSM","0%","#,##0"&amp;IF(OFFSET(Items[#Data],MATCH($A309,INDIRECT(RangeEstCount),0)-1,MATCH(Decimals,Items[#Headers],0)-1,1,1)&gt;0,"."&amp;REPT("0",OFFSET(Items[#Data],MATCH($A309,INDIRECT(RangeEstCount),0)-1,MATCH(Decimals,Items[#Headers],0)-1,1,1)),"")))),"")</f>
        <v/>
      </c>
      <c r="D309" s="170" t="str">
        <f ca="1">IFERROR(INDEX(INDIRECT(RangeUnit),MATCH($A309,INDIRECT(RangeEstCount),0))&amp;SUBSTITUTE(" ["&amp;INDEX(INDIRECT(RangeAmend),MATCH($A309,INDIRECT(RangeEstCount),0))&amp;"]"," []",""),"")</f>
        <v/>
      </c>
      <c r="E309" s="170" t="str">
        <f ca="1">IFERROR(IF(INDEX(INDIRECT(RangeContrQty),MATCH($A309,INDIRECT(RangeEstCount),0)),"(CQ)",""),"")</f>
        <v/>
      </c>
      <c r="F309" s="171" t="str">
        <f ca="1">IFERROR(IF(OR(NOT(Bid?),LEFT(UPPER($D309),4)="FXHR"),INDEX(INDIRECT(RangeUnitPrice),MATCH($A309,INDIRECT(RangeEstCount),0)),IF(Awd?,OFFSET(TabAmount,MATCH(INDEX(INDIRECT(RangeCount),MATCH($A309,INDIRECT(RangeEstCount),0)),OFFSET(TabCount,1,0,2*NumPayItems,1),0),MATCH(Awarded2,Bidders,0)),IF(OR($C309="",$D309="LPSM"),"","$"))),"")</f>
        <v/>
      </c>
      <c r="G309" s="171" t="str">
        <f ca="1">IFERROR(VALUE(C309)*F309,IF(AND(Bid?,NOT(Awd?),$D309="LPSM"),"$",F309))</f>
        <v/>
      </c>
      <c r="H309" s="374"/>
      <c r="I309" s="217" t="str">
        <f ca="1">IFERROR(VALUE(SUBSTITUTE(OFFSET(I309,-1,0)," "&amp;$D309,""))*$F309,"")</f>
        <v/>
      </c>
      <c r="J309" s="215" t="str">
        <f ca="1">IFERROR(VALUE(SUBSTITUTE(OFFSET(J309,-1,0)," "&amp;$D309,""))*$F309,"")</f>
        <v/>
      </c>
      <c r="K309" s="215" t="str">
        <f t="shared" ref="K309:M309" ca="1" si="308">IFERROR(VALUE(SUBSTITUTE(OFFSET(K309,-1,0)," "&amp;$D309,""))*$F309,"")</f>
        <v/>
      </c>
      <c r="L309" s="215" t="str">
        <f t="shared" ca="1" si="308"/>
        <v/>
      </c>
      <c r="M309" s="215" t="str">
        <f t="shared" ca="1" si="308"/>
        <v/>
      </c>
      <c r="N309" s="215" t="str">
        <f ca="1">IFERROR(VALUE(SUBSTITUTE(OFFSET(N309,-1,0)," "&amp;$D309,""))*$F309,"")</f>
        <v/>
      </c>
      <c r="O309" s="215" t="str">
        <f ca="1">IFERROR(VALUE(SUBSTITUTE(OFFSET(O309,-1,0)," "&amp;$D309,""))*$F309,"")</f>
        <v/>
      </c>
      <c r="P309" s="209" t="str">
        <f ca="1">IF(LEN(B309)&gt;0,ISNUMBER(MATCH(B309,Proposed[Item],0)),"")</f>
        <v/>
      </c>
    </row>
    <row r="310" spans="1:16" ht="15" x14ac:dyDescent="0.2">
      <c r="A310" s="276">
        <f t="shared" ca="1" si="262"/>
        <v>152</v>
      </c>
      <c r="B310" s="168" t="str">
        <f ca="1">IFERROR(INDEX(INDIRECT(RangeItems),MATCH($A310,INDIRECT(RangeEstCount),0)),"")</f>
        <v/>
      </c>
      <c r="C310" s="365" t="str">
        <f ca="1">IFERROR(INDEX(Calcs[Description],INDEX(INDIRECT(RangeCount),MATCH($A310,INDIRECT(RangeEstCount),0))),"")</f>
        <v/>
      </c>
      <c r="D310" s="365"/>
      <c r="E310" s="365"/>
      <c r="F310" s="365"/>
      <c r="G310" s="365"/>
      <c r="H310" s="375" t="str">
        <f ca="1">IF(AND(Bid?,NOT(Awd?)),C310,OFFSET(F310,1,0))</f>
        <v/>
      </c>
      <c r="I310" s="216" t="str">
        <f t="shared" ref="I310:O310" ca="1" si="309">IFERROR(SUM(OFFSET(INDIRECT(RangeQuantity),MATCH($A310,INDIRECT(RangeEstCount),0)-1,COLUMN(I310)-COLUMN($H310),1,1))&amp;" "&amp;OFFSET($D310,1,0),"")</f>
        <v/>
      </c>
      <c r="J310" s="277" t="str">
        <f t="shared" ca="1" si="309"/>
        <v/>
      </c>
      <c r="K310" s="277" t="str">
        <f t="shared" ca="1" si="309"/>
        <v/>
      </c>
      <c r="L310" s="277" t="str">
        <f t="shared" ca="1" si="309"/>
        <v/>
      </c>
      <c r="M310" s="277" t="str">
        <f t="shared" ca="1" si="309"/>
        <v/>
      </c>
      <c r="N310" s="277" t="str">
        <f t="shared" ca="1" si="309"/>
        <v/>
      </c>
      <c r="O310" s="277" t="str">
        <f t="shared" ca="1" si="309"/>
        <v/>
      </c>
      <c r="P310" s="209" t="str">
        <f ca="1">IF(LEN(B310)&gt;0,ISNUMBER(MATCH(B310,Proposed[Item],0)),"")</f>
        <v/>
      </c>
    </row>
    <row r="311" spans="1:16" ht="15" x14ac:dyDescent="0.2">
      <c r="A311" s="276">
        <f t="shared" ca="1" si="262"/>
        <v>152</v>
      </c>
      <c r="B311" s="111" t="str">
        <f ca="1">IFERROR("Line "&amp;INDEX(Calcs[Line],INDEX(INDIRECT(RangeCount),MATCH($A311,INDIRECT(RangeEstCount),0))),"")</f>
        <v/>
      </c>
      <c r="C311" s="169" t="str">
        <f ca="1">IFERROR(IF(AND($D311="LPSM",Bid?,All?),"ALL",TEXT(OFFSET(INDIRECT(RangeQuantity),MATCH($A311,INDIRECT(RangeEstCount),0)-1,MATCH(Account,Accounts,0)-1,1,1),IF($D311="LPSM","0%","#,##0"&amp;IF(OFFSET(Items[#Data],MATCH($A311,INDIRECT(RangeEstCount),0)-1,MATCH(Decimals,Items[#Headers],0)-1,1,1)&gt;0,"."&amp;REPT("0",OFFSET(Items[#Data],MATCH($A311,INDIRECT(RangeEstCount),0)-1,MATCH(Decimals,Items[#Headers],0)-1,1,1)),"")))),"")</f>
        <v/>
      </c>
      <c r="D311" s="170" t="str">
        <f ca="1">IFERROR(INDEX(INDIRECT(RangeUnit),MATCH($A311,INDIRECT(RangeEstCount),0))&amp;SUBSTITUTE(" ["&amp;INDEX(INDIRECT(RangeAmend),MATCH($A311,INDIRECT(RangeEstCount),0))&amp;"]"," []",""),"")</f>
        <v/>
      </c>
      <c r="E311" s="170" t="str">
        <f ca="1">IFERROR(IF(INDEX(INDIRECT(RangeContrQty),MATCH($A311,INDIRECT(RangeEstCount),0)),"(CQ)",""),"")</f>
        <v/>
      </c>
      <c r="F311" s="171" t="str">
        <f ca="1">IFERROR(IF(OR(NOT(Bid?),LEFT(UPPER($D311),4)="FXHR"),INDEX(INDIRECT(RangeUnitPrice),MATCH($A311,INDIRECT(RangeEstCount),0)),IF(Awd?,OFFSET(TabAmount,MATCH(INDEX(INDIRECT(RangeCount),MATCH($A311,INDIRECT(RangeEstCount),0)),OFFSET(TabCount,1,0,2*NumPayItems,1),0),MATCH(Awarded2,Bidders,0)),IF(OR($C311="",$D311="LPSM"),"","$"))),"")</f>
        <v/>
      </c>
      <c r="G311" s="171" t="str">
        <f ca="1">IFERROR(VALUE(C311)*F311,IF(AND(Bid?,NOT(Awd?),$D311="LPSM"),"$",F311))</f>
        <v/>
      </c>
      <c r="H311" s="374"/>
      <c r="I311" s="217" t="str">
        <f ca="1">IFERROR(VALUE(SUBSTITUTE(OFFSET(I311,-1,0)," "&amp;$D311,""))*$F311,"")</f>
        <v/>
      </c>
      <c r="J311" s="215" t="str">
        <f ca="1">IFERROR(VALUE(SUBSTITUTE(OFFSET(J311,-1,0)," "&amp;$D311,""))*$F311,"")</f>
        <v/>
      </c>
      <c r="K311" s="215" t="str">
        <f t="shared" ref="K311:M311" ca="1" si="310">IFERROR(VALUE(SUBSTITUTE(OFFSET(K311,-1,0)," "&amp;$D311,""))*$F311,"")</f>
        <v/>
      </c>
      <c r="L311" s="215" t="str">
        <f t="shared" ca="1" si="310"/>
        <v/>
      </c>
      <c r="M311" s="215" t="str">
        <f t="shared" ca="1" si="310"/>
        <v/>
      </c>
      <c r="N311" s="215" t="str">
        <f ca="1">IFERROR(VALUE(SUBSTITUTE(OFFSET(N311,-1,0)," "&amp;$D311,""))*$F311,"")</f>
        <v/>
      </c>
      <c r="O311" s="215" t="str">
        <f ca="1">IFERROR(VALUE(SUBSTITUTE(OFFSET(O311,-1,0)," "&amp;$D311,""))*$F311,"")</f>
        <v/>
      </c>
      <c r="P311" s="209" t="str">
        <f ca="1">IF(LEN(B311)&gt;0,ISNUMBER(MATCH(B311,Proposed[Item],0)),"")</f>
        <v/>
      </c>
    </row>
    <row r="312" spans="1:16" ht="15" x14ac:dyDescent="0.2">
      <c r="A312" s="276">
        <f t="shared" ca="1" si="262"/>
        <v>153</v>
      </c>
      <c r="B312" s="168" t="str">
        <f ca="1">IFERROR(INDEX(INDIRECT(RangeItems),MATCH($A312,INDIRECT(RangeEstCount),0)),"")</f>
        <v/>
      </c>
      <c r="C312" s="365" t="str">
        <f ca="1">IFERROR(INDEX(Calcs[Description],INDEX(INDIRECT(RangeCount),MATCH($A312,INDIRECT(RangeEstCount),0))),"")</f>
        <v/>
      </c>
      <c r="D312" s="365"/>
      <c r="E312" s="365"/>
      <c r="F312" s="365"/>
      <c r="G312" s="365"/>
      <c r="H312" s="375" t="str">
        <f ca="1">IF(AND(Bid?,NOT(Awd?)),C312,OFFSET(F312,1,0))</f>
        <v/>
      </c>
      <c r="I312" s="216" t="str">
        <f t="shared" ref="I312:O312" ca="1" si="311">IFERROR(SUM(OFFSET(INDIRECT(RangeQuantity),MATCH($A312,INDIRECT(RangeEstCount),0)-1,COLUMN(I312)-COLUMN($H312),1,1))&amp;" "&amp;OFFSET($D312,1,0),"")</f>
        <v/>
      </c>
      <c r="J312" s="277" t="str">
        <f t="shared" ca="1" si="311"/>
        <v/>
      </c>
      <c r="K312" s="277" t="str">
        <f t="shared" ca="1" si="311"/>
        <v/>
      </c>
      <c r="L312" s="277" t="str">
        <f t="shared" ca="1" si="311"/>
        <v/>
      </c>
      <c r="M312" s="277" t="str">
        <f t="shared" ca="1" si="311"/>
        <v/>
      </c>
      <c r="N312" s="277" t="str">
        <f t="shared" ca="1" si="311"/>
        <v/>
      </c>
      <c r="O312" s="277" t="str">
        <f t="shared" ca="1" si="311"/>
        <v/>
      </c>
      <c r="P312" s="209" t="str">
        <f ca="1">IF(LEN(B312)&gt;0,ISNUMBER(MATCH(B312,Proposed[Item],0)),"")</f>
        <v/>
      </c>
    </row>
    <row r="313" spans="1:16" ht="15" x14ac:dyDescent="0.2">
      <c r="A313" s="276">
        <f t="shared" ca="1" si="262"/>
        <v>153</v>
      </c>
      <c r="B313" s="111" t="str">
        <f ca="1">IFERROR("Line "&amp;INDEX(Calcs[Line],INDEX(INDIRECT(RangeCount),MATCH($A313,INDIRECT(RangeEstCount),0))),"")</f>
        <v/>
      </c>
      <c r="C313" s="169" t="str">
        <f ca="1">IFERROR(IF(AND($D313="LPSM",Bid?,All?),"ALL",TEXT(OFFSET(INDIRECT(RangeQuantity),MATCH($A313,INDIRECT(RangeEstCount),0)-1,MATCH(Account,Accounts,0)-1,1,1),IF($D313="LPSM","0%","#,##0"&amp;IF(OFFSET(Items[#Data],MATCH($A313,INDIRECT(RangeEstCount),0)-1,MATCH(Decimals,Items[#Headers],0)-1,1,1)&gt;0,"."&amp;REPT("0",OFFSET(Items[#Data],MATCH($A313,INDIRECT(RangeEstCount),0)-1,MATCH(Decimals,Items[#Headers],0)-1,1,1)),"")))),"")</f>
        <v/>
      </c>
      <c r="D313" s="170" t="str">
        <f ca="1">IFERROR(INDEX(INDIRECT(RangeUnit),MATCH($A313,INDIRECT(RangeEstCount),0))&amp;SUBSTITUTE(" ["&amp;INDEX(INDIRECT(RangeAmend),MATCH($A313,INDIRECT(RangeEstCount),0))&amp;"]"," []",""),"")</f>
        <v/>
      </c>
      <c r="E313" s="170" t="str">
        <f ca="1">IFERROR(IF(INDEX(INDIRECT(RangeContrQty),MATCH($A313,INDIRECT(RangeEstCount),0)),"(CQ)",""),"")</f>
        <v/>
      </c>
      <c r="F313" s="171" t="str">
        <f ca="1">IFERROR(IF(OR(NOT(Bid?),LEFT(UPPER($D313),4)="FXHR"),INDEX(INDIRECT(RangeUnitPrice),MATCH($A313,INDIRECT(RangeEstCount),0)),IF(Awd?,OFFSET(TabAmount,MATCH(INDEX(INDIRECT(RangeCount),MATCH($A313,INDIRECT(RangeEstCount),0)),OFFSET(TabCount,1,0,2*NumPayItems,1),0),MATCH(Awarded2,Bidders,0)),IF(OR($C313="",$D313="LPSM"),"","$"))),"")</f>
        <v/>
      </c>
      <c r="G313" s="171" t="str">
        <f ca="1">IFERROR(VALUE(C313)*F313,IF(AND(Bid?,NOT(Awd?),$D313="LPSM"),"$",F313))</f>
        <v/>
      </c>
      <c r="H313" s="374"/>
      <c r="I313" s="217" t="str">
        <f ca="1">IFERROR(VALUE(SUBSTITUTE(OFFSET(I313,-1,0)," "&amp;$D313,""))*$F313,"")</f>
        <v/>
      </c>
      <c r="J313" s="215" t="str">
        <f ca="1">IFERROR(VALUE(SUBSTITUTE(OFFSET(J313,-1,0)," "&amp;$D313,""))*$F313,"")</f>
        <v/>
      </c>
      <c r="K313" s="215" t="str">
        <f t="shared" ref="K313:M313" ca="1" si="312">IFERROR(VALUE(SUBSTITUTE(OFFSET(K313,-1,0)," "&amp;$D313,""))*$F313,"")</f>
        <v/>
      </c>
      <c r="L313" s="215" t="str">
        <f t="shared" ca="1" si="312"/>
        <v/>
      </c>
      <c r="M313" s="215" t="str">
        <f t="shared" ca="1" si="312"/>
        <v/>
      </c>
      <c r="N313" s="215" t="str">
        <f ca="1">IFERROR(VALUE(SUBSTITUTE(OFFSET(N313,-1,0)," "&amp;$D313,""))*$F313,"")</f>
        <v/>
      </c>
      <c r="O313" s="215" t="str">
        <f ca="1">IFERROR(VALUE(SUBSTITUTE(OFFSET(O313,-1,0)," "&amp;$D313,""))*$F313,"")</f>
        <v/>
      </c>
      <c r="P313" s="209" t="str">
        <f ca="1">IF(LEN(B313)&gt;0,ISNUMBER(MATCH(B313,Proposed[Item],0)),"")</f>
        <v/>
      </c>
    </row>
    <row r="314" spans="1:16" ht="15" x14ac:dyDescent="0.2">
      <c r="A314" s="276">
        <f t="shared" ca="1" si="262"/>
        <v>154</v>
      </c>
      <c r="B314" s="168" t="str">
        <f ca="1">IFERROR(INDEX(INDIRECT(RangeItems),MATCH($A314,INDIRECT(RangeEstCount),0)),"")</f>
        <v/>
      </c>
      <c r="C314" s="365" t="str">
        <f ca="1">IFERROR(INDEX(Calcs[Description],INDEX(INDIRECT(RangeCount),MATCH($A314,INDIRECT(RangeEstCount),0))),"")</f>
        <v/>
      </c>
      <c r="D314" s="365"/>
      <c r="E314" s="365"/>
      <c r="F314" s="365"/>
      <c r="G314" s="365"/>
      <c r="H314" s="375" t="str">
        <f ca="1">IF(AND(Bid?,NOT(Awd?)),C314,OFFSET(F314,1,0))</f>
        <v/>
      </c>
      <c r="I314" s="216" t="str">
        <f t="shared" ref="I314:O314" ca="1" si="313">IFERROR(SUM(OFFSET(INDIRECT(RangeQuantity),MATCH($A314,INDIRECT(RangeEstCount),0)-1,COLUMN(I314)-COLUMN($H314),1,1))&amp;" "&amp;OFFSET($D314,1,0),"")</f>
        <v/>
      </c>
      <c r="J314" s="277" t="str">
        <f t="shared" ca="1" si="313"/>
        <v/>
      </c>
      <c r="K314" s="277" t="str">
        <f t="shared" ca="1" si="313"/>
        <v/>
      </c>
      <c r="L314" s="277" t="str">
        <f t="shared" ca="1" si="313"/>
        <v/>
      </c>
      <c r="M314" s="277" t="str">
        <f t="shared" ca="1" si="313"/>
        <v/>
      </c>
      <c r="N314" s="277" t="str">
        <f t="shared" ca="1" si="313"/>
        <v/>
      </c>
      <c r="O314" s="277" t="str">
        <f t="shared" ca="1" si="313"/>
        <v/>
      </c>
      <c r="P314" s="209" t="str">
        <f ca="1">IF(LEN(B314)&gt;0,ISNUMBER(MATCH(B314,Proposed[Item],0)),"")</f>
        <v/>
      </c>
    </row>
    <row r="315" spans="1:16" ht="15" x14ac:dyDescent="0.2">
      <c r="A315" s="276">
        <f t="shared" ca="1" si="262"/>
        <v>154</v>
      </c>
      <c r="B315" s="111" t="str">
        <f ca="1">IFERROR("Line "&amp;INDEX(Calcs[Line],INDEX(INDIRECT(RangeCount),MATCH($A315,INDIRECT(RangeEstCount),0))),"")</f>
        <v/>
      </c>
      <c r="C315" s="169" t="str">
        <f ca="1">IFERROR(IF(AND($D315="LPSM",Bid?,All?),"ALL",TEXT(OFFSET(INDIRECT(RangeQuantity),MATCH($A315,INDIRECT(RangeEstCount),0)-1,MATCH(Account,Accounts,0)-1,1,1),IF($D315="LPSM","0%","#,##0"&amp;IF(OFFSET(Items[#Data],MATCH($A315,INDIRECT(RangeEstCount),0)-1,MATCH(Decimals,Items[#Headers],0)-1,1,1)&gt;0,"."&amp;REPT("0",OFFSET(Items[#Data],MATCH($A315,INDIRECT(RangeEstCount),0)-1,MATCH(Decimals,Items[#Headers],0)-1,1,1)),"")))),"")</f>
        <v/>
      </c>
      <c r="D315" s="170" t="str">
        <f ca="1">IFERROR(INDEX(INDIRECT(RangeUnit),MATCH($A315,INDIRECT(RangeEstCount),0))&amp;SUBSTITUTE(" ["&amp;INDEX(INDIRECT(RangeAmend),MATCH($A315,INDIRECT(RangeEstCount),0))&amp;"]"," []",""),"")</f>
        <v/>
      </c>
      <c r="E315" s="170" t="str">
        <f ca="1">IFERROR(IF(INDEX(INDIRECT(RangeContrQty),MATCH($A315,INDIRECT(RangeEstCount),0)),"(CQ)",""),"")</f>
        <v/>
      </c>
      <c r="F315" s="171" t="str">
        <f ca="1">IFERROR(IF(OR(NOT(Bid?),LEFT(UPPER($D315),4)="FXHR"),INDEX(INDIRECT(RangeUnitPrice),MATCH($A315,INDIRECT(RangeEstCount),0)),IF(Awd?,OFFSET(TabAmount,MATCH(INDEX(INDIRECT(RangeCount),MATCH($A315,INDIRECT(RangeEstCount),0)),OFFSET(TabCount,1,0,2*NumPayItems,1),0),MATCH(Awarded2,Bidders,0)),IF(OR($C315="",$D315="LPSM"),"","$"))),"")</f>
        <v/>
      </c>
      <c r="G315" s="171" t="str">
        <f ca="1">IFERROR(VALUE(C315)*F315,IF(AND(Bid?,NOT(Awd?),$D315="LPSM"),"$",F315))</f>
        <v/>
      </c>
      <c r="H315" s="374"/>
      <c r="I315" s="217" t="str">
        <f ca="1">IFERROR(VALUE(SUBSTITUTE(OFFSET(I315,-1,0)," "&amp;$D315,""))*$F315,"")</f>
        <v/>
      </c>
      <c r="J315" s="215" t="str">
        <f ca="1">IFERROR(VALUE(SUBSTITUTE(OFFSET(J315,-1,0)," "&amp;$D315,""))*$F315,"")</f>
        <v/>
      </c>
      <c r="K315" s="215" t="str">
        <f t="shared" ref="K315:M315" ca="1" si="314">IFERROR(VALUE(SUBSTITUTE(OFFSET(K315,-1,0)," "&amp;$D315,""))*$F315,"")</f>
        <v/>
      </c>
      <c r="L315" s="215" t="str">
        <f t="shared" ca="1" si="314"/>
        <v/>
      </c>
      <c r="M315" s="215" t="str">
        <f t="shared" ca="1" si="314"/>
        <v/>
      </c>
      <c r="N315" s="215" t="str">
        <f ca="1">IFERROR(VALUE(SUBSTITUTE(OFFSET(N315,-1,0)," "&amp;$D315,""))*$F315,"")</f>
        <v/>
      </c>
      <c r="O315" s="215" t="str">
        <f ca="1">IFERROR(VALUE(SUBSTITUTE(OFFSET(O315,-1,0)," "&amp;$D315,""))*$F315,"")</f>
        <v/>
      </c>
      <c r="P315" s="209" t="str">
        <f ca="1">IF(LEN(B315)&gt;0,ISNUMBER(MATCH(B315,Proposed[Item],0)),"")</f>
        <v/>
      </c>
    </row>
    <row r="316" spans="1:16" ht="15" x14ac:dyDescent="0.2">
      <c r="A316" s="276">
        <f t="shared" ca="1" si="262"/>
        <v>155</v>
      </c>
      <c r="B316" s="168" t="str">
        <f ca="1">IFERROR(INDEX(INDIRECT(RangeItems),MATCH($A316,INDIRECT(RangeEstCount),0)),"")</f>
        <v/>
      </c>
      <c r="C316" s="365" t="str">
        <f ca="1">IFERROR(INDEX(Calcs[Description],INDEX(INDIRECT(RangeCount),MATCH($A316,INDIRECT(RangeEstCount),0))),"")</f>
        <v/>
      </c>
      <c r="D316" s="365"/>
      <c r="E316" s="365"/>
      <c r="F316" s="365"/>
      <c r="G316" s="365"/>
      <c r="H316" s="375" t="str">
        <f ca="1">IF(AND(Bid?,NOT(Awd?)),C316,OFFSET(F316,1,0))</f>
        <v/>
      </c>
      <c r="I316" s="216" t="str">
        <f t="shared" ref="I316:O316" ca="1" si="315">IFERROR(SUM(OFFSET(INDIRECT(RangeQuantity),MATCH($A316,INDIRECT(RangeEstCount),0)-1,COLUMN(I316)-COLUMN($H316),1,1))&amp;" "&amp;OFFSET($D316,1,0),"")</f>
        <v/>
      </c>
      <c r="J316" s="277" t="str">
        <f t="shared" ca="1" si="315"/>
        <v/>
      </c>
      <c r="K316" s="277" t="str">
        <f t="shared" ca="1" si="315"/>
        <v/>
      </c>
      <c r="L316" s="277" t="str">
        <f t="shared" ca="1" si="315"/>
        <v/>
      </c>
      <c r="M316" s="277" t="str">
        <f t="shared" ca="1" si="315"/>
        <v/>
      </c>
      <c r="N316" s="277" t="str">
        <f t="shared" ca="1" si="315"/>
        <v/>
      </c>
      <c r="O316" s="277" t="str">
        <f t="shared" ca="1" si="315"/>
        <v/>
      </c>
      <c r="P316" s="209" t="str">
        <f ca="1">IF(LEN(B316)&gt;0,ISNUMBER(MATCH(B316,Proposed[Item],0)),"")</f>
        <v/>
      </c>
    </row>
    <row r="317" spans="1:16" ht="15" x14ac:dyDescent="0.2">
      <c r="A317" s="276">
        <f t="shared" ca="1" si="262"/>
        <v>155</v>
      </c>
      <c r="B317" s="111" t="str">
        <f ca="1">IFERROR("Line "&amp;INDEX(Calcs[Line],INDEX(INDIRECT(RangeCount),MATCH($A317,INDIRECT(RangeEstCount),0))),"")</f>
        <v/>
      </c>
      <c r="C317" s="169" t="str">
        <f ca="1">IFERROR(IF(AND($D317="LPSM",Bid?,All?),"ALL",TEXT(OFFSET(INDIRECT(RangeQuantity),MATCH($A317,INDIRECT(RangeEstCount),0)-1,MATCH(Account,Accounts,0)-1,1,1),IF($D317="LPSM","0%","#,##0"&amp;IF(OFFSET(Items[#Data],MATCH($A317,INDIRECT(RangeEstCount),0)-1,MATCH(Decimals,Items[#Headers],0)-1,1,1)&gt;0,"."&amp;REPT("0",OFFSET(Items[#Data],MATCH($A317,INDIRECT(RangeEstCount),0)-1,MATCH(Decimals,Items[#Headers],0)-1,1,1)),"")))),"")</f>
        <v/>
      </c>
      <c r="D317" s="170" t="str">
        <f ca="1">IFERROR(INDEX(INDIRECT(RangeUnit),MATCH($A317,INDIRECT(RangeEstCount),0))&amp;SUBSTITUTE(" ["&amp;INDEX(INDIRECT(RangeAmend),MATCH($A317,INDIRECT(RangeEstCount),0))&amp;"]"," []",""),"")</f>
        <v/>
      </c>
      <c r="E317" s="170" t="str">
        <f ca="1">IFERROR(IF(INDEX(INDIRECT(RangeContrQty),MATCH($A317,INDIRECT(RangeEstCount),0)),"(CQ)",""),"")</f>
        <v/>
      </c>
      <c r="F317" s="171" t="str">
        <f ca="1">IFERROR(IF(OR(NOT(Bid?),LEFT(UPPER($D317),4)="FXHR"),INDEX(INDIRECT(RangeUnitPrice),MATCH($A317,INDIRECT(RangeEstCount),0)),IF(Awd?,OFFSET(TabAmount,MATCH(INDEX(INDIRECT(RangeCount),MATCH($A317,INDIRECT(RangeEstCount),0)),OFFSET(TabCount,1,0,2*NumPayItems,1),0),MATCH(Awarded2,Bidders,0)),IF(OR($C317="",$D317="LPSM"),"","$"))),"")</f>
        <v/>
      </c>
      <c r="G317" s="171" t="str">
        <f ca="1">IFERROR(VALUE(C317)*F317,IF(AND(Bid?,NOT(Awd?),$D317="LPSM"),"$",F317))</f>
        <v/>
      </c>
      <c r="H317" s="374"/>
      <c r="I317" s="217" t="str">
        <f ca="1">IFERROR(VALUE(SUBSTITUTE(OFFSET(I317,-1,0)," "&amp;$D317,""))*$F317,"")</f>
        <v/>
      </c>
      <c r="J317" s="215" t="str">
        <f ca="1">IFERROR(VALUE(SUBSTITUTE(OFFSET(J317,-1,0)," "&amp;$D317,""))*$F317,"")</f>
        <v/>
      </c>
      <c r="K317" s="215" t="str">
        <f t="shared" ref="K317:M317" ca="1" si="316">IFERROR(VALUE(SUBSTITUTE(OFFSET(K317,-1,0)," "&amp;$D317,""))*$F317,"")</f>
        <v/>
      </c>
      <c r="L317" s="215" t="str">
        <f t="shared" ca="1" si="316"/>
        <v/>
      </c>
      <c r="M317" s="215" t="str">
        <f t="shared" ca="1" si="316"/>
        <v/>
      </c>
      <c r="N317" s="215" t="str">
        <f ca="1">IFERROR(VALUE(SUBSTITUTE(OFFSET(N317,-1,0)," "&amp;$D317,""))*$F317,"")</f>
        <v/>
      </c>
      <c r="O317" s="215" t="str">
        <f ca="1">IFERROR(VALUE(SUBSTITUTE(OFFSET(O317,-1,0)," "&amp;$D317,""))*$F317,"")</f>
        <v/>
      </c>
      <c r="P317" s="209" t="str">
        <f ca="1">IF(LEN(B317)&gt;0,ISNUMBER(MATCH(B317,Proposed[Item],0)),"")</f>
        <v/>
      </c>
    </row>
    <row r="318" spans="1:16" ht="15" x14ac:dyDescent="0.2">
      <c r="A318" s="276">
        <f t="shared" ca="1" si="262"/>
        <v>156</v>
      </c>
      <c r="B318" s="168" t="str">
        <f ca="1">IFERROR(INDEX(INDIRECT(RangeItems),MATCH($A318,INDIRECT(RangeEstCount),0)),"")</f>
        <v/>
      </c>
      <c r="C318" s="365" t="str">
        <f ca="1">IFERROR(INDEX(Calcs[Description],INDEX(INDIRECT(RangeCount),MATCH($A318,INDIRECT(RangeEstCount),0))),"")</f>
        <v/>
      </c>
      <c r="D318" s="365"/>
      <c r="E318" s="365"/>
      <c r="F318" s="365"/>
      <c r="G318" s="365"/>
      <c r="H318" s="375" t="str">
        <f ca="1">IF(AND(Bid?,NOT(Awd?)),C318,OFFSET(F318,1,0))</f>
        <v/>
      </c>
      <c r="I318" s="216" t="str">
        <f t="shared" ref="I318:O318" ca="1" si="317">IFERROR(SUM(OFFSET(INDIRECT(RangeQuantity),MATCH($A318,INDIRECT(RangeEstCount),0)-1,COLUMN(I318)-COLUMN($H318),1,1))&amp;" "&amp;OFFSET($D318,1,0),"")</f>
        <v/>
      </c>
      <c r="J318" s="277" t="str">
        <f t="shared" ca="1" si="317"/>
        <v/>
      </c>
      <c r="K318" s="277" t="str">
        <f t="shared" ca="1" si="317"/>
        <v/>
      </c>
      <c r="L318" s="277" t="str">
        <f t="shared" ca="1" si="317"/>
        <v/>
      </c>
      <c r="M318" s="277" t="str">
        <f t="shared" ca="1" si="317"/>
        <v/>
      </c>
      <c r="N318" s="277" t="str">
        <f t="shared" ca="1" si="317"/>
        <v/>
      </c>
      <c r="O318" s="277" t="str">
        <f t="shared" ca="1" si="317"/>
        <v/>
      </c>
      <c r="P318" s="209" t="str">
        <f ca="1">IF(LEN(B318)&gt;0,ISNUMBER(MATCH(B318,Proposed[Item],0)),"")</f>
        <v/>
      </c>
    </row>
    <row r="319" spans="1:16" ht="15" x14ac:dyDescent="0.2">
      <c r="A319" s="276">
        <f t="shared" ca="1" si="262"/>
        <v>156</v>
      </c>
      <c r="B319" s="111" t="str">
        <f ca="1">IFERROR("Line "&amp;INDEX(Calcs[Line],INDEX(INDIRECT(RangeCount),MATCH($A319,INDIRECT(RangeEstCount),0))),"")</f>
        <v/>
      </c>
      <c r="C319" s="169" t="str">
        <f ca="1">IFERROR(IF(AND($D319="LPSM",Bid?,All?),"ALL",TEXT(OFFSET(INDIRECT(RangeQuantity),MATCH($A319,INDIRECT(RangeEstCount),0)-1,MATCH(Account,Accounts,0)-1,1,1),IF($D319="LPSM","0%","#,##0"&amp;IF(OFFSET(Items[#Data],MATCH($A319,INDIRECT(RangeEstCount),0)-1,MATCH(Decimals,Items[#Headers],0)-1,1,1)&gt;0,"."&amp;REPT("0",OFFSET(Items[#Data],MATCH($A319,INDIRECT(RangeEstCount),0)-1,MATCH(Decimals,Items[#Headers],0)-1,1,1)),"")))),"")</f>
        <v/>
      </c>
      <c r="D319" s="170" t="str">
        <f ca="1">IFERROR(INDEX(INDIRECT(RangeUnit),MATCH($A319,INDIRECT(RangeEstCount),0))&amp;SUBSTITUTE(" ["&amp;INDEX(INDIRECT(RangeAmend),MATCH($A319,INDIRECT(RangeEstCount),0))&amp;"]"," []",""),"")</f>
        <v/>
      </c>
      <c r="E319" s="170" t="str">
        <f ca="1">IFERROR(IF(INDEX(INDIRECT(RangeContrQty),MATCH($A319,INDIRECT(RangeEstCount),0)),"(CQ)",""),"")</f>
        <v/>
      </c>
      <c r="F319" s="171" t="str">
        <f ca="1">IFERROR(IF(OR(NOT(Bid?),LEFT(UPPER($D319),4)="FXHR"),INDEX(INDIRECT(RangeUnitPrice),MATCH($A319,INDIRECT(RangeEstCount),0)),IF(Awd?,OFFSET(TabAmount,MATCH(INDEX(INDIRECT(RangeCount),MATCH($A319,INDIRECT(RangeEstCount),0)),OFFSET(TabCount,1,0,2*NumPayItems,1),0),MATCH(Awarded2,Bidders,0)),IF(OR($C319="",$D319="LPSM"),"","$"))),"")</f>
        <v/>
      </c>
      <c r="G319" s="171" t="str">
        <f ca="1">IFERROR(VALUE(C319)*F319,IF(AND(Bid?,NOT(Awd?),$D319="LPSM"),"$",F319))</f>
        <v/>
      </c>
      <c r="H319" s="374"/>
      <c r="I319" s="217" t="str">
        <f ca="1">IFERROR(VALUE(SUBSTITUTE(OFFSET(I319,-1,0)," "&amp;$D319,""))*$F319,"")</f>
        <v/>
      </c>
      <c r="J319" s="215" t="str">
        <f ca="1">IFERROR(VALUE(SUBSTITUTE(OFFSET(J319,-1,0)," "&amp;$D319,""))*$F319,"")</f>
        <v/>
      </c>
      <c r="K319" s="215" t="str">
        <f t="shared" ref="K319:M319" ca="1" si="318">IFERROR(VALUE(SUBSTITUTE(OFFSET(K319,-1,0)," "&amp;$D319,""))*$F319,"")</f>
        <v/>
      </c>
      <c r="L319" s="215" t="str">
        <f t="shared" ca="1" si="318"/>
        <v/>
      </c>
      <c r="M319" s="215" t="str">
        <f t="shared" ca="1" si="318"/>
        <v/>
      </c>
      <c r="N319" s="215" t="str">
        <f ca="1">IFERROR(VALUE(SUBSTITUTE(OFFSET(N319,-1,0)," "&amp;$D319,""))*$F319,"")</f>
        <v/>
      </c>
      <c r="O319" s="215" t="str">
        <f ca="1">IFERROR(VALUE(SUBSTITUTE(OFFSET(O319,-1,0)," "&amp;$D319,""))*$F319,"")</f>
        <v/>
      </c>
      <c r="P319" s="209" t="str">
        <f ca="1">IF(LEN(B319)&gt;0,ISNUMBER(MATCH(B319,Proposed[Item],0)),"")</f>
        <v/>
      </c>
    </row>
    <row r="320" spans="1:16" ht="15" x14ac:dyDescent="0.2">
      <c r="A320" s="276">
        <f t="shared" ca="1" si="262"/>
        <v>157</v>
      </c>
      <c r="B320" s="168" t="str">
        <f ca="1">IFERROR(INDEX(INDIRECT(RangeItems),MATCH($A320,INDIRECT(RangeEstCount),0)),"")</f>
        <v/>
      </c>
      <c r="C320" s="365" t="str">
        <f ca="1">IFERROR(INDEX(Calcs[Description],INDEX(INDIRECT(RangeCount),MATCH($A320,INDIRECT(RangeEstCount),0))),"")</f>
        <v/>
      </c>
      <c r="D320" s="365"/>
      <c r="E320" s="365"/>
      <c r="F320" s="365"/>
      <c r="G320" s="365"/>
      <c r="H320" s="375" t="str">
        <f ca="1">IF(AND(Bid?,NOT(Awd?)),C320,OFFSET(F320,1,0))</f>
        <v/>
      </c>
      <c r="I320" s="216" t="str">
        <f t="shared" ref="I320:O320" ca="1" si="319">IFERROR(SUM(OFFSET(INDIRECT(RangeQuantity),MATCH($A320,INDIRECT(RangeEstCount),0)-1,COLUMN(I320)-COLUMN($H320),1,1))&amp;" "&amp;OFFSET($D320,1,0),"")</f>
        <v/>
      </c>
      <c r="J320" s="277" t="str">
        <f t="shared" ca="1" si="319"/>
        <v/>
      </c>
      <c r="K320" s="277" t="str">
        <f t="shared" ca="1" si="319"/>
        <v/>
      </c>
      <c r="L320" s="277" t="str">
        <f t="shared" ca="1" si="319"/>
        <v/>
      </c>
      <c r="M320" s="277" t="str">
        <f t="shared" ca="1" si="319"/>
        <v/>
      </c>
      <c r="N320" s="277" t="str">
        <f t="shared" ca="1" si="319"/>
        <v/>
      </c>
      <c r="O320" s="277" t="str">
        <f t="shared" ca="1" si="319"/>
        <v/>
      </c>
      <c r="P320" s="209" t="str">
        <f ca="1">IF(LEN(B320)&gt;0,ISNUMBER(MATCH(B320,Proposed[Item],0)),"")</f>
        <v/>
      </c>
    </row>
    <row r="321" spans="1:16" ht="15" x14ac:dyDescent="0.2">
      <c r="A321" s="276">
        <f t="shared" ca="1" si="262"/>
        <v>157</v>
      </c>
      <c r="B321" s="111" t="str">
        <f ca="1">IFERROR("Line "&amp;INDEX(Calcs[Line],INDEX(INDIRECT(RangeCount),MATCH($A321,INDIRECT(RangeEstCount),0))),"")</f>
        <v/>
      </c>
      <c r="C321" s="169" t="str">
        <f ca="1">IFERROR(IF(AND($D321="LPSM",Bid?,All?),"ALL",TEXT(OFFSET(INDIRECT(RangeQuantity),MATCH($A321,INDIRECT(RangeEstCount),0)-1,MATCH(Account,Accounts,0)-1,1,1),IF($D321="LPSM","0%","#,##0"&amp;IF(OFFSET(Items[#Data],MATCH($A321,INDIRECT(RangeEstCount),0)-1,MATCH(Decimals,Items[#Headers],0)-1,1,1)&gt;0,"."&amp;REPT("0",OFFSET(Items[#Data],MATCH($A321,INDIRECT(RangeEstCount),0)-1,MATCH(Decimals,Items[#Headers],0)-1,1,1)),"")))),"")</f>
        <v/>
      </c>
      <c r="D321" s="170" t="str">
        <f ca="1">IFERROR(INDEX(INDIRECT(RangeUnit),MATCH($A321,INDIRECT(RangeEstCount),0))&amp;SUBSTITUTE(" ["&amp;INDEX(INDIRECT(RangeAmend),MATCH($A321,INDIRECT(RangeEstCount),0))&amp;"]"," []",""),"")</f>
        <v/>
      </c>
      <c r="E321" s="170" t="str">
        <f ca="1">IFERROR(IF(INDEX(INDIRECT(RangeContrQty),MATCH($A321,INDIRECT(RangeEstCount),0)),"(CQ)",""),"")</f>
        <v/>
      </c>
      <c r="F321" s="171" t="str">
        <f ca="1">IFERROR(IF(OR(NOT(Bid?),LEFT(UPPER($D321),4)="FXHR"),INDEX(INDIRECT(RangeUnitPrice),MATCH($A321,INDIRECT(RangeEstCount),0)),IF(Awd?,OFFSET(TabAmount,MATCH(INDEX(INDIRECT(RangeCount),MATCH($A321,INDIRECT(RangeEstCount),0)),OFFSET(TabCount,1,0,2*NumPayItems,1),0),MATCH(Awarded2,Bidders,0)),IF(OR($C321="",$D321="LPSM"),"","$"))),"")</f>
        <v/>
      </c>
      <c r="G321" s="171" t="str">
        <f ca="1">IFERROR(VALUE(C321)*F321,IF(AND(Bid?,NOT(Awd?),$D321="LPSM"),"$",F321))</f>
        <v/>
      </c>
      <c r="H321" s="374"/>
      <c r="I321" s="217" t="str">
        <f ca="1">IFERROR(VALUE(SUBSTITUTE(OFFSET(I321,-1,0)," "&amp;$D321,""))*$F321,"")</f>
        <v/>
      </c>
      <c r="J321" s="215" t="str">
        <f ca="1">IFERROR(VALUE(SUBSTITUTE(OFFSET(J321,-1,0)," "&amp;$D321,""))*$F321,"")</f>
        <v/>
      </c>
      <c r="K321" s="215" t="str">
        <f t="shared" ref="K321:M321" ca="1" si="320">IFERROR(VALUE(SUBSTITUTE(OFFSET(K321,-1,0)," "&amp;$D321,""))*$F321,"")</f>
        <v/>
      </c>
      <c r="L321" s="215" t="str">
        <f t="shared" ca="1" si="320"/>
        <v/>
      </c>
      <c r="M321" s="215" t="str">
        <f t="shared" ca="1" si="320"/>
        <v/>
      </c>
      <c r="N321" s="215" t="str">
        <f ca="1">IFERROR(VALUE(SUBSTITUTE(OFFSET(N321,-1,0)," "&amp;$D321,""))*$F321,"")</f>
        <v/>
      </c>
      <c r="O321" s="215" t="str">
        <f ca="1">IFERROR(VALUE(SUBSTITUTE(OFFSET(O321,-1,0)," "&amp;$D321,""))*$F321,"")</f>
        <v/>
      </c>
      <c r="P321" s="209" t="str">
        <f ca="1">IF(LEN(B321)&gt;0,ISNUMBER(MATCH(B321,Proposed[Item],0)),"")</f>
        <v/>
      </c>
    </row>
    <row r="322" spans="1:16" ht="15" x14ac:dyDescent="0.2">
      <c r="A322" s="276">
        <f t="shared" ca="1" si="262"/>
        <v>158</v>
      </c>
      <c r="B322" s="168" t="str">
        <f ca="1">IFERROR(INDEX(INDIRECT(RangeItems),MATCH($A322,INDIRECT(RangeEstCount),0)),"")</f>
        <v/>
      </c>
      <c r="C322" s="365" t="str">
        <f ca="1">IFERROR(INDEX(Calcs[Description],INDEX(INDIRECT(RangeCount),MATCH($A322,INDIRECT(RangeEstCount),0))),"")</f>
        <v/>
      </c>
      <c r="D322" s="365"/>
      <c r="E322" s="365"/>
      <c r="F322" s="365"/>
      <c r="G322" s="365"/>
      <c r="H322" s="375" t="str">
        <f ca="1">IF(AND(Bid?,NOT(Awd?)),C322,OFFSET(F322,1,0))</f>
        <v/>
      </c>
      <c r="I322" s="216" t="str">
        <f t="shared" ref="I322:O322" ca="1" si="321">IFERROR(SUM(OFFSET(INDIRECT(RangeQuantity),MATCH($A322,INDIRECT(RangeEstCount),0)-1,COLUMN(I322)-COLUMN($H322),1,1))&amp;" "&amp;OFFSET($D322,1,0),"")</f>
        <v/>
      </c>
      <c r="J322" s="277" t="str">
        <f t="shared" ca="1" si="321"/>
        <v/>
      </c>
      <c r="K322" s="277" t="str">
        <f t="shared" ca="1" si="321"/>
        <v/>
      </c>
      <c r="L322" s="277" t="str">
        <f t="shared" ca="1" si="321"/>
        <v/>
      </c>
      <c r="M322" s="277" t="str">
        <f t="shared" ca="1" si="321"/>
        <v/>
      </c>
      <c r="N322" s="277" t="str">
        <f t="shared" ca="1" si="321"/>
        <v/>
      </c>
      <c r="O322" s="277" t="str">
        <f t="shared" ca="1" si="321"/>
        <v/>
      </c>
      <c r="P322" s="209" t="str">
        <f ca="1">IF(LEN(B322)&gt;0,ISNUMBER(MATCH(B322,Proposed[Item],0)),"")</f>
        <v/>
      </c>
    </row>
    <row r="323" spans="1:16" ht="15" x14ac:dyDescent="0.2">
      <c r="A323" s="276">
        <f t="shared" ca="1" si="262"/>
        <v>158</v>
      </c>
      <c r="B323" s="111" t="str">
        <f ca="1">IFERROR("Line "&amp;INDEX(Calcs[Line],INDEX(INDIRECT(RangeCount),MATCH($A323,INDIRECT(RangeEstCount),0))),"")</f>
        <v/>
      </c>
      <c r="C323" s="169" t="str">
        <f ca="1">IFERROR(IF(AND($D323="LPSM",Bid?,All?),"ALL",TEXT(OFFSET(INDIRECT(RangeQuantity),MATCH($A323,INDIRECT(RangeEstCount),0)-1,MATCH(Account,Accounts,0)-1,1,1),IF($D323="LPSM","0%","#,##0"&amp;IF(OFFSET(Items[#Data],MATCH($A323,INDIRECT(RangeEstCount),0)-1,MATCH(Decimals,Items[#Headers],0)-1,1,1)&gt;0,"."&amp;REPT("0",OFFSET(Items[#Data],MATCH($A323,INDIRECT(RangeEstCount),0)-1,MATCH(Decimals,Items[#Headers],0)-1,1,1)),"")))),"")</f>
        <v/>
      </c>
      <c r="D323" s="170" t="str">
        <f ca="1">IFERROR(INDEX(INDIRECT(RangeUnit),MATCH($A323,INDIRECT(RangeEstCount),0))&amp;SUBSTITUTE(" ["&amp;INDEX(INDIRECT(RangeAmend),MATCH($A323,INDIRECT(RangeEstCount),0))&amp;"]"," []",""),"")</f>
        <v/>
      </c>
      <c r="E323" s="170" t="str">
        <f ca="1">IFERROR(IF(INDEX(INDIRECT(RangeContrQty),MATCH($A323,INDIRECT(RangeEstCount),0)),"(CQ)",""),"")</f>
        <v/>
      </c>
      <c r="F323" s="171" t="str">
        <f ca="1">IFERROR(IF(OR(NOT(Bid?),LEFT(UPPER($D323),4)="FXHR"),INDEX(INDIRECT(RangeUnitPrice),MATCH($A323,INDIRECT(RangeEstCount),0)),IF(Awd?,OFFSET(TabAmount,MATCH(INDEX(INDIRECT(RangeCount),MATCH($A323,INDIRECT(RangeEstCount),0)),OFFSET(TabCount,1,0,2*NumPayItems,1),0),MATCH(Awarded2,Bidders,0)),IF(OR($C323="",$D323="LPSM"),"","$"))),"")</f>
        <v/>
      </c>
      <c r="G323" s="171" t="str">
        <f ca="1">IFERROR(VALUE(C323)*F323,IF(AND(Bid?,NOT(Awd?),$D323="LPSM"),"$",F323))</f>
        <v/>
      </c>
      <c r="H323" s="374"/>
      <c r="I323" s="217" t="str">
        <f ca="1">IFERROR(VALUE(SUBSTITUTE(OFFSET(I323,-1,0)," "&amp;$D323,""))*$F323,"")</f>
        <v/>
      </c>
      <c r="J323" s="215" t="str">
        <f ca="1">IFERROR(VALUE(SUBSTITUTE(OFFSET(J323,-1,0)," "&amp;$D323,""))*$F323,"")</f>
        <v/>
      </c>
      <c r="K323" s="215" t="str">
        <f t="shared" ref="K323:M323" ca="1" si="322">IFERROR(VALUE(SUBSTITUTE(OFFSET(K323,-1,0)," "&amp;$D323,""))*$F323,"")</f>
        <v/>
      </c>
      <c r="L323" s="215" t="str">
        <f t="shared" ca="1" si="322"/>
        <v/>
      </c>
      <c r="M323" s="215" t="str">
        <f t="shared" ca="1" si="322"/>
        <v/>
      </c>
      <c r="N323" s="215" t="str">
        <f ca="1">IFERROR(VALUE(SUBSTITUTE(OFFSET(N323,-1,0)," "&amp;$D323,""))*$F323,"")</f>
        <v/>
      </c>
      <c r="O323" s="215" t="str">
        <f ca="1">IFERROR(VALUE(SUBSTITUTE(OFFSET(O323,-1,0)," "&amp;$D323,""))*$F323,"")</f>
        <v/>
      </c>
      <c r="P323" s="209" t="str">
        <f ca="1">IF(LEN(B323)&gt;0,ISNUMBER(MATCH(B323,Proposed[Item],0)),"")</f>
        <v/>
      </c>
    </row>
    <row r="324" spans="1:16" ht="15" x14ac:dyDescent="0.2">
      <c r="A324" s="276">
        <f t="shared" ca="1" si="262"/>
        <v>159</v>
      </c>
      <c r="B324" s="168" t="str">
        <f ca="1">IFERROR(INDEX(INDIRECT(RangeItems),MATCH($A324,INDIRECT(RangeEstCount),0)),"")</f>
        <v/>
      </c>
      <c r="C324" s="365" t="str">
        <f ca="1">IFERROR(INDEX(Calcs[Description],INDEX(INDIRECT(RangeCount),MATCH($A324,INDIRECT(RangeEstCount),0))),"")</f>
        <v/>
      </c>
      <c r="D324" s="365"/>
      <c r="E324" s="365"/>
      <c r="F324" s="365"/>
      <c r="G324" s="365"/>
      <c r="H324" s="375" t="str">
        <f ca="1">IF(AND(Bid?,NOT(Awd?)),C324,OFFSET(F324,1,0))</f>
        <v/>
      </c>
      <c r="I324" s="216" t="str">
        <f t="shared" ref="I324:O324" ca="1" si="323">IFERROR(SUM(OFFSET(INDIRECT(RangeQuantity),MATCH($A324,INDIRECT(RangeEstCount),0)-1,COLUMN(I324)-COLUMN($H324),1,1))&amp;" "&amp;OFFSET($D324,1,0),"")</f>
        <v/>
      </c>
      <c r="J324" s="277" t="str">
        <f t="shared" ca="1" si="323"/>
        <v/>
      </c>
      <c r="K324" s="277" t="str">
        <f t="shared" ca="1" si="323"/>
        <v/>
      </c>
      <c r="L324" s="277" t="str">
        <f t="shared" ca="1" si="323"/>
        <v/>
      </c>
      <c r="M324" s="277" t="str">
        <f t="shared" ca="1" si="323"/>
        <v/>
      </c>
      <c r="N324" s="277" t="str">
        <f t="shared" ca="1" si="323"/>
        <v/>
      </c>
      <c r="O324" s="277" t="str">
        <f t="shared" ca="1" si="323"/>
        <v/>
      </c>
      <c r="P324" s="209" t="str">
        <f ca="1">IF(LEN(B324)&gt;0,ISNUMBER(MATCH(B324,Proposed[Item],0)),"")</f>
        <v/>
      </c>
    </row>
    <row r="325" spans="1:16" ht="15" x14ac:dyDescent="0.2">
      <c r="A325" s="276">
        <f t="shared" ca="1" si="262"/>
        <v>159</v>
      </c>
      <c r="B325" s="111" t="str">
        <f ca="1">IFERROR("Line "&amp;INDEX(Calcs[Line],INDEX(INDIRECT(RangeCount),MATCH($A325,INDIRECT(RangeEstCount),0))),"")</f>
        <v/>
      </c>
      <c r="C325" s="169" t="str">
        <f ca="1">IFERROR(IF(AND($D325="LPSM",Bid?,All?),"ALL",TEXT(OFFSET(INDIRECT(RangeQuantity),MATCH($A325,INDIRECT(RangeEstCount),0)-1,MATCH(Account,Accounts,0)-1,1,1),IF($D325="LPSM","0%","#,##0"&amp;IF(OFFSET(Items[#Data],MATCH($A325,INDIRECT(RangeEstCount),0)-1,MATCH(Decimals,Items[#Headers],0)-1,1,1)&gt;0,"."&amp;REPT("0",OFFSET(Items[#Data],MATCH($A325,INDIRECT(RangeEstCount),0)-1,MATCH(Decimals,Items[#Headers],0)-1,1,1)),"")))),"")</f>
        <v/>
      </c>
      <c r="D325" s="170" t="str">
        <f ca="1">IFERROR(INDEX(INDIRECT(RangeUnit),MATCH($A325,INDIRECT(RangeEstCount),0))&amp;SUBSTITUTE(" ["&amp;INDEX(INDIRECT(RangeAmend),MATCH($A325,INDIRECT(RangeEstCount),0))&amp;"]"," []",""),"")</f>
        <v/>
      </c>
      <c r="E325" s="170" t="str">
        <f ca="1">IFERROR(IF(INDEX(INDIRECT(RangeContrQty),MATCH($A325,INDIRECT(RangeEstCount),0)),"(CQ)",""),"")</f>
        <v/>
      </c>
      <c r="F325" s="171" t="str">
        <f ca="1">IFERROR(IF(OR(NOT(Bid?),LEFT(UPPER($D325),4)="FXHR"),INDEX(INDIRECT(RangeUnitPrice),MATCH($A325,INDIRECT(RangeEstCount),0)),IF(Awd?,OFFSET(TabAmount,MATCH(INDEX(INDIRECT(RangeCount),MATCH($A325,INDIRECT(RangeEstCount),0)),OFFSET(TabCount,1,0,2*NumPayItems,1),0),MATCH(Awarded2,Bidders,0)),IF(OR($C325="",$D325="LPSM"),"","$"))),"")</f>
        <v/>
      </c>
      <c r="G325" s="171" t="str">
        <f ca="1">IFERROR(VALUE(C325)*F325,IF(AND(Bid?,NOT(Awd?),$D325="LPSM"),"$",F325))</f>
        <v/>
      </c>
      <c r="H325" s="374"/>
      <c r="I325" s="217" t="str">
        <f ca="1">IFERROR(VALUE(SUBSTITUTE(OFFSET(I325,-1,0)," "&amp;$D325,""))*$F325,"")</f>
        <v/>
      </c>
      <c r="J325" s="215" t="str">
        <f ca="1">IFERROR(VALUE(SUBSTITUTE(OFFSET(J325,-1,0)," "&amp;$D325,""))*$F325,"")</f>
        <v/>
      </c>
      <c r="K325" s="215" t="str">
        <f t="shared" ref="K325:M325" ca="1" si="324">IFERROR(VALUE(SUBSTITUTE(OFFSET(K325,-1,0)," "&amp;$D325,""))*$F325,"")</f>
        <v/>
      </c>
      <c r="L325" s="215" t="str">
        <f t="shared" ca="1" si="324"/>
        <v/>
      </c>
      <c r="M325" s="215" t="str">
        <f t="shared" ca="1" si="324"/>
        <v/>
      </c>
      <c r="N325" s="215" t="str">
        <f ca="1">IFERROR(VALUE(SUBSTITUTE(OFFSET(N325,-1,0)," "&amp;$D325,""))*$F325,"")</f>
        <v/>
      </c>
      <c r="O325" s="215" t="str">
        <f ca="1">IFERROR(VALUE(SUBSTITUTE(OFFSET(O325,-1,0)," "&amp;$D325,""))*$F325,"")</f>
        <v/>
      </c>
      <c r="P325" s="209" t="str">
        <f ca="1">IF(LEN(B325)&gt;0,ISNUMBER(MATCH(B325,Proposed[Item],0)),"")</f>
        <v/>
      </c>
    </row>
    <row r="326" spans="1:16" ht="15" x14ac:dyDescent="0.2">
      <c r="A326" s="276">
        <f t="shared" ca="1" si="262"/>
        <v>160</v>
      </c>
      <c r="B326" s="168" t="str">
        <f ca="1">IFERROR(INDEX(INDIRECT(RangeItems),MATCH($A326,INDIRECT(RangeEstCount),0)),"")</f>
        <v/>
      </c>
      <c r="C326" s="365" t="str">
        <f ca="1">IFERROR(INDEX(Calcs[Description],INDEX(INDIRECT(RangeCount),MATCH($A326,INDIRECT(RangeEstCount),0))),"")</f>
        <v/>
      </c>
      <c r="D326" s="365"/>
      <c r="E326" s="365"/>
      <c r="F326" s="365"/>
      <c r="G326" s="365"/>
      <c r="H326" s="375" t="str">
        <f ca="1">IF(AND(Bid?,NOT(Awd?)),C326,OFFSET(F326,1,0))</f>
        <v/>
      </c>
      <c r="I326" s="216" t="str">
        <f t="shared" ref="I326:O326" ca="1" si="325">IFERROR(SUM(OFFSET(INDIRECT(RangeQuantity),MATCH($A326,INDIRECT(RangeEstCount),0)-1,COLUMN(I326)-COLUMN($H326),1,1))&amp;" "&amp;OFFSET($D326,1,0),"")</f>
        <v/>
      </c>
      <c r="J326" s="277" t="str">
        <f t="shared" ca="1" si="325"/>
        <v/>
      </c>
      <c r="K326" s="277" t="str">
        <f t="shared" ca="1" si="325"/>
        <v/>
      </c>
      <c r="L326" s="277" t="str">
        <f t="shared" ca="1" si="325"/>
        <v/>
      </c>
      <c r="M326" s="277" t="str">
        <f t="shared" ca="1" si="325"/>
        <v/>
      </c>
      <c r="N326" s="277" t="str">
        <f t="shared" ca="1" si="325"/>
        <v/>
      </c>
      <c r="O326" s="277" t="str">
        <f t="shared" ca="1" si="325"/>
        <v/>
      </c>
      <c r="P326" s="209" t="str">
        <f ca="1">IF(LEN(B326)&gt;0,ISNUMBER(MATCH(B326,Proposed[Item],0)),"")</f>
        <v/>
      </c>
    </row>
    <row r="327" spans="1:16" ht="15" x14ac:dyDescent="0.2">
      <c r="A327" s="276">
        <f t="shared" ca="1" si="262"/>
        <v>160</v>
      </c>
      <c r="B327" s="111" t="str">
        <f ca="1">IFERROR("Line "&amp;INDEX(Calcs[Line],INDEX(INDIRECT(RangeCount),MATCH($A327,INDIRECT(RangeEstCount),0))),"")</f>
        <v/>
      </c>
      <c r="C327" s="169" t="str">
        <f ca="1">IFERROR(IF(AND($D327="LPSM",Bid?,All?),"ALL",TEXT(OFFSET(INDIRECT(RangeQuantity),MATCH($A327,INDIRECT(RangeEstCount),0)-1,MATCH(Account,Accounts,0)-1,1,1),IF($D327="LPSM","0%","#,##0"&amp;IF(OFFSET(Items[#Data],MATCH($A327,INDIRECT(RangeEstCount),0)-1,MATCH(Decimals,Items[#Headers],0)-1,1,1)&gt;0,"."&amp;REPT("0",OFFSET(Items[#Data],MATCH($A327,INDIRECT(RangeEstCount),0)-1,MATCH(Decimals,Items[#Headers],0)-1,1,1)),"")))),"")</f>
        <v/>
      </c>
      <c r="D327" s="170" t="str">
        <f ca="1">IFERROR(INDEX(INDIRECT(RangeUnit),MATCH($A327,INDIRECT(RangeEstCount),0))&amp;SUBSTITUTE(" ["&amp;INDEX(INDIRECT(RangeAmend),MATCH($A327,INDIRECT(RangeEstCount),0))&amp;"]"," []",""),"")</f>
        <v/>
      </c>
      <c r="E327" s="170" t="str">
        <f ca="1">IFERROR(IF(INDEX(INDIRECT(RangeContrQty),MATCH($A327,INDIRECT(RangeEstCount),0)),"(CQ)",""),"")</f>
        <v/>
      </c>
      <c r="F327" s="171" t="str">
        <f ca="1">IFERROR(IF(OR(NOT(Bid?),LEFT(UPPER($D327),4)="FXHR"),INDEX(INDIRECT(RangeUnitPrice),MATCH($A327,INDIRECT(RangeEstCount),0)),IF(Awd?,OFFSET(TabAmount,MATCH(INDEX(INDIRECT(RangeCount),MATCH($A327,INDIRECT(RangeEstCount),0)),OFFSET(TabCount,1,0,2*NumPayItems,1),0),MATCH(Awarded2,Bidders,0)),IF(OR($C327="",$D327="LPSM"),"","$"))),"")</f>
        <v/>
      </c>
      <c r="G327" s="171" t="str">
        <f ca="1">IFERROR(VALUE(C327)*F327,IF(AND(Bid?,NOT(Awd?),$D327="LPSM"),"$",F327))</f>
        <v/>
      </c>
      <c r="H327" s="374"/>
      <c r="I327" s="217" t="str">
        <f ca="1">IFERROR(VALUE(SUBSTITUTE(OFFSET(I327,-1,0)," "&amp;$D327,""))*$F327,"")</f>
        <v/>
      </c>
      <c r="J327" s="215" t="str">
        <f ca="1">IFERROR(VALUE(SUBSTITUTE(OFFSET(J327,-1,0)," "&amp;$D327,""))*$F327,"")</f>
        <v/>
      </c>
      <c r="K327" s="215" t="str">
        <f t="shared" ref="K327:M327" ca="1" si="326">IFERROR(VALUE(SUBSTITUTE(OFFSET(K327,-1,0)," "&amp;$D327,""))*$F327,"")</f>
        <v/>
      </c>
      <c r="L327" s="215" t="str">
        <f t="shared" ca="1" si="326"/>
        <v/>
      </c>
      <c r="M327" s="215" t="str">
        <f t="shared" ca="1" si="326"/>
        <v/>
      </c>
      <c r="N327" s="215" t="str">
        <f ca="1">IFERROR(VALUE(SUBSTITUTE(OFFSET(N327,-1,0)," "&amp;$D327,""))*$F327,"")</f>
        <v/>
      </c>
      <c r="O327" s="215" t="str">
        <f ca="1">IFERROR(VALUE(SUBSTITUTE(OFFSET(O327,-1,0)," "&amp;$D327,""))*$F327,"")</f>
        <v/>
      </c>
      <c r="P327" s="209" t="str">
        <f ca="1">IF(LEN(B327)&gt;0,ISNUMBER(MATCH(B327,Proposed[Item],0)),"")</f>
        <v/>
      </c>
    </row>
    <row r="328" spans="1:16" ht="15" x14ac:dyDescent="0.2">
      <c r="A328" s="276">
        <f t="shared" ref="A328:A391" ca="1" si="327">OFFSET(A328,-2,0)+1</f>
        <v>161</v>
      </c>
      <c r="B328" s="168" t="str">
        <f ca="1">IFERROR(INDEX(INDIRECT(RangeItems),MATCH($A328,INDIRECT(RangeEstCount),0)),"")</f>
        <v/>
      </c>
      <c r="C328" s="365" t="str">
        <f ca="1">IFERROR(INDEX(Calcs[Description],INDEX(INDIRECT(RangeCount),MATCH($A328,INDIRECT(RangeEstCount),0))),"")</f>
        <v/>
      </c>
      <c r="D328" s="365"/>
      <c r="E328" s="365"/>
      <c r="F328" s="365"/>
      <c r="G328" s="365"/>
      <c r="H328" s="375" t="str">
        <f ca="1">IF(AND(Bid?,NOT(Awd?)),C328,OFFSET(F328,1,0))</f>
        <v/>
      </c>
      <c r="I328" s="216" t="str">
        <f t="shared" ref="I328:O328" ca="1" si="328">IFERROR(SUM(OFFSET(INDIRECT(RangeQuantity),MATCH($A328,INDIRECT(RangeEstCount),0)-1,COLUMN(I328)-COLUMN($H328),1,1))&amp;" "&amp;OFFSET($D328,1,0),"")</f>
        <v/>
      </c>
      <c r="J328" s="277" t="str">
        <f t="shared" ca="1" si="328"/>
        <v/>
      </c>
      <c r="K328" s="277" t="str">
        <f t="shared" ca="1" si="328"/>
        <v/>
      </c>
      <c r="L328" s="277" t="str">
        <f t="shared" ca="1" si="328"/>
        <v/>
      </c>
      <c r="M328" s="277" t="str">
        <f t="shared" ca="1" si="328"/>
        <v/>
      </c>
      <c r="N328" s="277" t="str">
        <f t="shared" ca="1" si="328"/>
        <v/>
      </c>
      <c r="O328" s="277" t="str">
        <f t="shared" ca="1" si="328"/>
        <v/>
      </c>
      <c r="P328" s="209" t="str">
        <f ca="1">IF(LEN(B328)&gt;0,ISNUMBER(MATCH(B328,Proposed[Item],0)),"")</f>
        <v/>
      </c>
    </row>
    <row r="329" spans="1:16" ht="15" x14ac:dyDescent="0.2">
      <c r="A329" s="276">
        <f t="shared" ca="1" si="327"/>
        <v>161</v>
      </c>
      <c r="B329" s="111" t="str">
        <f ca="1">IFERROR("Line "&amp;INDEX(Calcs[Line],INDEX(INDIRECT(RangeCount),MATCH($A329,INDIRECT(RangeEstCount),0))),"")</f>
        <v/>
      </c>
      <c r="C329" s="169" t="str">
        <f ca="1">IFERROR(IF(AND($D329="LPSM",Bid?,All?),"ALL",TEXT(OFFSET(INDIRECT(RangeQuantity),MATCH($A329,INDIRECT(RangeEstCount),0)-1,MATCH(Account,Accounts,0)-1,1,1),IF($D329="LPSM","0%","#,##0"&amp;IF(OFFSET(Items[#Data],MATCH($A329,INDIRECT(RangeEstCount),0)-1,MATCH(Decimals,Items[#Headers],0)-1,1,1)&gt;0,"."&amp;REPT("0",OFFSET(Items[#Data],MATCH($A329,INDIRECT(RangeEstCount),0)-1,MATCH(Decimals,Items[#Headers],0)-1,1,1)),"")))),"")</f>
        <v/>
      </c>
      <c r="D329" s="170" t="str">
        <f ca="1">IFERROR(INDEX(INDIRECT(RangeUnit),MATCH($A329,INDIRECT(RangeEstCount),0))&amp;SUBSTITUTE(" ["&amp;INDEX(INDIRECT(RangeAmend),MATCH($A329,INDIRECT(RangeEstCount),0))&amp;"]"," []",""),"")</f>
        <v/>
      </c>
      <c r="E329" s="170" t="str">
        <f ca="1">IFERROR(IF(INDEX(INDIRECT(RangeContrQty),MATCH($A329,INDIRECT(RangeEstCount),0)),"(CQ)",""),"")</f>
        <v/>
      </c>
      <c r="F329" s="171" t="str">
        <f ca="1">IFERROR(IF(OR(NOT(Bid?),LEFT(UPPER($D329),4)="FXHR"),INDEX(INDIRECT(RangeUnitPrice),MATCH($A329,INDIRECT(RangeEstCount),0)),IF(Awd?,OFFSET(TabAmount,MATCH(INDEX(INDIRECT(RangeCount),MATCH($A329,INDIRECT(RangeEstCount),0)),OFFSET(TabCount,1,0,2*NumPayItems,1),0),MATCH(Awarded2,Bidders,0)),IF(OR($C329="",$D329="LPSM"),"","$"))),"")</f>
        <v/>
      </c>
      <c r="G329" s="171" t="str">
        <f ca="1">IFERROR(VALUE(C329)*F329,IF(AND(Bid?,NOT(Awd?),$D329="LPSM"),"$",F329))</f>
        <v/>
      </c>
      <c r="H329" s="374"/>
      <c r="I329" s="217" t="str">
        <f ca="1">IFERROR(VALUE(SUBSTITUTE(OFFSET(I329,-1,0)," "&amp;$D329,""))*$F329,"")</f>
        <v/>
      </c>
      <c r="J329" s="215" t="str">
        <f ca="1">IFERROR(VALUE(SUBSTITUTE(OFFSET(J329,-1,0)," "&amp;$D329,""))*$F329,"")</f>
        <v/>
      </c>
      <c r="K329" s="215" t="str">
        <f t="shared" ref="K329:M329" ca="1" si="329">IFERROR(VALUE(SUBSTITUTE(OFFSET(K329,-1,0)," "&amp;$D329,""))*$F329,"")</f>
        <v/>
      </c>
      <c r="L329" s="215" t="str">
        <f t="shared" ca="1" si="329"/>
        <v/>
      </c>
      <c r="M329" s="215" t="str">
        <f t="shared" ca="1" si="329"/>
        <v/>
      </c>
      <c r="N329" s="215" t="str">
        <f ca="1">IFERROR(VALUE(SUBSTITUTE(OFFSET(N329,-1,0)," "&amp;$D329,""))*$F329,"")</f>
        <v/>
      </c>
      <c r="O329" s="215" t="str">
        <f ca="1">IFERROR(VALUE(SUBSTITUTE(OFFSET(O329,-1,0)," "&amp;$D329,""))*$F329,"")</f>
        <v/>
      </c>
      <c r="P329" s="209" t="str">
        <f ca="1">IF(LEN(B329)&gt;0,ISNUMBER(MATCH(B329,Proposed[Item],0)),"")</f>
        <v/>
      </c>
    </row>
    <row r="330" spans="1:16" ht="15" x14ac:dyDescent="0.2">
      <c r="A330" s="276">
        <f t="shared" ca="1" si="327"/>
        <v>162</v>
      </c>
      <c r="B330" s="168" t="str">
        <f ca="1">IFERROR(INDEX(INDIRECT(RangeItems),MATCH($A330,INDIRECT(RangeEstCount),0)),"")</f>
        <v/>
      </c>
      <c r="C330" s="365" t="str">
        <f ca="1">IFERROR(INDEX(Calcs[Description],INDEX(INDIRECT(RangeCount),MATCH($A330,INDIRECT(RangeEstCount),0))),"")</f>
        <v/>
      </c>
      <c r="D330" s="365"/>
      <c r="E330" s="365"/>
      <c r="F330" s="365"/>
      <c r="G330" s="365"/>
      <c r="H330" s="375" t="str">
        <f ca="1">IF(AND(Bid?,NOT(Awd?)),C330,OFFSET(F330,1,0))</f>
        <v/>
      </c>
      <c r="I330" s="216" t="str">
        <f t="shared" ref="I330:O330" ca="1" si="330">IFERROR(SUM(OFFSET(INDIRECT(RangeQuantity),MATCH($A330,INDIRECT(RangeEstCount),0)-1,COLUMN(I330)-COLUMN($H330),1,1))&amp;" "&amp;OFFSET($D330,1,0),"")</f>
        <v/>
      </c>
      <c r="J330" s="277" t="str">
        <f t="shared" ca="1" si="330"/>
        <v/>
      </c>
      <c r="K330" s="277" t="str">
        <f t="shared" ca="1" si="330"/>
        <v/>
      </c>
      <c r="L330" s="277" t="str">
        <f t="shared" ca="1" si="330"/>
        <v/>
      </c>
      <c r="M330" s="277" t="str">
        <f t="shared" ca="1" si="330"/>
        <v/>
      </c>
      <c r="N330" s="277" t="str">
        <f t="shared" ca="1" si="330"/>
        <v/>
      </c>
      <c r="O330" s="277" t="str">
        <f t="shared" ca="1" si="330"/>
        <v/>
      </c>
      <c r="P330" s="209" t="str">
        <f ca="1">IF(LEN(B330)&gt;0,ISNUMBER(MATCH(B330,Proposed[Item],0)),"")</f>
        <v/>
      </c>
    </row>
    <row r="331" spans="1:16" ht="15" x14ac:dyDescent="0.2">
      <c r="A331" s="276">
        <f t="shared" ca="1" si="327"/>
        <v>162</v>
      </c>
      <c r="B331" s="111" t="str">
        <f ca="1">IFERROR("Line "&amp;INDEX(Calcs[Line],INDEX(INDIRECT(RangeCount),MATCH($A331,INDIRECT(RangeEstCount),0))),"")</f>
        <v/>
      </c>
      <c r="C331" s="169" t="str">
        <f ca="1">IFERROR(IF(AND($D331="LPSM",Bid?,All?),"ALL",TEXT(OFFSET(INDIRECT(RangeQuantity),MATCH($A331,INDIRECT(RangeEstCount),0)-1,MATCH(Account,Accounts,0)-1,1,1),IF($D331="LPSM","0%","#,##0"&amp;IF(OFFSET(Items[#Data],MATCH($A331,INDIRECT(RangeEstCount),0)-1,MATCH(Decimals,Items[#Headers],0)-1,1,1)&gt;0,"."&amp;REPT("0",OFFSET(Items[#Data],MATCH($A331,INDIRECT(RangeEstCount),0)-1,MATCH(Decimals,Items[#Headers],0)-1,1,1)),"")))),"")</f>
        <v/>
      </c>
      <c r="D331" s="170" t="str">
        <f ca="1">IFERROR(INDEX(INDIRECT(RangeUnit),MATCH($A331,INDIRECT(RangeEstCount),0))&amp;SUBSTITUTE(" ["&amp;INDEX(INDIRECT(RangeAmend),MATCH($A331,INDIRECT(RangeEstCount),0))&amp;"]"," []",""),"")</f>
        <v/>
      </c>
      <c r="E331" s="170" t="str">
        <f ca="1">IFERROR(IF(INDEX(INDIRECT(RangeContrQty),MATCH($A331,INDIRECT(RangeEstCount),0)),"(CQ)",""),"")</f>
        <v/>
      </c>
      <c r="F331" s="171" t="str">
        <f ca="1">IFERROR(IF(OR(NOT(Bid?),LEFT(UPPER($D331),4)="FXHR"),INDEX(INDIRECT(RangeUnitPrice),MATCH($A331,INDIRECT(RangeEstCount),0)),IF(Awd?,OFFSET(TabAmount,MATCH(INDEX(INDIRECT(RangeCount),MATCH($A331,INDIRECT(RangeEstCount),0)),OFFSET(TabCount,1,0,2*NumPayItems,1),0),MATCH(Awarded2,Bidders,0)),IF(OR($C331="",$D331="LPSM"),"","$"))),"")</f>
        <v/>
      </c>
      <c r="G331" s="171" t="str">
        <f ca="1">IFERROR(VALUE(C331)*F331,IF(AND(Bid?,NOT(Awd?),$D331="LPSM"),"$",F331))</f>
        <v/>
      </c>
      <c r="H331" s="374"/>
      <c r="I331" s="217" t="str">
        <f ca="1">IFERROR(VALUE(SUBSTITUTE(OFFSET(I331,-1,0)," "&amp;$D331,""))*$F331,"")</f>
        <v/>
      </c>
      <c r="J331" s="215" t="str">
        <f ca="1">IFERROR(VALUE(SUBSTITUTE(OFFSET(J331,-1,0)," "&amp;$D331,""))*$F331,"")</f>
        <v/>
      </c>
      <c r="K331" s="215" t="str">
        <f t="shared" ref="K331:M331" ca="1" si="331">IFERROR(VALUE(SUBSTITUTE(OFFSET(K331,-1,0)," "&amp;$D331,""))*$F331,"")</f>
        <v/>
      </c>
      <c r="L331" s="215" t="str">
        <f t="shared" ca="1" si="331"/>
        <v/>
      </c>
      <c r="M331" s="215" t="str">
        <f t="shared" ca="1" si="331"/>
        <v/>
      </c>
      <c r="N331" s="215" t="str">
        <f ca="1">IFERROR(VALUE(SUBSTITUTE(OFFSET(N331,-1,0)," "&amp;$D331,""))*$F331,"")</f>
        <v/>
      </c>
      <c r="O331" s="215" t="str">
        <f ca="1">IFERROR(VALUE(SUBSTITUTE(OFFSET(O331,-1,0)," "&amp;$D331,""))*$F331,"")</f>
        <v/>
      </c>
      <c r="P331" s="209" t="str">
        <f ca="1">IF(LEN(B331)&gt;0,ISNUMBER(MATCH(B331,Proposed[Item],0)),"")</f>
        <v/>
      </c>
    </row>
    <row r="332" spans="1:16" ht="15" x14ac:dyDescent="0.2">
      <c r="A332" s="276">
        <f t="shared" ca="1" si="327"/>
        <v>163</v>
      </c>
      <c r="B332" s="168" t="str">
        <f ca="1">IFERROR(INDEX(INDIRECT(RangeItems),MATCH($A332,INDIRECT(RangeEstCount),0)),"")</f>
        <v/>
      </c>
      <c r="C332" s="365" t="str">
        <f ca="1">IFERROR(INDEX(Calcs[Description],INDEX(INDIRECT(RangeCount),MATCH($A332,INDIRECT(RangeEstCount),0))),"")</f>
        <v/>
      </c>
      <c r="D332" s="365"/>
      <c r="E332" s="365"/>
      <c r="F332" s="365"/>
      <c r="G332" s="365"/>
      <c r="H332" s="375" t="str">
        <f ca="1">IF(AND(Bid?,NOT(Awd?)),C332,OFFSET(F332,1,0))</f>
        <v/>
      </c>
      <c r="I332" s="216" t="str">
        <f t="shared" ref="I332:O332" ca="1" si="332">IFERROR(SUM(OFFSET(INDIRECT(RangeQuantity),MATCH($A332,INDIRECT(RangeEstCount),0)-1,COLUMN(I332)-COLUMN($H332),1,1))&amp;" "&amp;OFFSET($D332,1,0),"")</f>
        <v/>
      </c>
      <c r="J332" s="277" t="str">
        <f t="shared" ca="1" si="332"/>
        <v/>
      </c>
      <c r="K332" s="277" t="str">
        <f t="shared" ca="1" si="332"/>
        <v/>
      </c>
      <c r="L332" s="277" t="str">
        <f t="shared" ca="1" si="332"/>
        <v/>
      </c>
      <c r="M332" s="277" t="str">
        <f t="shared" ca="1" si="332"/>
        <v/>
      </c>
      <c r="N332" s="277" t="str">
        <f t="shared" ca="1" si="332"/>
        <v/>
      </c>
      <c r="O332" s="277" t="str">
        <f t="shared" ca="1" si="332"/>
        <v/>
      </c>
      <c r="P332" s="209" t="str">
        <f ca="1">IF(LEN(B332)&gt;0,ISNUMBER(MATCH(B332,Proposed[Item],0)),"")</f>
        <v/>
      </c>
    </row>
    <row r="333" spans="1:16" ht="15" x14ac:dyDescent="0.2">
      <c r="A333" s="276">
        <f t="shared" ca="1" si="327"/>
        <v>163</v>
      </c>
      <c r="B333" s="111" t="str">
        <f ca="1">IFERROR("Line "&amp;INDEX(Calcs[Line],INDEX(INDIRECT(RangeCount),MATCH($A333,INDIRECT(RangeEstCount),0))),"")</f>
        <v/>
      </c>
      <c r="C333" s="169" t="str">
        <f ca="1">IFERROR(IF(AND($D333="LPSM",Bid?,All?),"ALL",TEXT(OFFSET(INDIRECT(RangeQuantity),MATCH($A333,INDIRECT(RangeEstCount),0)-1,MATCH(Account,Accounts,0)-1,1,1),IF($D333="LPSM","0%","#,##0"&amp;IF(OFFSET(Items[#Data],MATCH($A333,INDIRECT(RangeEstCount),0)-1,MATCH(Decimals,Items[#Headers],0)-1,1,1)&gt;0,"."&amp;REPT("0",OFFSET(Items[#Data],MATCH($A333,INDIRECT(RangeEstCount),0)-1,MATCH(Decimals,Items[#Headers],0)-1,1,1)),"")))),"")</f>
        <v/>
      </c>
      <c r="D333" s="170" t="str">
        <f ca="1">IFERROR(INDEX(INDIRECT(RangeUnit),MATCH($A333,INDIRECT(RangeEstCount),0))&amp;SUBSTITUTE(" ["&amp;INDEX(INDIRECT(RangeAmend),MATCH($A333,INDIRECT(RangeEstCount),0))&amp;"]"," []",""),"")</f>
        <v/>
      </c>
      <c r="E333" s="170" t="str">
        <f ca="1">IFERROR(IF(INDEX(INDIRECT(RangeContrQty),MATCH($A333,INDIRECT(RangeEstCount),0)),"(CQ)",""),"")</f>
        <v/>
      </c>
      <c r="F333" s="171" t="str">
        <f ca="1">IFERROR(IF(OR(NOT(Bid?),LEFT(UPPER($D333),4)="FXHR"),INDEX(INDIRECT(RangeUnitPrice),MATCH($A333,INDIRECT(RangeEstCount),0)),IF(Awd?,OFFSET(TabAmount,MATCH(INDEX(INDIRECT(RangeCount),MATCH($A333,INDIRECT(RangeEstCount),0)),OFFSET(TabCount,1,0,2*NumPayItems,1),0),MATCH(Awarded2,Bidders,0)),IF(OR($C333="",$D333="LPSM"),"","$"))),"")</f>
        <v/>
      </c>
      <c r="G333" s="171" t="str">
        <f ca="1">IFERROR(VALUE(C333)*F333,IF(AND(Bid?,NOT(Awd?),$D333="LPSM"),"$",F333))</f>
        <v/>
      </c>
      <c r="H333" s="374"/>
      <c r="I333" s="217" t="str">
        <f ca="1">IFERROR(VALUE(SUBSTITUTE(OFFSET(I333,-1,0)," "&amp;$D333,""))*$F333,"")</f>
        <v/>
      </c>
      <c r="J333" s="215" t="str">
        <f ca="1">IFERROR(VALUE(SUBSTITUTE(OFFSET(J333,-1,0)," "&amp;$D333,""))*$F333,"")</f>
        <v/>
      </c>
      <c r="K333" s="215" t="str">
        <f t="shared" ref="K333:M333" ca="1" si="333">IFERROR(VALUE(SUBSTITUTE(OFFSET(K333,-1,0)," "&amp;$D333,""))*$F333,"")</f>
        <v/>
      </c>
      <c r="L333" s="215" t="str">
        <f t="shared" ca="1" si="333"/>
        <v/>
      </c>
      <c r="M333" s="215" t="str">
        <f t="shared" ca="1" si="333"/>
        <v/>
      </c>
      <c r="N333" s="215" t="str">
        <f ca="1">IFERROR(VALUE(SUBSTITUTE(OFFSET(N333,-1,0)," "&amp;$D333,""))*$F333,"")</f>
        <v/>
      </c>
      <c r="O333" s="215" t="str">
        <f ca="1">IFERROR(VALUE(SUBSTITUTE(OFFSET(O333,-1,0)," "&amp;$D333,""))*$F333,"")</f>
        <v/>
      </c>
      <c r="P333" s="209" t="str">
        <f ca="1">IF(LEN(B333)&gt;0,ISNUMBER(MATCH(B333,Proposed[Item],0)),"")</f>
        <v/>
      </c>
    </row>
    <row r="334" spans="1:16" ht="15" x14ac:dyDescent="0.2">
      <c r="A334" s="276">
        <f t="shared" ca="1" si="327"/>
        <v>164</v>
      </c>
      <c r="B334" s="168" t="str">
        <f ca="1">IFERROR(INDEX(INDIRECT(RangeItems),MATCH($A334,INDIRECT(RangeEstCount),0)),"")</f>
        <v/>
      </c>
      <c r="C334" s="365" t="str">
        <f ca="1">IFERROR(INDEX(Calcs[Description],INDEX(INDIRECT(RangeCount),MATCH($A334,INDIRECT(RangeEstCount),0))),"")</f>
        <v/>
      </c>
      <c r="D334" s="365"/>
      <c r="E334" s="365"/>
      <c r="F334" s="365"/>
      <c r="G334" s="365"/>
      <c r="H334" s="375" t="str">
        <f ca="1">IF(AND(Bid?,NOT(Awd?)),C334,OFFSET(F334,1,0))</f>
        <v/>
      </c>
      <c r="I334" s="216" t="str">
        <f t="shared" ref="I334:O334" ca="1" si="334">IFERROR(SUM(OFFSET(INDIRECT(RangeQuantity),MATCH($A334,INDIRECT(RangeEstCount),0)-1,COLUMN(I334)-COLUMN($H334),1,1))&amp;" "&amp;OFFSET($D334,1,0),"")</f>
        <v/>
      </c>
      <c r="J334" s="277" t="str">
        <f t="shared" ca="1" si="334"/>
        <v/>
      </c>
      <c r="K334" s="277" t="str">
        <f t="shared" ca="1" si="334"/>
        <v/>
      </c>
      <c r="L334" s="277" t="str">
        <f t="shared" ca="1" si="334"/>
        <v/>
      </c>
      <c r="M334" s="277" t="str">
        <f t="shared" ca="1" si="334"/>
        <v/>
      </c>
      <c r="N334" s="277" t="str">
        <f t="shared" ca="1" si="334"/>
        <v/>
      </c>
      <c r="O334" s="277" t="str">
        <f t="shared" ca="1" si="334"/>
        <v/>
      </c>
      <c r="P334" s="209" t="str">
        <f ca="1">IF(LEN(B334)&gt;0,ISNUMBER(MATCH(B334,Proposed[Item],0)),"")</f>
        <v/>
      </c>
    </row>
    <row r="335" spans="1:16" ht="15" x14ac:dyDescent="0.2">
      <c r="A335" s="276">
        <f t="shared" ca="1" si="327"/>
        <v>164</v>
      </c>
      <c r="B335" s="111" t="str">
        <f ca="1">IFERROR("Line "&amp;INDEX(Calcs[Line],INDEX(INDIRECT(RangeCount),MATCH($A335,INDIRECT(RangeEstCount),0))),"")</f>
        <v/>
      </c>
      <c r="C335" s="169" t="str">
        <f ca="1">IFERROR(IF(AND($D335="LPSM",Bid?,All?),"ALL",TEXT(OFFSET(INDIRECT(RangeQuantity),MATCH($A335,INDIRECT(RangeEstCount),0)-1,MATCH(Account,Accounts,0)-1,1,1),IF($D335="LPSM","0%","#,##0"&amp;IF(OFFSET(Items[#Data],MATCH($A335,INDIRECT(RangeEstCount),0)-1,MATCH(Decimals,Items[#Headers],0)-1,1,1)&gt;0,"."&amp;REPT("0",OFFSET(Items[#Data],MATCH($A335,INDIRECT(RangeEstCount),0)-1,MATCH(Decimals,Items[#Headers],0)-1,1,1)),"")))),"")</f>
        <v/>
      </c>
      <c r="D335" s="170" t="str">
        <f ca="1">IFERROR(INDEX(INDIRECT(RangeUnit),MATCH($A335,INDIRECT(RangeEstCount),0))&amp;SUBSTITUTE(" ["&amp;INDEX(INDIRECT(RangeAmend),MATCH($A335,INDIRECT(RangeEstCount),0))&amp;"]"," []",""),"")</f>
        <v/>
      </c>
      <c r="E335" s="170" t="str">
        <f ca="1">IFERROR(IF(INDEX(INDIRECT(RangeContrQty),MATCH($A335,INDIRECT(RangeEstCount),0)),"(CQ)",""),"")</f>
        <v/>
      </c>
      <c r="F335" s="171" t="str">
        <f ca="1">IFERROR(IF(OR(NOT(Bid?),LEFT(UPPER($D335),4)="FXHR"),INDEX(INDIRECT(RangeUnitPrice),MATCH($A335,INDIRECT(RangeEstCount),0)),IF(Awd?,OFFSET(TabAmount,MATCH(INDEX(INDIRECT(RangeCount),MATCH($A335,INDIRECT(RangeEstCount),0)),OFFSET(TabCount,1,0,2*NumPayItems,1),0),MATCH(Awarded2,Bidders,0)),IF(OR($C335="",$D335="LPSM"),"","$"))),"")</f>
        <v/>
      </c>
      <c r="G335" s="171" t="str">
        <f ca="1">IFERROR(VALUE(C335)*F335,IF(AND(Bid?,NOT(Awd?),$D335="LPSM"),"$",F335))</f>
        <v/>
      </c>
      <c r="H335" s="374"/>
      <c r="I335" s="217" t="str">
        <f ca="1">IFERROR(VALUE(SUBSTITUTE(OFFSET(I335,-1,0)," "&amp;$D335,""))*$F335,"")</f>
        <v/>
      </c>
      <c r="J335" s="215" t="str">
        <f ca="1">IFERROR(VALUE(SUBSTITUTE(OFFSET(J335,-1,0)," "&amp;$D335,""))*$F335,"")</f>
        <v/>
      </c>
      <c r="K335" s="215" t="str">
        <f t="shared" ref="K335:M335" ca="1" si="335">IFERROR(VALUE(SUBSTITUTE(OFFSET(K335,-1,0)," "&amp;$D335,""))*$F335,"")</f>
        <v/>
      </c>
      <c r="L335" s="215" t="str">
        <f t="shared" ca="1" si="335"/>
        <v/>
      </c>
      <c r="M335" s="215" t="str">
        <f t="shared" ca="1" si="335"/>
        <v/>
      </c>
      <c r="N335" s="215" t="str">
        <f ca="1">IFERROR(VALUE(SUBSTITUTE(OFFSET(N335,-1,0)," "&amp;$D335,""))*$F335,"")</f>
        <v/>
      </c>
      <c r="O335" s="215" t="str">
        <f ca="1">IFERROR(VALUE(SUBSTITUTE(OFFSET(O335,-1,0)," "&amp;$D335,""))*$F335,"")</f>
        <v/>
      </c>
      <c r="P335" s="209" t="str">
        <f ca="1">IF(LEN(B335)&gt;0,ISNUMBER(MATCH(B335,Proposed[Item],0)),"")</f>
        <v/>
      </c>
    </row>
    <row r="336" spans="1:16" ht="15" x14ac:dyDescent="0.2">
      <c r="A336" s="276">
        <f t="shared" ca="1" si="327"/>
        <v>165</v>
      </c>
      <c r="B336" s="168" t="str">
        <f ca="1">IFERROR(INDEX(INDIRECT(RangeItems),MATCH($A336,INDIRECT(RangeEstCount),0)),"")</f>
        <v/>
      </c>
      <c r="C336" s="365" t="str">
        <f ca="1">IFERROR(INDEX(Calcs[Description],INDEX(INDIRECT(RangeCount),MATCH($A336,INDIRECT(RangeEstCount),0))),"")</f>
        <v/>
      </c>
      <c r="D336" s="365"/>
      <c r="E336" s="365"/>
      <c r="F336" s="365"/>
      <c r="G336" s="365"/>
      <c r="H336" s="375" t="str">
        <f ca="1">IF(AND(Bid?,NOT(Awd?)),C336,OFFSET(F336,1,0))</f>
        <v/>
      </c>
      <c r="I336" s="216" t="str">
        <f t="shared" ref="I336:O336" ca="1" si="336">IFERROR(SUM(OFFSET(INDIRECT(RangeQuantity),MATCH($A336,INDIRECT(RangeEstCount),0)-1,COLUMN(I336)-COLUMN($H336),1,1))&amp;" "&amp;OFFSET($D336,1,0),"")</f>
        <v/>
      </c>
      <c r="J336" s="277" t="str">
        <f t="shared" ca="1" si="336"/>
        <v/>
      </c>
      <c r="K336" s="277" t="str">
        <f t="shared" ca="1" si="336"/>
        <v/>
      </c>
      <c r="L336" s="277" t="str">
        <f t="shared" ca="1" si="336"/>
        <v/>
      </c>
      <c r="M336" s="277" t="str">
        <f t="shared" ca="1" si="336"/>
        <v/>
      </c>
      <c r="N336" s="277" t="str">
        <f t="shared" ca="1" si="336"/>
        <v/>
      </c>
      <c r="O336" s="277" t="str">
        <f t="shared" ca="1" si="336"/>
        <v/>
      </c>
      <c r="P336" s="209" t="str">
        <f ca="1">IF(LEN(B336)&gt;0,ISNUMBER(MATCH(B336,Proposed[Item],0)),"")</f>
        <v/>
      </c>
    </row>
    <row r="337" spans="1:16" ht="15" x14ac:dyDescent="0.2">
      <c r="A337" s="276">
        <f t="shared" ca="1" si="327"/>
        <v>165</v>
      </c>
      <c r="B337" s="111" t="str">
        <f ca="1">IFERROR("Line "&amp;INDEX(Calcs[Line],INDEX(INDIRECT(RangeCount),MATCH($A337,INDIRECT(RangeEstCount),0))),"")</f>
        <v/>
      </c>
      <c r="C337" s="169" t="str">
        <f ca="1">IFERROR(IF(AND($D337="LPSM",Bid?,All?),"ALL",TEXT(OFFSET(INDIRECT(RangeQuantity),MATCH($A337,INDIRECT(RangeEstCount),0)-1,MATCH(Account,Accounts,0)-1,1,1),IF($D337="LPSM","0%","#,##0"&amp;IF(OFFSET(Items[#Data],MATCH($A337,INDIRECT(RangeEstCount),0)-1,MATCH(Decimals,Items[#Headers],0)-1,1,1)&gt;0,"."&amp;REPT("0",OFFSET(Items[#Data],MATCH($A337,INDIRECT(RangeEstCount),0)-1,MATCH(Decimals,Items[#Headers],0)-1,1,1)),"")))),"")</f>
        <v/>
      </c>
      <c r="D337" s="170" t="str">
        <f ca="1">IFERROR(INDEX(INDIRECT(RangeUnit),MATCH($A337,INDIRECT(RangeEstCount),0))&amp;SUBSTITUTE(" ["&amp;INDEX(INDIRECT(RangeAmend),MATCH($A337,INDIRECT(RangeEstCount),0))&amp;"]"," []",""),"")</f>
        <v/>
      </c>
      <c r="E337" s="170" t="str">
        <f ca="1">IFERROR(IF(INDEX(INDIRECT(RangeContrQty),MATCH($A337,INDIRECT(RangeEstCount),0)),"(CQ)",""),"")</f>
        <v/>
      </c>
      <c r="F337" s="171" t="str">
        <f ca="1">IFERROR(IF(OR(NOT(Bid?),LEFT(UPPER($D337),4)="FXHR"),INDEX(INDIRECT(RangeUnitPrice),MATCH($A337,INDIRECT(RangeEstCount),0)),IF(Awd?,OFFSET(TabAmount,MATCH(INDEX(INDIRECT(RangeCount),MATCH($A337,INDIRECT(RangeEstCount),0)),OFFSET(TabCount,1,0,2*NumPayItems,1),0),MATCH(Awarded2,Bidders,0)),IF(OR($C337="",$D337="LPSM"),"","$"))),"")</f>
        <v/>
      </c>
      <c r="G337" s="171" t="str">
        <f ca="1">IFERROR(VALUE(C337)*F337,IF(AND(Bid?,NOT(Awd?),$D337="LPSM"),"$",F337))</f>
        <v/>
      </c>
      <c r="H337" s="374"/>
      <c r="I337" s="217" t="str">
        <f ca="1">IFERROR(VALUE(SUBSTITUTE(OFFSET(I337,-1,0)," "&amp;$D337,""))*$F337,"")</f>
        <v/>
      </c>
      <c r="J337" s="215" t="str">
        <f ca="1">IFERROR(VALUE(SUBSTITUTE(OFFSET(J337,-1,0)," "&amp;$D337,""))*$F337,"")</f>
        <v/>
      </c>
      <c r="K337" s="215" t="str">
        <f t="shared" ref="K337:M337" ca="1" si="337">IFERROR(VALUE(SUBSTITUTE(OFFSET(K337,-1,0)," "&amp;$D337,""))*$F337,"")</f>
        <v/>
      </c>
      <c r="L337" s="215" t="str">
        <f t="shared" ca="1" si="337"/>
        <v/>
      </c>
      <c r="M337" s="215" t="str">
        <f t="shared" ca="1" si="337"/>
        <v/>
      </c>
      <c r="N337" s="215" t="str">
        <f ca="1">IFERROR(VALUE(SUBSTITUTE(OFFSET(N337,-1,0)," "&amp;$D337,""))*$F337,"")</f>
        <v/>
      </c>
      <c r="O337" s="215" t="str">
        <f ca="1">IFERROR(VALUE(SUBSTITUTE(OFFSET(O337,-1,0)," "&amp;$D337,""))*$F337,"")</f>
        <v/>
      </c>
      <c r="P337" s="209" t="str">
        <f ca="1">IF(LEN(B337)&gt;0,ISNUMBER(MATCH(B337,Proposed[Item],0)),"")</f>
        <v/>
      </c>
    </row>
    <row r="338" spans="1:16" ht="15" x14ac:dyDescent="0.2">
      <c r="A338" s="276">
        <f t="shared" ca="1" si="327"/>
        <v>166</v>
      </c>
      <c r="B338" s="168" t="str">
        <f ca="1">IFERROR(INDEX(INDIRECT(RangeItems),MATCH($A338,INDIRECT(RangeEstCount),0)),"")</f>
        <v/>
      </c>
      <c r="C338" s="365" t="str">
        <f ca="1">IFERROR(INDEX(Calcs[Description],INDEX(INDIRECT(RangeCount),MATCH($A338,INDIRECT(RangeEstCount),0))),"")</f>
        <v/>
      </c>
      <c r="D338" s="365"/>
      <c r="E338" s="365"/>
      <c r="F338" s="365"/>
      <c r="G338" s="365"/>
      <c r="H338" s="375" t="str">
        <f ca="1">IF(AND(Bid?,NOT(Awd?)),C338,OFFSET(F338,1,0))</f>
        <v/>
      </c>
      <c r="I338" s="216" t="str">
        <f t="shared" ref="I338:O338" ca="1" si="338">IFERROR(SUM(OFFSET(INDIRECT(RangeQuantity),MATCH($A338,INDIRECT(RangeEstCount),0)-1,COLUMN(I338)-COLUMN($H338),1,1))&amp;" "&amp;OFFSET($D338,1,0),"")</f>
        <v/>
      </c>
      <c r="J338" s="277" t="str">
        <f t="shared" ca="1" si="338"/>
        <v/>
      </c>
      <c r="K338" s="277" t="str">
        <f t="shared" ca="1" si="338"/>
        <v/>
      </c>
      <c r="L338" s="277" t="str">
        <f t="shared" ca="1" si="338"/>
        <v/>
      </c>
      <c r="M338" s="277" t="str">
        <f t="shared" ca="1" si="338"/>
        <v/>
      </c>
      <c r="N338" s="277" t="str">
        <f t="shared" ca="1" si="338"/>
        <v/>
      </c>
      <c r="O338" s="277" t="str">
        <f t="shared" ca="1" si="338"/>
        <v/>
      </c>
      <c r="P338" s="209" t="str">
        <f ca="1">IF(LEN(B338)&gt;0,ISNUMBER(MATCH(B338,Proposed[Item],0)),"")</f>
        <v/>
      </c>
    </row>
    <row r="339" spans="1:16" ht="15" x14ac:dyDescent="0.2">
      <c r="A339" s="276">
        <f t="shared" ca="1" si="327"/>
        <v>166</v>
      </c>
      <c r="B339" s="111" t="str">
        <f ca="1">IFERROR("Line "&amp;INDEX(Calcs[Line],INDEX(INDIRECT(RangeCount),MATCH($A339,INDIRECT(RangeEstCount),0))),"")</f>
        <v/>
      </c>
      <c r="C339" s="169" t="str">
        <f ca="1">IFERROR(IF(AND($D339="LPSM",Bid?,All?),"ALL",TEXT(OFFSET(INDIRECT(RangeQuantity),MATCH($A339,INDIRECT(RangeEstCount),0)-1,MATCH(Account,Accounts,0)-1,1,1),IF($D339="LPSM","0%","#,##0"&amp;IF(OFFSET(Items[#Data],MATCH($A339,INDIRECT(RangeEstCount),0)-1,MATCH(Decimals,Items[#Headers],0)-1,1,1)&gt;0,"."&amp;REPT("0",OFFSET(Items[#Data],MATCH($A339,INDIRECT(RangeEstCount),0)-1,MATCH(Decimals,Items[#Headers],0)-1,1,1)),"")))),"")</f>
        <v/>
      </c>
      <c r="D339" s="170" t="str">
        <f ca="1">IFERROR(INDEX(INDIRECT(RangeUnit),MATCH($A339,INDIRECT(RangeEstCount),0))&amp;SUBSTITUTE(" ["&amp;INDEX(INDIRECT(RangeAmend),MATCH($A339,INDIRECT(RangeEstCount),0))&amp;"]"," []",""),"")</f>
        <v/>
      </c>
      <c r="E339" s="170" t="str">
        <f ca="1">IFERROR(IF(INDEX(INDIRECT(RangeContrQty),MATCH($A339,INDIRECT(RangeEstCount),0)),"(CQ)",""),"")</f>
        <v/>
      </c>
      <c r="F339" s="171" t="str">
        <f ca="1">IFERROR(IF(OR(NOT(Bid?),LEFT(UPPER($D339),4)="FXHR"),INDEX(INDIRECT(RangeUnitPrice),MATCH($A339,INDIRECT(RangeEstCount),0)),IF(Awd?,OFFSET(TabAmount,MATCH(INDEX(INDIRECT(RangeCount),MATCH($A339,INDIRECT(RangeEstCount),0)),OFFSET(TabCount,1,0,2*NumPayItems,1),0),MATCH(Awarded2,Bidders,0)),IF(OR($C339="",$D339="LPSM"),"","$"))),"")</f>
        <v/>
      </c>
      <c r="G339" s="171" t="str">
        <f ca="1">IFERROR(VALUE(C339)*F339,IF(AND(Bid?,NOT(Awd?),$D339="LPSM"),"$",F339))</f>
        <v/>
      </c>
      <c r="H339" s="374"/>
      <c r="I339" s="217" t="str">
        <f ca="1">IFERROR(VALUE(SUBSTITUTE(OFFSET(I339,-1,0)," "&amp;$D339,""))*$F339,"")</f>
        <v/>
      </c>
      <c r="J339" s="215" t="str">
        <f ca="1">IFERROR(VALUE(SUBSTITUTE(OFFSET(J339,-1,0)," "&amp;$D339,""))*$F339,"")</f>
        <v/>
      </c>
      <c r="K339" s="215" t="str">
        <f t="shared" ref="K339:M339" ca="1" si="339">IFERROR(VALUE(SUBSTITUTE(OFFSET(K339,-1,0)," "&amp;$D339,""))*$F339,"")</f>
        <v/>
      </c>
      <c r="L339" s="215" t="str">
        <f t="shared" ca="1" si="339"/>
        <v/>
      </c>
      <c r="M339" s="215" t="str">
        <f t="shared" ca="1" si="339"/>
        <v/>
      </c>
      <c r="N339" s="215" t="str">
        <f ca="1">IFERROR(VALUE(SUBSTITUTE(OFFSET(N339,-1,0)," "&amp;$D339,""))*$F339,"")</f>
        <v/>
      </c>
      <c r="O339" s="215" t="str">
        <f ca="1">IFERROR(VALUE(SUBSTITUTE(OFFSET(O339,-1,0)," "&amp;$D339,""))*$F339,"")</f>
        <v/>
      </c>
      <c r="P339" s="209" t="str">
        <f ca="1">IF(LEN(B339)&gt;0,ISNUMBER(MATCH(B339,Proposed[Item],0)),"")</f>
        <v/>
      </c>
    </row>
    <row r="340" spans="1:16" ht="15" x14ac:dyDescent="0.2">
      <c r="A340" s="276">
        <f t="shared" ca="1" si="327"/>
        <v>167</v>
      </c>
      <c r="B340" s="168" t="str">
        <f ca="1">IFERROR(INDEX(INDIRECT(RangeItems),MATCH($A340,INDIRECT(RangeEstCount),0)),"")</f>
        <v/>
      </c>
      <c r="C340" s="365" t="str">
        <f ca="1">IFERROR(INDEX(Calcs[Description],INDEX(INDIRECT(RangeCount),MATCH($A340,INDIRECT(RangeEstCount),0))),"")</f>
        <v/>
      </c>
      <c r="D340" s="365"/>
      <c r="E340" s="365"/>
      <c r="F340" s="365"/>
      <c r="G340" s="365"/>
      <c r="H340" s="375" t="str">
        <f ca="1">IF(AND(Bid?,NOT(Awd?)),C340,OFFSET(F340,1,0))</f>
        <v/>
      </c>
      <c r="I340" s="216" t="str">
        <f t="shared" ref="I340:O340" ca="1" si="340">IFERROR(SUM(OFFSET(INDIRECT(RangeQuantity),MATCH($A340,INDIRECT(RangeEstCount),0)-1,COLUMN(I340)-COLUMN($H340),1,1))&amp;" "&amp;OFFSET($D340,1,0),"")</f>
        <v/>
      </c>
      <c r="J340" s="277" t="str">
        <f t="shared" ca="1" si="340"/>
        <v/>
      </c>
      <c r="K340" s="277" t="str">
        <f t="shared" ca="1" si="340"/>
        <v/>
      </c>
      <c r="L340" s="277" t="str">
        <f t="shared" ca="1" si="340"/>
        <v/>
      </c>
      <c r="M340" s="277" t="str">
        <f t="shared" ca="1" si="340"/>
        <v/>
      </c>
      <c r="N340" s="277" t="str">
        <f t="shared" ca="1" si="340"/>
        <v/>
      </c>
      <c r="O340" s="277" t="str">
        <f t="shared" ca="1" si="340"/>
        <v/>
      </c>
      <c r="P340" s="209" t="str">
        <f ca="1">IF(LEN(B340)&gt;0,ISNUMBER(MATCH(B340,Proposed[Item],0)),"")</f>
        <v/>
      </c>
    </row>
    <row r="341" spans="1:16" ht="15" x14ac:dyDescent="0.2">
      <c r="A341" s="276">
        <f t="shared" ca="1" si="327"/>
        <v>167</v>
      </c>
      <c r="B341" s="111" t="str">
        <f ca="1">IFERROR("Line "&amp;INDEX(Calcs[Line],INDEX(INDIRECT(RangeCount),MATCH($A341,INDIRECT(RangeEstCount),0))),"")</f>
        <v/>
      </c>
      <c r="C341" s="169" t="str">
        <f ca="1">IFERROR(IF(AND($D341="LPSM",Bid?,All?),"ALL",TEXT(OFFSET(INDIRECT(RangeQuantity),MATCH($A341,INDIRECT(RangeEstCount),0)-1,MATCH(Account,Accounts,0)-1,1,1),IF($D341="LPSM","0%","#,##0"&amp;IF(OFFSET(Items[#Data],MATCH($A341,INDIRECT(RangeEstCount),0)-1,MATCH(Decimals,Items[#Headers],0)-1,1,1)&gt;0,"."&amp;REPT("0",OFFSET(Items[#Data],MATCH($A341,INDIRECT(RangeEstCount),0)-1,MATCH(Decimals,Items[#Headers],0)-1,1,1)),"")))),"")</f>
        <v/>
      </c>
      <c r="D341" s="170" t="str">
        <f ca="1">IFERROR(INDEX(INDIRECT(RangeUnit),MATCH($A341,INDIRECT(RangeEstCount),0))&amp;SUBSTITUTE(" ["&amp;INDEX(INDIRECT(RangeAmend),MATCH($A341,INDIRECT(RangeEstCount),0))&amp;"]"," []",""),"")</f>
        <v/>
      </c>
      <c r="E341" s="170" t="str">
        <f ca="1">IFERROR(IF(INDEX(INDIRECT(RangeContrQty),MATCH($A341,INDIRECT(RangeEstCount),0)),"(CQ)",""),"")</f>
        <v/>
      </c>
      <c r="F341" s="171" t="str">
        <f ca="1">IFERROR(IF(OR(NOT(Bid?),LEFT(UPPER($D341),4)="FXHR"),INDEX(INDIRECT(RangeUnitPrice),MATCH($A341,INDIRECT(RangeEstCount),0)),IF(Awd?,OFFSET(TabAmount,MATCH(INDEX(INDIRECT(RangeCount),MATCH($A341,INDIRECT(RangeEstCount),0)),OFFSET(TabCount,1,0,2*NumPayItems,1),0),MATCH(Awarded2,Bidders,0)),IF(OR($C341="",$D341="LPSM"),"","$"))),"")</f>
        <v/>
      </c>
      <c r="G341" s="171" t="str">
        <f ca="1">IFERROR(VALUE(C341)*F341,IF(AND(Bid?,NOT(Awd?),$D341="LPSM"),"$",F341))</f>
        <v/>
      </c>
      <c r="H341" s="374"/>
      <c r="I341" s="217" t="str">
        <f ca="1">IFERROR(VALUE(SUBSTITUTE(OFFSET(I341,-1,0)," "&amp;$D341,""))*$F341,"")</f>
        <v/>
      </c>
      <c r="J341" s="215" t="str">
        <f ca="1">IFERROR(VALUE(SUBSTITUTE(OFFSET(J341,-1,0)," "&amp;$D341,""))*$F341,"")</f>
        <v/>
      </c>
      <c r="K341" s="215" t="str">
        <f t="shared" ref="K341:M341" ca="1" si="341">IFERROR(VALUE(SUBSTITUTE(OFFSET(K341,-1,0)," "&amp;$D341,""))*$F341,"")</f>
        <v/>
      </c>
      <c r="L341" s="215" t="str">
        <f t="shared" ca="1" si="341"/>
        <v/>
      </c>
      <c r="M341" s="215" t="str">
        <f t="shared" ca="1" si="341"/>
        <v/>
      </c>
      <c r="N341" s="215" t="str">
        <f ca="1">IFERROR(VALUE(SUBSTITUTE(OFFSET(N341,-1,0)," "&amp;$D341,""))*$F341,"")</f>
        <v/>
      </c>
      <c r="O341" s="215" t="str">
        <f ca="1">IFERROR(VALUE(SUBSTITUTE(OFFSET(O341,-1,0)," "&amp;$D341,""))*$F341,"")</f>
        <v/>
      </c>
      <c r="P341" s="209" t="str">
        <f ca="1">IF(LEN(B341)&gt;0,ISNUMBER(MATCH(B341,Proposed[Item],0)),"")</f>
        <v/>
      </c>
    </row>
    <row r="342" spans="1:16" ht="15" x14ac:dyDescent="0.2">
      <c r="A342" s="276">
        <f t="shared" ca="1" si="327"/>
        <v>168</v>
      </c>
      <c r="B342" s="168" t="str">
        <f ca="1">IFERROR(INDEX(INDIRECT(RangeItems),MATCH($A342,INDIRECT(RangeEstCount),0)),"")</f>
        <v/>
      </c>
      <c r="C342" s="365" t="str">
        <f ca="1">IFERROR(INDEX(Calcs[Description],INDEX(INDIRECT(RangeCount),MATCH($A342,INDIRECT(RangeEstCount),0))),"")</f>
        <v/>
      </c>
      <c r="D342" s="365"/>
      <c r="E342" s="365"/>
      <c r="F342" s="365"/>
      <c r="G342" s="365"/>
      <c r="H342" s="375" t="str">
        <f ca="1">IF(AND(Bid?,NOT(Awd?)),C342,OFFSET(F342,1,0))</f>
        <v/>
      </c>
      <c r="I342" s="216" t="str">
        <f t="shared" ref="I342:O342" ca="1" si="342">IFERROR(SUM(OFFSET(INDIRECT(RangeQuantity),MATCH($A342,INDIRECT(RangeEstCount),0)-1,COLUMN(I342)-COLUMN($H342),1,1))&amp;" "&amp;OFFSET($D342,1,0),"")</f>
        <v/>
      </c>
      <c r="J342" s="277" t="str">
        <f t="shared" ca="1" si="342"/>
        <v/>
      </c>
      <c r="K342" s="277" t="str">
        <f t="shared" ca="1" si="342"/>
        <v/>
      </c>
      <c r="L342" s="277" t="str">
        <f t="shared" ca="1" si="342"/>
        <v/>
      </c>
      <c r="M342" s="277" t="str">
        <f t="shared" ca="1" si="342"/>
        <v/>
      </c>
      <c r="N342" s="277" t="str">
        <f t="shared" ca="1" si="342"/>
        <v/>
      </c>
      <c r="O342" s="277" t="str">
        <f t="shared" ca="1" si="342"/>
        <v/>
      </c>
      <c r="P342" s="209" t="str">
        <f ca="1">IF(LEN(B342)&gt;0,ISNUMBER(MATCH(B342,Proposed[Item],0)),"")</f>
        <v/>
      </c>
    </row>
    <row r="343" spans="1:16" ht="15" x14ac:dyDescent="0.2">
      <c r="A343" s="276">
        <f t="shared" ca="1" si="327"/>
        <v>168</v>
      </c>
      <c r="B343" s="111" t="str">
        <f ca="1">IFERROR("Line "&amp;INDEX(Calcs[Line],INDEX(INDIRECT(RangeCount),MATCH($A343,INDIRECT(RangeEstCount),0))),"")</f>
        <v/>
      </c>
      <c r="C343" s="169" t="str">
        <f ca="1">IFERROR(IF(AND($D343="LPSM",Bid?,All?),"ALL",TEXT(OFFSET(INDIRECT(RangeQuantity),MATCH($A343,INDIRECT(RangeEstCount),0)-1,MATCH(Account,Accounts,0)-1,1,1),IF($D343="LPSM","0%","#,##0"&amp;IF(OFFSET(Items[#Data],MATCH($A343,INDIRECT(RangeEstCount),0)-1,MATCH(Decimals,Items[#Headers],0)-1,1,1)&gt;0,"."&amp;REPT("0",OFFSET(Items[#Data],MATCH($A343,INDIRECT(RangeEstCount),0)-1,MATCH(Decimals,Items[#Headers],0)-1,1,1)),"")))),"")</f>
        <v/>
      </c>
      <c r="D343" s="170" t="str">
        <f ca="1">IFERROR(INDEX(INDIRECT(RangeUnit),MATCH($A343,INDIRECT(RangeEstCount),0))&amp;SUBSTITUTE(" ["&amp;INDEX(INDIRECT(RangeAmend),MATCH($A343,INDIRECT(RangeEstCount),0))&amp;"]"," []",""),"")</f>
        <v/>
      </c>
      <c r="E343" s="170" t="str">
        <f ca="1">IFERROR(IF(INDEX(INDIRECT(RangeContrQty),MATCH($A343,INDIRECT(RangeEstCount),0)),"(CQ)",""),"")</f>
        <v/>
      </c>
      <c r="F343" s="171" t="str">
        <f ca="1">IFERROR(IF(OR(NOT(Bid?),LEFT(UPPER($D343),4)="FXHR"),INDEX(INDIRECT(RangeUnitPrice),MATCH($A343,INDIRECT(RangeEstCount),0)),IF(Awd?,OFFSET(TabAmount,MATCH(INDEX(INDIRECT(RangeCount),MATCH($A343,INDIRECT(RangeEstCount),0)),OFFSET(TabCount,1,0,2*NumPayItems,1),0),MATCH(Awarded2,Bidders,0)),IF(OR($C343="",$D343="LPSM"),"","$"))),"")</f>
        <v/>
      </c>
      <c r="G343" s="171" t="str">
        <f ca="1">IFERROR(VALUE(C343)*F343,IF(AND(Bid?,NOT(Awd?),$D343="LPSM"),"$",F343))</f>
        <v/>
      </c>
      <c r="H343" s="374"/>
      <c r="I343" s="217" t="str">
        <f ca="1">IFERROR(VALUE(SUBSTITUTE(OFFSET(I343,-1,0)," "&amp;$D343,""))*$F343,"")</f>
        <v/>
      </c>
      <c r="J343" s="215" t="str">
        <f ca="1">IFERROR(VALUE(SUBSTITUTE(OFFSET(J343,-1,0)," "&amp;$D343,""))*$F343,"")</f>
        <v/>
      </c>
      <c r="K343" s="215" t="str">
        <f t="shared" ref="K343:M343" ca="1" si="343">IFERROR(VALUE(SUBSTITUTE(OFFSET(K343,-1,0)," "&amp;$D343,""))*$F343,"")</f>
        <v/>
      </c>
      <c r="L343" s="215" t="str">
        <f t="shared" ca="1" si="343"/>
        <v/>
      </c>
      <c r="M343" s="215" t="str">
        <f t="shared" ca="1" si="343"/>
        <v/>
      </c>
      <c r="N343" s="215" t="str">
        <f ca="1">IFERROR(VALUE(SUBSTITUTE(OFFSET(N343,-1,0)," "&amp;$D343,""))*$F343,"")</f>
        <v/>
      </c>
      <c r="O343" s="215" t="str">
        <f ca="1">IFERROR(VALUE(SUBSTITUTE(OFFSET(O343,-1,0)," "&amp;$D343,""))*$F343,"")</f>
        <v/>
      </c>
      <c r="P343" s="209" t="str">
        <f ca="1">IF(LEN(B343)&gt;0,ISNUMBER(MATCH(B343,Proposed[Item],0)),"")</f>
        <v/>
      </c>
    </row>
    <row r="344" spans="1:16" ht="15" x14ac:dyDescent="0.2">
      <c r="A344" s="276">
        <f t="shared" ca="1" si="327"/>
        <v>169</v>
      </c>
      <c r="B344" s="168" t="str">
        <f ca="1">IFERROR(INDEX(INDIRECT(RangeItems),MATCH($A344,INDIRECT(RangeEstCount),0)),"")</f>
        <v/>
      </c>
      <c r="C344" s="365" t="str">
        <f ca="1">IFERROR(INDEX(Calcs[Description],INDEX(INDIRECT(RangeCount),MATCH($A344,INDIRECT(RangeEstCount),0))),"")</f>
        <v/>
      </c>
      <c r="D344" s="365"/>
      <c r="E344" s="365"/>
      <c r="F344" s="365"/>
      <c r="G344" s="365"/>
      <c r="H344" s="375" t="str">
        <f ca="1">IF(AND(Bid?,NOT(Awd?)),C344,OFFSET(F344,1,0))</f>
        <v/>
      </c>
      <c r="I344" s="216" t="str">
        <f t="shared" ref="I344:O344" ca="1" si="344">IFERROR(SUM(OFFSET(INDIRECT(RangeQuantity),MATCH($A344,INDIRECT(RangeEstCount),0)-1,COLUMN(I344)-COLUMN($H344),1,1))&amp;" "&amp;OFFSET($D344,1,0),"")</f>
        <v/>
      </c>
      <c r="J344" s="277" t="str">
        <f t="shared" ca="1" si="344"/>
        <v/>
      </c>
      <c r="K344" s="277" t="str">
        <f t="shared" ca="1" si="344"/>
        <v/>
      </c>
      <c r="L344" s="277" t="str">
        <f t="shared" ca="1" si="344"/>
        <v/>
      </c>
      <c r="M344" s="277" t="str">
        <f t="shared" ca="1" si="344"/>
        <v/>
      </c>
      <c r="N344" s="277" t="str">
        <f t="shared" ca="1" si="344"/>
        <v/>
      </c>
      <c r="O344" s="277" t="str">
        <f t="shared" ca="1" si="344"/>
        <v/>
      </c>
      <c r="P344" s="209" t="str">
        <f ca="1">IF(LEN(B344)&gt;0,ISNUMBER(MATCH(B344,Proposed[Item],0)),"")</f>
        <v/>
      </c>
    </row>
    <row r="345" spans="1:16" ht="15" x14ac:dyDescent="0.2">
      <c r="A345" s="276">
        <f t="shared" ca="1" si="327"/>
        <v>169</v>
      </c>
      <c r="B345" s="111" t="str">
        <f ca="1">IFERROR("Line "&amp;INDEX(Calcs[Line],INDEX(INDIRECT(RangeCount),MATCH($A345,INDIRECT(RangeEstCount),0))),"")</f>
        <v/>
      </c>
      <c r="C345" s="169" t="str">
        <f ca="1">IFERROR(IF(AND($D345="LPSM",Bid?,All?),"ALL",TEXT(OFFSET(INDIRECT(RangeQuantity),MATCH($A345,INDIRECT(RangeEstCount),0)-1,MATCH(Account,Accounts,0)-1,1,1),IF($D345="LPSM","0%","#,##0"&amp;IF(OFFSET(Items[#Data],MATCH($A345,INDIRECT(RangeEstCount),0)-1,MATCH(Decimals,Items[#Headers],0)-1,1,1)&gt;0,"."&amp;REPT("0",OFFSET(Items[#Data],MATCH($A345,INDIRECT(RangeEstCount),0)-1,MATCH(Decimals,Items[#Headers],0)-1,1,1)),"")))),"")</f>
        <v/>
      </c>
      <c r="D345" s="170" t="str">
        <f ca="1">IFERROR(INDEX(INDIRECT(RangeUnit),MATCH($A345,INDIRECT(RangeEstCount),0))&amp;SUBSTITUTE(" ["&amp;INDEX(INDIRECT(RangeAmend),MATCH($A345,INDIRECT(RangeEstCount),0))&amp;"]"," []",""),"")</f>
        <v/>
      </c>
      <c r="E345" s="170" t="str">
        <f ca="1">IFERROR(IF(INDEX(INDIRECT(RangeContrQty),MATCH($A345,INDIRECT(RangeEstCount),0)),"(CQ)",""),"")</f>
        <v/>
      </c>
      <c r="F345" s="171" t="str">
        <f ca="1">IFERROR(IF(OR(NOT(Bid?),LEFT(UPPER($D345),4)="FXHR"),INDEX(INDIRECT(RangeUnitPrice),MATCH($A345,INDIRECT(RangeEstCount),0)),IF(Awd?,OFFSET(TabAmount,MATCH(INDEX(INDIRECT(RangeCount),MATCH($A345,INDIRECT(RangeEstCount),0)),OFFSET(TabCount,1,0,2*NumPayItems,1),0),MATCH(Awarded2,Bidders,0)),IF(OR($C345="",$D345="LPSM"),"","$"))),"")</f>
        <v/>
      </c>
      <c r="G345" s="171" t="str">
        <f ca="1">IFERROR(VALUE(C345)*F345,IF(AND(Bid?,NOT(Awd?),$D345="LPSM"),"$",F345))</f>
        <v/>
      </c>
      <c r="H345" s="374"/>
      <c r="I345" s="217" t="str">
        <f ca="1">IFERROR(VALUE(SUBSTITUTE(OFFSET(I345,-1,0)," "&amp;$D345,""))*$F345,"")</f>
        <v/>
      </c>
      <c r="J345" s="215" t="str">
        <f ca="1">IFERROR(VALUE(SUBSTITUTE(OFFSET(J345,-1,0)," "&amp;$D345,""))*$F345,"")</f>
        <v/>
      </c>
      <c r="K345" s="215" t="str">
        <f t="shared" ref="K345:M345" ca="1" si="345">IFERROR(VALUE(SUBSTITUTE(OFFSET(K345,-1,0)," "&amp;$D345,""))*$F345,"")</f>
        <v/>
      </c>
      <c r="L345" s="215" t="str">
        <f t="shared" ca="1" si="345"/>
        <v/>
      </c>
      <c r="M345" s="215" t="str">
        <f t="shared" ca="1" si="345"/>
        <v/>
      </c>
      <c r="N345" s="215" t="str">
        <f ca="1">IFERROR(VALUE(SUBSTITUTE(OFFSET(N345,-1,0)," "&amp;$D345,""))*$F345,"")</f>
        <v/>
      </c>
      <c r="O345" s="215" t="str">
        <f ca="1">IFERROR(VALUE(SUBSTITUTE(OFFSET(O345,-1,0)," "&amp;$D345,""))*$F345,"")</f>
        <v/>
      </c>
      <c r="P345" s="209" t="str">
        <f ca="1">IF(LEN(B345)&gt;0,ISNUMBER(MATCH(B345,Proposed[Item],0)),"")</f>
        <v/>
      </c>
    </row>
    <row r="346" spans="1:16" ht="15" x14ac:dyDescent="0.2">
      <c r="A346" s="276">
        <f t="shared" ca="1" si="327"/>
        <v>170</v>
      </c>
      <c r="B346" s="168" t="str">
        <f ca="1">IFERROR(INDEX(INDIRECT(RangeItems),MATCH($A346,INDIRECT(RangeEstCount),0)),"")</f>
        <v/>
      </c>
      <c r="C346" s="365" t="str">
        <f ca="1">IFERROR(INDEX(Calcs[Description],INDEX(INDIRECT(RangeCount),MATCH($A346,INDIRECT(RangeEstCount),0))),"")</f>
        <v/>
      </c>
      <c r="D346" s="365"/>
      <c r="E346" s="365"/>
      <c r="F346" s="365"/>
      <c r="G346" s="365"/>
      <c r="H346" s="375" t="str">
        <f ca="1">IF(AND(Bid?,NOT(Awd?)),C346,OFFSET(F346,1,0))</f>
        <v/>
      </c>
      <c r="I346" s="216" t="str">
        <f t="shared" ref="I346:O346" ca="1" si="346">IFERROR(SUM(OFFSET(INDIRECT(RangeQuantity),MATCH($A346,INDIRECT(RangeEstCount),0)-1,COLUMN(I346)-COLUMN($H346),1,1))&amp;" "&amp;OFFSET($D346,1,0),"")</f>
        <v/>
      </c>
      <c r="J346" s="277" t="str">
        <f t="shared" ca="1" si="346"/>
        <v/>
      </c>
      <c r="K346" s="277" t="str">
        <f t="shared" ca="1" si="346"/>
        <v/>
      </c>
      <c r="L346" s="277" t="str">
        <f t="shared" ca="1" si="346"/>
        <v/>
      </c>
      <c r="M346" s="277" t="str">
        <f t="shared" ca="1" si="346"/>
        <v/>
      </c>
      <c r="N346" s="277" t="str">
        <f t="shared" ca="1" si="346"/>
        <v/>
      </c>
      <c r="O346" s="277" t="str">
        <f t="shared" ca="1" si="346"/>
        <v/>
      </c>
      <c r="P346" s="209" t="str">
        <f ca="1">IF(LEN(B346)&gt;0,ISNUMBER(MATCH(B346,Proposed[Item],0)),"")</f>
        <v/>
      </c>
    </row>
    <row r="347" spans="1:16" ht="15" x14ac:dyDescent="0.2">
      <c r="A347" s="276">
        <f t="shared" ca="1" si="327"/>
        <v>170</v>
      </c>
      <c r="B347" s="111" t="str">
        <f ca="1">IFERROR("Line "&amp;INDEX(Calcs[Line],INDEX(INDIRECT(RangeCount),MATCH($A347,INDIRECT(RangeEstCount),0))),"")</f>
        <v/>
      </c>
      <c r="C347" s="169" t="str">
        <f ca="1">IFERROR(IF(AND($D347="LPSM",Bid?,All?),"ALL",TEXT(OFFSET(INDIRECT(RangeQuantity),MATCH($A347,INDIRECT(RangeEstCount),0)-1,MATCH(Account,Accounts,0)-1,1,1),IF($D347="LPSM","0%","#,##0"&amp;IF(OFFSET(Items[#Data],MATCH($A347,INDIRECT(RangeEstCount),0)-1,MATCH(Decimals,Items[#Headers],0)-1,1,1)&gt;0,"."&amp;REPT("0",OFFSET(Items[#Data],MATCH($A347,INDIRECT(RangeEstCount),0)-1,MATCH(Decimals,Items[#Headers],0)-1,1,1)),"")))),"")</f>
        <v/>
      </c>
      <c r="D347" s="170" t="str">
        <f ca="1">IFERROR(INDEX(INDIRECT(RangeUnit),MATCH($A347,INDIRECT(RangeEstCount),0))&amp;SUBSTITUTE(" ["&amp;INDEX(INDIRECT(RangeAmend),MATCH($A347,INDIRECT(RangeEstCount),0))&amp;"]"," []",""),"")</f>
        <v/>
      </c>
      <c r="E347" s="170" t="str">
        <f ca="1">IFERROR(IF(INDEX(INDIRECT(RangeContrQty),MATCH($A347,INDIRECT(RangeEstCount),0)),"(CQ)",""),"")</f>
        <v/>
      </c>
      <c r="F347" s="171" t="str">
        <f ca="1">IFERROR(IF(OR(NOT(Bid?),LEFT(UPPER($D347),4)="FXHR"),INDEX(INDIRECT(RangeUnitPrice),MATCH($A347,INDIRECT(RangeEstCount),0)),IF(Awd?,OFFSET(TabAmount,MATCH(INDEX(INDIRECT(RangeCount),MATCH($A347,INDIRECT(RangeEstCount),0)),OFFSET(TabCount,1,0,2*NumPayItems,1),0),MATCH(Awarded2,Bidders,0)),IF(OR($C347="",$D347="LPSM"),"","$"))),"")</f>
        <v/>
      </c>
      <c r="G347" s="171" t="str">
        <f ca="1">IFERROR(VALUE(C347)*F347,IF(AND(Bid?,NOT(Awd?),$D347="LPSM"),"$",F347))</f>
        <v/>
      </c>
      <c r="H347" s="374"/>
      <c r="I347" s="217" t="str">
        <f ca="1">IFERROR(VALUE(SUBSTITUTE(OFFSET(I347,-1,0)," "&amp;$D347,""))*$F347,"")</f>
        <v/>
      </c>
      <c r="J347" s="215" t="str">
        <f ca="1">IFERROR(VALUE(SUBSTITUTE(OFFSET(J347,-1,0)," "&amp;$D347,""))*$F347,"")</f>
        <v/>
      </c>
      <c r="K347" s="215" t="str">
        <f t="shared" ref="K347:M347" ca="1" si="347">IFERROR(VALUE(SUBSTITUTE(OFFSET(K347,-1,0)," "&amp;$D347,""))*$F347,"")</f>
        <v/>
      </c>
      <c r="L347" s="215" t="str">
        <f t="shared" ca="1" si="347"/>
        <v/>
      </c>
      <c r="M347" s="215" t="str">
        <f t="shared" ca="1" si="347"/>
        <v/>
      </c>
      <c r="N347" s="215" t="str">
        <f ca="1">IFERROR(VALUE(SUBSTITUTE(OFFSET(N347,-1,0)," "&amp;$D347,""))*$F347,"")</f>
        <v/>
      </c>
      <c r="O347" s="215" t="str">
        <f ca="1">IFERROR(VALUE(SUBSTITUTE(OFFSET(O347,-1,0)," "&amp;$D347,""))*$F347,"")</f>
        <v/>
      </c>
      <c r="P347" s="209" t="str">
        <f ca="1">IF(LEN(B347)&gt;0,ISNUMBER(MATCH(B347,Proposed[Item],0)),"")</f>
        <v/>
      </c>
    </row>
    <row r="348" spans="1:16" ht="15" x14ac:dyDescent="0.2">
      <c r="A348" s="276">
        <f t="shared" ca="1" si="327"/>
        <v>171</v>
      </c>
      <c r="B348" s="168" t="str">
        <f ca="1">IFERROR(INDEX(INDIRECT(RangeItems),MATCH($A348,INDIRECT(RangeEstCount),0)),"")</f>
        <v/>
      </c>
      <c r="C348" s="365" t="str">
        <f ca="1">IFERROR(INDEX(Calcs[Description],INDEX(INDIRECT(RangeCount),MATCH($A348,INDIRECT(RangeEstCount),0))),"")</f>
        <v/>
      </c>
      <c r="D348" s="365"/>
      <c r="E348" s="365"/>
      <c r="F348" s="365"/>
      <c r="G348" s="365"/>
      <c r="H348" s="375" t="str">
        <f ca="1">IF(AND(Bid?,NOT(Awd?)),C348,OFFSET(F348,1,0))</f>
        <v/>
      </c>
      <c r="I348" s="216" t="str">
        <f t="shared" ref="I348:O348" ca="1" si="348">IFERROR(SUM(OFFSET(INDIRECT(RangeQuantity),MATCH($A348,INDIRECT(RangeEstCount),0)-1,COLUMN(I348)-COLUMN($H348),1,1))&amp;" "&amp;OFFSET($D348,1,0),"")</f>
        <v/>
      </c>
      <c r="J348" s="277" t="str">
        <f t="shared" ca="1" si="348"/>
        <v/>
      </c>
      <c r="K348" s="277" t="str">
        <f t="shared" ca="1" si="348"/>
        <v/>
      </c>
      <c r="L348" s="277" t="str">
        <f t="shared" ca="1" si="348"/>
        <v/>
      </c>
      <c r="M348" s="277" t="str">
        <f t="shared" ca="1" si="348"/>
        <v/>
      </c>
      <c r="N348" s="277" t="str">
        <f t="shared" ca="1" si="348"/>
        <v/>
      </c>
      <c r="O348" s="277" t="str">
        <f t="shared" ca="1" si="348"/>
        <v/>
      </c>
      <c r="P348" s="209" t="str">
        <f ca="1">IF(LEN(B348)&gt;0,ISNUMBER(MATCH(B348,Proposed[Item],0)),"")</f>
        <v/>
      </c>
    </row>
    <row r="349" spans="1:16" ht="15" x14ac:dyDescent="0.2">
      <c r="A349" s="276">
        <f t="shared" ca="1" si="327"/>
        <v>171</v>
      </c>
      <c r="B349" s="111" t="str">
        <f ca="1">IFERROR("Line "&amp;INDEX(Calcs[Line],INDEX(INDIRECT(RangeCount),MATCH($A349,INDIRECT(RangeEstCount),0))),"")</f>
        <v/>
      </c>
      <c r="C349" s="169" t="str">
        <f ca="1">IFERROR(IF(AND($D349="LPSM",Bid?,All?),"ALL",TEXT(OFFSET(INDIRECT(RangeQuantity),MATCH($A349,INDIRECT(RangeEstCount),0)-1,MATCH(Account,Accounts,0)-1,1,1),IF($D349="LPSM","0%","#,##0"&amp;IF(OFFSET(Items[#Data],MATCH($A349,INDIRECT(RangeEstCount),0)-1,MATCH(Decimals,Items[#Headers],0)-1,1,1)&gt;0,"."&amp;REPT("0",OFFSET(Items[#Data],MATCH($A349,INDIRECT(RangeEstCount),0)-1,MATCH(Decimals,Items[#Headers],0)-1,1,1)),"")))),"")</f>
        <v/>
      </c>
      <c r="D349" s="170" t="str">
        <f ca="1">IFERROR(INDEX(INDIRECT(RangeUnit),MATCH($A349,INDIRECT(RangeEstCount),0))&amp;SUBSTITUTE(" ["&amp;INDEX(INDIRECT(RangeAmend),MATCH($A349,INDIRECT(RangeEstCount),0))&amp;"]"," []",""),"")</f>
        <v/>
      </c>
      <c r="E349" s="170" t="str">
        <f ca="1">IFERROR(IF(INDEX(INDIRECT(RangeContrQty),MATCH($A349,INDIRECT(RangeEstCount),0)),"(CQ)",""),"")</f>
        <v/>
      </c>
      <c r="F349" s="171" t="str">
        <f ca="1">IFERROR(IF(OR(NOT(Bid?),LEFT(UPPER($D349),4)="FXHR"),INDEX(INDIRECT(RangeUnitPrice),MATCH($A349,INDIRECT(RangeEstCount),0)),IF(Awd?,OFFSET(TabAmount,MATCH(INDEX(INDIRECT(RangeCount),MATCH($A349,INDIRECT(RangeEstCount),0)),OFFSET(TabCount,1,0,2*NumPayItems,1),0),MATCH(Awarded2,Bidders,0)),IF(OR($C349="",$D349="LPSM"),"","$"))),"")</f>
        <v/>
      </c>
      <c r="G349" s="171" t="str">
        <f ca="1">IFERROR(VALUE(C349)*F349,IF(AND(Bid?,NOT(Awd?),$D349="LPSM"),"$",F349))</f>
        <v/>
      </c>
      <c r="H349" s="374"/>
      <c r="I349" s="217" t="str">
        <f ca="1">IFERROR(VALUE(SUBSTITUTE(OFFSET(I349,-1,0)," "&amp;$D349,""))*$F349,"")</f>
        <v/>
      </c>
      <c r="J349" s="215" t="str">
        <f ca="1">IFERROR(VALUE(SUBSTITUTE(OFFSET(J349,-1,0)," "&amp;$D349,""))*$F349,"")</f>
        <v/>
      </c>
      <c r="K349" s="215" t="str">
        <f t="shared" ref="K349:M349" ca="1" si="349">IFERROR(VALUE(SUBSTITUTE(OFFSET(K349,-1,0)," "&amp;$D349,""))*$F349,"")</f>
        <v/>
      </c>
      <c r="L349" s="215" t="str">
        <f t="shared" ca="1" si="349"/>
        <v/>
      </c>
      <c r="M349" s="215" t="str">
        <f t="shared" ca="1" si="349"/>
        <v/>
      </c>
      <c r="N349" s="215" t="str">
        <f ca="1">IFERROR(VALUE(SUBSTITUTE(OFFSET(N349,-1,0)," "&amp;$D349,""))*$F349,"")</f>
        <v/>
      </c>
      <c r="O349" s="215" t="str">
        <f ca="1">IFERROR(VALUE(SUBSTITUTE(OFFSET(O349,-1,0)," "&amp;$D349,""))*$F349,"")</f>
        <v/>
      </c>
      <c r="P349" s="209" t="str">
        <f ca="1">IF(LEN(B349)&gt;0,ISNUMBER(MATCH(B349,Proposed[Item],0)),"")</f>
        <v/>
      </c>
    </row>
    <row r="350" spans="1:16" ht="15" x14ac:dyDescent="0.2">
      <c r="A350" s="276">
        <f t="shared" ca="1" si="327"/>
        <v>172</v>
      </c>
      <c r="B350" s="168" t="str">
        <f ca="1">IFERROR(INDEX(INDIRECT(RangeItems),MATCH($A350,INDIRECT(RangeEstCount),0)),"")</f>
        <v/>
      </c>
      <c r="C350" s="365" t="str">
        <f ca="1">IFERROR(INDEX(Calcs[Description],INDEX(INDIRECT(RangeCount),MATCH($A350,INDIRECT(RangeEstCount),0))),"")</f>
        <v/>
      </c>
      <c r="D350" s="365"/>
      <c r="E350" s="365"/>
      <c r="F350" s="365"/>
      <c r="G350" s="365"/>
      <c r="H350" s="375" t="str">
        <f ca="1">IF(AND(Bid?,NOT(Awd?)),C350,OFFSET(F350,1,0))</f>
        <v/>
      </c>
      <c r="I350" s="216" t="str">
        <f t="shared" ref="I350:O350" ca="1" si="350">IFERROR(SUM(OFFSET(INDIRECT(RangeQuantity),MATCH($A350,INDIRECT(RangeEstCount),0)-1,COLUMN(I350)-COLUMN($H350),1,1))&amp;" "&amp;OFFSET($D350,1,0),"")</f>
        <v/>
      </c>
      <c r="J350" s="277" t="str">
        <f t="shared" ca="1" si="350"/>
        <v/>
      </c>
      <c r="K350" s="277" t="str">
        <f t="shared" ca="1" si="350"/>
        <v/>
      </c>
      <c r="L350" s="277" t="str">
        <f t="shared" ca="1" si="350"/>
        <v/>
      </c>
      <c r="M350" s="277" t="str">
        <f t="shared" ca="1" si="350"/>
        <v/>
      </c>
      <c r="N350" s="277" t="str">
        <f t="shared" ca="1" si="350"/>
        <v/>
      </c>
      <c r="O350" s="277" t="str">
        <f t="shared" ca="1" si="350"/>
        <v/>
      </c>
      <c r="P350" s="209" t="str">
        <f ca="1">IF(LEN(B350)&gt;0,ISNUMBER(MATCH(B350,Proposed[Item],0)),"")</f>
        <v/>
      </c>
    </row>
    <row r="351" spans="1:16" ht="15" x14ac:dyDescent="0.2">
      <c r="A351" s="276">
        <f t="shared" ca="1" si="327"/>
        <v>172</v>
      </c>
      <c r="B351" s="111" t="str">
        <f ca="1">IFERROR("Line "&amp;INDEX(Calcs[Line],INDEX(INDIRECT(RangeCount),MATCH($A351,INDIRECT(RangeEstCount),0))),"")</f>
        <v/>
      </c>
      <c r="C351" s="169" t="str">
        <f ca="1">IFERROR(IF(AND($D351="LPSM",Bid?,All?),"ALL",TEXT(OFFSET(INDIRECT(RangeQuantity),MATCH($A351,INDIRECT(RangeEstCount),0)-1,MATCH(Account,Accounts,0)-1,1,1),IF($D351="LPSM","0%","#,##0"&amp;IF(OFFSET(Items[#Data],MATCH($A351,INDIRECT(RangeEstCount),0)-1,MATCH(Decimals,Items[#Headers],0)-1,1,1)&gt;0,"."&amp;REPT("0",OFFSET(Items[#Data],MATCH($A351,INDIRECT(RangeEstCount),0)-1,MATCH(Decimals,Items[#Headers],0)-1,1,1)),"")))),"")</f>
        <v/>
      </c>
      <c r="D351" s="170" t="str">
        <f ca="1">IFERROR(INDEX(INDIRECT(RangeUnit),MATCH($A351,INDIRECT(RangeEstCount),0))&amp;SUBSTITUTE(" ["&amp;INDEX(INDIRECT(RangeAmend),MATCH($A351,INDIRECT(RangeEstCount),0))&amp;"]"," []",""),"")</f>
        <v/>
      </c>
      <c r="E351" s="170" t="str">
        <f ca="1">IFERROR(IF(INDEX(INDIRECT(RangeContrQty),MATCH($A351,INDIRECT(RangeEstCount),0)),"(CQ)",""),"")</f>
        <v/>
      </c>
      <c r="F351" s="171" t="str">
        <f ca="1">IFERROR(IF(OR(NOT(Bid?),LEFT(UPPER($D351),4)="FXHR"),INDEX(INDIRECT(RangeUnitPrice),MATCH($A351,INDIRECT(RangeEstCount),0)),IF(Awd?,OFFSET(TabAmount,MATCH(INDEX(INDIRECT(RangeCount),MATCH($A351,INDIRECT(RangeEstCount),0)),OFFSET(TabCount,1,0,2*NumPayItems,1),0),MATCH(Awarded2,Bidders,0)),IF(OR($C351="",$D351="LPSM"),"","$"))),"")</f>
        <v/>
      </c>
      <c r="G351" s="171" t="str">
        <f ca="1">IFERROR(VALUE(C351)*F351,IF(AND(Bid?,NOT(Awd?),$D351="LPSM"),"$",F351))</f>
        <v/>
      </c>
      <c r="H351" s="374"/>
      <c r="I351" s="217" t="str">
        <f ca="1">IFERROR(VALUE(SUBSTITUTE(OFFSET(I351,-1,0)," "&amp;$D351,""))*$F351,"")</f>
        <v/>
      </c>
      <c r="J351" s="215" t="str">
        <f ca="1">IFERROR(VALUE(SUBSTITUTE(OFFSET(J351,-1,0)," "&amp;$D351,""))*$F351,"")</f>
        <v/>
      </c>
      <c r="K351" s="215" t="str">
        <f t="shared" ref="K351:M351" ca="1" si="351">IFERROR(VALUE(SUBSTITUTE(OFFSET(K351,-1,0)," "&amp;$D351,""))*$F351,"")</f>
        <v/>
      </c>
      <c r="L351" s="215" t="str">
        <f t="shared" ca="1" si="351"/>
        <v/>
      </c>
      <c r="M351" s="215" t="str">
        <f t="shared" ca="1" si="351"/>
        <v/>
      </c>
      <c r="N351" s="215" t="str">
        <f ca="1">IFERROR(VALUE(SUBSTITUTE(OFFSET(N351,-1,0)," "&amp;$D351,""))*$F351,"")</f>
        <v/>
      </c>
      <c r="O351" s="215" t="str">
        <f ca="1">IFERROR(VALUE(SUBSTITUTE(OFFSET(O351,-1,0)," "&amp;$D351,""))*$F351,"")</f>
        <v/>
      </c>
      <c r="P351" s="209" t="str">
        <f ca="1">IF(LEN(B351)&gt;0,ISNUMBER(MATCH(B351,Proposed[Item],0)),"")</f>
        <v/>
      </c>
    </row>
    <row r="352" spans="1:16" ht="15" x14ac:dyDescent="0.2">
      <c r="A352" s="276">
        <f t="shared" ca="1" si="327"/>
        <v>173</v>
      </c>
      <c r="B352" s="168" t="str">
        <f ca="1">IFERROR(INDEX(INDIRECT(RangeItems),MATCH($A352,INDIRECT(RangeEstCount),0)),"")</f>
        <v/>
      </c>
      <c r="C352" s="365" t="str">
        <f ca="1">IFERROR(INDEX(Calcs[Description],INDEX(INDIRECT(RangeCount),MATCH($A352,INDIRECT(RangeEstCount),0))),"")</f>
        <v/>
      </c>
      <c r="D352" s="365"/>
      <c r="E352" s="365"/>
      <c r="F352" s="365"/>
      <c r="G352" s="365"/>
      <c r="H352" s="375" t="str">
        <f ca="1">IF(AND(Bid?,NOT(Awd?)),C352,OFFSET(F352,1,0))</f>
        <v/>
      </c>
      <c r="I352" s="216" t="str">
        <f t="shared" ref="I352:O352" ca="1" si="352">IFERROR(SUM(OFFSET(INDIRECT(RangeQuantity),MATCH($A352,INDIRECT(RangeEstCount),0)-1,COLUMN(I352)-COLUMN($H352),1,1))&amp;" "&amp;OFFSET($D352,1,0),"")</f>
        <v/>
      </c>
      <c r="J352" s="277" t="str">
        <f t="shared" ca="1" si="352"/>
        <v/>
      </c>
      <c r="K352" s="277" t="str">
        <f t="shared" ca="1" si="352"/>
        <v/>
      </c>
      <c r="L352" s="277" t="str">
        <f t="shared" ca="1" si="352"/>
        <v/>
      </c>
      <c r="M352" s="277" t="str">
        <f t="shared" ca="1" si="352"/>
        <v/>
      </c>
      <c r="N352" s="277" t="str">
        <f t="shared" ca="1" si="352"/>
        <v/>
      </c>
      <c r="O352" s="277" t="str">
        <f t="shared" ca="1" si="352"/>
        <v/>
      </c>
      <c r="P352" s="209" t="str">
        <f ca="1">IF(LEN(B352)&gt;0,ISNUMBER(MATCH(B352,Proposed[Item],0)),"")</f>
        <v/>
      </c>
    </row>
    <row r="353" spans="1:16" ht="15" x14ac:dyDescent="0.2">
      <c r="A353" s="276">
        <f t="shared" ca="1" si="327"/>
        <v>173</v>
      </c>
      <c r="B353" s="111" t="str">
        <f ca="1">IFERROR("Line "&amp;INDEX(Calcs[Line],INDEX(INDIRECT(RangeCount),MATCH($A353,INDIRECT(RangeEstCount),0))),"")</f>
        <v/>
      </c>
      <c r="C353" s="169" t="str">
        <f ca="1">IFERROR(IF(AND($D353="LPSM",Bid?,All?),"ALL",TEXT(OFFSET(INDIRECT(RangeQuantity),MATCH($A353,INDIRECT(RangeEstCount),0)-1,MATCH(Account,Accounts,0)-1,1,1),IF($D353="LPSM","0%","#,##0"&amp;IF(OFFSET(Items[#Data],MATCH($A353,INDIRECT(RangeEstCount),0)-1,MATCH(Decimals,Items[#Headers],0)-1,1,1)&gt;0,"."&amp;REPT("0",OFFSET(Items[#Data],MATCH($A353,INDIRECT(RangeEstCount),0)-1,MATCH(Decimals,Items[#Headers],0)-1,1,1)),"")))),"")</f>
        <v/>
      </c>
      <c r="D353" s="170" t="str">
        <f ca="1">IFERROR(INDEX(INDIRECT(RangeUnit),MATCH($A353,INDIRECT(RangeEstCount),0))&amp;SUBSTITUTE(" ["&amp;INDEX(INDIRECT(RangeAmend),MATCH($A353,INDIRECT(RangeEstCount),0))&amp;"]"," []",""),"")</f>
        <v/>
      </c>
      <c r="E353" s="170" t="str">
        <f ca="1">IFERROR(IF(INDEX(INDIRECT(RangeContrQty),MATCH($A353,INDIRECT(RangeEstCount),0)),"(CQ)",""),"")</f>
        <v/>
      </c>
      <c r="F353" s="171" t="str">
        <f ca="1">IFERROR(IF(OR(NOT(Bid?),LEFT(UPPER($D353),4)="FXHR"),INDEX(INDIRECT(RangeUnitPrice),MATCH($A353,INDIRECT(RangeEstCount),0)),IF(Awd?,OFFSET(TabAmount,MATCH(INDEX(INDIRECT(RangeCount),MATCH($A353,INDIRECT(RangeEstCount),0)),OFFSET(TabCount,1,0,2*NumPayItems,1),0),MATCH(Awarded2,Bidders,0)),IF(OR($C353="",$D353="LPSM"),"","$"))),"")</f>
        <v/>
      </c>
      <c r="G353" s="171" t="str">
        <f ca="1">IFERROR(VALUE(C353)*F353,IF(AND(Bid?,NOT(Awd?),$D353="LPSM"),"$",F353))</f>
        <v/>
      </c>
      <c r="H353" s="374"/>
      <c r="I353" s="217" t="str">
        <f ca="1">IFERROR(VALUE(SUBSTITUTE(OFFSET(I353,-1,0)," "&amp;$D353,""))*$F353,"")</f>
        <v/>
      </c>
      <c r="J353" s="215" t="str">
        <f ca="1">IFERROR(VALUE(SUBSTITUTE(OFFSET(J353,-1,0)," "&amp;$D353,""))*$F353,"")</f>
        <v/>
      </c>
      <c r="K353" s="215" t="str">
        <f t="shared" ref="K353:M353" ca="1" si="353">IFERROR(VALUE(SUBSTITUTE(OFFSET(K353,-1,0)," "&amp;$D353,""))*$F353,"")</f>
        <v/>
      </c>
      <c r="L353" s="215" t="str">
        <f t="shared" ca="1" si="353"/>
        <v/>
      </c>
      <c r="M353" s="215" t="str">
        <f t="shared" ca="1" si="353"/>
        <v/>
      </c>
      <c r="N353" s="215" t="str">
        <f ca="1">IFERROR(VALUE(SUBSTITUTE(OFFSET(N353,-1,0)," "&amp;$D353,""))*$F353,"")</f>
        <v/>
      </c>
      <c r="O353" s="215" t="str">
        <f ca="1">IFERROR(VALUE(SUBSTITUTE(OFFSET(O353,-1,0)," "&amp;$D353,""))*$F353,"")</f>
        <v/>
      </c>
      <c r="P353" s="209" t="str">
        <f ca="1">IF(LEN(B353)&gt;0,ISNUMBER(MATCH(B353,Proposed[Item],0)),"")</f>
        <v/>
      </c>
    </row>
    <row r="354" spans="1:16" ht="15" x14ac:dyDescent="0.2">
      <c r="A354" s="276">
        <f t="shared" ca="1" si="327"/>
        <v>174</v>
      </c>
      <c r="B354" s="168" t="str">
        <f ca="1">IFERROR(INDEX(INDIRECT(RangeItems),MATCH($A354,INDIRECT(RangeEstCount),0)),"")</f>
        <v/>
      </c>
      <c r="C354" s="365" t="str">
        <f ca="1">IFERROR(INDEX(Calcs[Description],INDEX(INDIRECT(RangeCount),MATCH($A354,INDIRECT(RangeEstCount),0))),"")</f>
        <v/>
      </c>
      <c r="D354" s="365"/>
      <c r="E354" s="365"/>
      <c r="F354" s="365"/>
      <c r="G354" s="365"/>
      <c r="H354" s="375" t="str">
        <f ca="1">IF(AND(Bid?,NOT(Awd?)),C354,OFFSET(F354,1,0))</f>
        <v/>
      </c>
      <c r="I354" s="216" t="str">
        <f t="shared" ref="I354:O354" ca="1" si="354">IFERROR(SUM(OFFSET(INDIRECT(RangeQuantity),MATCH($A354,INDIRECT(RangeEstCount),0)-1,COLUMN(I354)-COLUMN($H354),1,1))&amp;" "&amp;OFFSET($D354,1,0),"")</f>
        <v/>
      </c>
      <c r="J354" s="277" t="str">
        <f t="shared" ca="1" si="354"/>
        <v/>
      </c>
      <c r="K354" s="277" t="str">
        <f t="shared" ca="1" si="354"/>
        <v/>
      </c>
      <c r="L354" s="277" t="str">
        <f t="shared" ca="1" si="354"/>
        <v/>
      </c>
      <c r="M354" s="277" t="str">
        <f t="shared" ca="1" si="354"/>
        <v/>
      </c>
      <c r="N354" s="277" t="str">
        <f t="shared" ca="1" si="354"/>
        <v/>
      </c>
      <c r="O354" s="277" t="str">
        <f t="shared" ca="1" si="354"/>
        <v/>
      </c>
      <c r="P354" s="209" t="str">
        <f ca="1">IF(LEN(B354)&gt;0,ISNUMBER(MATCH(B354,Proposed[Item],0)),"")</f>
        <v/>
      </c>
    </row>
    <row r="355" spans="1:16" ht="15" x14ac:dyDescent="0.2">
      <c r="A355" s="276">
        <f t="shared" ca="1" si="327"/>
        <v>174</v>
      </c>
      <c r="B355" s="111" t="str">
        <f ca="1">IFERROR("Line "&amp;INDEX(Calcs[Line],INDEX(INDIRECT(RangeCount),MATCH($A355,INDIRECT(RangeEstCount),0))),"")</f>
        <v/>
      </c>
      <c r="C355" s="169" t="str">
        <f ca="1">IFERROR(IF(AND($D355="LPSM",Bid?,All?),"ALL",TEXT(OFFSET(INDIRECT(RangeQuantity),MATCH($A355,INDIRECT(RangeEstCount),0)-1,MATCH(Account,Accounts,0)-1,1,1),IF($D355="LPSM","0%","#,##0"&amp;IF(OFFSET(Items[#Data],MATCH($A355,INDIRECT(RangeEstCount),0)-1,MATCH(Decimals,Items[#Headers],0)-1,1,1)&gt;0,"."&amp;REPT("0",OFFSET(Items[#Data],MATCH($A355,INDIRECT(RangeEstCount),0)-1,MATCH(Decimals,Items[#Headers],0)-1,1,1)),"")))),"")</f>
        <v/>
      </c>
      <c r="D355" s="170" t="str">
        <f ca="1">IFERROR(INDEX(INDIRECT(RangeUnit),MATCH($A355,INDIRECT(RangeEstCount),0))&amp;SUBSTITUTE(" ["&amp;INDEX(INDIRECT(RangeAmend),MATCH($A355,INDIRECT(RangeEstCount),0))&amp;"]"," []",""),"")</f>
        <v/>
      </c>
      <c r="E355" s="170" t="str">
        <f ca="1">IFERROR(IF(INDEX(INDIRECT(RangeContrQty),MATCH($A355,INDIRECT(RangeEstCount),0)),"(CQ)",""),"")</f>
        <v/>
      </c>
      <c r="F355" s="171" t="str">
        <f ca="1">IFERROR(IF(OR(NOT(Bid?),LEFT(UPPER($D355),4)="FXHR"),INDEX(INDIRECT(RangeUnitPrice),MATCH($A355,INDIRECT(RangeEstCount),0)),IF(Awd?,OFFSET(TabAmount,MATCH(INDEX(INDIRECT(RangeCount),MATCH($A355,INDIRECT(RangeEstCount),0)),OFFSET(TabCount,1,0,2*NumPayItems,1),0),MATCH(Awarded2,Bidders,0)),IF(OR($C355="",$D355="LPSM"),"","$"))),"")</f>
        <v/>
      </c>
      <c r="G355" s="171" t="str">
        <f ca="1">IFERROR(VALUE(C355)*F355,IF(AND(Bid?,NOT(Awd?),$D355="LPSM"),"$",F355))</f>
        <v/>
      </c>
      <c r="H355" s="374"/>
      <c r="I355" s="217" t="str">
        <f ca="1">IFERROR(VALUE(SUBSTITUTE(OFFSET(I355,-1,0)," "&amp;$D355,""))*$F355,"")</f>
        <v/>
      </c>
      <c r="J355" s="215" t="str">
        <f ca="1">IFERROR(VALUE(SUBSTITUTE(OFFSET(J355,-1,0)," "&amp;$D355,""))*$F355,"")</f>
        <v/>
      </c>
      <c r="K355" s="215" t="str">
        <f t="shared" ref="K355:M355" ca="1" si="355">IFERROR(VALUE(SUBSTITUTE(OFFSET(K355,-1,0)," "&amp;$D355,""))*$F355,"")</f>
        <v/>
      </c>
      <c r="L355" s="215" t="str">
        <f t="shared" ca="1" si="355"/>
        <v/>
      </c>
      <c r="M355" s="215" t="str">
        <f t="shared" ca="1" si="355"/>
        <v/>
      </c>
      <c r="N355" s="215" t="str">
        <f ca="1">IFERROR(VALUE(SUBSTITUTE(OFFSET(N355,-1,0)," "&amp;$D355,""))*$F355,"")</f>
        <v/>
      </c>
      <c r="O355" s="215" t="str">
        <f ca="1">IFERROR(VALUE(SUBSTITUTE(OFFSET(O355,-1,0)," "&amp;$D355,""))*$F355,"")</f>
        <v/>
      </c>
      <c r="P355" s="209" t="str">
        <f ca="1">IF(LEN(B355)&gt;0,ISNUMBER(MATCH(B355,Proposed[Item],0)),"")</f>
        <v/>
      </c>
    </row>
    <row r="356" spans="1:16" ht="15" x14ac:dyDescent="0.2">
      <c r="A356" s="276">
        <f t="shared" ca="1" si="327"/>
        <v>175</v>
      </c>
      <c r="B356" s="168" t="str">
        <f ca="1">IFERROR(INDEX(INDIRECT(RangeItems),MATCH($A356,INDIRECT(RangeEstCount),0)),"")</f>
        <v/>
      </c>
      <c r="C356" s="365" t="str">
        <f ca="1">IFERROR(INDEX(Calcs[Description],INDEX(INDIRECT(RangeCount),MATCH($A356,INDIRECT(RangeEstCount),0))),"")</f>
        <v/>
      </c>
      <c r="D356" s="365"/>
      <c r="E356" s="365"/>
      <c r="F356" s="365"/>
      <c r="G356" s="365"/>
      <c r="H356" s="375" t="str">
        <f ca="1">IF(AND(Bid?,NOT(Awd?)),C356,OFFSET(F356,1,0))</f>
        <v/>
      </c>
      <c r="I356" s="216" t="str">
        <f t="shared" ref="I356:O356" ca="1" si="356">IFERROR(SUM(OFFSET(INDIRECT(RangeQuantity),MATCH($A356,INDIRECT(RangeEstCount),0)-1,COLUMN(I356)-COLUMN($H356),1,1))&amp;" "&amp;OFFSET($D356,1,0),"")</f>
        <v/>
      </c>
      <c r="J356" s="277" t="str">
        <f t="shared" ca="1" si="356"/>
        <v/>
      </c>
      <c r="K356" s="277" t="str">
        <f t="shared" ca="1" si="356"/>
        <v/>
      </c>
      <c r="L356" s="277" t="str">
        <f t="shared" ca="1" si="356"/>
        <v/>
      </c>
      <c r="M356" s="277" t="str">
        <f t="shared" ca="1" si="356"/>
        <v/>
      </c>
      <c r="N356" s="277" t="str">
        <f t="shared" ca="1" si="356"/>
        <v/>
      </c>
      <c r="O356" s="277" t="str">
        <f t="shared" ca="1" si="356"/>
        <v/>
      </c>
      <c r="P356" s="209" t="str">
        <f ca="1">IF(LEN(B356)&gt;0,ISNUMBER(MATCH(B356,Proposed[Item],0)),"")</f>
        <v/>
      </c>
    </row>
    <row r="357" spans="1:16" ht="15" x14ac:dyDescent="0.2">
      <c r="A357" s="276">
        <f t="shared" ca="1" si="327"/>
        <v>175</v>
      </c>
      <c r="B357" s="111" t="str">
        <f ca="1">IFERROR("Line "&amp;INDEX(Calcs[Line],INDEX(INDIRECT(RangeCount),MATCH($A357,INDIRECT(RangeEstCount),0))),"")</f>
        <v/>
      </c>
      <c r="C357" s="169" t="str">
        <f ca="1">IFERROR(IF(AND($D357="LPSM",Bid?,All?),"ALL",TEXT(OFFSET(INDIRECT(RangeQuantity),MATCH($A357,INDIRECT(RangeEstCount),0)-1,MATCH(Account,Accounts,0)-1,1,1),IF($D357="LPSM","0%","#,##0"&amp;IF(OFFSET(Items[#Data],MATCH($A357,INDIRECT(RangeEstCount),0)-1,MATCH(Decimals,Items[#Headers],0)-1,1,1)&gt;0,"."&amp;REPT("0",OFFSET(Items[#Data],MATCH($A357,INDIRECT(RangeEstCount),0)-1,MATCH(Decimals,Items[#Headers],0)-1,1,1)),"")))),"")</f>
        <v/>
      </c>
      <c r="D357" s="170" t="str">
        <f ca="1">IFERROR(INDEX(INDIRECT(RangeUnit),MATCH($A357,INDIRECT(RangeEstCount),0))&amp;SUBSTITUTE(" ["&amp;INDEX(INDIRECT(RangeAmend),MATCH($A357,INDIRECT(RangeEstCount),0))&amp;"]"," []",""),"")</f>
        <v/>
      </c>
      <c r="E357" s="170" t="str">
        <f ca="1">IFERROR(IF(INDEX(INDIRECT(RangeContrQty),MATCH($A357,INDIRECT(RangeEstCount),0)),"(CQ)",""),"")</f>
        <v/>
      </c>
      <c r="F357" s="171" t="str">
        <f ca="1">IFERROR(IF(OR(NOT(Bid?),LEFT(UPPER($D357),4)="FXHR"),INDEX(INDIRECT(RangeUnitPrice),MATCH($A357,INDIRECT(RangeEstCount),0)),IF(Awd?,OFFSET(TabAmount,MATCH(INDEX(INDIRECT(RangeCount),MATCH($A357,INDIRECT(RangeEstCount),0)),OFFSET(TabCount,1,0,2*NumPayItems,1),0),MATCH(Awarded2,Bidders,0)),IF(OR($C357="",$D357="LPSM"),"","$"))),"")</f>
        <v/>
      </c>
      <c r="G357" s="171" t="str">
        <f ca="1">IFERROR(VALUE(C357)*F357,IF(AND(Bid?,NOT(Awd?),$D357="LPSM"),"$",F357))</f>
        <v/>
      </c>
      <c r="H357" s="374"/>
      <c r="I357" s="217" t="str">
        <f ca="1">IFERROR(VALUE(SUBSTITUTE(OFFSET(I357,-1,0)," "&amp;$D357,""))*$F357,"")</f>
        <v/>
      </c>
      <c r="J357" s="215" t="str">
        <f ca="1">IFERROR(VALUE(SUBSTITUTE(OFFSET(J357,-1,0)," "&amp;$D357,""))*$F357,"")</f>
        <v/>
      </c>
      <c r="K357" s="215" t="str">
        <f t="shared" ref="K357:M357" ca="1" si="357">IFERROR(VALUE(SUBSTITUTE(OFFSET(K357,-1,0)," "&amp;$D357,""))*$F357,"")</f>
        <v/>
      </c>
      <c r="L357" s="215" t="str">
        <f t="shared" ca="1" si="357"/>
        <v/>
      </c>
      <c r="M357" s="215" t="str">
        <f t="shared" ca="1" si="357"/>
        <v/>
      </c>
      <c r="N357" s="215" t="str">
        <f ca="1">IFERROR(VALUE(SUBSTITUTE(OFFSET(N357,-1,0)," "&amp;$D357,""))*$F357,"")</f>
        <v/>
      </c>
      <c r="O357" s="215" t="str">
        <f ca="1">IFERROR(VALUE(SUBSTITUTE(OFFSET(O357,-1,0)," "&amp;$D357,""))*$F357,"")</f>
        <v/>
      </c>
      <c r="P357" s="209" t="str">
        <f ca="1">IF(LEN(B357)&gt;0,ISNUMBER(MATCH(B357,Proposed[Item],0)),"")</f>
        <v/>
      </c>
    </row>
    <row r="358" spans="1:16" ht="15" x14ac:dyDescent="0.2">
      <c r="A358" s="276">
        <f t="shared" ca="1" si="327"/>
        <v>176</v>
      </c>
      <c r="B358" s="168" t="str">
        <f ca="1">IFERROR(INDEX(INDIRECT(RangeItems),MATCH($A358,INDIRECT(RangeEstCount),0)),"")</f>
        <v/>
      </c>
      <c r="C358" s="365" t="str">
        <f ca="1">IFERROR(INDEX(Calcs[Description],INDEX(INDIRECT(RangeCount),MATCH($A358,INDIRECT(RangeEstCount),0))),"")</f>
        <v/>
      </c>
      <c r="D358" s="365"/>
      <c r="E358" s="365"/>
      <c r="F358" s="365"/>
      <c r="G358" s="365"/>
      <c r="H358" s="375" t="str">
        <f ca="1">IF(AND(Bid?,NOT(Awd?)),C358,OFFSET(F358,1,0))</f>
        <v/>
      </c>
      <c r="I358" s="216" t="str">
        <f t="shared" ref="I358:O358" ca="1" si="358">IFERROR(SUM(OFFSET(INDIRECT(RangeQuantity),MATCH($A358,INDIRECT(RangeEstCount),0)-1,COLUMN(I358)-COLUMN($H358),1,1))&amp;" "&amp;OFFSET($D358,1,0),"")</f>
        <v/>
      </c>
      <c r="J358" s="277" t="str">
        <f t="shared" ca="1" si="358"/>
        <v/>
      </c>
      <c r="K358" s="277" t="str">
        <f t="shared" ca="1" si="358"/>
        <v/>
      </c>
      <c r="L358" s="277" t="str">
        <f t="shared" ca="1" si="358"/>
        <v/>
      </c>
      <c r="M358" s="277" t="str">
        <f t="shared" ca="1" si="358"/>
        <v/>
      </c>
      <c r="N358" s="277" t="str">
        <f t="shared" ca="1" si="358"/>
        <v/>
      </c>
      <c r="O358" s="277" t="str">
        <f t="shared" ca="1" si="358"/>
        <v/>
      </c>
      <c r="P358" s="209" t="str">
        <f ca="1">IF(LEN(B358)&gt;0,ISNUMBER(MATCH(B358,Proposed[Item],0)),"")</f>
        <v/>
      </c>
    </row>
    <row r="359" spans="1:16" ht="15" x14ac:dyDescent="0.2">
      <c r="A359" s="276">
        <f t="shared" ca="1" si="327"/>
        <v>176</v>
      </c>
      <c r="B359" s="111" t="str">
        <f ca="1">IFERROR("Line "&amp;INDEX(Calcs[Line],INDEX(INDIRECT(RangeCount),MATCH($A359,INDIRECT(RangeEstCount),0))),"")</f>
        <v/>
      </c>
      <c r="C359" s="169" t="str">
        <f ca="1">IFERROR(IF(AND($D359="LPSM",Bid?,All?),"ALL",TEXT(OFFSET(INDIRECT(RangeQuantity),MATCH($A359,INDIRECT(RangeEstCount),0)-1,MATCH(Account,Accounts,0)-1,1,1),IF($D359="LPSM","0%","#,##0"&amp;IF(OFFSET(Items[#Data],MATCH($A359,INDIRECT(RangeEstCount),0)-1,MATCH(Decimals,Items[#Headers],0)-1,1,1)&gt;0,"."&amp;REPT("0",OFFSET(Items[#Data],MATCH($A359,INDIRECT(RangeEstCount),0)-1,MATCH(Decimals,Items[#Headers],0)-1,1,1)),"")))),"")</f>
        <v/>
      </c>
      <c r="D359" s="170" t="str">
        <f ca="1">IFERROR(INDEX(INDIRECT(RangeUnit),MATCH($A359,INDIRECT(RangeEstCount),0))&amp;SUBSTITUTE(" ["&amp;INDEX(INDIRECT(RangeAmend),MATCH($A359,INDIRECT(RangeEstCount),0))&amp;"]"," []",""),"")</f>
        <v/>
      </c>
      <c r="E359" s="170" t="str">
        <f ca="1">IFERROR(IF(INDEX(INDIRECT(RangeContrQty),MATCH($A359,INDIRECT(RangeEstCount),0)),"(CQ)",""),"")</f>
        <v/>
      </c>
      <c r="F359" s="171" t="str">
        <f ca="1">IFERROR(IF(OR(NOT(Bid?),LEFT(UPPER($D359),4)="FXHR"),INDEX(INDIRECT(RangeUnitPrice),MATCH($A359,INDIRECT(RangeEstCount),0)),IF(Awd?,OFFSET(TabAmount,MATCH(INDEX(INDIRECT(RangeCount),MATCH($A359,INDIRECT(RangeEstCount),0)),OFFSET(TabCount,1,0,2*NumPayItems,1),0),MATCH(Awarded2,Bidders,0)),IF(OR($C359="",$D359="LPSM"),"","$"))),"")</f>
        <v/>
      </c>
      <c r="G359" s="171" t="str">
        <f ca="1">IFERROR(VALUE(C359)*F359,IF(AND(Bid?,NOT(Awd?),$D359="LPSM"),"$",F359))</f>
        <v/>
      </c>
      <c r="H359" s="374"/>
      <c r="I359" s="217" t="str">
        <f ca="1">IFERROR(VALUE(SUBSTITUTE(OFFSET(I359,-1,0)," "&amp;$D359,""))*$F359,"")</f>
        <v/>
      </c>
      <c r="J359" s="215" t="str">
        <f ca="1">IFERROR(VALUE(SUBSTITUTE(OFFSET(J359,-1,0)," "&amp;$D359,""))*$F359,"")</f>
        <v/>
      </c>
      <c r="K359" s="215" t="str">
        <f t="shared" ref="K359:M359" ca="1" si="359">IFERROR(VALUE(SUBSTITUTE(OFFSET(K359,-1,0)," "&amp;$D359,""))*$F359,"")</f>
        <v/>
      </c>
      <c r="L359" s="215" t="str">
        <f t="shared" ca="1" si="359"/>
        <v/>
      </c>
      <c r="M359" s="215" t="str">
        <f t="shared" ca="1" si="359"/>
        <v/>
      </c>
      <c r="N359" s="215" t="str">
        <f ca="1">IFERROR(VALUE(SUBSTITUTE(OFFSET(N359,-1,0)," "&amp;$D359,""))*$F359,"")</f>
        <v/>
      </c>
      <c r="O359" s="215" t="str">
        <f ca="1">IFERROR(VALUE(SUBSTITUTE(OFFSET(O359,-1,0)," "&amp;$D359,""))*$F359,"")</f>
        <v/>
      </c>
      <c r="P359" s="209" t="str">
        <f ca="1">IF(LEN(B359)&gt;0,ISNUMBER(MATCH(B359,Proposed[Item],0)),"")</f>
        <v/>
      </c>
    </row>
    <row r="360" spans="1:16" ht="15" x14ac:dyDescent="0.2">
      <c r="A360" s="276">
        <f t="shared" ca="1" si="327"/>
        <v>177</v>
      </c>
      <c r="B360" s="168" t="str">
        <f ca="1">IFERROR(INDEX(INDIRECT(RangeItems),MATCH($A360,INDIRECT(RangeEstCount),0)),"")</f>
        <v/>
      </c>
      <c r="C360" s="365" t="str">
        <f ca="1">IFERROR(INDEX(Calcs[Description],INDEX(INDIRECT(RangeCount),MATCH($A360,INDIRECT(RangeEstCount),0))),"")</f>
        <v/>
      </c>
      <c r="D360" s="365"/>
      <c r="E360" s="365"/>
      <c r="F360" s="365"/>
      <c r="G360" s="365"/>
      <c r="H360" s="375" t="str">
        <f ca="1">IF(AND(Bid?,NOT(Awd?)),C360,OFFSET(F360,1,0))</f>
        <v/>
      </c>
      <c r="I360" s="216" t="str">
        <f t="shared" ref="I360:O360" ca="1" si="360">IFERROR(SUM(OFFSET(INDIRECT(RangeQuantity),MATCH($A360,INDIRECT(RangeEstCount),0)-1,COLUMN(I360)-COLUMN($H360),1,1))&amp;" "&amp;OFFSET($D360,1,0),"")</f>
        <v/>
      </c>
      <c r="J360" s="277" t="str">
        <f t="shared" ca="1" si="360"/>
        <v/>
      </c>
      <c r="K360" s="277" t="str">
        <f t="shared" ca="1" si="360"/>
        <v/>
      </c>
      <c r="L360" s="277" t="str">
        <f t="shared" ca="1" si="360"/>
        <v/>
      </c>
      <c r="M360" s="277" t="str">
        <f t="shared" ca="1" si="360"/>
        <v/>
      </c>
      <c r="N360" s="277" t="str">
        <f t="shared" ca="1" si="360"/>
        <v/>
      </c>
      <c r="O360" s="277" t="str">
        <f t="shared" ca="1" si="360"/>
        <v/>
      </c>
      <c r="P360" s="209" t="str">
        <f ca="1">IF(LEN(B360)&gt;0,ISNUMBER(MATCH(B360,Proposed[Item],0)),"")</f>
        <v/>
      </c>
    </row>
    <row r="361" spans="1:16" ht="15" x14ac:dyDescent="0.2">
      <c r="A361" s="276">
        <f t="shared" ca="1" si="327"/>
        <v>177</v>
      </c>
      <c r="B361" s="111" t="str">
        <f ca="1">IFERROR("Line "&amp;INDEX(Calcs[Line],INDEX(INDIRECT(RangeCount),MATCH($A361,INDIRECT(RangeEstCount),0))),"")</f>
        <v/>
      </c>
      <c r="C361" s="169" t="str">
        <f ca="1">IFERROR(IF(AND($D361="LPSM",Bid?,All?),"ALL",TEXT(OFFSET(INDIRECT(RangeQuantity),MATCH($A361,INDIRECT(RangeEstCount),0)-1,MATCH(Account,Accounts,0)-1,1,1),IF($D361="LPSM","0%","#,##0"&amp;IF(OFFSET(Items[#Data],MATCH($A361,INDIRECT(RangeEstCount),0)-1,MATCH(Decimals,Items[#Headers],0)-1,1,1)&gt;0,"."&amp;REPT("0",OFFSET(Items[#Data],MATCH($A361,INDIRECT(RangeEstCount),0)-1,MATCH(Decimals,Items[#Headers],0)-1,1,1)),"")))),"")</f>
        <v/>
      </c>
      <c r="D361" s="170" t="str">
        <f ca="1">IFERROR(INDEX(INDIRECT(RangeUnit),MATCH($A361,INDIRECT(RangeEstCount),0))&amp;SUBSTITUTE(" ["&amp;INDEX(INDIRECT(RangeAmend),MATCH($A361,INDIRECT(RangeEstCount),0))&amp;"]"," []",""),"")</f>
        <v/>
      </c>
      <c r="E361" s="170" t="str">
        <f ca="1">IFERROR(IF(INDEX(INDIRECT(RangeContrQty),MATCH($A361,INDIRECT(RangeEstCount),0)),"(CQ)",""),"")</f>
        <v/>
      </c>
      <c r="F361" s="171" t="str">
        <f ca="1">IFERROR(IF(OR(NOT(Bid?),LEFT(UPPER($D361),4)="FXHR"),INDEX(INDIRECT(RangeUnitPrice),MATCH($A361,INDIRECT(RangeEstCount),0)),IF(Awd?,OFFSET(TabAmount,MATCH(INDEX(INDIRECT(RangeCount),MATCH($A361,INDIRECT(RangeEstCount),0)),OFFSET(TabCount,1,0,2*NumPayItems,1),0),MATCH(Awarded2,Bidders,0)),IF(OR($C361="",$D361="LPSM"),"","$"))),"")</f>
        <v/>
      </c>
      <c r="G361" s="171" t="str">
        <f ca="1">IFERROR(VALUE(C361)*F361,IF(AND(Bid?,NOT(Awd?),$D361="LPSM"),"$",F361))</f>
        <v/>
      </c>
      <c r="H361" s="374"/>
      <c r="I361" s="217" t="str">
        <f ca="1">IFERROR(VALUE(SUBSTITUTE(OFFSET(I361,-1,0)," "&amp;$D361,""))*$F361,"")</f>
        <v/>
      </c>
      <c r="J361" s="215" t="str">
        <f ca="1">IFERROR(VALUE(SUBSTITUTE(OFFSET(J361,-1,0)," "&amp;$D361,""))*$F361,"")</f>
        <v/>
      </c>
      <c r="K361" s="215" t="str">
        <f t="shared" ref="K361:M361" ca="1" si="361">IFERROR(VALUE(SUBSTITUTE(OFFSET(K361,-1,0)," "&amp;$D361,""))*$F361,"")</f>
        <v/>
      </c>
      <c r="L361" s="215" t="str">
        <f t="shared" ca="1" si="361"/>
        <v/>
      </c>
      <c r="M361" s="215" t="str">
        <f t="shared" ca="1" si="361"/>
        <v/>
      </c>
      <c r="N361" s="215" t="str">
        <f ca="1">IFERROR(VALUE(SUBSTITUTE(OFFSET(N361,-1,0)," "&amp;$D361,""))*$F361,"")</f>
        <v/>
      </c>
      <c r="O361" s="215" t="str">
        <f ca="1">IFERROR(VALUE(SUBSTITUTE(OFFSET(O361,-1,0)," "&amp;$D361,""))*$F361,"")</f>
        <v/>
      </c>
      <c r="P361" s="209" t="str">
        <f ca="1">IF(LEN(B361)&gt;0,ISNUMBER(MATCH(B361,Proposed[Item],0)),"")</f>
        <v/>
      </c>
    </row>
    <row r="362" spans="1:16" ht="15" x14ac:dyDescent="0.2">
      <c r="A362" s="276">
        <f t="shared" ca="1" si="327"/>
        <v>178</v>
      </c>
      <c r="B362" s="168" t="str">
        <f ca="1">IFERROR(INDEX(INDIRECT(RangeItems),MATCH($A362,INDIRECT(RangeEstCount),0)),"")</f>
        <v/>
      </c>
      <c r="C362" s="365" t="str">
        <f ca="1">IFERROR(INDEX(Calcs[Description],INDEX(INDIRECT(RangeCount),MATCH($A362,INDIRECT(RangeEstCount),0))),"")</f>
        <v/>
      </c>
      <c r="D362" s="365"/>
      <c r="E362" s="365"/>
      <c r="F362" s="365"/>
      <c r="G362" s="365"/>
      <c r="H362" s="375" t="str">
        <f ca="1">IF(AND(Bid?,NOT(Awd?)),C362,OFFSET(F362,1,0))</f>
        <v/>
      </c>
      <c r="I362" s="216" t="str">
        <f t="shared" ref="I362:O362" ca="1" si="362">IFERROR(SUM(OFFSET(INDIRECT(RangeQuantity),MATCH($A362,INDIRECT(RangeEstCount),0)-1,COLUMN(I362)-COLUMN($H362),1,1))&amp;" "&amp;OFFSET($D362,1,0),"")</f>
        <v/>
      </c>
      <c r="J362" s="277" t="str">
        <f t="shared" ca="1" si="362"/>
        <v/>
      </c>
      <c r="K362" s="277" t="str">
        <f t="shared" ca="1" si="362"/>
        <v/>
      </c>
      <c r="L362" s="277" t="str">
        <f t="shared" ca="1" si="362"/>
        <v/>
      </c>
      <c r="M362" s="277" t="str">
        <f t="shared" ca="1" si="362"/>
        <v/>
      </c>
      <c r="N362" s="277" t="str">
        <f t="shared" ca="1" si="362"/>
        <v/>
      </c>
      <c r="O362" s="277" t="str">
        <f t="shared" ca="1" si="362"/>
        <v/>
      </c>
      <c r="P362" s="209" t="str">
        <f ca="1">IF(LEN(B362)&gt;0,ISNUMBER(MATCH(B362,Proposed[Item],0)),"")</f>
        <v/>
      </c>
    </row>
    <row r="363" spans="1:16" ht="15" x14ac:dyDescent="0.2">
      <c r="A363" s="276">
        <f t="shared" ca="1" si="327"/>
        <v>178</v>
      </c>
      <c r="B363" s="111" t="str">
        <f ca="1">IFERROR("Line "&amp;INDEX(Calcs[Line],INDEX(INDIRECT(RangeCount),MATCH($A363,INDIRECT(RangeEstCount),0))),"")</f>
        <v/>
      </c>
      <c r="C363" s="169" t="str">
        <f ca="1">IFERROR(IF(AND($D363="LPSM",Bid?,All?),"ALL",TEXT(OFFSET(INDIRECT(RangeQuantity),MATCH($A363,INDIRECT(RangeEstCount),0)-1,MATCH(Account,Accounts,0)-1,1,1),IF($D363="LPSM","0%","#,##0"&amp;IF(OFFSET(Items[#Data],MATCH($A363,INDIRECT(RangeEstCount),0)-1,MATCH(Decimals,Items[#Headers],0)-1,1,1)&gt;0,"."&amp;REPT("0",OFFSET(Items[#Data],MATCH($A363,INDIRECT(RangeEstCount),0)-1,MATCH(Decimals,Items[#Headers],0)-1,1,1)),"")))),"")</f>
        <v/>
      </c>
      <c r="D363" s="170" t="str">
        <f ca="1">IFERROR(INDEX(INDIRECT(RangeUnit),MATCH($A363,INDIRECT(RangeEstCount),0))&amp;SUBSTITUTE(" ["&amp;INDEX(INDIRECT(RangeAmend),MATCH($A363,INDIRECT(RangeEstCount),0))&amp;"]"," []",""),"")</f>
        <v/>
      </c>
      <c r="E363" s="170" t="str">
        <f ca="1">IFERROR(IF(INDEX(INDIRECT(RangeContrQty),MATCH($A363,INDIRECT(RangeEstCount),0)),"(CQ)",""),"")</f>
        <v/>
      </c>
      <c r="F363" s="171" t="str">
        <f ca="1">IFERROR(IF(OR(NOT(Bid?),LEFT(UPPER($D363),4)="FXHR"),INDEX(INDIRECT(RangeUnitPrice),MATCH($A363,INDIRECT(RangeEstCount),0)),IF(Awd?,OFFSET(TabAmount,MATCH(INDEX(INDIRECT(RangeCount),MATCH($A363,INDIRECT(RangeEstCount),0)),OFFSET(TabCount,1,0,2*NumPayItems,1),0),MATCH(Awarded2,Bidders,0)),IF(OR($C363="",$D363="LPSM"),"","$"))),"")</f>
        <v/>
      </c>
      <c r="G363" s="171" t="str">
        <f ca="1">IFERROR(VALUE(C363)*F363,IF(AND(Bid?,NOT(Awd?),$D363="LPSM"),"$",F363))</f>
        <v/>
      </c>
      <c r="H363" s="374"/>
      <c r="I363" s="217" t="str">
        <f ca="1">IFERROR(VALUE(SUBSTITUTE(OFFSET(I363,-1,0)," "&amp;$D363,""))*$F363,"")</f>
        <v/>
      </c>
      <c r="J363" s="215" t="str">
        <f ca="1">IFERROR(VALUE(SUBSTITUTE(OFFSET(J363,-1,0)," "&amp;$D363,""))*$F363,"")</f>
        <v/>
      </c>
      <c r="K363" s="215" t="str">
        <f t="shared" ref="K363:M363" ca="1" si="363">IFERROR(VALUE(SUBSTITUTE(OFFSET(K363,-1,0)," "&amp;$D363,""))*$F363,"")</f>
        <v/>
      </c>
      <c r="L363" s="215" t="str">
        <f t="shared" ca="1" si="363"/>
        <v/>
      </c>
      <c r="M363" s="215" t="str">
        <f t="shared" ca="1" si="363"/>
        <v/>
      </c>
      <c r="N363" s="215" t="str">
        <f ca="1">IFERROR(VALUE(SUBSTITUTE(OFFSET(N363,-1,0)," "&amp;$D363,""))*$F363,"")</f>
        <v/>
      </c>
      <c r="O363" s="215" t="str">
        <f ca="1">IFERROR(VALUE(SUBSTITUTE(OFFSET(O363,-1,0)," "&amp;$D363,""))*$F363,"")</f>
        <v/>
      </c>
      <c r="P363" s="209" t="str">
        <f ca="1">IF(LEN(B363)&gt;0,ISNUMBER(MATCH(B363,Proposed[Item],0)),"")</f>
        <v/>
      </c>
    </row>
    <row r="364" spans="1:16" ht="15" x14ac:dyDescent="0.2">
      <c r="A364" s="276">
        <f t="shared" ca="1" si="327"/>
        <v>179</v>
      </c>
      <c r="B364" s="168" t="str">
        <f ca="1">IFERROR(INDEX(INDIRECT(RangeItems),MATCH($A364,INDIRECT(RangeEstCount),0)),"")</f>
        <v/>
      </c>
      <c r="C364" s="365" t="str">
        <f ca="1">IFERROR(INDEX(Calcs[Description],INDEX(INDIRECT(RangeCount),MATCH($A364,INDIRECT(RangeEstCount),0))),"")</f>
        <v/>
      </c>
      <c r="D364" s="365"/>
      <c r="E364" s="365"/>
      <c r="F364" s="365"/>
      <c r="G364" s="365"/>
      <c r="H364" s="375" t="str">
        <f ca="1">IF(AND(Bid?,NOT(Awd?)),C364,OFFSET(F364,1,0))</f>
        <v/>
      </c>
      <c r="I364" s="216" t="str">
        <f t="shared" ref="I364:O364" ca="1" si="364">IFERROR(SUM(OFFSET(INDIRECT(RangeQuantity),MATCH($A364,INDIRECT(RangeEstCount),0)-1,COLUMN(I364)-COLUMN($H364),1,1))&amp;" "&amp;OFFSET($D364,1,0),"")</f>
        <v/>
      </c>
      <c r="J364" s="277" t="str">
        <f t="shared" ca="1" si="364"/>
        <v/>
      </c>
      <c r="K364" s="277" t="str">
        <f t="shared" ca="1" si="364"/>
        <v/>
      </c>
      <c r="L364" s="277" t="str">
        <f t="shared" ca="1" si="364"/>
        <v/>
      </c>
      <c r="M364" s="277" t="str">
        <f t="shared" ca="1" si="364"/>
        <v/>
      </c>
      <c r="N364" s="277" t="str">
        <f t="shared" ca="1" si="364"/>
        <v/>
      </c>
      <c r="O364" s="277" t="str">
        <f t="shared" ca="1" si="364"/>
        <v/>
      </c>
      <c r="P364" s="209" t="str">
        <f ca="1">IF(LEN(B364)&gt;0,ISNUMBER(MATCH(B364,Proposed[Item],0)),"")</f>
        <v/>
      </c>
    </row>
    <row r="365" spans="1:16" ht="15" x14ac:dyDescent="0.2">
      <c r="A365" s="276">
        <f t="shared" ca="1" si="327"/>
        <v>179</v>
      </c>
      <c r="B365" s="111" t="str">
        <f ca="1">IFERROR("Line "&amp;INDEX(Calcs[Line],INDEX(INDIRECT(RangeCount),MATCH($A365,INDIRECT(RangeEstCount),0))),"")</f>
        <v/>
      </c>
      <c r="C365" s="169" t="str">
        <f ca="1">IFERROR(IF(AND($D365="LPSM",Bid?,All?),"ALL",TEXT(OFFSET(INDIRECT(RangeQuantity),MATCH($A365,INDIRECT(RangeEstCount),0)-1,MATCH(Account,Accounts,0)-1,1,1),IF($D365="LPSM","0%","#,##0"&amp;IF(OFFSET(Items[#Data],MATCH($A365,INDIRECT(RangeEstCount),0)-1,MATCH(Decimals,Items[#Headers],0)-1,1,1)&gt;0,"."&amp;REPT("0",OFFSET(Items[#Data],MATCH($A365,INDIRECT(RangeEstCount),0)-1,MATCH(Decimals,Items[#Headers],0)-1,1,1)),"")))),"")</f>
        <v/>
      </c>
      <c r="D365" s="170" t="str">
        <f ca="1">IFERROR(INDEX(INDIRECT(RangeUnit),MATCH($A365,INDIRECT(RangeEstCount),0))&amp;SUBSTITUTE(" ["&amp;INDEX(INDIRECT(RangeAmend),MATCH($A365,INDIRECT(RangeEstCount),0))&amp;"]"," []",""),"")</f>
        <v/>
      </c>
      <c r="E365" s="170" t="str">
        <f ca="1">IFERROR(IF(INDEX(INDIRECT(RangeContrQty),MATCH($A365,INDIRECT(RangeEstCount),0)),"(CQ)",""),"")</f>
        <v/>
      </c>
      <c r="F365" s="171" t="str">
        <f ca="1">IFERROR(IF(OR(NOT(Bid?),LEFT(UPPER($D365),4)="FXHR"),INDEX(INDIRECT(RangeUnitPrice),MATCH($A365,INDIRECT(RangeEstCount),0)),IF(Awd?,OFFSET(TabAmount,MATCH(INDEX(INDIRECT(RangeCount),MATCH($A365,INDIRECT(RangeEstCount),0)),OFFSET(TabCount,1,0,2*NumPayItems,1),0),MATCH(Awarded2,Bidders,0)),IF(OR($C365="",$D365="LPSM"),"","$"))),"")</f>
        <v/>
      </c>
      <c r="G365" s="171" t="str">
        <f ca="1">IFERROR(VALUE(C365)*F365,IF(AND(Bid?,NOT(Awd?),$D365="LPSM"),"$",F365))</f>
        <v/>
      </c>
      <c r="H365" s="374"/>
      <c r="I365" s="217" t="str">
        <f ca="1">IFERROR(VALUE(SUBSTITUTE(OFFSET(I365,-1,0)," "&amp;$D365,""))*$F365,"")</f>
        <v/>
      </c>
      <c r="J365" s="215" t="str">
        <f ca="1">IFERROR(VALUE(SUBSTITUTE(OFFSET(J365,-1,0)," "&amp;$D365,""))*$F365,"")</f>
        <v/>
      </c>
      <c r="K365" s="215" t="str">
        <f t="shared" ref="K365:M365" ca="1" si="365">IFERROR(VALUE(SUBSTITUTE(OFFSET(K365,-1,0)," "&amp;$D365,""))*$F365,"")</f>
        <v/>
      </c>
      <c r="L365" s="215" t="str">
        <f t="shared" ca="1" si="365"/>
        <v/>
      </c>
      <c r="M365" s="215" t="str">
        <f t="shared" ca="1" si="365"/>
        <v/>
      </c>
      <c r="N365" s="215" t="str">
        <f ca="1">IFERROR(VALUE(SUBSTITUTE(OFFSET(N365,-1,0)," "&amp;$D365,""))*$F365,"")</f>
        <v/>
      </c>
      <c r="O365" s="215" t="str">
        <f ca="1">IFERROR(VALUE(SUBSTITUTE(OFFSET(O365,-1,0)," "&amp;$D365,""))*$F365,"")</f>
        <v/>
      </c>
      <c r="P365" s="209" t="str">
        <f ca="1">IF(LEN(B365)&gt;0,ISNUMBER(MATCH(B365,Proposed[Item],0)),"")</f>
        <v/>
      </c>
    </row>
    <row r="366" spans="1:16" ht="15" x14ac:dyDescent="0.2">
      <c r="A366" s="276">
        <f t="shared" ca="1" si="327"/>
        <v>180</v>
      </c>
      <c r="B366" s="168" t="str">
        <f ca="1">IFERROR(INDEX(INDIRECT(RangeItems),MATCH($A366,INDIRECT(RangeEstCount),0)),"")</f>
        <v/>
      </c>
      <c r="C366" s="365" t="str">
        <f ca="1">IFERROR(INDEX(Calcs[Description],INDEX(INDIRECT(RangeCount),MATCH($A366,INDIRECT(RangeEstCount),0))),"")</f>
        <v/>
      </c>
      <c r="D366" s="365"/>
      <c r="E366" s="365"/>
      <c r="F366" s="365"/>
      <c r="G366" s="365"/>
      <c r="H366" s="375" t="str">
        <f ca="1">IF(AND(Bid?,NOT(Awd?)),C366,OFFSET(F366,1,0))</f>
        <v/>
      </c>
      <c r="I366" s="216" t="str">
        <f t="shared" ref="I366:O366" ca="1" si="366">IFERROR(SUM(OFFSET(INDIRECT(RangeQuantity),MATCH($A366,INDIRECT(RangeEstCount),0)-1,COLUMN(I366)-COLUMN($H366),1,1))&amp;" "&amp;OFFSET($D366,1,0),"")</f>
        <v/>
      </c>
      <c r="J366" s="277" t="str">
        <f t="shared" ca="1" si="366"/>
        <v/>
      </c>
      <c r="K366" s="277" t="str">
        <f t="shared" ca="1" si="366"/>
        <v/>
      </c>
      <c r="L366" s="277" t="str">
        <f t="shared" ca="1" si="366"/>
        <v/>
      </c>
      <c r="M366" s="277" t="str">
        <f t="shared" ca="1" si="366"/>
        <v/>
      </c>
      <c r="N366" s="277" t="str">
        <f t="shared" ca="1" si="366"/>
        <v/>
      </c>
      <c r="O366" s="277" t="str">
        <f t="shared" ca="1" si="366"/>
        <v/>
      </c>
      <c r="P366" s="209" t="str">
        <f ca="1">IF(LEN(B366)&gt;0,ISNUMBER(MATCH(B366,Proposed[Item],0)),"")</f>
        <v/>
      </c>
    </row>
    <row r="367" spans="1:16" ht="15" x14ac:dyDescent="0.2">
      <c r="A367" s="276">
        <f t="shared" ca="1" si="327"/>
        <v>180</v>
      </c>
      <c r="B367" s="111" t="str">
        <f ca="1">IFERROR("Line "&amp;INDEX(Calcs[Line],INDEX(INDIRECT(RangeCount),MATCH($A367,INDIRECT(RangeEstCount),0))),"")</f>
        <v/>
      </c>
      <c r="C367" s="169" t="str">
        <f ca="1">IFERROR(IF(AND($D367="LPSM",Bid?,All?),"ALL",TEXT(OFFSET(INDIRECT(RangeQuantity),MATCH($A367,INDIRECT(RangeEstCount),0)-1,MATCH(Account,Accounts,0)-1,1,1),IF($D367="LPSM","0%","#,##0"&amp;IF(OFFSET(Items[#Data],MATCH($A367,INDIRECT(RangeEstCount),0)-1,MATCH(Decimals,Items[#Headers],0)-1,1,1)&gt;0,"."&amp;REPT("0",OFFSET(Items[#Data],MATCH($A367,INDIRECT(RangeEstCount),0)-1,MATCH(Decimals,Items[#Headers],0)-1,1,1)),"")))),"")</f>
        <v/>
      </c>
      <c r="D367" s="170" t="str">
        <f ca="1">IFERROR(INDEX(INDIRECT(RangeUnit),MATCH($A367,INDIRECT(RangeEstCount),0))&amp;SUBSTITUTE(" ["&amp;INDEX(INDIRECT(RangeAmend),MATCH($A367,INDIRECT(RangeEstCount),0))&amp;"]"," []",""),"")</f>
        <v/>
      </c>
      <c r="E367" s="170" t="str">
        <f ca="1">IFERROR(IF(INDEX(INDIRECT(RangeContrQty),MATCH($A367,INDIRECT(RangeEstCount),0)),"(CQ)",""),"")</f>
        <v/>
      </c>
      <c r="F367" s="171" t="str">
        <f ca="1">IFERROR(IF(OR(NOT(Bid?),LEFT(UPPER($D367),4)="FXHR"),INDEX(INDIRECT(RangeUnitPrice),MATCH($A367,INDIRECT(RangeEstCount),0)),IF(Awd?,OFFSET(TabAmount,MATCH(INDEX(INDIRECT(RangeCount),MATCH($A367,INDIRECT(RangeEstCount),0)),OFFSET(TabCount,1,0,2*NumPayItems,1),0),MATCH(Awarded2,Bidders,0)),IF(OR($C367="",$D367="LPSM"),"","$"))),"")</f>
        <v/>
      </c>
      <c r="G367" s="171" t="str">
        <f ca="1">IFERROR(VALUE(C367)*F367,IF(AND(Bid?,NOT(Awd?),$D367="LPSM"),"$",F367))</f>
        <v/>
      </c>
      <c r="H367" s="374"/>
      <c r="I367" s="217" t="str">
        <f ca="1">IFERROR(VALUE(SUBSTITUTE(OFFSET(I367,-1,0)," "&amp;$D367,""))*$F367,"")</f>
        <v/>
      </c>
      <c r="J367" s="215" t="str">
        <f ca="1">IFERROR(VALUE(SUBSTITUTE(OFFSET(J367,-1,0)," "&amp;$D367,""))*$F367,"")</f>
        <v/>
      </c>
      <c r="K367" s="215" t="str">
        <f t="shared" ref="K367:M367" ca="1" si="367">IFERROR(VALUE(SUBSTITUTE(OFFSET(K367,-1,0)," "&amp;$D367,""))*$F367,"")</f>
        <v/>
      </c>
      <c r="L367" s="215" t="str">
        <f t="shared" ca="1" si="367"/>
        <v/>
      </c>
      <c r="M367" s="215" t="str">
        <f t="shared" ca="1" si="367"/>
        <v/>
      </c>
      <c r="N367" s="215" t="str">
        <f ca="1">IFERROR(VALUE(SUBSTITUTE(OFFSET(N367,-1,0)," "&amp;$D367,""))*$F367,"")</f>
        <v/>
      </c>
      <c r="O367" s="215" t="str">
        <f ca="1">IFERROR(VALUE(SUBSTITUTE(OFFSET(O367,-1,0)," "&amp;$D367,""))*$F367,"")</f>
        <v/>
      </c>
      <c r="P367" s="209" t="str">
        <f ca="1">IF(LEN(B367)&gt;0,ISNUMBER(MATCH(B367,Proposed[Item],0)),"")</f>
        <v/>
      </c>
    </row>
    <row r="368" spans="1:16" ht="15" x14ac:dyDescent="0.2">
      <c r="A368" s="276">
        <f t="shared" ca="1" si="327"/>
        <v>181</v>
      </c>
      <c r="B368" s="168" t="str">
        <f ca="1">IFERROR(INDEX(INDIRECT(RangeItems),MATCH($A368,INDIRECT(RangeEstCount),0)),"")</f>
        <v/>
      </c>
      <c r="C368" s="365" t="str">
        <f ca="1">IFERROR(INDEX(Calcs[Description],INDEX(INDIRECT(RangeCount),MATCH($A368,INDIRECT(RangeEstCount),0))),"")</f>
        <v/>
      </c>
      <c r="D368" s="365"/>
      <c r="E368" s="365"/>
      <c r="F368" s="365"/>
      <c r="G368" s="365"/>
      <c r="H368" s="375" t="str">
        <f ca="1">IF(AND(Bid?,NOT(Awd?)),C368,OFFSET(F368,1,0))</f>
        <v/>
      </c>
      <c r="I368" s="216" t="str">
        <f t="shared" ref="I368:O368" ca="1" si="368">IFERROR(SUM(OFFSET(INDIRECT(RangeQuantity),MATCH($A368,INDIRECT(RangeEstCount),0)-1,COLUMN(I368)-COLUMN($H368),1,1))&amp;" "&amp;OFFSET($D368,1,0),"")</f>
        <v/>
      </c>
      <c r="J368" s="277" t="str">
        <f t="shared" ca="1" si="368"/>
        <v/>
      </c>
      <c r="K368" s="277" t="str">
        <f t="shared" ca="1" si="368"/>
        <v/>
      </c>
      <c r="L368" s="277" t="str">
        <f t="shared" ca="1" si="368"/>
        <v/>
      </c>
      <c r="M368" s="277" t="str">
        <f t="shared" ca="1" si="368"/>
        <v/>
      </c>
      <c r="N368" s="277" t="str">
        <f t="shared" ca="1" si="368"/>
        <v/>
      </c>
      <c r="O368" s="277" t="str">
        <f t="shared" ca="1" si="368"/>
        <v/>
      </c>
      <c r="P368" s="209" t="str">
        <f ca="1">IF(LEN(B368)&gt;0,ISNUMBER(MATCH(B368,Proposed[Item],0)),"")</f>
        <v/>
      </c>
    </row>
    <row r="369" spans="1:16" ht="15" x14ac:dyDescent="0.2">
      <c r="A369" s="276">
        <f t="shared" ca="1" si="327"/>
        <v>181</v>
      </c>
      <c r="B369" s="111" t="str">
        <f ca="1">IFERROR("Line "&amp;INDEX(Calcs[Line],INDEX(INDIRECT(RangeCount),MATCH($A369,INDIRECT(RangeEstCount),0))),"")</f>
        <v/>
      </c>
      <c r="C369" s="169" t="str">
        <f ca="1">IFERROR(IF(AND($D369="LPSM",Bid?,All?),"ALL",TEXT(OFFSET(INDIRECT(RangeQuantity),MATCH($A369,INDIRECT(RangeEstCount),0)-1,MATCH(Account,Accounts,0)-1,1,1),IF($D369="LPSM","0%","#,##0"&amp;IF(OFFSET(Items[#Data],MATCH($A369,INDIRECT(RangeEstCount),0)-1,MATCH(Decimals,Items[#Headers],0)-1,1,1)&gt;0,"."&amp;REPT("0",OFFSET(Items[#Data],MATCH($A369,INDIRECT(RangeEstCount),0)-1,MATCH(Decimals,Items[#Headers],0)-1,1,1)),"")))),"")</f>
        <v/>
      </c>
      <c r="D369" s="170" t="str">
        <f ca="1">IFERROR(INDEX(INDIRECT(RangeUnit),MATCH($A369,INDIRECT(RangeEstCount),0))&amp;SUBSTITUTE(" ["&amp;INDEX(INDIRECT(RangeAmend),MATCH($A369,INDIRECT(RangeEstCount),0))&amp;"]"," []",""),"")</f>
        <v/>
      </c>
      <c r="E369" s="170" t="str">
        <f ca="1">IFERROR(IF(INDEX(INDIRECT(RangeContrQty),MATCH($A369,INDIRECT(RangeEstCount),0)),"(CQ)",""),"")</f>
        <v/>
      </c>
      <c r="F369" s="171" t="str">
        <f ca="1">IFERROR(IF(OR(NOT(Bid?),LEFT(UPPER($D369),4)="FXHR"),INDEX(INDIRECT(RangeUnitPrice),MATCH($A369,INDIRECT(RangeEstCount),0)),IF(Awd?,OFFSET(TabAmount,MATCH(INDEX(INDIRECT(RangeCount),MATCH($A369,INDIRECT(RangeEstCount),0)),OFFSET(TabCount,1,0,2*NumPayItems,1),0),MATCH(Awarded2,Bidders,0)),IF(OR($C369="",$D369="LPSM"),"","$"))),"")</f>
        <v/>
      </c>
      <c r="G369" s="171" t="str">
        <f ca="1">IFERROR(VALUE(C369)*F369,IF(AND(Bid?,NOT(Awd?),$D369="LPSM"),"$",F369))</f>
        <v/>
      </c>
      <c r="H369" s="374"/>
      <c r="I369" s="217" t="str">
        <f ca="1">IFERROR(VALUE(SUBSTITUTE(OFFSET(I369,-1,0)," "&amp;$D369,""))*$F369,"")</f>
        <v/>
      </c>
      <c r="J369" s="215" t="str">
        <f ca="1">IFERROR(VALUE(SUBSTITUTE(OFFSET(J369,-1,0)," "&amp;$D369,""))*$F369,"")</f>
        <v/>
      </c>
      <c r="K369" s="215" t="str">
        <f t="shared" ref="K369:M369" ca="1" si="369">IFERROR(VALUE(SUBSTITUTE(OFFSET(K369,-1,0)," "&amp;$D369,""))*$F369,"")</f>
        <v/>
      </c>
      <c r="L369" s="215" t="str">
        <f t="shared" ca="1" si="369"/>
        <v/>
      </c>
      <c r="M369" s="215" t="str">
        <f t="shared" ca="1" si="369"/>
        <v/>
      </c>
      <c r="N369" s="215" t="str">
        <f ca="1">IFERROR(VALUE(SUBSTITUTE(OFFSET(N369,-1,0)," "&amp;$D369,""))*$F369,"")</f>
        <v/>
      </c>
      <c r="O369" s="215" t="str">
        <f ca="1">IFERROR(VALUE(SUBSTITUTE(OFFSET(O369,-1,0)," "&amp;$D369,""))*$F369,"")</f>
        <v/>
      </c>
      <c r="P369" s="209" t="str">
        <f ca="1">IF(LEN(B369)&gt;0,ISNUMBER(MATCH(B369,Proposed[Item],0)),"")</f>
        <v/>
      </c>
    </row>
    <row r="370" spans="1:16" ht="15" x14ac:dyDescent="0.2">
      <c r="A370" s="276">
        <f t="shared" ca="1" si="327"/>
        <v>182</v>
      </c>
      <c r="B370" s="168" t="str">
        <f ca="1">IFERROR(INDEX(INDIRECT(RangeItems),MATCH($A370,INDIRECT(RangeEstCount),0)),"")</f>
        <v/>
      </c>
      <c r="C370" s="365" t="str">
        <f ca="1">IFERROR(INDEX(Calcs[Description],INDEX(INDIRECT(RangeCount),MATCH($A370,INDIRECT(RangeEstCount),0))),"")</f>
        <v/>
      </c>
      <c r="D370" s="365"/>
      <c r="E370" s="365"/>
      <c r="F370" s="365"/>
      <c r="G370" s="365"/>
      <c r="H370" s="375" t="str">
        <f ca="1">IF(AND(Bid?,NOT(Awd?)),C370,OFFSET(F370,1,0))</f>
        <v/>
      </c>
      <c r="I370" s="216" t="str">
        <f t="shared" ref="I370:O370" ca="1" si="370">IFERROR(SUM(OFFSET(INDIRECT(RangeQuantity),MATCH($A370,INDIRECT(RangeEstCount),0)-1,COLUMN(I370)-COLUMN($H370),1,1))&amp;" "&amp;OFFSET($D370,1,0),"")</f>
        <v/>
      </c>
      <c r="J370" s="277" t="str">
        <f t="shared" ca="1" si="370"/>
        <v/>
      </c>
      <c r="K370" s="277" t="str">
        <f t="shared" ca="1" si="370"/>
        <v/>
      </c>
      <c r="L370" s="277" t="str">
        <f t="shared" ca="1" si="370"/>
        <v/>
      </c>
      <c r="M370" s="277" t="str">
        <f t="shared" ca="1" si="370"/>
        <v/>
      </c>
      <c r="N370" s="277" t="str">
        <f t="shared" ca="1" si="370"/>
        <v/>
      </c>
      <c r="O370" s="277" t="str">
        <f t="shared" ca="1" si="370"/>
        <v/>
      </c>
      <c r="P370" s="209" t="str">
        <f ca="1">IF(LEN(B370)&gt;0,ISNUMBER(MATCH(B370,Proposed[Item],0)),"")</f>
        <v/>
      </c>
    </row>
    <row r="371" spans="1:16" ht="15" x14ac:dyDescent="0.2">
      <c r="A371" s="276">
        <f t="shared" ca="1" si="327"/>
        <v>182</v>
      </c>
      <c r="B371" s="111" t="str">
        <f ca="1">IFERROR("Line "&amp;INDEX(Calcs[Line],INDEX(INDIRECT(RangeCount),MATCH($A371,INDIRECT(RangeEstCount),0))),"")</f>
        <v/>
      </c>
      <c r="C371" s="169" t="str">
        <f ca="1">IFERROR(IF(AND($D371="LPSM",Bid?,All?),"ALL",TEXT(OFFSET(INDIRECT(RangeQuantity),MATCH($A371,INDIRECT(RangeEstCount),0)-1,MATCH(Account,Accounts,0)-1,1,1),IF($D371="LPSM","0%","#,##0"&amp;IF(OFFSET(Items[#Data],MATCH($A371,INDIRECT(RangeEstCount),0)-1,MATCH(Decimals,Items[#Headers],0)-1,1,1)&gt;0,"."&amp;REPT("0",OFFSET(Items[#Data],MATCH($A371,INDIRECT(RangeEstCount),0)-1,MATCH(Decimals,Items[#Headers],0)-1,1,1)),"")))),"")</f>
        <v/>
      </c>
      <c r="D371" s="170" t="str">
        <f ca="1">IFERROR(INDEX(INDIRECT(RangeUnit),MATCH($A371,INDIRECT(RangeEstCount),0))&amp;SUBSTITUTE(" ["&amp;INDEX(INDIRECT(RangeAmend),MATCH($A371,INDIRECT(RangeEstCount),0))&amp;"]"," []",""),"")</f>
        <v/>
      </c>
      <c r="E371" s="170" t="str">
        <f ca="1">IFERROR(IF(INDEX(INDIRECT(RangeContrQty),MATCH($A371,INDIRECT(RangeEstCount),0)),"(CQ)",""),"")</f>
        <v/>
      </c>
      <c r="F371" s="171" t="str">
        <f ca="1">IFERROR(IF(OR(NOT(Bid?),LEFT(UPPER($D371),4)="FXHR"),INDEX(INDIRECT(RangeUnitPrice),MATCH($A371,INDIRECT(RangeEstCount),0)),IF(Awd?,OFFSET(TabAmount,MATCH(INDEX(INDIRECT(RangeCount),MATCH($A371,INDIRECT(RangeEstCount),0)),OFFSET(TabCount,1,0,2*NumPayItems,1),0),MATCH(Awarded2,Bidders,0)),IF(OR($C371="",$D371="LPSM"),"","$"))),"")</f>
        <v/>
      </c>
      <c r="G371" s="171" t="str">
        <f ca="1">IFERROR(VALUE(C371)*F371,IF(AND(Bid?,NOT(Awd?),$D371="LPSM"),"$",F371))</f>
        <v/>
      </c>
      <c r="H371" s="374"/>
      <c r="I371" s="217" t="str">
        <f ca="1">IFERROR(VALUE(SUBSTITUTE(OFFSET(I371,-1,0)," "&amp;$D371,""))*$F371,"")</f>
        <v/>
      </c>
      <c r="J371" s="215" t="str">
        <f ca="1">IFERROR(VALUE(SUBSTITUTE(OFFSET(J371,-1,0)," "&amp;$D371,""))*$F371,"")</f>
        <v/>
      </c>
      <c r="K371" s="215" t="str">
        <f t="shared" ref="K371:M371" ca="1" si="371">IFERROR(VALUE(SUBSTITUTE(OFFSET(K371,-1,0)," "&amp;$D371,""))*$F371,"")</f>
        <v/>
      </c>
      <c r="L371" s="215" t="str">
        <f t="shared" ca="1" si="371"/>
        <v/>
      </c>
      <c r="M371" s="215" t="str">
        <f t="shared" ca="1" si="371"/>
        <v/>
      </c>
      <c r="N371" s="215" t="str">
        <f ca="1">IFERROR(VALUE(SUBSTITUTE(OFFSET(N371,-1,0)," "&amp;$D371,""))*$F371,"")</f>
        <v/>
      </c>
      <c r="O371" s="215" t="str">
        <f ca="1">IFERROR(VALUE(SUBSTITUTE(OFFSET(O371,-1,0)," "&amp;$D371,""))*$F371,"")</f>
        <v/>
      </c>
      <c r="P371" s="209" t="str">
        <f ca="1">IF(LEN(B371)&gt;0,ISNUMBER(MATCH(B371,Proposed[Item],0)),"")</f>
        <v/>
      </c>
    </row>
    <row r="372" spans="1:16" ht="15" x14ac:dyDescent="0.2">
      <c r="A372" s="276">
        <f t="shared" ca="1" si="327"/>
        <v>183</v>
      </c>
      <c r="B372" s="168" t="str">
        <f ca="1">IFERROR(INDEX(INDIRECT(RangeItems),MATCH($A372,INDIRECT(RangeEstCount),0)),"")</f>
        <v/>
      </c>
      <c r="C372" s="365" t="str">
        <f ca="1">IFERROR(INDEX(Calcs[Description],INDEX(INDIRECT(RangeCount),MATCH($A372,INDIRECT(RangeEstCount),0))),"")</f>
        <v/>
      </c>
      <c r="D372" s="365"/>
      <c r="E372" s="365"/>
      <c r="F372" s="365"/>
      <c r="G372" s="365"/>
      <c r="H372" s="375" t="str">
        <f ca="1">IF(AND(Bid?,NOT(Awd?)),C372,OFFSET(F372,1,0))</f>
        <v/>
      </c>
      <c r="I372" s="216" t="str">
        <f t="shared" ref="I372:O372" ca="1" si="372">IFERROR(SUM(OFFSET(INDIRECT(RangeQuantity),MATCH($A372,INDIRECT(RangeEstCount),0)-1,COLUMN(I372)-COLUMN($H372),1,1))&amp;" "&amp;OFFSET($D372,1,0),"")</f>
        <v/>
      </c>
      <c r="J372" s="277" t="str">
        <f t="shared" ca="1" si="372"/>
        <v/>
      </c>
      <c r="K372" s="277" t="str">
        <f t="shared" ca="1" si="372"/>
        <v/>
      </c>
      <c r="L372" s="277" t="str">
        <f t="shared" ca="1" si="372"/>
        <v/>
      </c>
      <c r="M372" s="277" t="str">
        <f t="shared" ca="1" si="372"/>
        <v/>
      </c>
      <c r="N372" s="277" t="str">
        <f t="shared" ca="1" si="372"/>
        <v/>
      </c>
      <c r="O372" s="277" t="str">
        <f t="shared" ca="1" si="372"/>
        <v/>
      </c>
      <c r="P372" s="209" t="str">
        <f ca="1">IF(LEN(B372)&gt;0,ISNUMBER(MATCH(B372,Proposed[Item],0)),"")</f>
        <v/>
      </c>
    </row>
    <row r="373" spans="1:16" ht="15" x14ac:dyDescent="0.2">
      <c r="A373" s="276">
        <f t="shared" ca="1" si="327"/>
        <v>183</v>
      </c>
      <c r="B373" s="111" t="str">
        <f ca="1">IFERROR("Line "&amp;INDEX(Calcs[Line],INDEX(INDIRECT(RangeCount),MATCH($A373,INDIRECT(RangeEstCount),0))),"")</f>
        <v/>
      </c>
      <c r="C373" s="169" t="str">
        <f ca="1">IFERROR(IF(AND($D373="LPSM",Bid?,All?),"ALL",TEXT(OFFSET(INDIRECT(RangeQuantity),MATCH($A373,INDIRECT(RangeEstCount),0)-1,MATCH(Account,Accounts,0)-1,1,1),IF($D373="LPSM","0%","#,##0"&amp;IF(OFFSET(Items[#Data],MATCH($A373,INDIRECT(RangeEstCount),0)-1,MATCH(Decimals,Items[#Headers],0)-1,1,1)&gt;0,"."&amp;REPT("0",OFFSET(Items[#Data],MATCH($A373,INDIRECT(RangeEstCount),0)-1,MATCH(Decimals,Items[#Headers],0)-1,1,1)),"")))),"")</f>
        <v/>
      </c>
      <c r="D373" s="170" t="str">
        <f ca="1">IFERROR(INDEX(INDIRECT(RangeUnit),MATCH($A373,INDIRECT(RangeEstCount),0))&amp;SUBSTITUTE(" ["&amp;INDEX(INDIRECT(RangeAmend),MATCH($A373,INDIRECT(RangeEstCount),0))&amp;"]"," []",""),"")</f>
        <v/>
      </c>
      <c r="E373" s="170" t="str">
        <f ca="1">IFERROR(IF(INDEX(INDIRECT(RangeContrQty),MATCH($A373,INDIRECT(RangeEstCount),0)),"(CQ)",""),"")</f>
        <v/>
      </c>
      <c r="F373" s="171" t="str">
        <f ca="1">IFERROR(IF(OR(NOT(Bid?),LEFT(UPPER($D373),4)="FXHR"),INDEX(INDIRECT(RangeUnitPrice),MATCH($A373,INDIRECT(RangeEstCount),0)),IF(Awd?,OFFSET(TabAmount,MATCH(INDEX(INDIRECT(RangeCount),MATCH($A373,INDIRECT(RangeEstCount),0)),OFFSET(TabCount,1,0,2*NumPayItems,1),0),MATCH(Awarded2,Bidders,0)),IF(OR($C373="",$D373="LPSM"),"","$"))),"")</f>
        <v/>
      </c>
      <c r="G373" s="171" t="str">
        <f ca="1">IFERROR(VALUE(C373)*F373,IF(AND(Bid?,NOT(Awd?),$D373="LPSM"),"$",F373))</f>
        <v/>
      </c>
      <c r="H373" s="374"/>
      <c r="I373" s="217" t="str">
        <f ca="1">IFERROR(VALUE(SUBSTITUTE(OFFSET(I373,-1,0)," "&amp;$D373,""))*$F373,"")</f>
        <v/>
      </c>
      <c r="J373" s="215" t="str">
        <f ca="1">IFERROR(VALUE(SUBSTITUTE(OFFSET(J373,-1,0)," "&amp;$D373,""))*$F373,"")</f>
        <v/>
      </c>
      <c r="K373" s="215" t="str">
        <f t="shared" ref="K373:M373" ca="1" si="373">IFERROR(VALUE(SUBSTITUTE(OFFSET(K373,-1,0)," "&amp;$D373,""))*$F373,"")</f>
        <v/>
      </c>
      <c r="L373" s="215" t="str">
        <f t="shared" ca="1" si="373"/>
        <v/>
      </c>
      <c r="M373" s="215" t="str">
        <f t="shared" ca="1" si="373"/>
        <v/>
      </c>
      <c r="N373" s="215" t="str">
        <f ca="1">IFERROR(VALUE(SUBSTITUTE(OFFSET(N373,-1,0)," "&amp;$D373,""))*$F373,"")</f>
        <v/>
      </c>
      <c r="O373" s="215" t="str">
        <f ca="1">IFERROR(VALUE(SUBSTITUTE(OFFSET(O373,-1,0)," "&amp;$D373,""))*$F373,"")</f>
        <v/>
      </c>
      <c r="P373" s="209" t="str">
        <f ca="1">IF(LEN(B373)&gt;0,ISNUMBER(MATCH(B373,Proposed[Item],0)),"")</f>
        <v/>
      </c>
    </row>
    <row r="374" spans="1:16" ht="15" x14ac:dyDescent="0.2">
      <c r="A374" s="276">
        <f t="shared" ca="1" si="327"/>
        <v>184</v>
      </c>
      <c r="B374" s="168" t="str">
        <f ca="1">IFERROR(INDEX(INDIRECT(RangeItems),MATCH($A374,INDIRECT(RangeEstCount),0)),"")</f>
        <v/>
      </c>
      <c r="C374" s="365" t="str">
        <f ca="1">IFERROR(INDEX(Calcs[Description],INDEX(INDIRECT(RangeCount),MATCH($A374,INDIRECT(RangeEstCount),0))),"")</f>
        <v/>
      </c>
      <c r="D374" s="365"/>
      <c r="E374" s="365"/>
      <c r="F374" s="365"/>
      <c r="G374" s="365"/>
      <c r="H374" s="375" t="str">
        <f ca="1">IF(AND(Bid?,NOT(Awd?)),C374,OFFSET(F374,1,0))</f>
        <v/>
      </c>
      <c r="I374" s="216" t="str">
        <f t="shared" ref="I374:O374" ca="1" si="374">IFERROR(SUM(OFFSET(INDIRECT(RangeQuantity),MATCH($A374,INDIRECT(RangeEstCount),0)-1,COLUMN(I374)-COLUMN($H374),1,1))&amp;" "&amp;OFFSET($D374,1,0),"")</f>
        <v/>
      </c>
      <c r="J374" s="277" t="str">
        <f t="shared" ca="1" si="374"/>
        <v/>
      </c>
      <c r="K374" s="277" t="str">
        <f t="shared" ca="1" si="374"/>
        <v/>
      </c>
      <c r="L374" s="277" t="str">
        <f t="shared" ca="1" si="374"/>
        <v/>
      </c>
      <c r="M374" s="277" t="str">
        <f t="shared" ca="1" si="374"/>
        <v/>
      </c>
      <c r="N374" s="277" t="str">
        <f t="shared" ca="1" si="374"/>
        <v/>
      </c>
      <c r="O374" s="277" t="str">
        <f t="shared" ca="1" si="374"/>
        <v/>
      </c>
      <c r="P374" s="209" t="str">
        <f ca="1">IF(LEN(B374)&gt;0,ISNUMBER(MATCH(B374,Proposed[Item],0)),"")</f>
        <v/>
      </c>
    </row>
    <row r="375" spans="1:16" ht="15" x14ac:dyDescent="0.2">
      <c r="A375" s="276">
        <f t="shared" ca="1" si="327"/>
        <v>184</v>
      </c>
      <c r="B375" s="111" t="str">
        <f ca="1">IFERROR("Line "&amp;INDEX(Calcs[Line],INDEX(INDIRECT(RangeCount),MATCH($A375,INDIRECT(RangeEstCount),0))),"")</f>
        <v/>
      </c>
      <c r="C375" s="169" t="str">
        <f ca="1">IFERROR(IF(AND($D375="LPSM",Bid?,All?),"ALL",TEXT(OFFSET(INDIRECT(RangeQuantity),MATCH($A375,INDIRECT(RangeEstCount),0)-1,MATCH(Account,Accounts,0)-1,1,1),IF($D375="LPSM","0%","#,##0"&amp;IF(OFFSET(Items[#Data],MATCH($A375,INDIRECT(RangeEstCount),0)-1,MATCH(Decimals,Items[#Headers],0)-1,1,1)&gt;0,"."&amp;REPT("0",OFFSET(Items[#Data],MATCH($A375,INDIRECT(RangeEstCount),0)-1,MATCH(Decimals,Items[#Headers],0)-1,1,1)),"")))),"")</f>
        <v/>
      </c>
      <c r="D375" s="170" t="str">
        <f ca="1">IFERROR(INDEX(INDIRECT(RangeUnit),MATCH($A375,INDIRECT(RangeEstCount),0))&amp;SUBSTITUTE(" ["&amp;INDEX(INDIRECT(RangeAmend),MATCH($A375,INDIRECT(RangeEstCount),0))&amp;"]"," []",""),"")</f>
        <v/>
      </c>
      <c r="E375" s="170" t="str">
        <f ca="1">IFERROR(IF(INDEX(INDIRECT(RangeContrQty),MATCH($A375,INDIRECT(RangeEstCount),0)),"(CQ)",""),"")</f>
        <v/>
      </c>
      <c r="F375" s="171" t="str">
        <f ca="1">IFERROR(IF(OR(NOT(Bid?),LEFT(UPPER($D375),4)="FXHR"),INDEX(INDIRECT(RangeUnitPrice),MATCH($A375,INDIRECT(RangeEstCount),0)),IF(Awd?,OFFSET(TabAmount,MATCH(INDEX(INDIRECT(RangeCount),MATCH($A375,INDIRECT(RangeEstCount),0)),OFFSET(TabCount,1,0,2*NumPayItems,1),0),MATCH(Awarded2,Bidders,0)),IF(OR($C375="",$D375="LPSM"),"","$"))),"")</f>
        <v/>
      </c>
      <c r="G375" s="171" t="str">
        <f ca="1">IFERROR(VALUE(C375)*F375,IF(AND(Bid?,NOT(Awd?),$D375="LPSM"),"$",F375))</f>
        <v/>
      </c>
      <c r="H375" s="374"/>
      <c r="I375" s="217" t="str">
        <f ca="1">IFERROR(VALUE(SUBSTITUTE(OFFSET(I375,-1,0)," "&amp;$D375,""))*$F375,"")</f>
        <v/>
      </c>
      <c r="J375" s="215" t="str">
        <f ca="1">IFERROR(VALUE(SUBSTITUTE(OFFSET(J375,-1,0)," "&amp;$D375,""))*$F375,"")</f>
        <v/>
      </c>
      <c r="K375" s="215" t="str">
        <f t="shared" ref="K375:M375" ca="1" si="375">IFERROR(VALUE(SUBSTITUTE(OFFSET(K375,-1,0)," "&amp;$D375,""))*$F375,"")</f>
        <v/>
      </c>
      <c r="L375" s="215" t="str">
        <f t="shared" ca="1" si="375"/>
        <v/>
      </c>
      <c r="M375" s="215" t="str">
        <f t="shared" ca="1" si="375"/>
        <v/>
      </c>
      <c r="N375" s="215" t="str">
        <f ca="1">IFERROR(VALUE(SUBSTITUTE(OFFSET(N375,-1,0)," "&amp;$D375,""))*$F375,"")</f>
        <v/>
      </c>
      <c r="O375" s="215" t="str">
        <f ca="1">IFERROR(VALUE(SUBSTITUTE(OFFSET(O375,-1,0)," "&amp;$D375,""))*$F375,"")</f>
        <v/>
      </c>
      <c r="P375" s="209" t="str">
        <f ca="1">IF(LEN(B375)&gt;0,ISNUMBER(MATCH(B375,Proposed[Item],0)),"")</f>
        <v/>
      </c>
    </row>
    <row r="376" spans="1:16" ht="15" x14ac:dyDescent="0.2">
      <c r="A376" s="276">
        <f t="shared" ca="1" si="327"/>
        <v>185</v>
      </c>
      <c r="B376" s="168" t="str">
        <f ca="1">IFERROR(INDEX(INDIRECT(RangeItems),MATCH($A376,INDIRECT(RangeEstCount),0)),"")</f>
        <v/>
      </c>
      <c r="C376" s="365" t="str">
        <f ca="1">IFERROR(INDEX(Calcs[Description],INDEX(INDIRECT(RangeCount),MATCH($A376,INDIRECT(RangeEstCount),0))),"")</f>
        <v/>
      </c>
      <c r="D376" s="365"/>
      <c r="E376" s="365"/>
      <c r="F376" s="365"/>
      <c r="G376" s="365"/>
      <c r="H376" s="375" t="str">
        <f ca="1">IF(AND(Bid?,NOT(Awd?)),C376,OFFSET(F376,1,0))</f>
        <v/>
      </c>
      <c r="I376" s="216" t="str">
        <f t="shared" ref="I376:O376" ca="1" si="376">IFERROR(SUM(OFFSET(INDIRECT(RangeQuantity),MATCH($A376,INDIRECT(RangeEstCount),0)-1,COLUMN(I376)-COLUMN($H376),1,1))&amp;" "&amp;OFFSET($D376,1,0),"")</f>
        <v/>
      </c>
      <c r="J376" s="277" t="str">
        <f t="shared" ca="1" si="376"/>
        <v/>
      </c>
      <c r="K376" s="277" t="str">
        <f t="shared" ca="1" si="376"/>
        <v/>
      </c>
      <c r="L376" s="277" t="str">
        <f t="shared" ca="1" si="376"/>
        <v/>
      </c>
      <c r="M376" s="277" t="str">
        <f t="shared" ca="1" si="376"/>
        <v/>
      </c>
      <c r="N376" s="277" t="str">
        <f t="shared" ca="1" si="376"/>
        <v/>
      </c>
      <c r="O376" s="277" t="str">
        <f t="shared" ca="1" si="376"/>
        <v/>
      </c>
      <c r="P376" s="209" t="str">
        <f ca="1">IF(LEN(B376)&gt;0,ISNUMBER(MATCH(B376,Proposed[Item],0)),"")</f>
        <v/>
      </c>
    </row>
    <row r="377" spans="1:16" ht="15" x14ac:dyDescent="0.2">
      <c r="A377" s="276">
        <f t="shared" ca="1" si="327"/>
        <v>185</v>
      </c>
      <c r="B377" s="111" t="str">
        <f ca="1">IFERROR("Line "&amp;INDEX(Calcs[Line],INDEX(INDIRECT(RangeCount),MATCH($A377,INDIRECT(RangeEstCount),0))),"")</f>
        <v/>
      </c>
      <c r="C377" s="169" t="str">
        <f ca="1">IFERROR(IF(AND($D377="LPSM",Bid?,All?),"ALL",TEXT(OFFSET(INDIRECT(RangeQuantity),MATCH($A377,INDIRECT(RangeEstCount),0)-1,MATCH(Account,Accounts,0)-1,1,1),IF($D377="LPSM","0%","#,##0"&amp;IF(OFFSET(Items[#Data],MATCH($A377,INDIRECT(RangeEstCount),0)-1,MATCH(Decimals,Items[#Headers],0)-1,1,1)&gt;0,"."&amp;REPT("0",OFFSET(Items[#Data],MATCH($A377,INDIRECT(RangeEstCount),0)-1,MATCH(Decimals,Items[#Headers],0)-1,1,1)),"")))),"")</f>
        <v/>
      </c>
      <c r="D377" s="170" t="str">
        <f ca="1">IFERROR(INDEX(INDIRECT(RangeUnit),MATCH($A377,INDIRECT(RangeEstCount),0))&amp;SUBSTITUTE(" ["&amp;INDEX(INDIRECT(RangeAmend),MATCH($A377,INDIRECT(RangeEstCount),0))&amp;"]"," []",""),"")</f>
        <v/>
      </c>
      <c r="E377" s="170" t="str">
        <f ca="1">IFERROR(IF(INDEX(INDIRECT(RangeContrQty),MATCH($A377,INDIRECT(RangeEstCount),0)),"(CQ)",""),"")</f>
        <v/>
      </c>
      <c r="F377" s="171" t="str">
        <f ca="1">IFERROR(IF(OR(NOT(Bid?),LEFT(UPPER($D377),4)="FXHR"),INDEX(INDIRECT(RangeUnitPrice),MATCH($A377,INDIRECT(RangeEstCount),0)),IF(Awd?,OFFSET(TabAmount,MATCH(INDEX(INDIRECT(RangeCount),MATCH($A377,INDIRECT(RangeEstCount),0)),OFFSET(TabCount,1,0,2*NumPayItems,1),0),MATCH(Awarded2,Bidders,0)),IF(OR($C377="",$D377="LPSM"),"","$"))),"")</f>
        <v/>
      </c>
      <c r="G377" s="171" t="str">
        <f ca="1">IFERROR(VALUE(C377)*F377,IF(AND(Bid?,NOT(Awd?),$D377="LPSM"),"$",F377))</f>
        <v/>
      </c>
      <c r="H377" s="374"/>
      <c r="I377" s="217" t="str">
        <f ca="1">IFERROR(VALUE(SUBSTITUTE(OFFSET(I377,-1,0)," "&amp;$D377,""))*$F377,"")</f>
        <v/>
      </c>
      <c r="J377" s="215" t="str">
        <f ca="1">IFERROR(VALUE(SUBSTITUTE(OFFSET(J377,-1,0)," "&amp;$D377,""))*$F377,"")</f>
        <v/>
      </c>
      <c r="K377" s="215" t="str">
        <f t="shared" ref="K377:M377" ca="1" si="377">IFERROR(VALUE(SUBSTITUTE(OFFSET(K377,-1,0)," "&amp;$D377,""))*$F377,"")</f>
        <v/>
      </c>
      <c r="L377" s="215" t="str">
        <f t="shared" ca="1" si="377"/>
        <v/>
      </c>
      <c r="M377" s="215" t="str">
        <f t="shared" ca="1" si="377"/>
        <v/>
      </c>
      <c r="N377" s="215" t="str">
        <f ca="1">IFERROR(VALUE(SUBSTITUTE(OFFSET(N377,-1,0)," "&amp;$D377,""))*$F377,"")</f>
        <v/>
      </c>
      <c r="O377" s="215" t="str">
        <f ca="1">IFERROR(VALUE(SUBSTITUTE(OFFSET(O377,-1,0)," "&amp;$D377,""))*$F377,"")</f>
        <v/>
      </c>
      <c r="P377" s="209" t="str">
        <f ca="1">IF(LEN(B377)&gt;0,ISNUMBER(MATCH(B377,Proposed[Item],0)),"")</f>
        <v/>
      </c>
    </row>
    <row r="378" spans="1:16" ht="15" x14ac:dyDescent="0.2">
      <c r="A378" s="276">
        <f t="shared" ca="1" si="327"/>
        <v>186</v>
      </c>
      <c r="B378" s="168" t="str">
        <f ca="1">IFERROR(INDEX(INDIRECT(RangeItems),MATCH($A378,INDIRECT(RangeEstCount),0)),"")</f>
        <v/>
      </c>
      <c r="C378" s="365" t="str">
        <f ca="1">IFERROR(INDEX(Calcs[Description],INDEX(INDIRECT(RangeCount),MATCH($A378,INDIRECT(RangeEstCount),0))),"")</f>
        <v/>
      </c>
      <c r="D378" s="365"/>
      <c r="E378" s="365"/>
      <c r="F378" s="365"/>
      <c r="G378" s="365"/>
      <c r="H378" s="375" t="str">
        <f ca="1">IF(AND(Bid?,NOT(Awd?)),C378,OFFSET(F378,1,0))</f>
        <v/>
      </c>
      <c r="I378" s="216" t="str">
        <f t="shared" ref="I378:O378" ca="1" si="378">IFERROR(SUM(OFFSET(INDIRECT(RangeQuantity),MATCH($A378,INDIRECT(RangeEstCount),0)-1,COLUMN(I378)-COLUMN($H378),1,1))&amp;" "&amp;OFFSET($D378,1,0),"")</f>
        <v/>
      </c>
      <c r="J378" s="277" t="str">
        <f t="shared" ca="1" si="378"/>
        <v/>
      </c>
      <c r="K378" s="277" t="str">
        <f t="shared" ca="1" si="378"/>
        <v/>
      </c>
      <c r="L378" s="277" t="str">
        <f t="shared" ca="1" si="378"/>
        <v/>
      </c>
      <c r="M378" s="277" t="str">
        <f t="shared" ca="1" si="378"/>
        <v/>
      </c>
      <c r="N378" s="277" t="str">
        <f t="shared" ca="1" si="378"/>
        <v/>
      </c>
      <c r="O378" s="277" t="str">
        <f t="shared" ca="1" si="378"/>
        <v/>
      </c>
      <c r="P378" s="209" t="str">
        <f ca="1">IF(LEN(B378)&gt;0,ISNUMBER(MATCH(B378,Proposed[Item],0)),"")</f>
        <v/>
      </c>
    </row>
    <row r="379" spans="1:16" ht="15" x14ac:dyDescent="0.2">
      <c r="A379" s="276">
        <f t="shared" ca="1" si="327"/>
        <v>186</v>
      </c>
      <c r="B379" s="111" t="str">
        <f ca="1">IFERROR("Line "&amp;INDEX(Calcs[Line],INDEX(INDIRECT(RangeCount),MATCH($A379,INDIRECT(RangeEstCount),0))),"")</f>
        <v/>
      </c>
      <c r="C379" s="169" t="str">
        <f ca="1">IFERROR(IF(AND($D379="LPSM",Bid?,All?),"ALL",TEXT(OFFSET(INDIRECT(RangeQuantity),MATCH($A379,INDIRECT(RangeEstCount),0)-1,MATCH(Account,Accounts,0)-1,1,1),IF($D379="LPSM","0%","#,##0"&amp;IF(OFFSET(Items[#Data],MATCH($A379,INDIRECT(RangeEstCount),0)-1,MATCH(Decimals,Items[#Headers],0)-1,1,1)&gt;0,"."&amp;REPT("0",OFFSET(Items[#Data],MATCH($A379,INDIRECT(RangeEstCount),0)-1,MATCH(Decimals,Items[#Headers],0)-1,1,1)),"")))),"")</f>
        <v/>
      </c>
      <c r="D379" s="170" t="str">
        <f ca="1">IFERROR(INDEX(INDIRECT(RangeUnit),MATCH($A379,INDIRECT(RangeEstCount),0))&amp;SUBSTITUTE(" ["&amp;INDEX(INDIRECT(RangeAmend),MATCH($A379,INDIRECT(RangeEstCount),0))&amp;"]"," []",""),"")</f>
        <v/>
      </c>
      <c r="E379" s="170" t="str">
        <f ca="1">IFERROR(IF(INDEX(INDIRECT(RangeContrQty),MATCH($A379,INDIRECT(RangeEstCount),0)),"(CQ)",""),"")</f>
        <v/>
      </c>
      <c r="F379" s="171" t="str">
        <f ca="1">IFERROR(IF(OR(NOT(Bid?),LEFT(UPPER($D379),4)="FXHR"),INDEX(INDIRECT(RangeUnitPrice),MATCH($A379,INDIRECT(RangeEstCount),0)),IF(Awd?,OFFSET(TabAmount,MATCH(INDEX(INDIRECT(RangeCount),MATCH($A379,INDIRECT(RangeEstCount),0)),OFFSET(TabCount,1,0,2*NumPayItems,1),0),MATCH(Awarded2,Bidders,0)),IF(OR($C379="",$D379="LPSM"),"","$"))),"")</f>
        <v/>
      </c>
      <c r="G379" s="171" t="str">
        <f ca="1">IFERROR(VALUE(C379)*F379,IF(AND(Bid?,NOT(Awd?),$D379="LPSM"),"$",F379))</f>
        <v/>
      </c>
      <c r="H379" s="374"/>
      <c r="I379" s="217" t="str">
        <f ca="1">IFERROR(VALUE(SUBSTITUTE(OFFSET(I379,-1,0)," "&amp;$D379,""))*$F379,"")</f>
        <v/>
      </c>
      <c r="J379" s="215" t="str">
        <f ca="1">IFERROR(VALUE(SUBSTITUTE(OFFSET(J379,-1,0)," "&amp;$D379,""))*$F379,"")</f>
        <v/>
      </c>
      <c r="K379" s="215" t="str">
        <f t="shared" ref="K379:M379" ca="1" si="379">IFERROR(VALUE(SUBSTITUTE(OFFSET(K379,-1,0)," "&amp;$D379,""))*$F379,"")</f>
        <v/>
      </c>
      <c r="L379" s="215" t="str">
        <f t="shared" ca="1" si="379"/>
        <v/>
      </c>
      <c r="M379" s="215" t="str">
        <f t="shared" ca="1" si="379"/>
        <v/>
      </c>
      <c r="N379" s="215" t="str">
        <f ca="1">IFERROR(VALUE(SUBSTITUTE(OFFSET(N379,-1,0)," "&amp;$D379,""))*$F379,"")</f>
        <v/>
      </c>
      <c r="O379" s="215" t="str">
        <f ca="1">IFERROR(VALUE(SUBSTITUTE(OFFSET(O379,-1,0)," "&amp;$D379,""))*$F379,"")</f>
        <v/>
      </c>
      <c r="P379" s="209" t="str">
        <f ca="1">IF(LEN(B379)&gt;0,ISNUMBER(MATCH(B379,Proposed[Item],0)),"")</f>
        <v/>
      </c>
    </row>
    <row r="380" spans="1:16" ht="15" x14ac:dyDescent="0.2">
      <c r="A380" s="276">
        <f t="shared" ca="1" si="327"/>
        <v>187</v>
      </c>
      <c r="B380" s="168" t="str">
        <f ca="1">IFERROR(INDEX(INDIRECT(RangeItems),MATCH($A380,INDIRECT(RangeEstCount),0)),"")</f>
        <v/>
      </c>
      <c r="C380" s="365" t="str">
        <f ca="1">IFERROR(INDEX(Calcs[Description],INDEX(INDIRECT(RangeCount),MATCH($A380,INDIRECT(RangeEstCount),0))),"")</f>
        <v/>
      </c>
      <c r="D380" s="365"/>
      <c r="E380" s="365"/>
      <c r="F380" s="365"/>
      <c r="G380" s="365"/>
      <c r="H380" s="375" t="str">
        <f ca="1">IF(AND(Bid?,NOT(Awd?)),C380,OFFSET(F380,1,0))</f>
        <v/>
      </c>
      <c r="I380" s="216" t="str">
        <f t="shared" ref="I380:O380" ca="1" si="380">IFERROR(SUM(OFFSET(INDIRECT(RangeQuantity),MATCH($A380,INDIRECT(RangeEstCount),0)-1,COLUMN(I380)-COLUMN($H380),1,1))&amp;" "&amp;OFFSET($D380,1,0),"")</f>
        <v/>
      </c>
      <c r="J380" s="277" t="str">
        <f t="shared" ca="1" si="380"/>
        <v/>
      </c>
      <c r="K380" s="277" t="str">
        <f t="shared" ca="1" si="380"/>
        <v/>
      </c>
      <c r="L380" s="277" t="str">
        <f t="shared" ca="1" si="380"/>
        <v/>
      </c>
      <c r="M380" s="277" t="str">
        <f t="shared" ca="1" si="380"/>
        <v/>
      </c>
      <c r="N380" s="277" t="str">
        <f t="shared" ca="1" si="380"/>
        <v/>
      </c>
      <c r="O380" s="277" t="str">
        <f t="shared" ca="1" si="380"/>
        <v/>
      </c>
      <c r="P380" s="209" t="str">
        <f ca="1">IF(LEN(B380)&gt;0,ISNUMBER(MATCH(B380,Proposed[Item],0)),"")</f>
        <v/>
      </c>
    </row>
    <row r="381" spans="1:16" ht="15" x14ac:dyDescent="0.2">
      <c r="A381" s="276">
        <f t="shared" ca="1" si="327"/>
        <v>187</v>
      </c>
      <c r="B381" s="111" t="str">
        <f ca="1">IFERROR("Line "&amp;INDEX(Calcs[Line],INDEX(INDIRECT(RangeCount),MATCH($A381,INDIRECT(RangeEstCount),0))),"")</f>
        <v/>
      </c>
      <c r="C381" s="169" t="str">
        <f ca="1">IFERROR(IF(AND($D381="LPSM",Bid?,All?),"ALL",TEXT(OFFSET(INDIRECT(RangeQuantity),MATCH($A381,INDIRECT(RangeEstCount),0)-1,MATCH(Account,Accounts,0)-1,1,1),IF($D381="LPSM","0%","#,##0"&amp;IF(OFFSET(Items[#Data],MATCH($A381,INDIRECT(RangeEstCount),0)-1,MATCH(Decimals,Items[#Headers],0)-1,1,1)&gt;0,"."&amp;REPT("0",OFFSET(Items[#Data],MATCH($A381,INDIRECT(RangeEstCount),0)-1,MATCH(Decimals,Items[#Headers],0)-1,1,1)),"")))),"")</f>
        <v/>
      </c>
      <c r="D381" s="170" t="str">
        <f ca="1">IFERROR(INDEX(INDIRECT(RangeUnit),MATCH($A381,INDIRECT(RangeEstCount),0))&amp;SUBSTITUTE(" ["&amp;INDEX(INDIRECT(RangeAmend),MATCH($A381,INDIRECT(RangeEstCount),0))&amp;"]"," []",""),"")</f>
        <v/>
      </c>
      <c r="E381" s="170" t="str">
        <f ca="1">IFERROR(IF(INDEX(INDIRECT(RangeContrQty),MATCH($A381,INDIRECT(RangeEstCount),0)),"(CQ)",""),"")</f>
        <v/>
      </c>
      <c r="F381" s="171" t="str">
        <f ca="1">IFERROR(IF(OR(NOT(Bid?),LEFT(UPPER($D381),4)="FXHR"),INDEX(INDIRECT(RangeUnitPrice),MATCH($A381,INDIRECT(RangeEstCount),0)),IF(Awd?,OFFSET(TabAmount,MATCH(INDEX(INDIRECT(RangeCount),MATCH($A381,INDIRECT(RangeEstCount),0)),OFFSET(TabCount,1,0,2*NumPayItems,1),0),MATCH(Awarded2,Bidders,0)),IF(OR($C381="",$D381="LPSM"),"","$"))),"")</f>
        <v/>
      </c>
      <c r="G381" s="171" t="str">
        <f ca="1">IFERROR(VALUE(C381)*F381,IF(AND(Bid?,NOT(Awd?),$D381="LPSM"),"$",F381))</f>
        <v/>
      </c>
      <c r="H381" s="374"/>
      <c r="I381" s="217" t="str">
        <f ca="1">IFERROR(VALUE(SUBSTITUTE(OFFSET(I381,-1,0)," "&amp;$D381,""))*$F381,"")</f>
        <v/>
      </c>
      <c r="J381" s="215" t="str">
        <f ca="1">IFERROR(VALUE(SUBSTITUTE(OFFSET(J381,-1,0)," "&amp;$D381,""))*$F381,"")</f>
        <v/>
      </c>
      <c r="K381" s="215" t="str">
        <f t="shared" ref="K381:M381" ca="1" si="381">IFERROR(VALUE(SUBSTITUTE(OFFSET(K381,-1,0)," "&amp;$D381,""))*$F381,"")</f>
        <v/>
      </c>
      <c r="L381" s="215" t="str">
        <f t="shared" ca="1" si="381"/>
        <v/>
      </c>
      <c r="M381" s="215" t="str">
        <f t="shared" ca="1" si="381"/>
        <v/>
      </c>
      <c r="N381" s="215" t="str">
        <f ca="1">IFERROR(VALUE(SUBSTITUTE(OFFSET(N381,-1,0)," "&amp;$D381,""))*$F381,"")</f>
        <v/>
      </c>
      <c r="O381" s="215" t="str">
        <f ca="1">IFERROR(VALUE(SUBSTITUTE(OFFSET(O381,-1,0)," "&amp;$D381,""))*$F381,"")</f>
        <v/>
      </c>
      <c r="P381" s="209" t="str">
        <f ca="1">IF(LEN(B381)&gt;0,ISNUMBER(MATCH(B381,Proposed[Item],0)),"")</f>
        <v/>
      </c>
    </row>
    <row r="382" spans="1:16" ht="15" x14ac:dyDescent="0.2">
      <c r="A382" s="276">
        <f t="shared" ca="1" si="327"/>
        <v>188</v>
      </c>
      <c r="B382" s="168" t="str">
        <f ca="1">IFERROR(INDEX(INDIRECT(RangeItems),MATCH($A382,INDIRECT(RangeEstCount),0)),"")</f>
        <v/>
      </c>
      <c r="C382" s="365" t="str">
        <f ca="1">IFERROR(INDEX(Calcs[Description],INDEX(INDIRECT(RangeCount),MATCH($A382,INDIRECT(RangeEstCount),0))),"")</f>
        <v/>
      </c>
      <c r="D382" s="365"/>
      <c r="E382" s="365"/>
      <c r="F382" s="365"/>
      <c r="G382" s="365"/>
      <c r="H382" s="375" t="str">
        <f ca="1">IF(AND(Bid?,NOT(Awd?)),C382,OFFSET(F382,1,0))</f>
        <v/>
      </c>
      <c r="I382" s="216" t="str">
        <f t="shared" ref="I382:O382" ca="1" si="382">IFERROR(SUM(OFFSET(INDIRECT(RangeQuantity),MATCH($A382,INDIRECT(RangeEstCount),0)-1,COLUMN(I382)-COLUMN($H382),1,1))&amp;" "&amp;OFFSET($D382,1,0),"")</f>
        <v/>
      </c>
      <c r="J382" s="277" t="str">
        <f t="shared" ca="1" si="382"/>
        <v/>
      </c>
      <c r="K382" s="277" t="str">
        <f t="shared" ca="1" si="382"/>
        <v/>
      </c>
      <c r="L382" s="277" t="str">
        <f t="shared" ca="1" si="382"/>
        <v/>
      </c>
      <c r="M382" s="277" t="str">
        <f t="shared" ca="1" si="382"/>
        <v/>
      </c>
      <c r="N382" s="277" t="str">
        <f t="shared" ca="1" si="382"/>
        <v/>
      </c>
      <c r="O382" s="277" t="str">
        <f t="shared" ca="1" si="382"/>
        <v/>
      </c>
      <c r="P382" s="209" t="str">
        <f ca="1">IF(LEN(B382)&gt;0,ISNUMBER(MATCH(B382,Proposed[Item],0)),"")</f>
        <v/>
      </c>
    </row>
    <row r="383" spans="1:16" ht="15" x14ac:dyDescent="0.2">
      <c r="A383" s="276">
        <f t="shared" ca="1" si="327"/>
        <v>188</v>
      </c>
      <c r="B383" s="111" t="str">
        <f ca="1">IFERROR("Line "&amp;INDEX(Calcs[Line],INDEX(INDIRECT(RangeCount),MATCH($A383,INDIRECT(RangeEstCount),0))),"")</f>
        <v/>
      </c>
      <c r="C383" s="169" t="str">
        <f ca="1">IFERROR(IF(AND($D383="LPSM",Bid?,All?),"ALL",TEXT(OFFSET(INDIRECT(RangeQuantity),MATCH($A383,INDIRECT(RangeEstCount),0)-1,MATCH(Account,Accounts,0)-1,1,1),IF($D383="LPSM","0%","#,##0"&amp;IF(OFFSET(Items[#Data],MATCH($A383,INDIRECT(RangeEstCount),0)-1,MATCH(Decimals,Items[#Headers],0)-1,1,1)&gt;0,"."&amp;REPT("0",OFFSET(Items[#Data],MATCH($A383,INDIRECT(RangeEstCount),0)-1,MATCH(Decimals,Items[#Headers],0)-1,1,1)),"")))),"")</f>
        <v/>
      </c>
      <c r="D383" s="170" t="str">
        <f ca="1">IFERROR(INDEX(INDIRECT(RangeUnit),MATCH($A383,INDIRECT(RangeEstCount),0))&amp;SUBSTITUTE(" ["&amp;INDEX(INDIRECT(RangeAmend),MATCH($A383,INDIRECT(RangeEstCount),0))&amp;"]"," []",""),"")</f>
        <v/>
      </c>
      <c r="E383" s="170" t="str">
        <f ca="1">IFERROR(IF(INDEX(INDIRECT(RangeContrQty),MATCH($A383,INDIRECT(RangeEstCount),0)),"(CQ)",""),"")</f>
        <v/>
      </c>
      <c r="F383" s="171" t="str">
        <f ca="1">IFERROR(IF(OR(NOT(Bid?),LEFT(UPPER($D383),4)="FXHR"),INDEX(INDIRECT(RangeUnitPrice),MATCH($A383,INDIRECT(RangeEstCount),0)),IF(Awd?,OFFSET(TabAmount,MATCH(INDEX(INDIRECT(RangeCount),MATCH($A383,INDIRECT(RangeEstCount),0)),OFFSET(TabCount,1,0,2*NumPayItems,1),0),MATCH(Awarded2,Bidders,0)),IF(OR($C383="",$D383="LPSM"),"","$"))),"")</f>
        <v/>
      </c>
      <c r="G383" s="171" t="str">
        <f ca="1">IFERROR(VALUE(C383)*F383,IF(AND(Bid?,NOT(Awd?),$D383="LPSM"),"$",F383))</f>
        <v/>
      </c>
      <c r="H383" s="374"/>
      <c r="I383" s="217" t="str">
        <f ca="1">IFERROR(VALUE(SUBSTITUTE(OFFSET(I383,-1,0)," "&amp;$D383,""))*$F383,"")</f>
        <v/>
      </c>
      <c r="J383" s="215" t="str">
        <f ca="1">IFERROR(VALUE(SUBSTITUTE(OFFSET(J383,-1,0)," "&amp;$D383,""))*$F383,"")</f>
        <v/>
      </c>
      <c r="K383" s="215" t="str">
        <f t="shared" ref="K383:M383" ca="1" si="383">IFERROR(VALUE(SUBSTITUTE(OFFSET(K383,-1,0)," "&amp;$D383,""))*$F383,"")</f>
        <v/>
      </c>
      <c r="L383" s="215" t="str">
        <f t="shared" ca="1" si="383"/>
        <v/>
      </c>
      <c r="M383" s="215" t="str">
        <f t="shared" ca="1" si="383"/>
        <v/>
      </c>
      <c r="N383" s="215" t="str">
        <f ca="1">IFERROR(VALUE(SUBSTITUTE(OFFSET(N383,-1,0)," "&amp;$D383,""))*$F383,"")</f>
        <v/>
      </c>
      <c r="O383" s="215" t="str">
        <f ca="1">IFERROR(VALUE(SUBSTITUTE(OFFSET(O383,-1,0)," "&amp;$D383,""))*$F383,"")</f>
        <v/>
      </c>
      <c r="P383" s="209" t="str">
        <f ca="1">IF(LEN(B383)&gt;0,ISNUMBER(MATCH(B383,Proposed[Item],0)),"")</f>
        <v/>
      </c>
    </row>
    <row r="384" spans="1:16" ht="15" x14ac:dyDescent="0.2">
      <c r="A384" s="276">
        <f t="shared" ca="1" si="327"/>
        <v>189</v>
      </c>
      <c r="B384" s="168" t="str">
        <f ca="1">IFERROR(INDEX(INDIRECT(RangeItems),MATCH($A384,INDIRECT(RangeEstCount),0)),"")</f>
        <v/>
      </c>
      <c r="C384" s="365" t="str">
        <f ca="1">IFERROR(INDEX(Calcs[Description],INDEX(INDIRECT(RangeCount),MATCH($A384,INDIRECT(RangeEstCount),0))),"")</f>
        <v/>
      </c>
      <c r="D384" s="365"/>
      <c r="E384" s="365"/>
      <c r="F384" s="365"/>
      <c r="G384" s="365"/>
      <c r="H384" s="375" t="str">
        <f ca="1">IF(AND(Bid?,NOT(Awd?)),C384,OFFSET(F384,1,0))</f>
        <v/>
      </c>
      <c r="I384" s="216" t="str">
        <f t="shared" ref="I384:O384" ca="1" si="384">IFERROR(SUM(OFFSET(INDIRECT(RangeQuantity),MATCH($A384,INDIRECT(RangeEstCount),0)-1,COLUMN(I384)-COLUMN($H384),1,1))&amp;" "&amp;OFFSET($D384,1,0),"")</f>
        <v/>
      </c>
      <c r="J384" s="277" t="str">
        <f t="shared" ca="1" si="384"/>
        <v/>
      </c>
      <c r="K384" s="277" t="str">
        <f t="shared" ca="1" si="384"/>
        <v/>
      </c>
      <c r="L384" s="277" t="str">
        <f t="shared" ca="1" si="384"/>
        <v/>
      </c>
      <c r="M384" s="277" t="str">
        <f t="shared" ca="1" si="384"/>
        <v/>
      </c>
      <c r="N384" s="277" t="str">
        <f t="shared" ca="1" si="384"/>
        <v/>
      </c>
      <c r="O384" s="277" t="str">
        <f t="shared" ca="1" si="384"/>
        <v/>
      </c>
      <c r="P384" s="209" t="str">
        <f ca="1">IF(LEN(B384)&gt;0,ISNUMBER(MATCH(B384,Proposed[Item],0)),"")</f>
        <v/>
      </c>
    </row>
    <row r="385" spans="1:16" ht="15" x14ac:dyDescent="0.2">
      <c r="A385" s="276">
        <f t="shared" ca="1" si="327"/>
        <v>189</v>
      </c>
      <c r="B385" s="111" t="str">
        <f ca="1">IFERROR("Line "&amp;INDEX(Calcs[Line],INDEX(INDIRECT(RangeCount),MATCH($A385,INDIRECT(RangeEstCount),0))),"")</f>
        <v/>
      </c>
      <c r="C385" s="169" t="str">
        <f ca="1">IFERROR(IF(AND($D385="LPSM",Bid?,All?),"ALL",TEXT(OFFSET(INDIRECT(RangeQuantity),MATCH($A385,INDIRECT(RangeEstCount),0)-1,MATCH(Account,Accounts,0)-1,1,1),IF($D385="LPSM","0%","#,##0"&amp;IF(OFFSET(Items[#Data],MATCH($A385,INDIRECT(RangeEstCount),0)-1,MATCH(Decimals,Items[#Headers],0)-1,1,1)&gt;0,"."&amp;REPT("0",OFFSET(Items[#Data],MATCH($A385,INDIRECT(RangeEstCount),0)-1,MATCH(Decimals,Items[#Headers],0)-1,1,1)),"")))),"")</f>
        <v/>
      </c>
      <c r="D385" s="170" t="str">
        <f ca="1">IFERROR(INDEX(INDIRECT(RangeUnit),MATCH($A385,INDIRECT(RangeEstCount),0))&amp;SUBSTITUTE(" ["&amp;INDEX(INDIRECT(RangeAmend),MATCH($A385,INDIRECT(RangeEstCount),0))&amp;"]"," []",""),"")</f>
        <v/>
      </c>
      <c r="E385" s="170" t="str">
        <f ca="1">IFERROR(IF(INDEX(INDIRECT(RangeContrQty),MATCH($A385,INDIRECT(RangeEstCount),0)),"(CQ)",""),"")</f>
        <v/>
      </c>
      <c r="F385" s="171" t="str">
        <f ca="1">IFERROR(IF(OR(NOT(Bid?),LEFT(UPPER($D385),4)="FXHR"),INDEX(INDIRECT(RangeUnitPrice),MATCH($A385,INDIRECT(RangeEstCount),0)),IF(Awd?,OFFSET(TabAmount,MATCH(INDEX(INDIRECT(RangeCount),MATCH($A385,INDIRECT(RangeEstCount),0)),OFFSET(TabCount,1,0,2*NumPayItems,1),0),MATCH(Awarded2,Bidders,0)),IF(OR($C385="",$D385="LPSM"),"","$"))),"")</f>
        <v/>
      </c>
      <c r="G385" s="171" t="str">
        <f ca="1">IFERROR(VALUE(C385)*F385,IF(AND(Bid?,NOT(Awd?),$D385="LPSM"),"$",F385))</f>
        <v/>
      </c>
      <c r="H385" s="374"/>
      <c r="I385" s="217" t="str">
        <f ca="1">IFERROR(VALUE(SUBSTITUTE(OFFSET(I385,-1,0)," "&amp;$D385,""))*$F385,"")</f>
        <v/>
      </c>
      <c r="J385" s="215" t="str">
        <f ca="1">IFERROR(VALUE(SUBSTITUTE(OFFSET(J385,-1,0)," "&amp;$D385,""))*$F385,"")</f>
        <v/>
      </c>
      <c r="K385" s="215" t="str">
        <f t="shared" ref="K385:M385" ca="1" si="385">IFERROR(VALUE(SUBSTITUTE(OFFSET(K385,-1,0)," "&amp;$D385,""))*$F385,"")</f>
        <v/>
      </c>
      <c r="L385" s="215" t="str">
        <f t="shared" ca="1" si="385"/>
        <v/>
      </c>
      <c r="M385" s="215" t="str">
        <f t="shared" ca="1" si="385"/>
        <v/>
      </c>
      <c r="N385" s="215" t="str">
        <f ca="1">IFERROR(VALUE(SUBSTITUTE(OFFSET(N385,-1,0)," "&amp;$D385,""))*$F385,"")</f>
        <v/>
      </c>
      <c r="O385" s="215" t="str">
        <f ca="1">IFERROR(VALUE(SUBSTITUTE(OFFSET(O385,-1,0)," "&amp;$D385,""))*$F385,"")</f>
        <v/>
      </c>
      <c r="P385" s="209" t="str">
        <f ca="1">IF(LEN(B385)&gt;0,ISNUMBER(MATCH(B385,Proposed[Item],0)),"")</f>
        <v/>
      </c>
    </row>
    <row r="386" spans="1:16" ht="15" x14ac:dyDescent="0.2">
      <c r="A386" s="276">
        <f t="shared" ca="1" si="327"/>
        <v>190</v>
      </c>
      <c r="B386" s="168" t="str">
        <f ca="1">IFERROR(INDEX(INDIRECT(RangeItems),MATCH($A386,INDIRECT(RangeEstCount),0)),"")</f>
        <v/>
      </c>
      <c r="C386" s="365" t="str">
        <f ca="1">IFERROR(INDEX(Calcs[Description],INDEX(INDIRECT(RangeCount),MATCH($A386,INDIRECT(RangeEstCount),0))),"")</f>
        <v/>
      </c>
      <c r="D386" s="365"/>
      <c r="E386" s="365"/>
      <c r="F386" s="365"/>
      <c r="G386" s="365"/>
      <c r="H386" s="375" t="str">
        <f ca="1">IF(AND(Bid?,NOT(Awd?)),C386,OFFSET(F386,1,0))</f>
        <v/>
      </c>
      <c r="I386" s="216" t="str">
        <f t="shared" ref="I386:O386" ca="1" si="386">IFERROR(SUM(OFFSET(INDIRECT(RangeQuantity),MATCH($A386,INDIRECT(RangeEstCount),0)-1,COLUMN(I386)-COLUMN($H386),1,1))&amp;" "&amp;OFFSET($D386,1,0),"")</f>
        <v/>
      </c>
      <c r="J386" s="277" t="str">
        <f t="shared" ca="1" si="386"/>
        <v/>
      </c>
      <c r="K386" s="277" t="str">
        <f t="shared" ca="1" si="386"/>
        <v/>
      </c>
      <c r="L386" s="277" t="str">
        <f t="shared" ca="1" si="386"/>
        <v/>
      </c>
      <c r="M386" s="277" t="str">
        <f t="shared" ca="1" si="386"/>
        <v/>
      </c>
      <c r="N386" s="277" t="str">
        <f t="shared" ca="1" si="386"/>
        <v/>
      </c>
      <c r="O386" s="277" t="str">
        <f t="shared" ca="1" si="386"/>
        <v/>
      </c>
      <c r="P386" s="209" t="str">
        <f ca="1">IF(LEN(B386)&gt;0,ISNUMBER(MATCH(B386,Proposed[Item],0)),"")</f>
        <v/>
      </c>
    </row>
    <row r="387" spans="1:16" ht="15" x14ac:dyDescent="0.2">
      <c r="A387" s="276">
        <f t="shared" ca="1" si="327"/>
        <v>190</v>
      </c>
      <c r="B387" s="111" t="str">
        <f ca="1">IFERROR("Line "&amp;INDEX(Calcs[Line],INDEX(INDIRECT(RangeCount),MATCH($A387,INDIRECT(RangeEstCount),0))),"")</f>
        <v/>
      </c>
      <c r="C387" s="169" t="str">
        <f ca="1">IFERROR(IF(AND($D387="LPSM",Bid?,All?),"ALL",TEXT(OFFSET(INDIRECT(RangeQuantity),MATCH($A387,INDIRECT(RangeEstCount),0)-1,MATCH(Account,Accounts,0)-1,1,1),IF($D387="LPSM","0%","#,##0"&amp;IF(OFFSET(Items[#Data],MATCH($A387,INDIRECT(RangeEstCount),0)-1,MATCH(Decimals,Items[#Headers],0)-1,1,1)&gt;0,"."&amp;REPT("0",OFFSET(Items[#Data],MATCH($A387,INDIRECT(RangeEstCount),0)-1,MATCH(Decimals,Items[#Headers],0)-1,1,1)),"")))),"")</f>
        <v/>
      </c>
      <c r="D387" s="170" t="str">
        <f ca="1">IFERROR(INDEX(INDIRECT(RangeUnit),MATCH($A387,INDIRECT(RangeEstCount),0))&amp;SUBSTITUTE(" ["&amp;INDEX(INDIRECT(RangeAmend),MATCH($A387,INDIRECT(RangeEstCount),0))&amp;"]"," []",""),"")</f>
        <v/>
      </c>
      <c r="E387" s="170" t="str">
        <f ca="1">IFERROR(IF(INDEX(INDIRECT(RangeContrQty),MATCH($A387,INDIRECT(RangeEstCount),0)),"(CQ)",""),"")</f>
        <v/>
      </c>
      <c r="F387" s="171" t="str">
        <f ca="1">IFERROR(IF(OR(NOT(Bid?),LEFT(UPPER($D387),4)="FXHR"),INDEX(INDIRECT(RangeUnitPrice),MATCH($A387,INDIRECT(RangeEstCount),0)),IF(Awd?,OFFSET(TabAmount,MATCH(INDEX(INDIRECT(RangeCount),MATCH($A387,INDIRECT(RangeEstCount),0)),OFFSET(TabCount,1,0,2*NumPayItems,1),0),MATCH(Awarded2,Bidders,0)),IF(OR($C387="",$D387="LPSM"),"","$"))),"")</f>
        <v/>
      </c>
      <c r="G387" s="171" t="str">
        <f ca="1">IFERROR(VALUE(C387)*F387,IF(AND(Bid?,NOT(Awd?),$D387="LPSM"),"$",F387))</f>
        <v/>
      </c>
      <c r="H387" s="374"/>
      <c r="I387" s="217" t="str">
        <f ca="1">IFERROR(VALUE(SUBSTITUTE(OFFSET(I387,-1,0)," "&amp;$D387,""))*$F387,"")</f>
        <v/>
      </c>
      <c r="J387" s="215" t="str">
        <f ca="1">IFERROR(VALUE(SUBSTITUTE(OFFSET(J387,-1,0)," "&amp;$D387,""))*$F387,"")</f>
        <v/>
      </c>
      <c r="K387" s="215" t="str">
        <f t="shared" ref="K387:M387" ca="1" si="387">IFERROR(VALUE(SUBSTITUTE(OFFSET(K387,-1,0)," "&amp;$D387,""))*$F387,"")</f>
        <v/>
      </c>
      <c r="L387" s="215" t="str">
        <f t="shared" ca="1" si="387"/>
        <v/>
      </c>
      <c r="M387" s="215" t="str">
        <f t="shared" ca="1" si="387"/>
        <v/>
      </c>
      <c r="N387" s="215" t="str">
        <f ca="1">IFERROR(VALUE(SUBSTITUTE(OFFSET(N387,-1,0)," "&amp;$D387,""))*$F387,"")</f>
        <v/>
      </c>
      <c r="O387" s="215" t="str">
        <f ca="1">IFERROR(VALUE(SUBSTITUTE(OFFSET(O387,-1,0)," "&amp;$D387,""))*$F387,"")</f>
        <v/>
      </c>
      <c r="P387" s="209" t="str">
        <f ca="1">IF(LEN(B387)&gt;0,ISNUMBER(MATCH(B387,Proposed[Item],0)),"")</f>
        <v/>
      </c>
    </row>
    <row r="388" spans="1:16" ht="15" x14ac:dyDescent="0.2">
      <c r="A388" s="276">
        <f t="shared" ca="1" si="327"/>
        <v>191</v>
      </c>
      <c r="B388" s="168" t="str">
        <f ca="1">IFERROR(INDEX(INDIRECT(RangeItems),MATCH($A388,INDIRECT(RangeEstCount),0)),"")</f>
        <v/>
      </c>
      <c r="C388" s="365" t="str">
        <f ca="1">IFERROR(INDEX(Calcs[Description],INDEX(INDIRECT(RangeCount),MATCH($A388,INDIRECT(RangeEstCount),0))),"")</f>
        <v/>
      </c>
      <c r="D388" s="365"/>
      <c r="E388" s="365"/>
      <c r="F388" s="365"/>
      <c r="G388" s="365"/>
      <c r="H388" s="375" t="str">
        <f ca="1">IF(AND(Bid?,NOT(Awd?)),C388,OFFSET(F388,1,0))</f>
        <v/>
      </c>
      <c r="I388" s="216" t="str">
        <f t="shared" ref="I388:O388" ca="1" si="388">IFERROR(SUM(OFFSET(INDIRECT(RangeQuantity),MATCH($A388,INDIRECT(RangeEstCount),0)-1,COLUMN(I388)-COLUMN($H388),1,1))&amp;" "&amp;OFFSET($D388,1,0),"")</f>
        <v/>
      </c>
      <c r="J388" s="277" t="str">
        <f t="shared" ca="1" si="388"/>
        <v/>
      </c>
      <c r="K388" s="277" t="str">
        <f t="shared" ca="1" si="388"/>
        <v/>
      </c>
      <c r="L388" s="277" t="str">
        <f t="shared" ca="1" si="388"/>
        <v/>
      </c>
      <c r="M388" s="277" t="str">
        <f t="shared" ca="1" si="388"/>
        <v/>
      </c>
      <c r="N388" s="277" t="str">
        <f t="shared" ca="1" si="388"/>
        <v/>
      </c>
      <c r="O388" s="277" t="str">
        <f t="shared" ca="1" si="388"/>
        <v/>
      </c>
      <c r="P388" s="209" t="str">
        <f ca="1">IF(LEN(B388)&gt;0,ISNUMBER(MATCH(B388,Proposed[Item],0)),"")</f>
        <v/>
      </c>
    </row>
    <row r="389" spans="1:16" ht="15" x14ac:dyDescent="0.2">
      <c r="A389" s="276">
        <f t="shared" ca="1" si="327"/>
        <v>191</v>
      </c>
      <c r="B389" s="111" t="str">
        <f ca="1">IFERROR("Line "&amp;INDEX(Calcs[Line],INDEX(INDIRECT(RangeCount),MATCH($A389,INDIRECT(RangeEstCount),0))),"")</f>
        <v/>
      </c>
      <c r="C389" s="169" t="str">
        <f ca="1">IFERROR(IF(AND($D389="LPSM",Bid?,All?),"ALL",TEXT(OFFSET(INDIRECT(RangeQuantity),MATCH($A389,INDIRECT(RangeEstCount),0)-1,MATCH(Account,Accounts,0)-1,1,1),IF($D389="LPSM","0%","#,##0"&amp;IF(OFFSET(Items[#Data],MATCH($A389,INDIRECT(RangeEstCount),0)-1,MATCH(Decimals,Items[#Headers],0)-1,1,1)&gt;0,"."&amp;REPT("0",OFFSET(Items[#Data],MATCH($A389,INDIRECT(RangeEstCount),0)-1,MATCH(Decimals,Items[#Headers],0)-1,1,1)),"")))),"")</f>
        <v/>
      </c>
      <c r="D389" s="170" t="str">
        <f ca="1">IFERROR(INDEX(INDIRECT(RangeUnit),MATCH($A389,INDIRECT(RangeEstCount),0))&amp;SUBSTITUTE(" ["&amp;INDEX(INDIRECT(RangeAmend),MATCH($A389,INDIRECT(RangeEstCount),0))&amp;"]"," []",""),"")</f>
        <v/>
      </c>
      <c r="E389" s="170" t="str">
        <f ca="1">IFERROR(IF(INDEX(INDIRECT(RangeContrQty),MATCH($A389,INDIRECT(RangeEstCount),0)),"(CQ)",""),"")</f>
        <v/>
      </c>
      <c r="F389" s="171" t="str">
        <f ca="1">IFERROR(IF(OR(NOT(Bid?),LEFT(UPPER($D389),4)="FXHR"),INDEX(INDIRECT(RangeUnitPrice),MATCH($A389,INDIRECT(RangeEstCount),0)),IF(Awd?,OFFSET(TabAmount,MATCH(INDEX(INDIRECT(RangeCount),MATCH($A389,INDIRECT(RangeEstCount),0)),OFFSET(TabCount,1,0,2*NumPayItems,1),0),MATCH(Awarded2,Bidders,0)),IF(OR($C389="",$D389="LPSM"),"","$"))),"")</f>
        <v/>
      </c>
      <c r="G389" s="171" t="str">
        <f ca="1">IFERROR(VALUE(C389)*F389,IF(AND(Bid?,NOT(Awd?),$D389="LPSM"),"$",F389))</f>
        <v/>
      </c>
      <c r="H389" s="374"/>
      <c r="I389" s="217" t="str">
        <f ca="1">IFERROR(VALUE(SUBSTITUTE(OFFSET(I389,-1,0)," "&amp;$D389,""))*$F389,"")</f>
        <v/>
      </c>
      <c r="J389" s="215" t="str">
        <f ca="1">IFERROR(VALUE(SUBSTITUTE(OFFSET(J389,-1,0)," "&amp;$D389,""))*$F389,"")</f>
        <v/>
      </c>
      <c r="K389" s="215" t="str">
        <f t="shared" ref="K389:M389" ca="1" si="389">IFERROR(VALUE(SUBSTITUTE(OFFSET(K389,-1,0)," "&amp;$D389,""))*$F389,"")</f>
        <v/>
      </c>
      <c r="L389" s="215" t="str">
        <f t="shared" ca="1" si="389"/>
        <v/>
      </c>
      <c r="M389" s="215" t="str">
        <f t="shared" ca="1" si="389"/>
        <v/>
      </c>
      <c r="N389" s="215" t="str">
        <f ca="1">IFERROR(VALUE(SUBSTITUTE(OFFSET(N389,-1,0)," "&amp;$D389,""))*$F389,"")</f>
        <v/>
      </c>
      <c r="O389" s="215" t="str">
        <f ca="1">IFERROR(VALUE(SUBSTITUTE(OFFSET(O389,-1,0)," "&amp;$D389,""))*$F389,"")</f>
        <v/>
      </c>
      <c r="P389" s="209" t="str">
        <f ca="1">IF(LEN(B389)&gt;0,ISNUMBER(MATCH(B389,Proposed[Item],0)),"")</f>
        <v/>
      </c>
    </row>
    <row r="390" spans="1:16" ht="15" x14ac:dyDescent="0.2">
      <c r="A390" s="276">
        <f t="shared" ca="1" si="327"/>
        <v>192</v>
      </c>
      <c r="B390" s="168" t="str">
        <f ca="1">IFERROR(INDEX(INDIRECT(RangeItems),MATCH($A390,INDIRECT(RangeEstCount),0)),"")</f>
        <v/>
      </c>
      <c r="C390" s="365" t="str">
        <f ca="1">IFERROR(INDEX(Calcs[Description],INDEX(INDIRECT(RangeCount),MATCH($A390,INDIRECT(RangeEstCount),0))),"")</f>
        <v/>
      </c>
      <c r="D390" s="365"/>
      <c r="E390" s="365"/>
      <c r="F390" s="365"/>
      <c r="G390" s="365"/>
      <c r="H390" s="375" t="str">
        <f ca="1">IF(AND(Bid?,NOT(Awd?)),C390,OFFSET(F390,1,0))</f>
        <v/>
      </c>
      <c r="I390" s="216" t="str">
        <f t="shared" ref="I390:O390" ca="1" si="390">IFERROR(SUM(OFFSET(INDIRECT(RangeQuantity),MATCH($A390,INDIRECT(RangeEstCount),0)-1,COLUMN(I390)-COLUMN($H390),1,1))&amp;" "&amp;OFFSET($D390,1,0),"")</f>
        <v/>
      </c>
      <c r="J390" s="277" t="str">
        <f t="shared" ca="1" si="390"/>
        <v/>
      </c>
      <c r="K390" s="277" t="str">
        <f t="shared" ca="1" si="390"/>
        <v/>
      </c>
      <c r="L390" s="277" t="str">
        <f t="shared" ca="1" si="390"/>
        <v/>
      </c>
      <c r="M390" s="277" t="str">
        <f t="shared" ca="1" si="390"/>
        <v/>
      </c>
      <c r="N390" s="277" t="str">
        <f t="shared" ca="1" si="390"/>
        <v/>
      </c>
      <c r="O390" s="277" t="str">
        <f t="shared" ca="1" si="390"/>
        <v/>
      </c>
      <c r="P390" s="209" t="str">
        <f ca="1">IF(LEN(B390)&gt;0,ISNUMBER(MATCH(B390,Proposed[Item],0)),"")</f>
        <v/>
      </c>
    </row>
    <row r="391" spans="1:16" ht="15" x14ac:dyDescent="0.2">
      <c r="A391" s="276">
        <f t="shared" ca="1" si="327"/>
        <v>192</v>
      </c>
      <c r="B391" s="111" t="str">
        <f ca="1">IFERROR("Line "&amp;INDEX(Calcs[Line],INDEX(INDIRECT(RangeCount),MATCH($A391,INDIRECT(RangeEstCount),0))),"")</f>
        <v/>
      </c>
      <c r="C391" s="169" t="str">
        <f ca="1">IFERROR(IF(AND($D391="LPSM",Bid?,All?),"ALL",TEXT(OFFSET(INDIRECT(RangeQuantity),MATCH($A391,INDIRECT(RangeEstCount),0)-1,MATCH(Account,Accounts,0)-1,1,1),IF($D391="LPSM","0%","#,##0"&amp;IF(OFFSET(Items[#Data],MATCH($A391,INDIRECT(RangeEstCount),0)-1,MATCH(Decimals,Items[#Headers],0)-1,1,1)&gt;0,"."&amp;REPT("0",OFFSET(Items[#Data],MATCH($A391,INDIRECT(RangeEstCount),0)-1,MATCH(Decimals,Items[#Headers],0)-1,1,1)),"")))),"")</f>
        <v/>
      </c>
      <c r="D391" s="170" t="str">
        <f ca="1">IFERROR(INDEX(INDIRECT(RangeUnit),MATCH($A391,INDIRECT(RangeEstCount),0))&amp;SUBSTITUTE(" ["&amp;INDEX(INDIRECT(RangeAmend),MATCH($A391,INDIRECT(RangeEstCount),0))&amp;"]"," []",""),"")</f>
        <v/>
      </c>
      <c r="E391" s="170" t="str">
        <f ca="1">IFERROR(IF(INDEX(INDIRECT(RangeContrQty),MATCH($A391,INDIRECT(RangeEstCount),0)),"(CQ)",""),"")</f>
        <v/>
      </c>
      <c r="F391" s="171" t="str">
        <f ca="1">IFERROR(IF(OR(NOT(Bid?),LEFT(UPPER($D391),4)="FXHR"),INDEX(INDIRECT(RangeUnitPrice),MATCH($A391,INDIRECT(RangeEstCount),0)),IF(Awd?,OFFSET(TabAmount,MATCH(INDEX(INDIRECT(RangeCount),MATCH($A391,INDIRECT(RangeEstCount),0)),OFFSET(TabCount,1,0,2*NumPayItems,1),0),MATCH(Awarded2,Bidders,0)),IF(OR($C391="",$D391="LPSM"),"","$"))),"")</f>
        <v/>
      </c>
      <c r="G391" s="171" t="str">
        <f ca="1">IFERROR(VALUE(C391)*F391,IF(AND(Bid?,NOT(Awd?),$D391="LPSM"),"$",F391))</f>
        <v/>
      </c>
      <c r="H391" s="374"/>
      <c r="I391" s="217" t="str">
        <f ca="1">IFERROR(VALUE(SUBSTITUTE(OFFSET(I391,-1,0)," "&amp;$D391,""))*$F391,"")</f>
        <v/>
      </c>
      <c r="J391" s="215" t="str">
        <f ca="1">IFERROR(VALUE(SUBSTITUTE(OFFSET(J391,-1,0)," "&amp;$D391,""))*$F391,"")</f>
        <v/>
      </c>
      <c r="K391" s="215" t="str">
        <f t="shared" ref="K391:M391" ca="1" si="391">IFERROR(VALUE(SUBSTITUTE(OFFSET(K391,-1,0)," "&amp;$D391,""))*$F391,"")</f>
        <v/>
      </c>
      <c r="L391" s="215" t="str">
        <f t="shared" ca="1" si="391"/>
        <v/>
      </c>
      <c r="M391" s="215" t="str">
        <f t="shared" ca="1" si="391"/>
        <v/>
      </c>
      <c r="N391" s="215" t="str">
        <f ca="1">IFERROR(VALUE(SUBSTITUTE(OFFSET(N391,-1,0)," "&amp;$D391,""))*$F391,"")</f>
        <v/>
      </c>
      <c r="O391" s="215" t="str">
        <f ca="1">IFERROR(VALUE(SUBSTITUTE(OFFSET(O391,-1,0)," "&amp;$D391,""))*$F391,"")</f>
        <v/>
      </c>
      <c r="P391" s="209" t="str">
        <f ca="1">IF(LEN(B391)&gt;0,ISNUMBER(MATCH(B391,Proposed[Item],0)),"")</f>
        <v/>
      </c>
    </row>
    <row r="392" spans="1:16" ht="15" x14ac:dyDescent="0.2">
      <c r="A392" s="276">
        <f t="shared" ref="A392:A455" ca="1" si="392">OFFSET(A392,-2,0)+1</f>
        <v>193</v>
      </c>
      <c r="B392" s="168" t="str">
        <f ca="1">IFERROR(INDEX(INDIRECT(RangeItems),MATCH($A392,INDIRECT(RangeEstCount),0)),"")</f>
        <v/>
      </c>
      <c r="C392" s="365" t="str">
        <f ca="1">IFERROR(INDEX(Calcs[Description],INDEX(INDIRECT(RangeCount),MATCH($A392,INDIRECT(RangeEstCount),0))),"")</f>
        <v/>
      </c>
      <c r="D392" s="365"/>
      <c r="E392" s="365"/>
      <c r="F392" s="365"/>
      <c r="G392" s="365"/>
      <c r="H392" s="375" t="str">
        <f ca="1">IF(AND(Bid?,NOT(Awd?)),C392,OFFSET(F392,1,0))</f>
        <v/>
      </c>
      <c r="I392" s="216" t="str">
        <f t="shared" ref="I392:O392" ca="1" si="393">IFERROR(SUM(OFFSET(INDIRECT(RangeQuantity),MATCH($A392,INDIRECT(RangeEstCount),0)-1,COLUMN(I392)-COLUMN($H392),1,1))&amp;" "&amp;OFFSET($D392,1,0),"")</f>
        <v/>
      </c>
      <c r="J392" s="277" t="str">
        <f t="shared" ca="1" si="393"/>
        <v/>
      </c>
      <c r="K392" s="277" t="str">
        <f t="shared" ca="1" si="393"/>
        <v/>
      </c>
      <c r="L392" s="277" t="str">
        <f t="shared" ca="1" si="393"/>
        <v/>
      </c>
      <c r="M392" s="277" t="str">
        <f t="shared" ca="1" si="393"/>
        <v/>
      </c>
      <c r="N392" s="277" t="str">
        <f t="shared" ca="1" si="393"/>
        <v/>
      </c>
      <c r="O392" s="277" t="str">
        <f t="shared" ca="1" si="393"/>
        <v/>
      </c>
      <c r="P392" s="209" t="str">
        <f ca="1">IF(LEN(B392)&gt;0,ISNUMBER(MATCH(B392,Proposed[Item],0)),"")</f>
        <v/>
      </c>
    </row>
    <row r="393" spans="1:16" ht="15" x14ac:dyDescent="0.2">
      <c r="A393" s="276">
        <f t="shared" ca="1" si="392"/>
        <v>193</v>
      </c>
      <c r="B393" s="111" t="str">
        <f ca="1">IFERROR("Line "&amp;INDEX(Calcs[Line],INDEX(INDIRECT(RangeCount),MATCH($A393,INDIRECT(RangeEstCount),0))),"")</f>
        <v/>
      </c>
      <c r="C393" s="169" t="str">
        <f ca="1">IFERROR(IF(AND($D393="LPSM",Bid?,All?),"ALL",TEXT(OFFSET(INDIRECT(RangeQuantity),MATCH($A393,INDIRECT(RangeEstCount),0)-1,MATCH(Account,Accounts,0)-1,1,1),IF($D393="LPSM","0%","#,##0"&amp;IF(OFFSET(Items[#Data],MATCH($A393,INDIRECT(RangeEstCount),0)-1,MATCH(Decimals,Items[#Headers],0)-1,1,1)&gt;0,"."&amp;REPT("0",OFFSET(Items[#Data],MATCH($A393,INDIRECT(RangeEstCount),0)-1,MATCH(Decimals,Items[#Headers],0)-1,1,1)),"")))),"")</f>
        <v/>
      </c>
      <c r="D393" s="170" t="str">
        <f ca="1">IFERROR(INDEX(INDIRECT(RangeUnit),MATCH($A393,INDIRECT(RangeEstCount),0))&amp;SUBSTITUTE(" ["&amp;INDEX(INDIRECT(RangeAmend),MATCH($A393,INDIRECT(RangeEstCount),0))&amp;"]"," []",""),"")</f>
        <v/>
      </c>
      <c r="E393" s="170" t="str">
        <f ca="1">IFERROR(IF(INDEX(INDIRECT(RangeContrQty),MATCH($A393,INDIRECT(RangeEstCount),0)),"(CQ)",""),"")</f>
        <v/>
      </c>
      <c r="F393" s="171" t="str">
        <f ca="1">IFERROR(IF(OR(NOT(Bid?),LEFT(UPPER($D393),4)="FXHR"),INDEX(INDIRECT(RangeUnitPrice),MATCH($A393,INDIRECT(RangeEstCount),0)),IF(Awd?,OFFSET(TabAmount,MATCH(INDEX(INDIRECT(RangeCount),MATCH($A393,INDIRECT(RangeEstCount),0)),OFFSET(TabCount,1,0,2*NumPayItems,1),0),MATCH(Awarded2,Bidders,0)),IF(OR($C393="",$D393="LPSM"),"","$"))),"")</f>
        <v/>
      </c>
      <c r="G393" s="171" t="str">
        <f ca="1">IFERROR(VALUE(C393)*F393,IF(AND(Bid?,NOT(Awd?),$D393="LPSM"),"$",F393))</f>
        <v/>
      </c>
      <c r="H393" s="374"/>
      <c r="I393" s="217" t="str">
        <f ca="1">IFERROR(VALUE(SUBSTITUTE(OFFSET(I393,-1,0)," "&amp;$D393,""))*$F393,"")</f>
        <v/>
      </c>
      <c r="J393" s="215" t="str">
        <f ca="1">IFERROR(VALUE(SUBSTITUTE(OFFSET(J393,-1,0)," "&amp;$D393,""))*$F393,"")</f>
        <v/>
      </c>
      <c r="K393" s="215" t="str">
        <f t="shared" ref="K393:M393" ca="1" si="394">IFERROR(VALUE(SUBSTITUTE(OFFSET(K393,-1,0)," "&amp;$D393,""))*$F393,"")</f>
        <v/>
      </c>
      <c r="L393" s="215" t="str">
        <f t="shared" ca="1" si="394"/>
        <v/>
      </c>
      <c r="M393" s="215" t="str">
        <f t="shared" ca="1" si="394"/>
        <v/>
      </c>
      <c r="N393" s="215" t="str">
        <f ca="1">IFERROR(VALUE(SUBSTITUTE(OFFSET(N393,-1,0)," "&amp;$D393,""))*$F393,"")</f>
        <v/>
      </c>
      <c r="O393" s="215" t="str">
        <f ca="1">IFERROR(VALUE(SUBSTITUTE(OFFSET(O393,-1,0)," "&amp;$D393,""))*$F393,"")</f>
        <v/>
      </c>
      <c r="P393" s="209" t="str">
        <f ca="1">IF(LEN(B393)&gt;0,ISNUMBER(MATCH(B393,Proposed[Item],0)),"")</f>
        <v/>
      </c>
    </row>
    <row r="394" spans="1:16" ht="15" x14ac:dyDescent="0.2">
      <c r="A394" s="276">
        <f t="shared" ca="1" si="392"/>
        <v>194</v>
      </c>
      <c r="B394" s="168" t="str">
        <f ca="1">IFERROR(INDEX(INDIRECT(RangeItems),MATCH($A394,INDIRECT(RangeEstCount),0)),"")</f>
        <v/>
      </c>
      <c r="C394" s="365" t="str">
        <f ca="1">IFERROR(INDEX(Calcs[Description],INDEX(INDIRECT(RangeCount),MATCH($A394,INDIRECT(RangeEstCount),0))),"")</f>
        <v/>
      </c>
      <c r="D394" s="365"/>
      <c r="E394" s="365"/>
      <c r="F394" s="365"/>
      <c r="G394" s="365"/>
      <c r="H394" s="375" t="str">
        <f ca="1">IF(AND(Bid?,NOT(Awd?)),C394,OFFSET(F394,1,0))</f>
        <v/>
      </c>
      <c r="I394" s="216" t="str">
        <f t="shared" ref="I394:O394" ca="1" si="395">IFERROR(SUM(OFFSET(INDIRECT(RangeQuantity),MATCH($A394,INDIRECT(RangeEstCount),0)-1,COLUMN(I394)-COLUMN($H394),1,1))&amp;" "&amp;OFFSET($D394,1,0),"")</f>
        <v/>
      </c>
      <c r="J394" s="277" t="str">
        <f t="shared" ca="1" si="395"/>
        <v/>
      </c>
      <c r="K394" s="277" t="str">
        <f t="shared" ca="1" si="395"/>
        <v/>
      </c>
      <c r="L394" s="277" t="str">
        <f t="shared" ca="1" si="395"/>
        <v/>
      </c>
      <c r="M394" s="277" t="str">
        <f t="shared" ca="1" si="395"/>
        <v/>
      </c>
      <c r="N394" s="277" t="str">
        <f t="shared" ca="1" si="395"/>
        <v/>
      </c>
      <c r="O394" s="277" t="str">
        <f t="shared" ca="1" si="395"/>
        <v/>
      </c>
      <c r="P394" s="209" t="str">
        <f ca="1">IF(LEN(B394)&gt;0,ISNUMBER(MATCH(B394,Proposed[Item],0)),"")</f>
        <v/>
      </c>
    </row>
    <row r="395" spans="1:16" ht="15" x14ac:dyDescent="0.2">
      <c r="A395" s="276">
        <f t="shared" ca="1" si="392"/>
        <v>194</v>
      </c>
      <c r="B395" s="111" t="str">
        <f ca="1">IFERROR("Line "&amp;INDEX(Calcs[Line],INDEX(INDIRECT(RangeCount),MATCH($A395,INDIRECT(RangeEstCount),0))),"")</f>
        <v/>
      </c>
      <c r="C395" s="169" t="str">
        <f ca="1">IFERROR(IF(AND($D395="LPSM",Bid?,All?),"ALL",TEXT(OFFSET(INDIRECT(RangeQuantity),MATCH($A395,INDIRECT(RangeEstCount),0)-1,MATCH(Account,Accounts,0)-1,1,1),IF($D395="LPSM","0%","#,##0"&amp;IF(OFFSET(Items[#Data],MATCH($A395,INDIRECT(RangeEstCount),0)-1,MATCH(Decimals,Items[#Headers],0)-1,1,1)&gt;0,"."&amp;REPT("0",OFFSET(Items[#Data],MATCH($A395,INDIRECT(RangeEstCount),0)-1,MATCH(Decimals,Items[#Headers],0)-1,1,1)),"")))),"")</f>
        <v/>
      </c>
      <c r="D395" s="170" t="str">
        <f ca="1">IFERROR(INDEX(INDIRECT(RangeUnit),MATCH($A395,INDIRECT(RangeEstCount),0))&amp;SUBSTITUTE(" ["&amp;INDEX(INDIRECT(RangeAmend),MATCH($A395,INDIRECT(RangeEstCount),0))&amp;"]"," []",""),"")</f>
        <v/>
      </c>
      <c r="E395" s="170" t="str">
        <f ca="1">IFERROR(IF(INDEX(INDIRECT(RangeContrQty),MATCH($A395,INDIRECT(RangeEstCount),0)),"(CQ)",""),"")</f>
        <v/>
      </c>
      <c r="F395" s="171" t="str">
        <f ca="1">IFERROR(IF(OR(NOT(Bid?),LEFT(UPPER($D395),4)="FXHR"),INDEX(INDIRECT(RangeUnitPrice),MATCH($A395,INDIRECT(RangeEstCount),0)),IF(Awd?,OFFSET(TabAmount,MATCH(INDEX(INDIRECT(RangeCount),MATCH($A395,INDIRECT(RangeEstCount),0)),OFFSET(TabCount,1,0,2*NumPayItems,1),0),MATCH(Awarded2,Bidders,0)),IF(OR($C395="",$D395="LPSM"),"","$"))),"")</f>
        <v/>
      </c>
      <c r="G395" s="171" t="str">
        <f ca="1">IFERROR(VALUE(C395)*F395,IF(AND(Bid?,NOT(Awd?),$D395="LPSM"),"$",F395))</f>
        <v/>
      </c>
      <c r="H395" s="374"/>
      <c r="I395" s="217" t="str">
        <f ca="1">IFERROR(VALUE(SUBSTITUTE(OFFSET(I395,-1,0)," "&amp;$D395,""))*$F395,"")</f>
        <v/>
      </c>
      <c r="J395" s="215" t="str">
        <f ca="1">IFERROR(VALUE(SUBSTITUTE(OFFSET(J395,-1,0)," "&amp;$D395,""))*$F395,"")</f>
        <v/>
      </c>
      <c r="K395" s="215" t="str">
        <f t="shared" ref="K395:M395" ca="1" si="396">IFERROR(VALUE(SUBSTITUTE(OFFSET(K395,-1,0)," "&amp;$D395,""))*$F395,"")</f>
        <v/>
      </c>
      <c r="L395" s="215" t="str">
        <f t="shared" ca="1" si="396"/>
        <v/>
      </c>
      <c r="M395" s="215" t="str">
        <f t="shared" ca="1" si="396"/>
        <v/>
      </c>
      <c r="N395" s="215" t="str">
        <f ca="1">IFERROR(VALUE(SUBSTITUTE(OFFSET(N395,-1,0)," "&amp;$D395,""))*$F395,"")</f>
        <v/>
      </c>
      <c r="O395" s="215" t="str">
        <f ca="1">IFERROR(VALUE(SUBSTITUTE(OFFSET(O395,-1,0)," "&amp;$D395,""))*$F395,"")</f>
        <v/>
      </c>
      <c r="P395" s="209" t="str">
        <f ca="1">IF(LEN(B395)&gt;0,ISNUMBER(MATCH(B395,Proposed[Item],0)),"")</f>
        <v/>
      </c>
    </row>
    <row r="396" spans="1:16" ht="15" x14ac:dyDescent="0.2">
      <c r="A396" s="276">
        <f t="shared" ca="1" si="392"/>
        <v>195</v>
      </c>
      <c r="B396" s="168" t="str">
        <f ca="1">IFERROR(INDEX(INDIRECT(RangeItems),MATCH($A396,INDIRECT(RangeEstCount),0)),"")</f>
        <v/>
      </c>
      <c r="C396" s="365" t="str">
        <f ca="1">IFERROR(INDEX(Calcs[Description],INDEX(INDIRECT(RangeCount),MATCH($A396,INDIRECT(RangeEstCount),0))),"")</f>
        <v/>
      </c>
      <c r="D396" s="365"/>
      <c r="E396" s="365"/>
      <c r="F396" s="365"/>
      <c r="G396" s="365"/>
      <c r="H396" s="375" t="str">
        <f ca="1">IF(AND(Bid?,NOT(Awd?)),C396,OFFSET(F396,1,0))</f>
        <v/>
      </c>
      <c r="I396" s="216" t="str">
        <f t="shared" ref="I396:O396" ca="1" si="397">IFERROR(SUM(OFFSET(INDIRECT(RangeQuantity),MATCH($A396,INDIRECT(RangeEstCount),0)-1,COLUMN(I396)-COLUMN($H396),1,1))&amp;" "&amp;OFFSET($D396,1,0),"")</f>
        <v/>
      </c>
      <c r="J396" s="277" t="str">
        <f t="shared" ca="1" si="397"/>
        <v/>
      </c>
      <c r="K396" s="277" t="str">
        <f t="shared" ca="1" si="397"/>
        <v/>
      </c>
      <c r="L396" s="277" t="str">
        <f t="shared" ca="1" si="397"/>
        <v/>
      </c>
      <c r="M396" s="277" t="str">
        <f t="shared" ca="1" si="397"/>
        <v/>
      </c>
      <c r="N396" s="277" t="str">
        <f t="shared" ca="1" si="397"/>
        <v/>
      </c>
      <c r="O396" s="277" t="str">
        <f t="shared" ca="1" si="397"/>
        <v/>
      </c>
      <c r="P396" s="209" t="str">
        <f ca="1">IF(LEN(B396)&gt;0,ISNUMBER(MATCH(B396,Proposed[Item],0)),"")</f>
        <v/>
      </c>
    </row>
    <row r="397" spans="1:16" ht="15" x14ac:dyDescent="0.2">
      <c r="A397" s="276">
        <f t="shared" ca="1" si="392"/>
        <v>195</v>
      </c>
      <c r="B397" s="111" t="str">
        <f ca="1">IFERROR("Line "&amp;INDEX(Calcs[Line],INDEX(INDIRECT(RangeCount),MATCH($A397,INDIRECT(RangeEstCount),0))),"")</f>
        <v/>
      </c>
      <c r="C397" s="169" t="str">
        <f ca="1">IFERROR(IF(AND($D397="LPSM",Bid?,All?),"ALL",TEXT(OFFSET(INDIRECT(RangeQuantity),MATCH($A397,INDIRECT(RangeEstCount),0)-1,MATCH(Account,Accounts,0)-1,1,1),IF($D397="LPSM","0%","#,##0"&amp;IF(OFFSET(Items[#Data],MATCH($A397,INDIRECT(RangeEstCount),0)-1,MATCH(Decimals,Items[#Headers],0)-1,1,1)&gt;0,"."&amp;REPT("0",OFFSET(Items[#Data],MATCH($A397,INDIRECT(RangeEstCount),0)-1,MATCH(Decimals,Items[#Headers],0)-1,1,1)),"")))),"")</f>
        <v/>
      </c>
      <c r="D397" s="170" t="str">
        <f ca="1">IFERROR(INDEX(INDIRECT(RangeUnit),MATCH($A397,INDIRECT(RangeEstCount),0))&amp;SUBSTITUTE(" ["&amp;INDEX(INDIRECT(RangeAmend),MATCH($A397,INDIRECT(RangeEstCount),0))&amp;"]"," []",""),"")</f>
        <v/>
      </c>
      <c r="E397" s="170" t="str">
        <f ca="1">IFERROR(IF(INDEX(INDIRECT(RangeContrQty),MATCH($A397,INDIRECT(RangeEstCount),0)),"(CQ)",""),"")</f>
        <v/>
      </c>
      <c r="F397" s="171" t="str">
        <f ca="1">IFERROR(IF(OR(NOT(Bid?),LEFT(UPPER($D397),4)="FXHR"),INDEX(INDIRECT(RangeUnitPrice),MATCH($A397,INDIRECT(RangeEstCount),0)),IF(Awd?,OFFSET(TabAmount,MATCH(INDEX(INDIRECT(RangeCount),MATCH($A397,INDIRECT(RangeEstCount),0)),OFFSET(TabCount,1,0,2*NumPayItems,1),0),MATCH(Awarded2,Bidders,0)),IF(OR($C397="",$D397="LPSM"),"","$"))),"")</f>
        <v/>
      </c>
      <c r="G397" s="171" t="str">
        <f ca="1">IFERROR(VALUE(C397)*F397,IF(AND(Bid?,NOT(Awd?),$D397="LPSM"),"$",F397))</f>
        <v/>
      </c>
      <c r="H397" s="374"/>
      <c r="I397" s="217" t="str">
        <f ca="1">IFERROR(VALUE(SUBSTITUTE(OFFSET(I397,-1,0)," "&amp;$D397,""))*$F397,"")</f>
        <v/>
      </c>
      <c r="J397" s="215" t="str">
        <f ca="1">IFERROR(VALUE(SUBSTITUTE(OFFSET(J397,-1,0)," "&amp;$D397,""))*$F397,"")</f>
        <v/>
      </c>
      <c r="K397" s="215" t="str">
        <f t="shared" ref="K397:M397" ca="1" si="398">IFERROR(VALUE(SUBSTITUTE(OFFSET(K397,-1,0)," "&amp;$D397,""))*$F397,"")</f>
        <v/>
      </c>
      <c r="L397" s="215" t="str">
        <f t="shared" ca="1" si="398"/>
        <v/>
      </c>
      <c r="M397" s="215" t="str">
        <f t="shared" ca="1" si="398"/>
        <v/>
      </c>
      <c r="N397" s="215" t="str">
        <f ca="1">IFERROR(VALUE(SUBSTITUTE(OFFSET(N397,-1,0)," "&amp;$D397,""))*$F397,"")</f>
        <v/>
      </c>
      <c r="O397" s="215" t="str">
        <f ca="1">IFERROR(VALUE(SUBSTITUTE(OFFSET(O397,-1,0)," "&amp;$D397,""))*$F397,"")</f>
        <v/>
      </c>
      <c r="P397" s="209" t="str">
        <f ca="1">IF(LEN(B397)&gt;0,ISNUMBER(MATCH(B397,Proposed[Item],0)),"")</f>
        <v/>
      </c>
    </row>
    <row r="398" spans="1:16" ht="15" x14ac:dyDescent="0.2">
      <c r="A398" s="276">
        <f t="shared" ca="1" si="392"/>
        <v>196</v>
      </c>
      <c r="B398" s="168" t="str">
        <f ca="1">IFERROR(INDEX(INDIRECT(RangeItems),MATCH($A398,INDIRECT(RangeEstCount),0)),"")</f>
        <v/>
      </c>
      <c r="C398" s="365" t="str">
        <f ca="1">IFERROR(INDEX(Calcs[Description],INDEX(INDIRECT(RangeCount),MATCH($A398,INDIRECT(RangeEstCount),0))),"")</f>
        <v/>
      </c>
      <c r="D398" s="365"/>
      <c r="E398" s="365"/>
      <c r="F398" s="365"/>
      <c r="G398" s="365"/>
      <c r="H398" s="375" t="str">
        <f ca="1">IF(AND(Bid?,NOT(Awd?)),C398,OFFSET(F398,1,0))</f>
        <v/>
      </c>
      <c r="I398" s="216" t="str">
        <f t="shared" ref="I398:O398" ca="1" si="399">IFERROR(SUM(OFFSET(INDIRECT(RangeQuantity),MATCH($A398,INDIRECT(RangeEstCount),0)-1,COLUMN(I398)-COLUMN($H398),1,1))&amp;" "&amp;OFFSET($D398,1,0),"")</f>
        <v/>
      </c>
      <c r="J398" s="277" t="str">
        <f t="shared" ca="1" si="399"/>
        <v/>
      </c>
      <c r="K398" s="277" t="str">
        <f t="shared" ca="1" si="399"/>
        <v/>
      </c>
      <c r="L398" s="277" t="str">
        <f t="shared" ca="1" si="399"/>
        <v/>
      </c>
      <c r="M398" s="277" t="str">
        <f t="shared" ca="1" si="399"/>
        <v/>
      </c>
      <c r="N398" s="277" t="str">
        <f t="shared" ca="1" si="399"/>
        <v/>
      </c>
      <c r="O398" s="277" t="str">
        <f t="shared" ca="1" si="399"/>
        <v/>
      </c>
      <c r="P398" s="209" t="str">
        <f ca="1">IF(LEN(B398)&gt;0,ISNUMBER(MATCH(B398,Proposed[Item],0)),"")</f>
        <v/>
      </c>
    </row>
    <row r="399" spans="1:16" ht="15" x14ac:dyDescent="0.2">
      <c r="A399" s="276">
        <f t="shared" ca="1" si="392"/>
        <v>196</v>
      </c>
      <c r="B399" s="111" t="str">
        <f ca="1">IFERROR("Line "&amp;INDEX(Calcs[Line],INDEX(INDIRECT(RangeCount),MATCH($A399,INDIRECT(RangeEstCount),0))),"")</f>
        <v/>
      </c>
      <c r="C399" s="169" t="str">
        <f ca="1">IFERROR(IF(AND($D399="LPSM",Bid?,All?),"ALL",TEXT(OFFSET(INDIRECT(RangeQuantity),MATCH($A399,INDIRECT(RangeEstCount),0)-1,MATCH(Account,Accounts,0)-1,1,1),IF($D399="LPSM","0%","#,##0"&amp;IF(OFFSET(Items[#Data],MATCH($A399,INDIRECT(RangeEstCount),0)-1,MATCH(Decimals,Items[#Headers],0)-1,1,1)&gt;0,"."&amp;REPT("0",OFFSET(Items[#Data],MATCH($A399,INDIRECT(RangeEstCount),0)-1,MATCH(Decimals,Items[#Headers],0)-1,1,1)),"")))),"")</f>
        <v/>
      </c>
      <c r="D399" s="170" t="str">
        <f ca="1">IFERROR(INDEX(INDIRECT(RangeUnit),MATCH($A399,INDIRECT(RangeEstCount),0))&amp;SUBSTITUTE(" ["&amp;INDEX(INDIRECT(RangeAmend),MATCH($A399,INDIRECT(RangeEstCount),0))&amp;"]"," []",""),"")</f>
        <v/>
      </c>
      <c r="E399" s="170" t="str">
        <f ca="1">IFERROR(IF(INDEX(INDIRECT(RangeContrQty),MATCH($A399,INDIRECT(RangeEstCount),0)),"(CQ)",""),"")</f>
        <v/>
      </c>
      <c r="F399" s="171" t="str">
        <f ca="1">IFERROR(IF(OR(NOT(Bid?),LEFT(UPPER($D399),4)="FXHR"),INDEX(INDIRECT(RangeUnitPrice),MATCH($A399,INDIRECT(RangeEstCount),0)),IF(Awd?,OFFSET(TabAmount,MATCH(INDEX(INDIRECT(RangeCount),MATCH($A399,INDIRECT(RangeEstCount),0)),OFFSET(TabCount,1,0,2*NumPayItems,1),0),MATCH(Awarded2,Bidders,0)),IF(OR($C399="",$D399="LPSM"),"","$"))),"")</f>
        <v/>
      </c>
      <c r="G399" s="171" t="str">
        <f ca="1">IFERROR(VALUE(C399)*F399,IF(AND(Bid?,NOT(Awd?),$D399="LPSM"),"$",F399))</f>
        <v/>
      </c>
      <c r="H399" s="374"/>
      <c r="I399" s="217" t="str">
        <f ca="1">IFERROR(VALUE(SUBSTITUTE(OFFSET(I399,-1,0)," "&amp;$D399,""))*$F399,"")</f>
        <v/>
      </c>
      <c r="J399" s="215" t="str">
        <f ca="1">IFERROR(VALUE(SUBSTITUTE(OFFSET(J399,-1,0)," "&amp;$D399,""))*$F399,"")</f>
        <v/>
      </c>
      <c r="K399" s="215" t="str">
        <f t="shared" ref="K399:M399" ca="1" si="400">IFERROR(VALUE(SUBSTITUTE(OFFSET(K399,-1,0)," "&amp;$D399,""))*$F399,"")</f>
        <v/>
      </c>
      <c r="L399" s="215" t="str">
        <f t="shared" ca="1" si="400"/>
        <v/>
      </c>
      <c r="M399" s="215" t="str">
        <f t="shared" ca="1" si="400"/>
        <v/>
      </c>
      <c r="N399" s="215" t="str">
        <f ca="1">IFERROR(VALUE(SUBSTITUTE(OFFSET(N399,-1,0)," "&amp;$D399,""))*$F399,"")</f>
        <v/>
      </c>
      <c r="O399" s="215" t="str">
        <f ca="1">IFERROR(VALUE(SUBSTITUTE(OFFSET(O399,-1,0)," "&amp;$D399,""))*$F399,"")</f>
        <v/>
      </c>
      <c r="P399" s="209" t="str">
        <f ca="1">IF(LEN(B399)&gt;0,ISNUMBER(MATCH(B399,Proposed[Item],0)),"")</f>
        <v/>
      </c>
    </row>
    <row r="400" spans="1:16" ht="15" x14ac:dyDescent="0.2">
      <c r="A400" s="276">
        <f t="shared" ca="1" si="392"/>
        <v>197</v>
      </c>
      <c r="B400" s="168" t="str">
        <f ca="1">IFERROR(INDEX(INDIRECT(RangeItems),MATCH($A400,INDIRECT(RangeEstCount),0)),"")</f>
        <v/>
      </c>
      <c r="C400" s="365" t="str">
        <f ca="1">IFERROR(INDEX(Calcs[Description],INDEX(INDIRECT(RangeCount),MATCH($A400,INDIRECT(RangeEstCount),0))),"")</f>
        <v/>
      </c>
      <c r="D400" s="365"/>
      <c r="E400" s="365"/>
      <c r="F400" s="365"/>
      <c r="G400" s="365"/>
      <c r="H400" s="375" t="str">
        <f ca="1">IF(AND(Bid?,NOT(Awd?)),C400,OFFSET(F400,1,0))</f>
        <v/>
      </c>
      <c r="I400" s="216" t="str">
        <f t="shared" ref="I400:O400" ca="1" si="401">IFERROR(SUM(OFFSET(INDIRECT(RangeQuantity),MATCH($A400,INDIRECT(RangeEstCount),0)-1,COLUMN(I400)-COLUMN($H400),1,1))&amp;" "&amp;OFFSET($D400,1,0),"")</f>
        <v/>
      </c>
      <c r="J400" s="277" t="str">
        <f t="shared" ca="1" si="401"/>
        <v/>
      </c>
      <c r="K400" s="277" t="str">
        <f t="shared" ca="1" si="401"/>
        <v/>
      </c>
      <c r="L400" s="277" t="str">
        <f t="shared" ca="1" si="401"/>
        <v/>
      </c>
      <c r="M400" s="277" t="str">
        <f t="shared" ca="1" si="401"/>
        <v/>
      </c>
      <c r="N400" s="277" t="str">
        <f t="shared" ca="1" si="401"/>
        <v/>
      </c>
      <c r="O400" s="277" t="str">
        <f t="shared" ca="1" si="401"/>
        <v/>
      </c>
      <c r="P400" s="209" t="str">
        <f ca="1">IF(LEN(B400)&gt;0,ISNUMBER(MATCH(B400,Proposed[Item],0)),"")</f>
        <v/>
      </c>
    </row>
    <row r="401" spans="1:16" ht="15" x14ac:dyDescent="0.2">
      <c r="A401" s="276">
        <f t="shared" ca="1" si="392"/>
        <v>197</v>
      </c>
      <c r="B401" s="111" t="str">
        <f ca="1">IFERROR("Line "&amp;INDEX(Calcs[Line],INDEX(INDIRECT(RangeCount),MATCH($A401,INDIRECT(RangeEstCount),0))),"")</f>
        <v/>
      </c>
      <c r="C401" s="169" t="str">
        <f ca="1">IFERROR(IF(AND($D401="LPSM",Bid?,All?),"ALL",TEXT(OFFSET(INDIRECT(RangeQuantity),MATCH($A401,INDIRECT(RangeEstCount),0)-1,MATCH(Account,Accounts,0)-1,1,1),IF($D401="LPSM","0%","#,##0"&amp;IF(OFFSET(Items[#Data],MATCH($A401,INDIRECT(RangeEstCount),0)-1,MATCH(Decimals,Items[#Headers],0)-1,1,1)&gt;0,"."&amp;REPT("0",OFFSET(Items[#Data],MATCH($A401,INDIRECT(RangeEstCount),0)-1,MATCH(Decimals,Items[#Headers],0)-1,1,1)),"")))),"")</f>
        <v/>
      </c>
      <c r="D401" s="170" t="str">
        <f ca="1">IFERROR(INDEX(INDIRECT(RangeUnit),MATCH($A401,INDIRECT(RangeEstCount),0))&amp;SUBSTITUTE(" ["&amp;INDEX(INDIRECT(RangeAmend),MATCH($A401,INDIRECT(RangeEstCount),0))&amp;"]"," []",""),"")</f>
        <v/>
      </c>
      <c r="E401" s="170" t="str">
        <f ca="1">IFERROR(IF(INDEX(INDIRECT(RangeContrQty),MATCH($A401,INDIRECT(RangeEstCount),0)),"(CQ)",""),"")</f>
        <v/>
      </c>
      <c r="F401" s="171" t="str">
        <f ca="1">IFERROR(IF(OR(NOT(Bid?),LEFT(UPPER($D401),4)="FXHR"),INDEX(INDIRECT(RangeUnitPrice),MATCH($A401,INDIRECT(RangeEstCount),0)),IF(Awd?,OFFSET(TabAmount,MATCH(INDEX(INDIRECT(RangeCount),MATCH($A401,INDIRECT(RangeEstCount),0)),OFFSET(TabCount,1,0,2*NumPayItems,1),0),MATCH(Awarded2,Bidders,0)),IF(OR($C401="",$D401="LPSM"),"","$"))),"")</f>
        <v/>
      </c>
      <c r="G401" s="171" t="str">
        <f ca="1">IFERROR(VALUE(C401)*F401,IF(AND(Bid?,NOT(Awd?),$D401="LPSM"),"$",F401))</f>
        <v/>
      </c>
      <c r="H401" s="374"/>
      <c r="I401" s="217" t="str">
        <f ca="1">IFERROR(VALUE(SUBSTITUTE(OFFSET(I401,-1,0)," "&amp;$D401,""))*$F401,"")</f>
        <v/>
      </c>
      <c r="J401" s="215" t="str">
        <f ca="1">IFERROR(VALUE(SUBSTITUTE(OFFSET(J401,-1,0)," "&amp;$D401,""))*$F401,"")</f>
        <v/>
      </c>
      <c r="K401" s="215" t="str">
        <f t="shared" ref="K401:M401" ca="1" si="402">IFERROR(VALUE(SUBSTITUTE(OFFSET(K401,-1,0)," "&amp;$D401,""))*$F401,"")</f>
        <v/>
      </c>
      <c r="L401" s="215" t="str">
        <f t="shared" ca="1" si="402"/>
        <v/>
      </c>
      <c r="M401" s="215" t="str">
        <f t="shared" ca="1" si="402"/>
        <v/>
      </c>
      <c r="N401" s="215" t="str">
        <f ca="1">IFERROR(VALUE(SUBSTITUTE(OFFSET(N401,-1,0)," "&amp;$D401,""))*$F401,"")</f>
        <v/>
      </c>
      <c r="O401" s="215" t="str">
        <f ca="1">IFERROR(VALUE(SUBSTITUTE(OFFSET(O401,-1,0)," "&amp;$D401,""))*$F401,"")</f>
        <v/>
      </c>
      <c r="P401" s="209" t="str">
        <f ca="1">IF(LEN(B401)&gt;0,ISNUMBER(MATCH(B401,Proposed[Item],0)),"")</f>
        <v/>
      </c>
    </row>
    <row r="402" spans="1:16" ht="15" x14ac:dyDescent="0.2">
      <c r="A402" s="276">
        <f t="shared" ca="1" si="392"/>
        <v>198</v>
      </c>
      <c r="B402" s="168" t="str">
        <f ca="1">IFERROR(INDEX(INDIRECT(RangeItems),MATCH($A402,INDIRECT(RangeEstCount),0)),"")</f>
        <v/>
      </c>
      <c r="C402" s="365" t="str">
        <f ca="1">IFERROR(INDEX(Calcs[Description],INDEX(INDIRECT(RangeCount),MATCH($A402,INDIRECT(RangeEstCount),0))),"")</f>
        <v/>
      </c>
      <c r="D402" s="365"/>
      <c r="E402" s="365"/>
      <c r="F402" s="365"/>
      <c r="G402" s="365"/>
      <c r="H402" s="375" t="str">
        <f ca="1">IF(AND(Bid?,NOT(Awd?)),C402,OFFSET(F402,1,0))</f>
        <v/>
      </c>
      <c r="I402" s="216" t="str">
        <f t="shared" ref="I402:O402" ca="1" si="403">IFERROR(SUM(OFFSET(INDIRECT(RangeQuantity),MATCH($A402,INDIRECT(RangeEstCount),0)-1,COLUMN(I402)-COLUMN($H402),1,1))&amp;" "&amp;OFFSET($D402,1,0),"")</f>
        <v/>
      </c>
      <c r="J402" s="277" t="str">
        <f t="shared" ca="1" si="403"/>
        <v/>
      </c>
      <c r="K402" s="277" t="str">
        <f t="shared" ca="1" si="403"/>
        <v/>
      </c>
      <c r="L402" s="277" t="str">
        <f t="shared" ca="1" si="403"/>
        <v/>
      </c>
      <c r="M402" s="277" t="str">
        <f t="shared" ca="1" si="403"/>
        <v/>
      </c>
      <c r="N402" s="277" t="str">
        <f t="shared" ca="1" si="403"/>
        <v/>
      </c>
      <c r="O402" s="277" t="str">
        <f t="shared" ca="1" si="403"/>
        <v/>
      </c>
      <c r="P402" s="209" t="str">
        <f ca="1">IF(LEN(B402)&gt;0,ISNUMBER(MATCH(B402,Proposed[Item],0)),"")</f>
        <v/>
      </c>
    </row>
    <row r="403" spans="1:16" ht="15" x14ac:dyDescent="0.2">
      <c r="A403" s="276">
        <f t="shared" ca="1" si="392"/>
        <v>198</v>
      </c>
      <c r="B403" s="111" t="str">
        <f ca="1">IFERROR("Line "&amp;INDEX(Calcs[Line],INDEX(INDIRECT(RangeCount),MATCH($A403,INDIRECT(RangeEstCount),0))),"")</f>
        <v/>
      </c>
      <c r="C403" s="169" t="str">
        <f ca="1">IFERROR(IF(AND($D403="LPSM",Bid?,All?),"ALL",TEXT(OFFSET(INDIRECT(RangeQuantity),MATCH($A403,INDIRECT(RangeEstCount),0)-1,MATCH(Account,Accounts,0)-1,1,1),IF($D403="LPSM","0%","#,##0"&amp;IF(OFFSET(Items[#Data],MATCH($A403,INDIRECT(RangeEstCount),0)-1,MATCH(Decimals,Items[#Headers],0)-1,1,1)&gt;0,"."&amp;REPT("0",OFFSET(Items[#Data],MATCH($A403,INDIRECT(RangeEstCount),0)-1,MATCH(Decimals,Items[#Headers],0)-1,1,1)),"")))),"")</f>
        <v/>
      </c>
      <c r="D403" s="170" t="str">
        <f ca="1">IFERROR(INDEX(INDIRECT(RangeUnit),MATCH($A403,INDIRECT(RangeEstCount),0))&amp;SUBSTITUTE(" ["&amp;INDEX(INDIRECT(RangeAmend),MATCH($A403,INDIRECT(RangeEstCount),0))&amp;"]"," []",""),"")</f>
        <v/>
      </c>
      <c r="E403" s="170" t="str">
        <f ca="1">IFERROR(IF(INDEX(INDIRECT(RangeContrQty),MATCH($A403,INDIRECT(RangeEstCount),0)),"(CQ)",""),"")</f>
        <v/>
      </c>
      <c r="F403" s="171" t="str">
        <f ca="1">IFERROR(IF(OR(NOT(Bid?),LEFT(UPPER($D403),4)="FXHR"),INDEX(INDIRECT(RangeUnitPrice),MATCH($A403,INDIRECT(RangeEstCount),0)),IF(Awd?,OFFSET(TabAmount,MATCH(INDEX(INDIRECT(RangeCount),MATCH($A403,INDIRECT(RangeEstCount),0)),OFFSET(TabCount,1,0,2*NumPayItems,1),0),MATCH(Awarded2,Bidders,0)),IF(OR($C403="",$D403="LPSM"),"","$"))),"")</f>
        <v/>
      </c>
      <c r="G403" s="171" t="str">
        <f ca="1">IFERROR(VALUE(C403)*F403,IF(AND(Bid?,NOT(Awd?),$D403="LPSM"),"$",F403))</f>
        <v/>
      </c>
      <c r="H403" s="374"/>
      <c r="I403" s="217" t="str">
        <f ca="1">IFERROR(VALUE(SUBSTITUTE(OFFSET(I403,-1,0)," "&amp;$D403,""))*$F403,"")</f>
        <v/>
      </c>
      <c r="J403" s="215" t="str">
        <f ca="1">IFERROR(VALUE(SUBSTITUTE(OFFSET(J403,-1,0)," "&amp;$D403,""))*$F403,"")</f>
        <v/>
      </c>
      <c r="K403" s="215" t="str">
        <f t="shared" ref="K403:M403" ca="1" si="404">IFERROR(VALUE(SUBSTITUTE(OFFSET(K403,-1,0)," "&amp;$D403,""))*$F403,"")</f>
        <v/>
      </c>
      <c r="L403" s="215" t="str">
        <f t="shared" ca="1" si="404"/>
        <v/>
      </c>
      <c r="M403" s="215" t="str">
        <f t="shared" ca="1" si="404"/>
        <v/>
      </c>
      <c r="N403" s="215" t="str">
        <f ca="1">IFERROR(VALUE(SUBSTITUTE(OFFSET(N403,-1,0)," "&amp;$D403,""))*$F403,"")</f>
        <v/>
      </c>
      <c r="O403" s="215" t="str">
        <f ca="1">IFERROR(VALUE(SUBSTITUTE(OFFSET(O403,-1,0)," "&amp;$D403,""))*$F403,"")</f>
        <v/>
      </c>
      <c r="P403" s="209" t="str">
        <f ca="1">IF(LEN(B403)&gt;0,ISNUMBER(MATCH(B403,Proposed[Item],0)),"")</f>
        <v/>
      </c>
    </row>
    <row r="404" spans="1:16" ht="15" x14ac:dyDescent="0.2">
      <c r="A404" s="276">
        <f t="shared" ca="1" si="392"/>
        <v>199</v>
      </c>
      <c r="B404" s="168" t="str">
        <f ca="1">IFERROR(INDEX(INDIRECT(RangeItems),MATCH($A404,INDIRECT(RangeEstCount),0)),"")</f>
        <v/>
      </c>
      <c r="C404" s="365" t="str">
        <f ca="1">IFERROR(INDEX(Calcs[Description],INDEX(INDIRECT(RangeCount),MATCH($A404,INDIRECT(RangeEstCount),0))),"")</f>
        <v/>
      </c>
      <c r="D404" s="365"/>
      <c r="E404" s="365"/>
      <c r="F404" s="365"/>
      <c r="G404" s="365"/>
      <c r="H404" s="375" t="str">
        <f ca="1">IF(AND(Bid?,NOT(Awd?)),C404,OFFSET(F404,1,0))</f>
        <v/>
      </c>
      <c r="I404" s="216" t="str">
        <f t="shared" ref="I404:O404" ca="1" si="405">IFERROR(SUM(OFFSET(INDIRECT(RangeQuantity),MATCH($A404,INDIRECT(RangeEstCount),0)-1,COLUMN(I404)-COLUMN($H404),1,1))&amp;" "&amp;OFFSET($D404,1,0),"")</f>
        <v/>
      </c>
      <c r="J404" s="277" t="str">
        <f t="shared" ca="1" si="405"/>
        <v/>
      </c>
      <c r="K404" s="277" t="str">
        <f t="shared" ca="1" si="405"/>
        <v/>
      </c>
      <c r="L404" s="277" t="str">
        <f t="shared" ca="1" si="405"/>
        <v/>
      </c>
      <c r="M404" s="277" t="str">
        <f t="shared" ca="1" si="405"/>
        <v/>
      </c>
      <c r="N404" s="277" t="str">
        <f t="shared" ca="1" si="405"/>
        <v/>
      </c>
      <c r="O404" s="277" t="str">
        <f t="shared" ca="1" si="405"/>
        <v/>
      </c>
      <c r="P404" s="209" t="str">
        <f ca="1">IF(LEN(B404)&gt;0,ISNUMBER(MATCH(B404,Proposed[Item],0)),"")</f>
        <v/>
      </c>
    </row>
    <row r="405" spans="1:16" ht="15" x14ac:dyDescent="0.2">
      <c r="A405" s="276">
        <f t="shared" ca="1" si="392"/>
        <v>199</v>
      </c>
      <c r="B405" s="111" t="str">
        <f ca="1">IFERROR("Line "&amp;INDEX(Calcs[Line],INDEX(INDIRECT(RangeCount),MATCH($A405,INDIRECT(RangeEstCount),0))),"")</f>
        <v/>
      </c>
      <c r="C405" s="169" t="str">
        <f ca="1">IFERROR(IF(AND($D405="LPSM",Bid?,All?),"ALL",TEXT(OFFSET(INDIRECT(RangeQuantity),MATCH($A405,INDIRECT(RangeEstCount),0)-1,MATCH(Account,Accounts,0)-1,1,1),IF($D405="LPSM","0%","#,##0"&amp;IF(OFFSET(Items[#Data],MATCH($A405,INDIRECT(RangeEstCount),0)-1,MATCH(Decimals,Items[#Headers],0)-1,1,1)&gt;0,"."&amp;REPT("0",OFFSET(Items[#Data],MATCH($A405,INDIRECT(RangeEstCount),0)-1,MATCH(Decimals,Items[#Headers],0)-1,1,1)),"")))),"")</f>
        <v/>
      </c>
      <c r="D405" s="170" t="str">
        <f ca="1">IFERROR(INDEX(INDIRECT(RangeUnit),MATCH($A405,INDIRECT(RangeEstCount),0))&amp;SUBSTITUTE(" ["&amp;INDEX(INDIRECT(RangeAmend),MATCH($A405,INDIRECT(RangeEstCount),0))&amp;"]"," []",""),"")</f>
        <v/>
      </c>
      <c r="E405" s="170" t="str">
        <f ca="1">IFERROR(IF(INDEX(INDIRECT(RangeContrQty),MATCH($A405,INDIRECT(RangeEstCount),0)),"(CQ)",""),"")</f>
        <v/>
      </c>
      <c r="F405" s="171" t="str">
        <f ca="1">IFERROR(IF(OR(NOT(Bid?),LEFT(UPPER($D405),4)="FXHR"),INDEX(INDIRECT(RangeUnitPrice),MATCH($A405,INDIRECT(RangeEstCount),0)),IF(Awd?,OFFSET(TabAmount,MATCH(INDEX(INDIRECT(RangeCount),MATCH($A405,INDIRECT(RangeEstCount),0)),OFFSET(TabCount,1,0,2*NumPayItems,1),0),MATCH(Awarded2,Bidders,0)),IF(OR($C405="",$D405="LPSM"),"","$"))),"")</f>
        <v/>
      </c>
      <c r="G405" s="171" t="str">
        <f ca="1">IFERROR(VALUE(C405)*F405,IF(AND(Bid?,NOT(Awd?),$D405="LPSM"),"$",F405))</f>
        <v/>
      </c>
      <c r="H405" s="374"/>
      <c r="I405" s="217" t="str">
        <f ca="1">IFERROR(VALUE(SUBSTITUTE(OFFSET(I405,-1,0)," "&amp;$D405,""))*$F405,"")</f>
        <v/>
      </c>
      <c r="J405" s="215" t="str">
        <f ca="1">IFERROR(VALUE(SUBSTITUTE(OFFSET(J405,-1,0)," "&amp;$D405,""))*$F405,"")</f>
        <v/>
      </c>
      <c r="K405" s="215" t="str">
        <f t="shared" ref="K405:M405" ca="1" si="406">IFERROR(VALUE(SUBSTITUTE(OFFSET(K405,-1,0)," "&amp;$D405,""))*$F405,"")</f>
        <v/>
      </c>
      <c r="L405" s="215" t="str">
        <f t="shared" ca="1" si="406"/>
        <v/>
      </c>
      <c r="M405" s="215" t="str">
        <f t="shared" ca="1" si="406"/>
        <v/>
      </c>
      <c r="N405" s="215" t="str">
        <f ca="1">IFERROR(VALUE(SUBSTITUTE(OFFSET(N405,-1,0)," "&amp;$D405,""))*$F405,"")</f>
        <v/>
      </c>
      <c r="O405" s="215" t="str">
        <f ca="1">IFERROR(VALUE(SUBSTITUTE(OFFSET(O405,-1,0)," "&amp;$D405,""))*$F405,"")</f>
        <v/>
      </c>
      <c r="P405" s="209" t="str">
        <f ca="1">IF(LEN(B405)&gt;0,ISNUMBER(MATCH(B405,Proposed[Item],0)),"")</f>
        <v/>
      </c>
    </row>
    <row r="406" spans="1:16" ht="15" x14ac:dyDescent="0.2">
      <c r="A406" s="276">
        <f t="shared" ca="1" si="392"/>
        <v>200</v>
      </c>
      <c r="B406" s="168" t="str">
        <f ca="1">IFERROR(INDEX(INDIRECT(RangeItems),MATCH($A406,INDIRECT(RangeEstCount),0)),"")</f>
        <v/>
      </c>
      <c r="C406" s="365" t="str">
        <f ca="1">IFERROR(INDEX(Calcs[Description],INDEX(INDIRECT(RangeCount),MATCH($A406,INDIRECT(RangeEstCount),0))),"")</f>
        <v/>
      </c>
      <c r="D406" s="365"/>
      <c r="E406" s="365"/>
      <c r="F406" s="365"/>
      <c r="G406" s="365"/>
      <c r="H406" s="375" t="str">
        <f ca="1">IF(AND(Bid?,NOT(Awd?)),C406,OFFSET(F406,1,0))</f>
        <v/>
      </c>
      <c r="I406" s="216" t="str">
        <f t="shared" ref="I406:O406" ca="1" si="407">IFERROR(SUM(OFFSET(INDIRECT(RangeQuantity),MATCH($A406,INDIRECT(RangeEstCount),0)-1,COLUMN(I406)-COLUMN($H406),1,1))&amp;" "&amp;OFFSET($D406,1,0),"")</f>
        <v/>
      </c>
      <c r="J406" s="277" t="str">
        <f t="shared" ca="1" si="407"/>
        <v/>
      </c>
      <c r="K406" s="277" t="str">
        <f t="shared" ca="1" si="407"/>
        <v/>
      </c>
      <c r="L406" s="277" t="str">
        <f t="shared" ca="1" si="407"/>
        <v/>
      </c>
      <c r="M406" s="277" t="str">
        <f t="shared" ca="1" si="407"/>
        <v/>
      </c>
      <c r="N406" s="277" t="str">
        <f t="shared" ca="1" si="407"/>
        <v/>
      </c>
      <c r="O406" s="277" t="str">
        <f t="shared" ca="1" si="407"/>
        <v/>
      </c>
      <c r="P406" s="209" t="str">
        <f ca="1">IF(LEN(B406)&gt;0,ISNUMBER(MATCH(B406,Proposed[Item],0)),"")</f>
        <v/>
      </c>
    </row>
    <row r="407" spans="1:16" ht="15" x14ac:dyDescent="0.2">
      <c r="A407" s="276">
        <f t="shared" ca="1" si="392"/>
        <v>200</v>
      </c>
      <c r="B407" s="111" t="str">
        <f ca="1">IFERROR("Line "&amp;INDEX(Calcs[Line],INDEX(INDIRECT(RangeCount),MATCH($A407,INDIRECT(RangeEstCount),0))),"")</f>
        <v/>
      </c>
      <c r="C407" s="169" t="str">
        <f ca="1">IFERROR(IF(AND($D407="LPSM",Bid?,All?),"ALL",TEXT(OFFSET(INDIRECT(RangeQuantity),MATCH($A407,INDIRECT(RangeEstCount),0)-1,MATCH(Account,Accounts,0)-1,1,1),IF($D407="LPSM","0%","#,##0"&amp;IF(OFFSET(Items[#Data],MATCH($A407,INDIRECT(RangeEstCount),0)-1,MATCH(Decimals,Items[#Headers],0)-1,1,1)&gt;0,"."&amp;REPT("0",OFFSET(Items[#Data],MATCH($A407,INDIRECT(RangeEstCount),0)-1,MATCH(Decimals,Items[#Headers],0)-1,1,1)),"")))),"")</f>
        <v/>
      </c>
      <c r="D407" s="170" t="str">
        <f ca="1">IFERROR(INDEX(INDIRECT(RangeUnit),MATCH($A407,INDIRECT(RangeEstCount),0))&amp;SUBSTITUTE(" ["&amp;INDEX(INDIRECT(RangeAmend),MATCH($A407,INDIRECT(RangeEstCount),0))&amp;"]"," []",""),"")</f>
        <v/>
      </c>
      <c r="E407" s="170" t="str">
        <f ca="1">IFERROR(IF(INDEX(INDIRECT(RangeContrQty),MATCH($A407,INDIRECT(RangeEstCount),0)),"(CQ)",""),"")</f>
        <v/>
      </c>
      <c r="F407" s="171" t="str">
        <f ca="1">IFERROR(IF(OR(NOT(Bid?),LEFT(UPPER($D407),4)="FXHR"),INDEX(INDIRECT(RangeUnitPrice),MATCH($A407,INDIRECT(RangeEstCount),0)),IF(Awd?,OFFSET(TabAmount,MATCH(INDEX(INDIRECT(RangeCount),MATCH($A407,INDIRECT(RangeEstCount),0)),OFFSET(TabCount,1,0,2*NumPayItems,1),0),MATCH(Awarded2,Bidders,0)),IF(OR($C407="",$D407="LPSM"),"","$"))),"")</f>
        <v/>
      </c>
      <c r="G407" s="171" t="str">
        <f ca="1">IFERROR(VALUE(C407)*F407,IF(AND(Bid?,NOT(Awd?),$D407="LPSM"),"$",F407))</f>
        <v/>
      </c>
      <c r="H407" s="374"/>
      <c r="I407" s="217" t="str">
        <f ca="1">IFERROR(VALUE(SUBSTITUTE(OFFSET(I407,-1,0)," "&amp;$D407,""))*$F407,"")</f>
        <v/>
      </c>
      <c r="J407" s="215" t="str">
        <f ca="1">IFERROR(VALUE(SUBSTITUTE(OFFSET(J407,-1,0)," "&amp;$D407,""))*$F407,"")</f>
        <v/>
      </c>
      <c r="K407" s="215" t="str">
        <f t="shared" ref="K407:M407" ca="1" si="408">IFERROR(VALUE(SUBSTITUTE(OFFSET(K407,-1,0)," "&amp;$D407,""))*$F407,"")</f>
        <v/>
      </c>
      <c r="L407" s="215" t="str">
        <f t="shared" ca="1" si="408"/>
        <v/>
      </c>
      <c r="M407" s="215" t="str">
        <f t="shared" ca="1" si="408"/>
        <v/>
      </c>
      <c r="N407" s="215" t="str">
        <f ca="1">IFERROR(VALUE(SUBSTITUTE(OFFSET(N407,-1,0)," "&amp;$D407,""))*$F407,"")</f>
        <v/>
      </c>
      <c r="O407" s="215" t="str">
        <f ca="1">IFERROR(VALUE(SUBSTITUTE(OFFSET(O407,-1,0)," "&amp;$D407,""))*$F407,"")</f>
        <v/>
      </c>
      <c r="P407" s="209" t="str">
        <f ca="1">IF(LEN(B407)&gt;0,ISNUMBER(MATCH(B407,Proposed[Item],0)),"")</f>
        <v/>
      </c>
    </row>
    <row r="408" spans="1:16" ht="15" x14ac:dyDescent="0.2">
      <c r="A408" s="276">
        <f t="shared" ca="1" si="392"/>
        <v>201</v>
      </c>
      <c r="B408" s="168" t="str">
        <f ca="1">IFERROR(INDEX(INDIRECT(RangeItems),MATCH($A408,INDIRECT(RangeEstCount),0)),"")</f>
        <v/>
      </c>
      <c r="C408" s="365" t="str">
        <f ca="1">IFERROR(INDEX(Calcs[Description],INDEX(INDIRECT(RangeCount),MATCH($A408,INDIRECT(RangeEstCount),0))),"")</f>
        <v/>
      </c>
      <c r="D408" s="365"/>
      <c r="E408" s="365"/>
      <c r="F408" s="365"/>
      <c r="G408" s="365"/>
      <c r="H408" s="375" t="str">
        <f ca="1">IF(AND(Bid?,NOT(Awd?)),C408,OFFSET(F408,1,0))</f>
        <v/>
      </c>
      <c r="I408" s="216" t="str">
        <f t="shared" ref="I408:O408" ca="1" si="409">IFERROR(SUM(OFFSET(INDIRECT(RangeQuantity),MATCH($A408,INDIRECT(RangeEstCount),0)-1,COLUMN(I408)-COLUMN($H408),1,1))&amp;" "&amp;OFFSET($D408,1,0),"")</f>
        <v/>
      </c>
      <c r="J408" s="277" t="str">
        <f t="shared" ca="1" si="409"/>
        <v/>
      </c>
      <c r="K408" s="277" t="str">
        <f t="shared" ca="1" si="409"/>
        <v/>
      </c>
      <c r="L408" s="277" t="str">
        <f t="shared" ca="1" si="409"/>
        <v/>
      </c>
      <c r="M408" s="277" t="str">
        <f t="shared" ca="1" si="409"/>
        <v/>
      </c>
      <c r="N408" s="277" t="str">
        <f t="shared" ca="1" si="409"/>
        <v/>
      </c>
      <c r="O408" s="277" t="str">
        <f t="shared" ca="1" si="409"/>
        <v/>
      </c>
      <c r="P408" s="209" t="str">
        <f ca="1">IF(LEN(B408)&gt;0,ISNUMBER(MATCH(B408,Proposed[Item],0)),"")</f>
        <v/>
      </c>
    </row>
    <row r="409" spans="1:16" ht="15" x14ac:dyDescent="0.2">
      <c r="A409" s="276">
        <f t="shared" ca="1" si="392"/>
        <v>201</v>
      </c>
      <c r="B409" s="111" t="str">
        <f ca="1">IFERROR("Line "&amp;INDEX(Calcs[Line],INDEX(INDIRECT(RangeCount),MATCH($A409,INDIRECT(RangeEstCount),0))),"")</f>
        <v/>
      </c>
      <c r="C409" s="169" t="str">
        <f ca="1">IFERROR(IF(AND($D409="LPSM",Bid?,All?),"ALL",TEXT(OFFSET(INDIRECT(RangeQuantity),MATCH($A409,INDIRECT(RangeEstCount),0)-1,MATCH(Account,Accounts,0)-1,1,1),IF($D409="LPSM","0%","#,##0"&amp;IF(OFFSET(Items[#Data],MATCH($A409,INDIRECT(RangeEstCount),0)-1,MATCH(Decimals,Items[#Headers],0)-1,1,1)&gt;0,"."&amp;REPT("0",OFFSET(Items[#Data],MATCH($A409,INDIRECT(RangeEstCount),0)-1,MATCH(Decimals,Items[#Headers],0)-1,1,1)),"")))),"")</f>
        <v/>
      </c>
      <c r="D409" s="170" t="str">
        <f ca="1">IFERROR(INDEX(INDIRECT(RangeUnit),MATCH($A409,INDIRECT(RangeEstCount),0))&amp;SUBSTITUTE(" ["&amp;INDEX(INDIRECT(RangeAmend),MATCH($A409,INDIRECT(RangeEstCount),0))&amp;"]"," []",""),"")</f>
        <v/>
      </c>
      <c r="E409" s="170" t="str">
        <f ca="1">IFERROR(IF(INDEX(INDIRECT(RangeContrQty),MATCH($A409,INDIRECT(RangeEstCount),0)),"(CQ)",""),"")</f>
        <v/>
      </c>
      <c r="F409" s="171" t="str">
        <f ca="1">IFERROR(IF(OR(NOT(Bid?),LEFT(UPPER($D409),4)="FXHR"),INDEX(INDIRECT(RangeUnitPrice),MATCH($A409,INDIRECT(RangeEstCount),0)),IF(Awd?,OFFSET(TabAmount,MATCH(INDEX(INDIRECT(RangeCount),MATCH($A409,INDIRECT(RangeEstCount),0)),OFFSET(TabCount,1,0,2*NumPayItems,1),0),MATCH(Awarded2,Bidders,0)),IF(OR($C409="",$D409="LPSM"),"","$"))),"")</f>
        <v/>
      </c>
      <c r="G409" s="171" t="str">
        <f ca="1">IFERROR(VALUE(C409)*F409,IF(AND(Bid?,NOT(Awd?),$D409="LPSM"),"$",F409))</f>
        <v/>
      </c>
      <c r="H409" s="374"/>
      <c r="I409" s="217" t="str">
        <f ca="1">IFERROR(VALUE(SUBSTITUTE(OFFSET(I409,-1,0)," "&amp;$D409,""))*$F409,"")</f>
        <v/>
      </c>
      <c r="J409" s="215" t="str">
        <f ca="1">IFERROR(VALUE(SUBSTITUTE(OFFSET(J409,-1,0)," "&amp;$D409,""))*$F409,"")</f>
        <v/>
      </c>
      <c r="K409" s="215" t="str">
        <f t="shared" ref="K409:M409" ca="1" si="410">IFERROR(VALUE(SUBSTITUTE(OFFSET(K409,-1,0)," "&amp;$D409,""))*$F409,"")</f>
        <v/>
      </c>
      <c r="L409" s="215" t="str">
        <f t="shared" ca="1" si="410"/>
        <v/>
      </c>
      <c r="M409" s="215" t="str">
        <f t="shared" ca="1" si="410"/>
        <v/>
      </c>
      <c r="N409" s="215" t="str">
        <f ca="1">IFERROR(VALUE(SUBSTITUTE(OFFSET(N409,-1,0)," "&amp;$D409,""))*$F409,"")</f>
        <v/>
      </c>
      <c r="O409" s="215" t="str">
        <f ca="1">IFERROR(VALUE(SUBSTITUTE(OFFSET(O409,-1,0)," "&amp;$D409,""))*$F409,"")</f>
        <v/>
      </c>
      <c r="P409" s="209" t="str">
        <f ca="1">IF(LEN(B409)&gt;0,ISNUMBER(MATCH(B409,Proposed[Item],0)),"")</f>
        <v/>
      </c>
    </row>
    <row r="410" spans="1:16" ht="15" x14ac:dyDescent="0.2">
      <c r="A410" s="276">
        <f t="shared" ca="1" si="392"/>
        <v>202</v>
      </c>
      <c r="B410" s="168" t="str">
        <f ca="1">IFERROR(INDEX(INDIRECT(RangeItems),MATCH($A410,INDIRECT(RangeEstCount),0)),"")</f>
        <v/>
      </c>
      <c r="C410" s="365" t="str">
        <f ca="1">IFERROR(INDEX(Calcs[Description],INDEX(INDIRECT(RangeCount),MATCH($A410,INDIRECT(RangeEstCount),0))),"")</f>
        <v/>
      </c>
      <c r="D410" s="365"/>
      <c r="E410" s="365"/>
      <c r="F410" s="365"/>
      <c r="G410" s="365"/>
      <c r="H410" s="375" t="str">
        <f ca="1">IF(AND(Bid?,NOT(Awd?)),C410,OFFSET(F410,1,0))</f>
        <v/>
      </c>
      <c r="I410" s="216" t="str">
        <f t="shared" ref="I410:O410" ca="1" si="411">IFERROR(SUM(OFFSET(INDIRECT(RangeQuantity),MATCH($A410,INDIRECT(RangeEstCount),0)-1,COLUMN(I410)-COLUMN($H410),1,1))&amp;" "&amp;OFFSET($D410,1,0),"")</f>
        <v/>
      </c>
      <c r="J410" s="277" t="str">
        <f t="shared" ca="1" si="411"/>
        <v/>
      </c>
      <c r="K410" s="277" t="str">
        <f t="shared" ca="1" si="411"/>
        <v/>
      </c>
      <c r="L410" s="277" t="str">
        <f t="shared" ca="1" si="411"/>
        <v/>
      </c>
      <c r="M410" s="277" t="str">
        <f t="shared" ca="1" si="411"/>
        <v/>
      </c>
      <c r="N410" s="277" t="str">
        <f t="shared" ca="1" si="411"/>
        <v/>
      </c>
      <c r="O410" s="277" t="str">
        <f t="shared" ca="1" si="411"/>
        <v/>
      </c>
      <c r="P410" s="209" t="str">
        <f ca="1">IF(LEN(B410)&gt;0,ISNUMBER(MATCH(B410,Proposed[Item],0)),"")</f>
        <v/>
      </c>
    </row>
    <row r="411" spans="1:16" ht="15" x14ac:dyDescent="0.2">
      <c r="A411" s="276">
        <f t="shared" ca="1" si="392"/>
        <v>202</v>
      </c>
      <c r="B411" s="111" t="str">
        <f ca="1">IFERROR("Line "&amp;INDEX(Calcs[Line],INDEX(INDIRECT(RangeCount),MATCH($A411,INDIRECT(RangeEstCount),0))),"")</f>
        <v/>
      </c>
      <c r="C411" s="169" t="str">
        <f ca="1">IFERROR(IF(AND($D411="LPSM",Bid?,All?),"ALL",TEXT(OFFSET(INDIRECT(RangeQuantity),MATCH($A411,INDIRECT(RangeEstCount),0)-1,MATCH(Account,Accounts,0)-1,1,1),IF($D411="LPSM","0%","#,##0"&amp;IF(OFFSET(Items[#Data],MATCH($A411,INDIRECT(RangeEstCount),0)-1,MATCH(Decimals,Items[#Headers],0)-1,1,1)&gt;0,"."&amp;REPT("0",OFFSET(Items[#Data],MATCH($A411,INDIRECT(RangeEstCount),0)-1,MATCH(Decimals,Items[#Headers],0)-1,1,1)),"")))),"")</f>
        <v/>
      </c>
      <c r="D411" s="170" t="str">
        <f ca="1">IFERROR(INDEX(INDIRECT(RangeUnit),MATCH($A411,INDIRECT(RangeEstCount),0))&amp;SUBSTITUTE(" ["&amp;INDEX(INDIRECT(RangeAmend),MATCH($A411,INDIRECT(RangeEstCount),0))&amp;"]"," []",""),"")</f>
        <v/>
      </c>
      <c r="E411" s="170" t="str">
        <f ca="1">IFERROR(IF(INDEX(INDIRECT(RangeContrQty),MATCH($A411,INDIRECT(RangeEstCount),0)),"(CQ)",""),"")</f>
        <v/>
      </c>
      <c r="F411" s="171" t="str">
        <f ca="1">IFERROR(IF(OR(NOT(Bid?),LEFT(UPPER($D411),4)="FXHR"),INDEX(INDIRECT(RangeUnitPrice),MATCH($A411,INDIRECT(RangeEstCount),0)),IF(Awd?,OFFSET(TabAmount,MATCH(INDEX(INDIRECT(RangeCount),MATCH($A411,INDIRECT(RangeEstCount),0)),OFFSET(TabCount,1,0,2*NumPayItems,1),0),MATCH(Awarded2,Bidders,0)),IF(OR($C411="",$D411="LPSM"),"","$"))),"")</f>
        <v/>
      </c>
      <c r="G411" s="171" t="str">
        <f ca="1">IFERROR(VALUE(C411)*F411,IF(AND(Bid?,NOT(Awd?),$D411="LPSM"),"$",F411))</f>
        <v/>
      </c>
      <c r="H411" s="374"/>
      <c r="I411" s="217" t="str">
        <f ca="1">IFERROR(VALUE(SUBSTITUTE(OFFSET(I411,-1,0)," "&amp;$D411,""))*$F411,"")</f>
        <v/>
      </c>
      <c r="J411" s="215" t="str">
        <f ca="1">IFERROR(VALUE(SUBSTITUTE(OFFSET(J411,-1,0)," "&amp;$D411,""))*$F411,"")</f>
        <v/>
      </c>
      <c r="K411" s="215" t="str">
        <f t="shared" ref="K411:M411" ca="1" si="412">IFERROR(VALUE(SUBSTITUTE(OFFSET(K411,-1,0)," "&amp;$D411,""))*$F411,"")</f>
        <v/>
      </c>
      <c r="L411" s="215" t="str">
        <f t="shared" ca="1" si="412"/>
        <v/>
      </c>
      <c r="M411" s="215" t="str">
        <f t="shared" ca="1" si="412"/>
        <v/>
      </c>
      <c r="N411" s="215" t="str">
        <f ca="1">IFERROR(VALUE(SUBSTITUTE(OFFSET(N411,-1,0)," "&amp;$D411,""))*$F411,"")</f>
        <v/>
      </c>
      <c r="O411" s="215" t="str">
        <f ca="1">IFERROR(VALUE(SUBSTITUTE(OFFSET(O411,-1,0)," "&amp;$D411,""))*$F411,"")</f>
        <v/>
      </c>
      <c r="P411" s="209" t="str">
        <f ca="1">IF(LEN(B411)&gt;0,ISNUMBER(MATCH(B411,Proposed[Item],0)),"")</f>
        <v/>
      </c>
    </row>
    <row r="412" spans="1:16" ht="15" x14ac:dyDescent="0.2">
      <c r="A412" s="276">
        <f t="shared" ca="1" si="392"/>
        <v>203</v>
      </c>
      <c r="B412" s="168" t="str">
        <f ca="1">IFERROR(INDEX(INDIRECT(RangeItems),MATCH($A412,INDIRECT(RangeEstCount),0)),"")</f>
        <v/>
      </c>
      <c r="C412" s="365" t="str">
        <f ca="1">IFERROR(INDEX(Calcs[Description],INDEX(INDIRECT(RangeCount),MATCH($A412,INDIRECT(RangeEstCount),0))),"")</f>
        <v/>
      </c>
      <c r="D412" s="365"/>
      <c r="E412" s="365"/>
      <c r="F412" s="365"/>
      <c r="G412" s="365"/>
      <c r="H412" s="375" t="str">
        <f ca="1">IF(AND(Bid?,NOT(Awd?)),C412,OFFSET(F412,1,0))</f>
        <v/>
      </c>
      <c r="I412" s="216" t="str">
        <f t="shared" ref="I412:O412" ca="1" si="413">IFERROR(SUM(OFFSET(INDIRECT(RangeQuantity),MATCH($A412,INDIRECT(RangeEstCount),0)-1,COLUMN(I412)-COLUMN($H412),1,1))&amp;" "&amp;OFFSET($D412,1,0),"")</f>
        <v/>
      </c>
      <c r="J412" s="277" t="str">
        <f t="shared" ca="1" si="413"/>
        <v/>
      </c>
      <c r="K412" s="277" t="str">
        <f t="shared" ca="1" si="413"/>
        <v/>
      </c>
      <c r="L412" s="277" t="str">
        <f t="shared" ca="1" si="413"/>
        <v/>
      </c>
      <c r="M412" s="277" t="str">
        <f t="shared" ca="1" si="413"/>
        <v/>
      </c>
      <c r="N412" s="277" t="str">
        <f t="shared" ca="1" si="413"/>
        <v/>
      </c>
      <c r="O412" s="277" t="str">
        <f t="shared" ca="1" si="413"/>
        <v/>
      </c>
      <c r="P412" s="209" t="str">
        <f ca="1">IF(LEN(B412)&gt;0,ISNUMBER(MATCH(B412,Proposed[Item],0)),"")</f>
        <v/>
      </c>
    </row>
    <row r="413" spans="1:16" ht="15" x14ac:dyDescent="0.2">
      <c r="A413" s="276">
        <f t="shared" ca="1" si="392"/>
        <v>203</v>
      </c>
      <c r="B413" s="111" t="str">
        <f ca="1">IFERROR("Line "&amp;INDEX(Calcs[Line],INDEX(INDIRECT(RangeCount),MATCH($A413,INDIRECT(RangeEstCount),0))),"")</f>
        <v/>
      </c>
      <c r="C413" s="169" t="str">
        <f ca="1">IFERROR(IF(AND($D413="LPSM",Bid?,All?),"ALL",TEXT(OFFSET(INDIRECT(RangeQuantity),MATCH($A413,INDIRECT(RangeEstCount),0)-1,MATCH(Account,Accounts,0)-1,1,1),IF($D413="LPSM","0%","#,##0"&amp;IF(OFFSET(Items[#Data],MATCH($A413,INDIRECT(RangeEstCount),0)-1,MATCH(Decimals,Items[#Headers],0)-1,1,1)&gt;0,"."&amp;REPT("0",OFFSET(Items[#Data],MATCH($A413,INDIRECT(RangeEstCount),0)-1,MATCH(Decimals,Items[#Headers],0)-1,1,1)),"")))),"")</f>
        <v/>
      </c>
      <c r="D413" s="170" t="str">
        <f ca="1">IFERROR(INDEX(INDIRECT(RangeUnit),MATCH($A413,INDIRECT(RangeEstCount),0))&amp;SUBSTITUTE(" ["&amp;INDEX(INDIRECT(RangeAmend),MATCH($A413,INDIRECT(RangeEstCount),0))&amp;"]"," []",""),"")</f>
        <v/>
      </c>
      <c r="E413" s="170" t="str">
        <f ca="1">IFERROR(IF(INDEX(INDIRECT(RangeContrQty),MATCH($A413,INDIRECT(RangeEstCount),0)),"(CQ)",""),"")</f>
        <v/>
      </c>
      <c r="F413" s="171" t="str">
        <f ca="1">IFERROR(IF(OR(NOT(Bid?),LEFT(UPPER($D413),4)="FXHR"),INDEX(INDIRECT(RangeUnitPrice),MATCH($A413,INDIRECT(RangeEstCount),0)),IF(Awd?,OFFSET(TabAmount,MATCH(INDEX(INDIRECT(RangeCount),MATCH($A413,INDIRECT(RangeEstCount),0)),OFFSET(TabCount,1,0,2*NumPayItems,1),0),MATCH(Awarded2,Bidders,0)),IF(OR($C413="",$D413="LPSM"),"","$"))),"")</f>
        <v/>
      </c>
      <c r="G413" s="171" t="str">
        <f ca="1">IFERROR(VALUE(C413)*F413,IF(AND(Bid?,NOT(Awd?),$D413="LPSM"),"$",F413))</f>
        <v/>
      </c>
      <c r="H413" s="374"/>
      <c r="I413" s="217" t="str">
        <f ca="1">IFERROR(VALUE(SUBSTITUTE(OFFSET(I413,-1,0)," "&amp;$D413,""))*$F413,"")</f>
        <v/>
      </c>
      <c r="J413" s="215" t="str">
        <f ca="1">IFERROR(VALUE(SUBSTITUTE(OFFSET(J413,-1,0)," "&amp;$D413,""))*$F413,"")</f>
        <v/>
      </c>
      <c r="K413" s="215" t="str">
        <f t="shared" ref="K413:M413" ca="1" si="414">IFERROR(VALUE(SUBSTITUTE(OFFSET(K413,-1,0)," "&amp;$D413,""))*$F413,"")</f>
        <v/>
      </c>
      <c r="L413" s="215" t="str">
        <f t="shared" ca="1" si="414"/>
        <v/>
      </c>
      <c r="M413" s="215" t="str">
        <f t="shared" ca="1" si="414"/>
        <v/>
      </c>
      <c r="N413" s="215" t="str">
        <f ca="1">IFERROR(VALUE(SUBSTITUTE(OFFSET(N413,-1,0)," "&amp;$D413,""))*$F413,"")</f>
        <v/>
      </c>
      <c r="O413" s="215" t="str">
        <f ca="1">IFERROR(VALUE(SUBSTITUTE(OFFSET(O413,-1,0)," "&amp;$D413,""))*$F413,"")</f>
        <v/>
      </c>
      <c r="P413" s="209" t="str">
        <f ca="1">IF(LEN(B413)&gt;0,ISNUMBER(MATCH(B413,Proposed[Item],0)),"")</f>
        <v/>
      </c>
    </row>
    <row r="414" spans="1:16" ht="15" x14ac:dyDescent="0.2">
      <c r="A414" s="276">
        <f t="shared" ca="1" si="392"/>
        <v>204</v>
      </c>
      <c r="B414" s="168" t="str">
        <f ca="1">IFERROR(INDEX(INDIRECT(RangeItems),MATCH($A414,INDIRECT(RangeEstCount),0)),"")</f>
        <v/>
      </c>
      <c r="C414" s="365" t="str">
        <f ca="1">IFERROR(INDEX(Calcs[Description],INDEX(INDIRECT(RangeCount),MATCH($A414,INDIRECT(RangeEstCount),0))),"")</f>
        <v/>
      </c>
      <c r="D414" s="365"/>
      <c r="E414" s="365"/>
      <c r="F414" s="365"/>
      <c r="G414" s="365"/>
      <c r="H414" s="375" t="str">
        <f ca="1">IF(AND(Bid?,NOT(Awd?)),C414,OFFSET(F414,1,0))</f>
        <v/>
      </c>
      <c r="I414" s="216" t="str">
        <f t="shared" ref="I414:O414" ca="1" si="415">IFERROR(SUM(OFFSET(INDIRECT(RangeQuantity),MATCH($A414,INDIRECT(RangeEstCount),0)-1,COLUMN(I414)-COLUMN($H414),1,1))&amp;" "&amp;OFFSET($D414,1,0),"")</f>
        <v/>
      </c>
      <c r="J414" s="277" t="str">
        <f t="shared" ca="1" si="415"/>
        <v/>
      </c>
      <c r="K414" s="277" t="str">
        <f t="shared" ca="1" si="415"/>
        <v/>
      </c>
      <c r="L414" s="277" t="str">
        <f t="shared" ca="1" si="415"/>
        <v/>
      </c>
      <c r="M414" s="277" t="str">
        <f t="shared" ca="1" si="415"/>
        <v/>
      </c>
      <c r="N414" s="277" t="str">
        <f t="shared" ca="1" si="415"/>
        <v/>
      </c>
      <c r="O414" s="277" t="str">
        <f t="shared" ca="1" si="415"/>
        <v/>
      </c>
      <c r="P414" s="209" t="str">
        <f ca="1">IF(LEN(B414)&gt;0,ISNUMBER(MATCH(B414,Proposed[Item],0)),"")</f>
        <v/>
      </c>
    </row>
    <row r="415" spans="1:16" ht="15" x14ac:dyDescent="0.2">
      <c r="A415" s="276">
        <f t="shared" ca="1" si="392"/>
        <v>204</v>
      </c>
      <c r="B415" s="111" t="str">
        <f ca="1">IFERROR("Line "&amp;INDEX(Calcs[Line],INDEX(INDIRECT(RangeCount),MATCH($A415,INDIRECT(RangeEstCount),0))),"")</f>
        <v/>
      </c>
      <c r="C415" s="169" t="str">
        <f ca="1">IFERROR(IF(AND($D415="LPSM",Bid?,All?),"ALL",TEXT(OFFSET(INDIRECT(RangeQuantity),MATCH($A415,INDIRECT(RangeEstCount),0)-1,MATCH(Account,Accounts,0)-1,1,1),IF($D415="LPSM","0%","#,##0"&amp;IF(OFFSET(Items[#Data],MATCH($A415,INDIRECT(RangeEstCount),0)-1,MATCH(Decimals,Items[#Headers],0)-1,1,1)&gt;0,"."&amp;REPT("0",OFFSET(Items[#Data],MATCH($A415,INDIRECT(RangeEstCount),0)-1,MATCH(Decimals,Items[#Headers],0)-1,1,1)),"")))),"")</f>
        <v/>
      </c>
      <c r="D415" s="170" t="str">
        <f ca="1">IFERROR(INDEX(INDIRECT(RangeUnit),MATCH($A415,INDIRECT(RangeEstCount),0))&amp;SUBSTITUTE(" ["&amp;INDEX(INDIRECT(RangeAmend),MATCH($A415,INDIRECT(RangeEstCount),0))&amp;"]"," []",""),"")</f>
        <v/>
      </c>
      <c r="E415" s="170" t="str">
        <f ca="1">IFERROR(IF(INDEX(INDIRECT(RangeContrQty),MATCH($A415,INDIRECT(RangeEstCount),0)),"(CQ)",""),"")</f>
        <v/>
      </c>
      <c r="F415" s="171" t="str">
        <f ca="1">IFERROR(IF(OR(NOT(Bid?),LEFT(UPPER($D415),4)="FXHR"),INDEX(INDIRECT(RangeUnitPrice),MATCH($A415,INDIRECT(RangeEstCount),0)),IF(Awd?,OFFSET(TabAmount,MATCH(INDEX(INDIRECT(RangeCount),MATCH($A415,INDIRECT(RangeEstCount),0)),OFFSET(TabCount,1,0,2*NumPayItems,1),0),MATCH(Awarded2,Bidders,0)),IF(OR($C415="",$D415="LPSM"),"","$"))),"")</f>
        <v/>
      </c>
      <c r="G415" s="171" t="str">
        <f ca="1">IFERROR(VALUE(C415)*F415,IF(AND(Bid?,NOT(Awd?),$D415="LPSM"),"$",F415))</f>
        <v/>
      </c>
      <c r="H415" s="374"/>
      <c r="I415" s="217" t="str">
        <f ca="1">IFERROR(VALUE(SUBSTITUTE(OFFSET(I415,-1,0)," "&amp;$D415,""))*$F415,"")</f>
        <v/>
      </c>
      <c r="J415" s="215" t="str">
        <f ca="1">IFERROR(VALUE(SUBSTITUTE(OFFSET(J415,-1,0)," "&amp;$D415,""))*$F415,"")</f>
        <v/>
      </c>
      <c r="K415" s="215" t="str">
        <f t="shared" ref="K415:M415" ca="1" si="416">IFERROR(VALUE(SUBSTITUTE(OFFSET(K415,-1,0)," "&amp;$D415,""))*$F415,"")</f>
        <v/>
      </c>
      <c r="L415" s="215" t="str">
        <f t="shared" ca="1" si="416"/>
        <v/>
      </c>
      <c r="M415" s="215" t="str">
        <f t="shared" ca="1" si="416"/>
        <v/>
      </c>
      <c r="N415" s="215" t="str">
        <f ca="1">IFERROR(VALUE(SUBSTITUTE(OFFSET(N415,-1,0)," "&amp;$D415,""))*$F415,"")</f>
        <v/>
      </c>
      <c r="O415" s="215" t="str">
        <f ca="1">IFERROR(VALUE(SUBSTITUTE(OFFSET(O415,-1,0)," "&amp;$D415,""))*$F415,"")</f>
        <v/>
      </c>
      <c r="P415" s="209" t="str">
        <f ca="1">IF(LEN(B415)&gt;0,ISNUMBER(MATCH(B415,Proposed[Item],0)),"")</f>
        <v/>
      </c>
    </row>
    <row r="416" spans="1:16" ht="15" x14ac:dyDescent="0.2">
      <c r="A416" s="276">
        <f t="shared" ca="1" si="392"/>
        <v>205</v>
      </c>
      <c r="B416" s="168" t="str">
        <f ca="1">IFERROR(INDEX(INDIRECT(RangeItems),MATCH($A416,INDIRECT(RangeEstCount),0)),"")</f>
        <v/>
      </c>
      <c r="C416" s="365" t="str">
        <f ca="1">IFERROR(INDEX(Calcs[Description],INDEX(INDIRECT(RangeCount),MATCH($A416,INDIRECT(RangeEstCount),0))),"")</f>
        <v/>
      </c>
      <c r="D416" s="365"/>
      <c r="E416" s="365"/>
      <c r="F416" s="365"/>
      <c r="G416" s="365"/>
      <c r="H416" s="375" t="str">
        <f ca="1">IF(AND(Bid?,NOT(Awd?)),C416,OFFSET(F416,1,0))</f>
        <v/>
      </c>
      <c r="I416" s="216" t="str">
        <f t="shared" ref="I416:O416" ca="1" si="417">IFERROR(SUM(OFFSET(INDIRECT(RangeQuantity),MATCH($A416,INDIRECT(RangeEstCount),0)-1,COLUMN(I416)-COLUMN($H416),1,1))&amp;" "&amp;OFFSET($D416,1,0),"")</f>
        <v/>
      </c>
      <c r="J416" s="277" t="str">
        <f t="shared" ca="1" si="417"/>
        <v/>
      </c>
      <c r="K416" s="277" t="str">
        <f t="shared" ca="1" si="417"/>
        <v/>
      </c>
      <c r="L416" s="277" t="str">
        <f t="shared" ca="1" si="417"/>
        <v/>
      </c>
      <c r="M416" s="277" t="str">
        <f t="shared" ca="1" si="417"/>
        <v/>
      </c>
      <c r="N416" s="277" t="str">
        <f t="shared" ca="1" si="417"/>
        <v/>
      </c>
      <c r="O416" s="277" t="str">
        <f t="shared" ca="1" si="417"/>
        <v/>
      </c>
      <c r="P416" s="209" t="str">
        <f ca="1">IF(LEN(B416)&gt;0,ISNUMBER(MATCH(B416,Proposed[Item],0)),"")</f>
        <v/>
      </c>
    </row>
    <row r="417" spans="1:16" ht="15" x14ac:dyDescent="0.2">
      <c r="A417" s="276">
        <f t="shared" ca="1" si="392"/>
        <v>205</v>
      </c>
      <c r="B417" s="111" t="str">
        <f ca="1">IFERROR("Line "&amp;INDEX(Calcs[Line],INDEX(INDIRECT(RangeCount),MATCH($A417,INDIRECT(RangeEstCount),0))),"")</f>
        <v/>
      </c>
      <c r="C417" s="169" t="str">
        <f ca="1">IFERROR(IF(AND($D417="LPSM",Bid?,All?),"ALL",TEXT(OFFSET(INDIRECT(RangeQuantity),MATCH($A417,INDIRECT(RangeEstCount),0)-1,MATCH(Account,Accounts,0)-1,1,1),IF($D417="LPSM","0%","#,##0"&amp;IF(OFFSET(Items[#Data],MATCH($A417,INDIRECT(RangeEstCount),0)-1,MATCH(Decimals,Items[#Headers],0)-1,1,1)&gt;0,"."&amp;REPT("0",OFFSET(Items[#Data],MATCH($A417,INDIRECT(RangeEstCount),0)-1,MATCH(Decimals,Items[#Headers],0)-1,1,1)),"")))),"")</f>
        <v/>
      </c>
      <c r="D417" s="170" t="str">
        <f ca="1">IFERROR(INDEX(INDIRECT(RangeUnit),MATCH($A417,INDIRECT(RangeEstCount),0))&amp;SUBSTITUTE(" ["&amp;INDEX(INDIRECT(RangeAmend),MATCH($A417,INDIRECT(RangeEstCount),0))&amp;"]"," []",""),"")</f>
        <v/>
      </c>
      <c r="E417" s="170" t="str">
        <f ca="1">IFERROR(IF(INDEX(INDIRECT(RangeContrQty),MATCH($A417,INDIRECT(RangeEstCount),0)),"(CQ)",""),"")</f>
        <v/>
      </c>
      <c r="F417" s="171" t="str">
        <f ca="1">IFERROR(IF(OR(NOT(Bid?),LEFT(UPPER($D417),4)="FXHR"),INDEX(INDIRECT(RangeUnitPrice),MATCH($A417,INDIRECT(RangeEstCount),0)),IF(Awd?,OFFSET(TabAmount,MATCH(INDEX(INDIRECT(RangeCount),MATCH($A417,INDIRECT(RangeEstCount),0)),OFFSET(TabCount,1,0,2*NumPayItems,1),0),MATCH(Awarded2,Bidders,0)),IF(OR($C417="",$D417="LPSM"),"","$"))),"")</f>
        <v/>
      </c>
      <c r="G417" s="171" t="str">
        <f ca="1">IFERROR(VALUE(C417)*F417,IF(AND(Bid?,NOT(Awd?),$D417="LPSM"),"$",F417))</f>
        <v/>
      </c>
      <c r="H417" s="374"/>
      <c r="I417" s="217" t="str">
        <f ca="1">IFERROR(VALUE(SUBSTITUTE(OFFSET(I417,-1,0)," "&amp;$D417,""))*$F417,"")</f>
        <v/>
      </c>
      <c r="J417" s="215" t="str">
        <f ca="1">IFERROR(VALUE(SUBSTITUTE(OFFSET(J417,-1,0)," "&amp;$D417,""))*$F417,"")</f>
        <v/>
      </c>
      <c r="K417" s="215" t="str">
        <f t="shared" ref="K417:M417" ca="1" si="418">IFERROR(VALUE(SUBSTITUTE(OFFSET(K417,-1,0)," "&amp;$D417,""))*$F417,"")</f>
        <v/>
      </c>
      <c r="L417" s="215" t="str">
        <f t="shared" ca="1" si="418"/>
        <v/>
      </c>
      <c r="M417" s="215" t="str">
        <f t="shared" ca="1" si="418"/>
        <v/>
      </c>
      <c r="N417" s="215" t="str">
        <f ca="1">IFERROR(VALUE(SUBSTITUTE(OFFSET(N417,-1,0)," "&amp;$D417,""))*$F417,"")</f>
        <v/>
      </c>
      <c r="O417" s="215" t="str">
        <f ca="1">IFERROR(VALUE(SUBSTITUTE(OFFSET(O417,-1,0)," "&amp;$D417,""))*$F417,"")</f>
        <v/>
      </c>
      <c r="P417" s="209" t="str">
        <f ca="1">IF(LEN(B417)&gt;0,ISNUMBER(MATCH(B417,Proposed[Item],0)),"")</f>
        <v/>
      </c>
    </row>
    <row r="418" spans="1:16" ht="15" x14ac:dyDescent="0.2">
      <c r="A418" s="276">
        <f t="shared" ca="1" si="392"/>
        <v>206</v>
      </c>
      <c r="B418" s="168" t="str">
        <f ca="1">IFERROR(INDEX(INDIRECT(RangeItems),MATCH($A418,INDIRECT(RangeEstCount),0)),"")</f>
        <v/>
      </c>
      <c r="C418" s="365" t="str">
        <f ca="1">IFERROR(INDEX(Calcs[Description],INDEX(INDIRECT(RangeCount),MATCH($A418,INDIRECT(RangeEstCount),0))),"")</f>
        <v/>
      </c>
      <c r="D418" s="365"/>
      <c r="E418" s="365"/>
      <c r="F418" s="365"/>
      <c r="G418" s="365"/>
      <c r="H418" s="375" t="str">
        <f ca="1">IF(AND(Bid?,NOT(Awd?)),C418,OFFSET(F418,1,0))</f>
        <v/>
      </c>
      <c r="I418" s="216" t="str">
        <f t="shared" ref="I418:O418" ca="1" si="419">IFERROR(SUM(OFFSET(INDIRECT(RangeQuantity),MATCH($A418,INDIRECT(RangeEstCount),0)-1,COLUMN(I418)-COLUMN($H418),1,1))&amp;" "&amp;OFFSET($D418,1,0),"")</f>
        <v/>
      </c>
      <c r="J418" s="277" t="str">
        <f t="shared" ca="1" si="419"/>
        <v/>
      </c>
      <c r="K418" s="277" t="str">
        <f t="shared" ca="1" si="419"/>
        <v/>
      </c>
      <c r="L418" s="277" t="str">
        <f t="shared" ca="1" si="419"/>
        <v/>
      </c>
      <c r="M418" s="277" t="str">
        <f t="shared" ca="1" si="419"/>
        <v/>
      </c>
      <c r="N418" s="277" t="str">
        <f t="shared" ca="1" si="419"/>
        <v/>
      </c>
      <c r="O418" s="277" t="str">
        <f t="shared" ca="1" si="419"/>
        <v/>
      </c>
      <c r="P418" s="209" t="str">
        <f ca="1">IF(LEN(B418)&gt;0,ISNUMBER(MATCH(B418,Proposed[Item],0)),"")</f>
        <v/>
      </c>
    </row>
    <row r="419" spans="1:16" ht="15" x14ac:dyDescent="0.2">
      <c r="A419" s="276">
        <f t="shared" ca="1" si="392"/>
        <v>206</v>
      </c>
      <c r="B419" s="111" t="str">
        <f ca="1">IFERROR("Line "&amp;INDEX(Calcs[Line],INDEX(INDIRECT(RangeCount),MATCH($A419,INDIRECT(RangeEstCount),0))),"")</f>
        <v/>
      </c>
      <c r="C419" s="169" t="str">
        <f ca="1">IFERROR(IF(AND($D419="LPSM",Bid?,All?),"ALL",TEXT(OFFSET(INDIRECT(RangeQuantity),MATCH($A419,INDIRECT(RangeEstCount),0)-1,MATCH(Account,Accounts,0)-1,1,1),IF($D419="LPSM","0%","#,##0"&amp;IF(OFFSET(Items[#Data],MATCH($A419,INDIRECT(RangeEstCount),0)-1,MATCH(Decimals,Items[#Headers],0)-1,1,1)&gt;0,"."&amp;REPT("0",OFFSET(Items[#Data],MATCH($A419,INDIRECT(RangeEstCount),0)-1,MATCH(Decimals,Items[#Headers],0)-1,1,1)),"")))),"")</f>
        <v/>
      </c>
      <c r="D419" s="170" t="str">
        <f ca="1">IFERROR(INDEX(INDIRECT(RangeUnit),MATCH($A419,INDIRECT(RangeEstCount),0))&amp;SUBSTITUTE(" ["&amp;INDEX(INDIRECT(RangeAmend),MATCH($A419,INDIRECT(RangeEstCount),0))&amp;"]"," []",""),"")</f>
        <v/>
      </c>
      <c r="E419" s="170" t="str">
        <f ca="1">IFERROR(IF(INDEX(INDIRECT(RangeContrQty),MATCH($A419,INDIRECT(RangeEstCount),0)),"(CQ)",""),"")</f>
        <v/>
      </c>
      <c r="F419" s="171" t="str">
        <f ca="1">IFERROR(IF(OR(NOT(Bid?),LEFT(UPPER($D419),4)="FXHR"),INDEX(INDIRECT(RangeUnitPrice),MATCH($A419,INDIRECT(RangeEstCount),0)),IF(Awd?,OFFSET(TabAmount,MATCH(INDEX(INDIRECT(RangeCount),MATCH($A419,INDIRECT(RangeEstCount),0)),OFFSET(TabCount,1,0,2*NumPayItems,1),0),MATCH(Awarded2,Bidders,0)),IF(OR($C419="",$D419="LPSM"),"","$"))),"")</f>
        <v/>
      </c>
      <c r="G419" s="171" t="str">
        <f ca="1">IFERROR(VALUE(C419)*F419,IF(AND(Bid?,NOT(Awd?),$D419="LPSM"),"$",F419))</f>
        <v/>
      </c>
      <c r="H419" s="374"/>
      <c r="I419" s="217" t="str">
        <f ca="1">IFERROR(VALUE(SUBSTITUTE(OFFSET(I419,-1,0)," "&amp;$D419,""))*$F419,"")</f>
        <v/>
      </c>
      <c r="J419" s="215" t="str">
        <f ca="1">IFERROR(VALUE(SUBSTITUTE(OFFSET(J419,-1,0)," "&amp;$D419,""))*$F419,"")</f>
        <v/>
      </c>
      <c r="K419" s="215" t="str">
        <f t="shared" ref="K419:M419" ca="1" si="420">IFERROR(VALUE(SUBSTITUTE(OFFSET(K419,-1,0)," "&amp;$D419,""))*$F419,"")</f>
        <v/>
      </c>
      <c r="L419" s="215" t="str">
        <f t="shared" ca="1" si="420"/>
        <v/>
      </c>
      <c r="M419" s="215" t="str">
        <f t="shared" ca="1" si="420"/>
        <v/>
      </c>
      <c r="N419" s="215" t="str">
        <f ca="1">IFERROR(VALUE(SUBSTITUTE(OFFSET(N419,-1,0)," "&amp;$D419,""))*$F419,"")</f>
        <v/>
      </c>
      <c r="O419" s="215" t="str">
        <f ca="1">IFERROR(VALUE(SUBSTITUTE(OFFSET(O419,-1,0)," "&amp;$D419,""))*$F419,"")</f>
        <v/>
      </c>
      <c r="P419" s="209" t="str">
        <f ca="1">IF(LEN(B419)&gt;0,ISNUMBER(MATCH(B419,Proposed[Item],0)),"")</f>
        <v/>
      </c>
    </row>
    <row r="420" spans="1:16" ht="15" x14ac:dyDescent="0.2">
      <c r="A420" s="276">
        <f t="shared" ca="1" si="392"/>
        <v>207</v>
      </c>
      <c r="B420" s="168" t="str">
        <f ca="1">IFERROR(INDEX(INDIRECT(RangeItems),MATCH($A420,INDIRECT(RangeEstCount),0)),"")</f>
        <v/>
      </c>
      <c r="C420" s="365" t="str">
        <f ca="1">IFERROR(INDEX(Calcs[Description],INDEX(INDIRECT(RangeCount),MATCH($A420,INDIRECT(RangeEstCount),0))),"")</f>
        <v/>
      </c>
      <c r="D420" s="365"/>
      <c r="E420" s="365"/>
      <c r="F420" s="365"/>
      <c r="G420" s="365"/>
      <c r="H420" s="375" t="str">
        <f ca="1">IF(AND(Bid?,NOT(Awd?)),C420,OFFSET(F420,1,0))</f>
        <v/>
      </c>
      <c r="I420" s="216" t="str">
        <f t="shared" ref="I420:O420" ca="1" si="421">IFERROR(SUM(OFFSET(INDIRECT(RangeQuantity),MATCH($A420,INDIRECT(RangeEstCount),0)-1,COLUMN(I420)-COLUMN($H420),1,1))&amp;" "&amp;OFFSET($D420,1,0),"")</f>
        <v/>
      </c>
      <c r="J420" s="277" t="str">
        <f t="shared" ca="1" si="421"/>
        <v/>
      </c>
      <c r="K420" s="277" t="str">
        <f t="shared" ca="1" si="421"/>
        <v/>
      </c>
      <c r="L420" s="277" t="str">
        <f t="shared" ca="1" si="421"/>
        <v/>
      </c>
      <c r="M420" s="277" t="str">
        <f t="shared" ca="1" si="421"/>
        <v/>
      </c>
      <c r="N420" s="277" t="str">
        <f t="shared" ca="1" si="421"/>
        <v/>
      </c>
      <c r="O420" s="277" t="str">
        <f t="shared" ca="1" si="421"/>
        <v/>
      </c>
      <c r="P420" s="209" t="str">
        <f ca="1">IF(LEN(B420)&gt;0,ISNUMBER(MATCH(B420,Proposed[Item],0)),"")</f>
        <v/>
      </c>
    </row>
    <row r="421" spans="1:16" ht="15" x14ac:dyDescent="0.2">
      <c r="A421" s="276">
        <f t="shared" ca="1" si="392"/>
        <v>207</v>
      </c>
      <c r="B421" s="111" t="str">
        <f ca="1">IFERROR("Line "&amp;INDEX(Calcs[Line],INDEX(INDIRECT(RangeCount),MATCH($A421,INDIRECT(RangeEstCount),0))),"")</f>
        <v/>
      </c>
      <c r="C421" s="169" t="str">
        <f ca="1">IFERROR(IF(AND($D421="LPSM",Bid?,All?),"ALL",TEXT(OFFSET(INDIRECT(RangeQuantity),MATCH($A421,INDIRECT(RangeEstCount),0)-1,MATCH(Account,Accounts,0)-1,1,1),IF($D421="LPSM","0%","#,##0"&amp;IF(OFFSET(Items[#Data],MATCH($A421,INDIRECT(RangeEstCount),0)-1,MATCH(Decimals,Items[#Headers],0)-1,1,1)&gt;0,"."&amp;REPT("0",OFFSET(Items[#Data],MATCH($A421,INDIRECT(RangeEstCount),0)-1,MATCH(Decimals,Items[#Headers],0)-1,1,1)),"")))),"")</f>
        <v/>
      </c>
      <c r="D421" s="170" t="str">
        <f ca="1">IFERROR(INDEX(INDIRECT(RangeUnit),MATCH($A421,INDIRECT(RangeEstCount),0))&amp;SUBSTITUTE(" ["&amp;INDEX(INDIRECT(RangeAmend),MATCH($A421,INDIRECT(RangeEstCount),0))&amp;"]"," []",""),"")</f>
        <v/>
      </c>
      <c r="E421" s="170" t="str">
        <f ca="1">IFERROR(IF(INDEX(INDIRECT(RangeContrQty),MATCH($A421,INDIRECT(RangeEstCount),0)),"(CQ)",""),"")</f>
        <v/>
      </c>
      <c r="F421" s="171" t="str">
        <f ca="1">IFERROR(IF(OR(NOT(Bid?),LEFT(UPPER($D421),4)="FXHR"),INDEX(INDIRECT(RangeUnitPrice),MATCH($A421,INDIRECT(RangeEstCount),0)),IF(Awd?,OFFSET(TabAmount,MATCH(INDEX(INDIRECT(RangeCount),MATCH($A421,INDIRECT(RangeEstCount),0)),OFFSET(TabCount,1,0,2*NumPayItems,1),0),MATCH(Awarded2,Bidders,0)),IF(OR($C421="",$D421="LPSM"),"","$"))),"")</f>
        <v/>
      </c>
      <c r="G421" s="171" t="str">
        <f ca="1">IFERROR(VALUE(C421)*F421,IF(AND(Bid?,NOT(Awd?),$D421="LPSM"),"$",F421))</f>
        <v/>
      </c>
      <c r="H421" s="374"/>
      <c r="I421" s="217" t="str">
        <f ca="1">IFERROR(VALUE(SUBSTITUTE(OFFSET(I421,-1,0)," "&amp;$D421,""))*$F421,"")</f>
        <v/>
      </c>
      <c r="J421" s="215" t="str">
        <f ca="1">IFERROR(VALUE(SUBSTITUTE(OFFSET(J421,-1,0)," "&amp;$D421,""))*$F421,"")</f>
        <v/>
      </c>
      <c r="K421" s="215" t="str">
        <f t="shared" ref="K421:M421" ca="1" si="422">IFERROR(VALUE(SUBSTITUTE(OFFSET(K421,-1,0)," "&amp;$D421,""))*$F421,"")</f>
        <v/>
      </c>
      <c r="L421" s="215" t="str">
        <f t="shared" ca="1" si="422"/>
        <v/>
      </c>
      <c r="M421" s="215" t="str">
        <f t="shared" ca="1" si="422"/>
        <v/>
      </c>
      <c r="N421" s="215" t="str">
        <f ca="1">IFERROR(VALUE(SUBSTITUTE(OFFSET(N421,-1,0)," "&amp;$D421,""))*$F421,"")</f>
        <v/>
      </c>
      <c r="O421" s="215" t="str">
        <f ca="1">IFERROR(VALUE(SUBSTITUTE(OFFSET(O421,-1,0)," "&amp;$D421,""))*$F421,"")</f>
        <v/>
      </c>
      <c r="P421" s="209" t="str">
        <f ca="1">IF(LEN(B421)&gt;0,ISNUMBER(MATCH(B421,Proposed[Item],0)),"")</f>
        <v/>
      </c>
    </row>
    <row r="422" spans="1:16" ht="15" x14ac:dyDescent="0.2">
      <c r="A422" s="276">
        <f t="shared" ca="1" si="392"/>
        <v>208</v>
      </c>
      <c r="B422" s="168" t="str">
        <f ca="1">IFERROR(INDEX(INDIRECT(RangeItems),MATCH($A422,INDIRECT(RangeEstCount),0)),"")</f>
        <v/>
      </c>
      <c r="C422" s="365" t="str">
        <f ca="1">IFERROR(INDEX(Calcs[Description],INDEX(INDIRECT(RangeCount),MATCH($A422,INDIRECT(RangeEstCount),0))),"")</f>
        <v/>
      </c>
      <c r="D422" s="365"/>
      <c r="E422" s="365"/>
      <c r="F422" s="365"/>
      <c r="G422" s="365"/>
      <c r="H422" s="375" t="str">
        <f ca="1">IF(AND(Bid?,NOT(Awd?)),C422,OFFSET(F422,1,0))</f>
        <v/>
      </c>
      <c r="I422" s="216" t="str">
        <f t="shared" ref="I422:O422" ca="1" si="423">IFERROR(SUM(OFFSET(INDIRECT(RangeQuantity),MATCH($A422,INDIRECT(RangeEstCount),0)-1,COLUMN(I422)-COLUMN($H422),1,1))&amp;" "&amp;OFFSET($D422,1,0),"")</f>
        <v/>
      </c>
      <c r="J422" s="277" t="str">
        <f t="shared" ca="1" si="423"/>
        <v/>
      </c>
      <c r="K422" s="277" t="str">
        <f t="shared" ca="1" si="423"/>
        <v/>
      </c>
      <c r="L422" s="277" t="str">
        <f t="shared" ca="1" si="423"/>
        <v/>
      </c>
      <c r="M422" s="277" t="str">
        <f t="shared" ca="1" si="423"/>
        <v/>
      </c>
      <c r="N422" s="277" t="str">
        <f t="shared" ca="1" si="423"/>
        <v/>
      </c>
      <c r="O422" s="277" t="str">
        <f t="shared" ca="1" si="423"/>
        <v/>
      </c>
      <c r="P422" s="209" t="str">
        <f ca="1">IF(LEN(B422)&gt;0,ISNUMBER(MATCH(B422,Proposed[Item],0)),"")</f>
        <v/>
      </c>
    </row>
    <row r="423" spans="1:16" ht="15" x14ac:dyDescent="0.2">
      <c r="A423" s="276">
        <f t="shared" ca="1" si="392"/>
        <v>208</v>
      </c>
      <c r="B423" s="111" t="str">
        <f ca="1">IFERROR("Line "&amp;INDEX(Calcs[Line],INDEX(INDIRECT(RangeCount),MATCH($A423,INDIRECT(RangeEstCount),0))),"")</f>
        <v/>
      </c>
      <c r="C423" s="169" t="str">
        <f ca="1">IFERROR(IF(AND($D423="LPSM",Bid?,All?),"ALL",TEXT(OFFSET(INDIRECT(RangeQuantity),MATCH($A423,INDIRECT(RangeEstCount),0)-1,MATCH(Account,Accounts,0)-1,1,1),IF($D423="LPSM","0%","#,##0"&amp;IF(OFFSET(Items[#Data],MATCH($A423,INDIRECT(RangeEstCount),0)-1,MATCH(Decimals,Items[#Headers],0)-1,1,1)&gt;0,"."&amp;REPT("0",OFFSET(Items[#Data],MATCH($A423,INDIRECT(RangeEstCount),0)-1,MATCH(Decimals,Items[#Headers],0)-1,1,1)),"")))),"")</f>
        <v/>
      </c>
      <c r="D423" s="170" t="str">
        <f ca="1">IFERROR(INDEX(INDIRECT(RangeUnit),MATCH($A423,INDIRECT(RangeEstCount),0))&amp;SUBSTITUTE(" ["&amp;INDEX(INDIRECT(RangeAmend),MATCH($A423,INDIRECT(RangeEstCount),0))&amp;"]"," []",""),"")</f>
        <v/>
      </c>
      <c r="E423" s="170" t="str">
        <f ca="1">IFERROR(IF(INDEX(INDIRECT(RangeContrQty),MATCH($A423,INDIRECT(RangeEstCount),0)),"(CQ)",""),"")</f>
        <v/>
      </c>
      <c r="F423" s="171" t="str">
        <f ca="1">IFERROR(IF(OR(NOT(Bid?),LEFT(UPPER($D423),4)="FXHR"),INDEX(INDIRECT(RangeUnitPrice),MATCH($A423,INDIRECT(RangeEstCount),0)),IF(Awd?,OFFSET(TabAmount,MATCH(INDEX(INDIRECT(RangeCount),MATCH($A423,INDIRECT(RangeEstCount),0)),OFFSET(TabCount,1,0,2*NumPayItems,1),0),MATCH(Awarded2,Bidders,0)),IF(OR($C423="",$D423="LPSM"),"","$"))),"")</f>
        <v/>
      </c>
      <c r="G423" s="171" t="str">
        <f ca="1">IFERROR(VALUE(C423)*F423,IF(AND(Bid?,NOT(Awd?),$D423="LPSM"),"$",F423))</f>
        <v/>
      </c>
      <c r="H423" s="374"/>
      <c r="I423" s="217" t="str">
        <f ca="1">IFERROR(VALUE(SUBSTITUTE(OFFSET(I423,-1,0)," "&amp;$D423,""))*$F423,"")</f>
        <v/>
      </c>
      <c r="J423" s="215" t="str">
        <f ca="1">IFERROR(VALUE(SUBSTITUTE(OFFSET(J423,-1,0)," "&amp;$D423,""))*$F423,"")</f>
        <v/>
      </c>
      <c r="K423" s="215" t="str">
        <f t="shared" ref="K423:M423" ca="1" si="424">IFERROR(VALUE(SUBSTITUTE(OFFSET(K423,-1,0)," "&amp;$D423,""))*$F423,"")</f>
        <v/>
      </c>
      <c r="L423" s="215" t="str">
        <f t="shared" ca="1" si="424"/>
        <v/>
      </c>
      <c r="M423" s="215" t="str">
        <f t="shared" ca="1" si="424"/>
        <v/>
      </c>
      <c r="N423" s="215" t="str">
        <f ca="1">IFERROR(VALUE(SUBSTITUTE(OFFSET(N423,-1,0)," "&amp;$D423,""))*$F423,"")</f>
        <v/>
      </c>
      <c r="O423" s="215" t="str">
        <f ca="1">IFERROR(VALUE(SUBSTITUTE(OFFSET(O423,-1,0)," "&amp;$D423,""))*$F423,"")</f>
        <v/>
      </c>
      <c r="P423" s="209" t="str">
        <f ca="1">IF(LEN(B423)&gt;0,ISNUMBER(MATCH(B423,Proposed[Item],0)),"")</f>
        <v/>
      </c>
    </row>
    <row r="424" spans="1:16" ht="15" x14ac:dyDescent="0.2">
      <c r="A424" s="276">
        <f t="shared" ca="1" si="392"/>
        <v>209</v>
      </c>
      <c r="B424" s="168" t="str">
        <f ca="1">IFERROR(INDEX(INDIRECT(RangeItems),MATCH($A424,INDIRECT(RangeEstCount),0)),"")</f>
        <v/>
      </c>
      <c r="C424" s="365" t="str">
        <f ca="1">IFERROR(INDEX(Calcs[Description],INDEX(INDIRECT(RangeCount),MATCH($A424,INDIRECT(RangeEstCount),0))),"")</f>
        <v/>
      </c>
      <c r="D424" s="365"/>
      <c r="E424" s="365"/>
      <c r="F424" s="365"/>
      <c r="G424" s="365"/>
      <c r="H424" s="375" t="str">
        <f ca="1">IF(AND(Bid?,NOT(Awd?)),C424,OFFSET(F424,1,0))</f>
        <v/>
      </c>
      <c r="I424" s="216" t="str">
        <f t="shared" ref="I424:O424" ca="1" si="425">IFERROR(SUM(OFFSET(INDIRECT(RangeQuantity),MATCH($A424,INDIRECT(RangeEstCount),0)-1,COLUMN(I424)-COLUMN($H424),1,1))&amp;" "&amp;OFFSET($D424,1,0),"")</f>
        <v/>
      </c>
      <c r="J424" s="277" t="str">
        <f t="shared" ca="1" si="425"/>
        <v/>
      </c>
      <c r="K424" s="277" t="str">
        <f t="shared" ca="1" si="425"/>
        <v/>
      </c>
      <c r="L424" s="277" t="str">
        <f t="shared" ca="1" si="425"/>
        <v/>
      </c>
      <c r="M424" s="277" t="str">
        <f t="shared" ca="1" si="425"/>
        <v/>
      </c>
      <c r="N424" s="277" t="str">
        <f t="shared" ca="1" si="425"/>
        <v/>
      </c>
      <c r="O424" s="277" t="str">
        <f t="shared" ca="1" si="425"/>
        <v/>
      </c>
      <c r="P424" s="209" t="str">
        <f ca="1">IF(LEN(B424)&gt;0,ISNUMBER(MATCH(B424,Proposed[Item],0)),"")</f>
        <v/>
      </c>
    </row>
    <row r="425" spans="1:16" ht="15" x14ac:dyDescent="0.2">
      <c r="A425" s="276">
        <f t="shared" ca="1" si="392"/>
        <v>209</v>
      </c>
      <c r="B425" s="111" t="str">
        <f ca="1">IFERROR("Line "&amp;INDEX(Calcs[Line],INDEX(INDIRECT(RangeCount),MATCH($A425,INDIRECT(RangeEstCount),0))),"")</f>
        <v/>
      </c>
      <c r="C425" s="169" t="str">
        <f ca="1">IFERROR(IF(AND($D425="LPSM",Bid?,All?),"ALL",TEXT(OFFSET(INDIRECT(RangeQuantity),MATCH($A425,INDIRECT(RangeEstCount),0)-1,MATCH(Account,Accounts,0)-1,1,1),IF($D425="LPSM","0%","#,##0"&amp;IF(OFFSET(Items[#Data],MATCH($A425,INDIRECT(RangeEstCount),0)-1,MATCH(Decimals,Items[#Headers],0)-1,1,1)&gt;0,"."&amp;REPT("0",OFFSET(Items[#Data],MATCH($A425,INDIRECT(RangeEstCount),0)-1,MATCH(Decimals,Items[#Headers],0)-1,1,1)),"")))),"")</f>
        <v/>
      </c>
      <c r="D425" s="170" t="str">
        <f ca="1">IFERROR(INDEX(INDIRECT(RangeUnit),MATCH($A425,INDIRECT(RangeEstCount),0))&amp;SUBSTITUTE(" ["&amp;INDEX(INDIRECT(RangeAmend),MATCH($A425,INDIRECT(RangeEstCount),0))&amp;"]"," []",""),"")</f>
        <v/>
      </c>
      <c r="E425" s="170" t="str">
        <f ca="1">IFERROR(IF(INDEX(INDIRECT(RangeContrQty),MATCH($A425,INDIRECT(RangeEstCount),0)),"(CQ)",""),"")</f>
        <v/>
      </c>
      <c r="F425" s="171" t="str">
        <f ca="1">IFERROR(IF(OR(NOT(Bid?),LEFT(UPPER($D425),4)="FXHR"),INDEX(INDIRECT(RangeUnitPrice),MATCH($A425,INDIRECT(RangeEstCount),0)),IF(Awd?,OFFSET(TabAmount,MATCH(INDEX(INDIRECT(RangeCount),MATCH($A425,INDIRECT(RangeEstCount),0)),OFFSET(TabCount,1,0,2*NumPayItems,1),0),MATCH(Awarded2,Bidders,0)),IF(OR($C425="",$D425="LPSM"),"","$"))),"")</f>
        <v/>
      </c>
      <c r="G425" s="171" t="str">
        <f ca="1">IFERROR(VALUE(C425)*F425,IF(AND(Bid?,NOT(Awd?),$D425="LPSM"),"$",F425))</f>
        <v/>
      </c>
      <c r="H425" s="374"/>
      <c r="I425" s="217" t="str">
        <f ca="1">IFERROR(VALUE(SUBSTITUTE(OFFSET(I425,-1,0)," "&amp;$D425,""))*$F425,"")</f>
        <v/>
      </c>
      <c r="J425" s="215" t="str">
        <f ca="1">IFERROR(VALUE(SUBSTITUTE(OFFSET(J425,-1,0)," "&amp;$D425,""))*$F425,"")</f>
        <v/>
      </c>
      <c r="K425" s="215" t="str">
        <f t="shared" ref="K425:M425" ca="1" si="426">IFERROR(VALUE(SUBSTITUTE(OFFSET(K425,-1,0)," "&amp;$D425,""))*$F425,"")</f>
        <v/>
      </c>
      <c r="L425" s="215" t="str">
        <f t="shared" ca="1" si="426"/>
        <v/>
      </c>
      <c r="M425" s="215" t="str">
        <f t="shared" ca="1" si="426"/>
        <v/>
      </c>
      <c r="N425" s="215" t="str">
        <f ca="1">IFERROR(VALUE(SUBSTITUTE(OFFSET(N425,-1,0)," "&amp;$D425,""))*$F425,"")</f>
        <v/>
      </c>
      <c r="O425" s="215" t="str">
        <f ca="1">IFERROR(VALUE(SUBSTITUTE(OFFSET(O425,-1,0)," "&amp;$D425,""))*$F425,"")</f>
        <v/>
      </c>
      <c r="P425" s="209" t="str">
        <f ca="1">IF(LEN(B425)&gt;0,ISNUMBER(MATCH(B425,Proposed[Item],0)),"")</f>
        <v/>
      </c>
    </row>
    <row r="426" spans="1:16" ht="15" x14ac:dyDescent="0.2">
      <c r="A426" s="276">
        <f t="shared" ca="1" si="392"/>
        <v>210</v>
      </c>
      <c r="B426" s="168" t="str">
        <f ca="1">IFERROR(INDEX(INDIRECT(RangeItems),MATCH($A426,INDIRECT(RangeEstCount),0)),"")</f>
        <v/>
      </c>
      <c r="C426" s="365" t="str">
        <f ca="1">IFERROR(INDEX(Calcs[Description],INDEX(INDIRECT(RangeCount),MATCH($A426,INDIRECT(RangeEstCount),0))),"")</f>
        <v/>
      </c>
      <c r="D426" s="365"/>
      <c r="E426" s="365"/>
      <c r="F426" s="365"/>
      <c r="G426" s="365"/>
      <c r="H426" s="375" t="str">
        <f ca="1">IF(AND(Bid?,NOT(Awd?)),C426,OFFSET(F426,1,0))</f>
        <v/>
      </c>
      <c r="I426" s="216" t="str">
        <f t="shared" ref="I426:O426" ca="1" si="427">IFERROR(SUM(OFFSET(INDIRECT(RangeQuantity),MATCH($A426,INDIRECT(RangeEstCount),0)-1,COLUMN(I426)-COLUMN($H426),1,1))&amp;" "&amp;OFFSET($D426,1,0),"")</f>
        <v/>
      </c>
      <c r="J426" s="277" t="str">
        <f t="shared" ca="1" si="427"/>
        <v/>
      </c>
      <c r="K426" s="277" t="str">
        <f t="shared" ca="1" si="427"/>
        <v/>
      </c>
      <c r="L426" s="277" t="str">
        <f t="shared" ca="1" si="427"/>
        <v/>
      </c>
      <c r="M426" s="277" t="str">
        <f t="shared" ca="1" si="427"/>
        <v/>
      </c>
      <c r="N426" s="277" t="str">
        <f t="shared" ca="1" si="427"/>
        <v/>
      </c>
      <c r="O426" s="277" t="str">
        <f t="shared" ca="1" si="427"/>
        <v/>
      </c>
      <c r="P426" s="209" t="str">
        <f ca="1">IF(LEN(B426)&gt;0,ISNUMBER(MATCH(B426,Proposed[Item],0)),"")</f>
        <v/>
      </c>
    </row>
    <row r="427" spans="1:16" ht="15" x14ac:dyDescent="0.2">
      <c r="A427" s="276">
        <f t="shared" ca="1" si="392"/>
        <v>210</v>
      </c>
      <c r="B427" s="111" t="str">
        <f ca="1">IFERROR("Line "&amp;INDEX(Calcs[Line],INDEX(INDIRECT(RangeCount),MATCH($A427,INDIRECT(RangeEstCount),0))),"")</f>
        <v/>
      </c>
      <c r="C427" s="169" t="str">
        <f ca="1">IFERROR(IF(AND($D427="LPSM",Bid?,All?),"ALL",TEXT(OFFSET(INDIRECT(RangeQuantity),MATCH($A427,INDIRECT(RangeEstCount),0)-1,MATCH(Account,Accounts,0)-1,1,1),IF($D427="LPSM","0%","#,##0"&amp;IF(OFFSET(Items[#Data],MATCH($A427,INDIRECT(RangeEstCount),0)-1,MATCH(Decimals,Items[#Headers],0)-1,1,1)&gt;0,"."&amp;REPT("0",OFFSET(Items[#Data],MATCH($A427,INDIRECT(RangeEstCount),0)-1,MATCH(Decimals,Items[#Headers],0)-1,1,1)),"")))),"")</f>
        <v/>
      </c>
      <c r="D427" s="170" t="str">
        <f ca="1">IFERROR(INDEX(INDIRECT(RangeUnit),MATCH($A427,INDIRECT(RangeEstCount),0))&amp;SUBSTITUTE(" ["&amp;INDEX(INDIRECT(RangeAmend),MATCH($A427,INDIRECT(RangeEstCount),0))&amp;"]"," []",""),"")</f>
        <v/>
      </c>
      <c r="E427" s="170" t="str">
        <f ca="1">IFERROR(IF(INDEX(INDIRECT(RangeContrQty),MATCH($A427,INDIRECT(RangeEstCount),0)),"(CQ)",""),"")</f>
        <v/>
      </c>
      <c r="F427" s="171" t="str">
        <f ca="1">IFERROR(IF(OR(NOT(Bid?),LEFT(UPPER($D427),4)="FXHR"),INDEX(INDIRECT(RangeUnitPrice),MATCH($A427,INDIRECT(RangeEstCount),0)),IF(Awd?,OFFSET(TabAmount,MATCH(INDEX(INDIRECT(RangeCount),MATCH($A427,INDIRECT(RangeEstCount),0)),OFFSET(TabCount,1,0,2*NumPayItems,1),0),MATCH(Awarded2,Bidders,0)),IF(OR($C427="",$D427="LPSM"),"","$"))),"")</f>
        <v/>
      </c>
      <c r="G427" s="171" t="str">
        <f ca="1">IFERROR(VALUE(C427)*F427,IF(AND(Bid?,NOT(Awd?),$D427="LPSM"),"$",F427))</f>
        <v/>
      </c>
      <c r="H427" s="374"/>
      <c r="I427" s="217" t="str">
        <f ca="1">IFERROR(VALUE(SUBSTITUTE(OFFSET(I427,-1,0)," "&amp;$D427,""))*$F427,"")</f>
        <v/>
      </c>
      <c r="J427" s="215" t="str">
        <f ca="1">IFERROR(VALUE(SUBSTITUTE(OFFSET(J427,-1,0)," "&amp;$D427,""))*$F427,"")</f>
        <v/>
      </c>
      <c r="K427" s="215" t="str">
        <f t="shared" ref="K427:M427" ca="1" si="428">IFERROR(VALUE(SUBSTITUTE(OFFSET(K427,-1,0)," "&amp;$D427,""))*$F427,"")</f>
        <v/>
      </c>
      <c r="L427" s="215" t="str">
        <f t="shared" ca="1" si="428"/>
        <v/>
      </c>
      <c r="M427" s="215" t="str">
        <f t="shared" ca="1" si="428"/>
        <v/>
      </c>
      <c r="N427" s="215" t="str">
        <f ca="1">IFERROR(VALUE(SUBSTITUTE(OFFSET(N427,-1,0)," "&amp;$D427,""))*$F427,"")</f>
        <v/>
      </c>
      <c r="O427" s="215" t="str">
        <f ca="1">IFERROR(VALUE(SUBSTITUTE(OFFSET(O427,-1,0)," "&amp;$D427,""))*$F427,"")</f>
        <v/>
      </c>
      <c r="P427" s="209" t="str">
        <f ca="1">IF(LEN(B427)&gt;0,ISNUMBER(MATCH(B427,Proposed[Item],0)),"")</f>
        <v/>
      </c>
    </row>
    <row r="428" spans="1:16" ht="15" x14ac:dyDescent="0.2">
      <c r="A428" s="276">
        <f t="shared" ca="1" si="392"/>
        <v>211</v>
      </c>
      <c r="B428" s="168" t="str">
        <f ca="1">IFERROR(INDEX(INDIRECT(RangeItems),MATCH($A428,INDIRECT(RangeEstCount),0)),"")</f>
        <v/>
      </c>
      <c r="C428" s="365" t="str">
        <f ca="1">IFERROR(INDEX(Calcs[Description],INDEX(INDIRECT(RangeCount),MATCH($A428,INDIRECT(RangeEstCount),0))),"")</f>
        <v/>
      </c>
      <c r="D428" s="365"/>
      <c r="E428" s="365"/>
      <c r="F428" s="365"/>
      <c r="G428" s="365"/>
      <c r="H428" s="375" t="str">
        <f ca="1">IF(AND(Bid?,NOT(Awd?)),C428,OFFSET(F428,1,0))</f>
        <v/>
      </c>
      <c r="I428" s="216" t="str">
        <f t="shared" ref="I428:O428" ca="1" si="429">IFERROR(SUM(OFFSET(INDIRECT(RangeQuantity),MATCH($A428,INDIRECT(RangeEstCount),0)-1,COLUMN(I428)-COLUMN($H428),1,1))&amp;" "&amp;OFFSET($D428,1,0),"")</f>
        <v/>
      </c>
      <c r="J428" s="277" t="str">
        <f t="shared" ca="1" si="429"/>
        <v/>
      </c>
      <c r="K428" s="277" t="str">
        <f t="shared" ca="1" si="429"/>
        <v/>
      </c>
      <c r="L428" s="277" t="str">
        <f t="shared" ca="1" si="429"/>
        <v/>
      </c>
      <c r="M428" s="277" t="str">
        <f t="shared" ca="1" si="429"/>
        <v/>
      </c>
      <c r="N428" s="277" t="str">
        <f t="shared" ca="1" si="429"/>
        <v/>
      </c>
      <c r="O428" s="277" t="str">
        <f t="shared" ca="1" si="429"/>
        <v/>
      </c>
      <c r="P428" s="209" t="str">
        <f ca="1">IF(LEN(B428)&gt;0,ISNUMBER(MATCH(B428,Proposed[Item],0)),"")</f>
        <v/>
      </c>
    </row>
    <row r="429" spans="1:16" ht="15" x14ac:dyDescent="0.2">
      <c r="A429" s="276">
        <f t="shared" ca="1" si="392"/>
        <v>211</v>
      </c>
      <c r="B429" s="111" t="str">
        <f ca="1">IFERROR("Line "&amp;INDEX(Calcs[Line],INDEX(INDIRECT(RangeCount),MATCH($A429,INDIRECT(RangeEstCount),0))),"")</f>
        <v/>
      </c>
      <c r="C429" s="169" t="str">
        <f ca="1">IFERROR(IF(AND($D429="LPSM",Bid?,All?),"ALL",TEXT(OFFSET(INDIRECT(RangeQuantity),MATCH($A429,INDIRECT(RangeEstCount),0)-1,MATCH(Account,Accounts,0)-1,1,1),IF($D429="LPSM","0%","#,##0"&amp;IF(OFFSET(Items[#Data],MATCH($A429,INDIRECT(RangeEstCount),0)-1,MATCH(Decimals,Items[#Headers],0)-1,1,1)&gt;0,"."&amp;REPT("0",OFFSET(Items[#Data],MATCH($A429,INDIRECT(RangeEstCount),0)-1,MATCH(Decimals,Items[#Headers],0)-1,1,1)),"")))),"")</f>
        <v/>
      </c>
      <c r="D429" s="170" t="str">
        <f ca="1">IFERROR(INDEX(INDIRECT(RangeUnit),MATCH($A429,INDIRECT(RangeEstCount),0))&amp;SUBSTITUTE(" ["&amp;INDEX(INDIRECT(RangeAmend),MATCH($A429,INDIRECT(RangeEstCount),0))&amp;"]"," []",""),"")</f>
        <v/>
      </c>
      <c r="E429" s="170" t="str">
        <f ca="1">IFERROR(IF(INDEX(INDIRECT(RangeContrQty),MATCH($A429,INDIRECT(RangeEstCount),0)),"(CQ)",""),"")</f>
        <v/>
      </c>
      <c r="F429" s="171" t="str">
        <f ca="1">IFERROR(IF(OR(NOT(Bid?),LEFT(UPPER($D429),4)="FXHR"),INDEX(INDIRECT(RangeUnitPrice),MATCH($A429,INDIRECT(RangeEstCount),0)),IF(Awd?,OFFSET(TabAmount,MATCH(INDEX(INDIRECT(RangeCount),MATCH($A429,INDIRECT(RangeEstCount),0)),OFFSET(TabCount,1,0,2*NumPayItems,1),0),MATCH(Awarded2,Bidders,0)),IF(OR($C429="",$D429="LPSM"),"","$"))),"")</f>
        <v/>
      </c>
      <c r="G429" s="171" t="str">
        <f ca="1">IFERROR(VALUE(C429)*F429,IF(AND(Bid?,NOT(Awd?),$D429="LPSM"),"$",F429))</f>
        <v/>
      </c>
      <c r="H429" s="374"/>
      <c r="I429" s="217" t="str">
        <f ca="1">IFERROR(VALUE(SUBSTITUTE(OFFSET(I429,-1,0)," "&amp;$D429,""))*$F429,"")</f>
        <v/>
      </c>
      <c r="J429" s="215" t="str">
        <f ca="1">IFERROR(VALUE(SUBSTITUTE(OFFSET(J429,-1,0)," "&amp;$D429,""))*$F429,"")</f>
        <v/>
      </c>
      <c r="K429" s="215" t="str">
        <f t="shared" ref="K429:M429" ca="1" si="430">IFERROR(VALUE(SUBSTITUTE(OFFSET(K429,-1,0)," "&amp;$D429,""))*$F429,"")</f>
        <v/>
      </c>
      <c r="L429" s="215" t="str">
        <f t="shared" ca="1" si="430"/>
        <v/>
      </c>
      <c r="M429" s="215" t="str">
        <f t="shared" ca="1" si="430"/>
        <v/>
      </c>
      <c r="N429" s="215" t="str">
        <f ca="1">IFERROR(VALUE(SUBSTITUTE(OFFSET(N429,-1,0)," "&amp;$D429,""))*$F429,"")</f>
        <v/>
      </c>
      <c r="O429" s="215" t="str">
        <f ca="1">IFERROR(VALUE(SUBSTITUTE(OFFSET(O429,-1,0)," "&amp;$D429,""))*$F429,"")</f>
        <v/>
      </c>
      <c r="P429" s="209" t="str">
        <f ca="1">IF(LEN(B429)&gt;0,ISNUMBER(MATCH(B429,Proposed[Item],0)),"")</f>
        <v/>
      </c>
    </row>
    <row r="430" spans="1:16" ht="15" x14ac:dyDescent="0.2">
      <c r="A430" s="276">
        <f t="shared" ca="1" si="392"/>
        <v>212</v>
      </c>
      <c r="B430" s="168" t="str">
        <f ca="1">IFERROR(INDEX(INDIRECT(RangeItems),MATCH($A430,INDIRECT(RangeEstCount),0)),"")</f>
        <v/>
      </c>
      <c r="C430" s="365" t="str">
        <f ca="1">IFERROR(INDEX(Calcs[Description],INDEX(INDIRECT(RangeCount),MATCH($A430,INDIRECT(RangeEstCount),0))),"")</f>
        <v/>
      </c>
      <c r="D430" s="365"/>
      <c r="E430" s="365"/>
      <c r="F430" s="365"/>
      <c r="G430" s="365"/>
      <c r="H430" s="375" t="str">
        <f ca="1">IF(AND(Bid?,NOT(Awd?)),C430,OFFSET(F430,1,0))</f>
        <v/>
      </c>
      <c r="I430" s="216" t="str">
        <f t="shared" ref="I430:O430" ca="1" si="431">IFERROR(SUM(OFFSET(INDIRECT(RangeQuantity),MATCH($A430,INDIRECT(RangeEstCount),0)-1,COLUMN(I430)-COLUMN($H430),1,1))&amp;" "&amp;OFFSET($D430,1,0),"")</f>
        <v/>
      </c>
      <c r="J430" s="277" t="str">
        <f t="shared" ca="1" si="431"/>
        <v/>
      </c>
      <c r="K430" s="277" t="str">
        <f t="shared" ca="1" si="431"/>
        <v/>
      </c>
      <c r="L430" s="277" t="str">
        <f t="shared" ca="1" si="431"/>
        <v/>
      </c>
      <c r="M430" s="277" t="str">
        <f t="shared" ca="1" si="431"/>
        <v/>
      </c>
      <c r="N430" s="277" t="str">
        <f t="shared" ca="1" si="431"/>
        <v/>
      </c>
      <c r="O430" s="277" t="str">
        <f t="shared" ca="1" si="431"/>
        <v/>
      </c>
      <c r="P430" s="209" t="str">
        <f ca="1">IF(LEN(B430)&gt;0,ISNUMBER(MATCH(B430,Proposed[Item],0)),"")</f>
        <v/>
      </c>
    </row>
    <row r="431" spans="1:16" ht="15" x14ac:dyDescent="0.2">
      <c r="A431" s="276">
        <f t="shared" ca="1" si="392"/>
        <v>212</v>
      </c>
      <c r="B431" s="111" t="str">
        <f ca="1">IFERROR("Line "&amp;INDEX(Calcs[Line],INDEX(INDIRECT(RangeCount),MATCH($A431,INDIRECT(RangeEstCount),0))),"")</f>
        <v/>
      </c>
      <c r="C431" s="169" t="str">
        <f ca="1">IFERROR(IF(AND($D431="LPSM",Bid?,All?),"ALL",TEXT(OFFSET(INDIRECT(RangeQuantity),MATCH($A431,INDIRECT(RangeEstCount),0)-1,MATCH(Account,Accounts,0)-1,1,1),IF($D431="LPSM","0%","#,##0"&amp;IF(OFFSET(Items[#Data],MATCH($A431,INDIRECT(RangeEstCount),0)-1,MATCH(Decimals,Items[#Headers],0)-1,1,1)&gt;0,"."&amp;REPT("0",OFFSET(Items[#Data],MATCH($A431,INDIRECT(RangeEstCount),0)-1,MATCH(Decimals,Items[#Headers],0)-1,1,1)),"")))),"")</f>
        <v/>
      </c>
      <c r="D431" s="170" t="str">
        <f ca="1">IFERROR(INDEX(INDIRECT(RangeUnit),MATCH($A431,INDIRECT(RangeEstCount),0))&amp;SUBSTITUTE(" ["&amp;INDEX(INDIRECT(RangeAmend),MATCH($A431,INDIRECT(RangeEstCount),0))&amp;"]"," []",""),"")</f>
        <v/>
      </c>
      <c r="E431" s="170" t="str">
        <f ca="1">IFERROR(IF(INDEX(INDIRECT(RangeContrQty),MATCH($A431,INDIRECT(RangeEstCount),0)),"(CQ)",""),"")</f>
        <v/>
      </c>
      <c r="F431" s="171" t="str">
        <f ca="1">IFERROR(IF(OR(NOT(Bid?),LEFT(UPPER($D431),4)="FXHR"),INDEX(INDIRECT(RangeUnitPrice),MATCH($A431,INDIRECT(RangeEstCount),0)),IF(Awd?,OFFSET(TabAmount,MATCH(INDEX(INDIRECT(RangeCount),MATCH($A431,INDIRECT(RangeEstCount),0)),OFFSET(TabCount,1,0,2*NumPayItems,1),0),MATCH(Awarded2,Bidders,0)),IF(OR($C431="",$D431="LPSM"),"","$"))),"")</f>
        <v/>
      </c>
      <c r="G431" s="171" t="str">
        <f ca="1">IFERROR(VALUE(C431)*F431,IF(AND(Bid?,NOT(Awd?),$D431="LPSM"),"$",F431))</f>
        <v/>
      </c>
      <c r="H431" s="374"/>
      <c r="I431" s="217" t="str">
        <f ca="1">IFERROR(VALUE(SUBSTITUTE(OFFSET(I431,-1,0)," "&amp;$D431,""))*$F431,"")</f>
        <v/>
      </c>
      <c r="J431" s="215" t="str">
        <f ca="1">IFERROR(VALUE(SUBSTITUTE(OFFSET(J431,-1,0)," "&amp;$D431,""))*$F431,"")</f>
        <v/>
      </c>
      <c r="K431" s="215" t="str">
        <f t="shared" ref="K431:M431" ca="1" si="432">IFERROR(VALUE(SUBSTITUTE(OFFSET(K431,-1,0)," "&amp;$D431,""))*$F431,"")</f>
        <v/>
      </c>
      <c r="L431" s="215" t="str">
        <f t="shared" ca="1" si="432"/>
        <v/>
      </c>
      <c r="M431" s="215" t="str">
        <f t="shared" ca="1" si="432"/>
        <v/>
      </c>
      <c r="N431" s="215" t="str">
        <f ca="1">IFERROR(VALUE(SUBSTITUTE(OFFSET(N431,-1,0)," "&amp;$D431,""))*$F431,"")</f>
        <v/>
      </c>
      <c r="O431" s="215" t="str">
        <f ca="1">IFERROR(VALUE(SUBSTITUTE(OFFSET(O431,-1,0)," "&amp;$D431,""))*$F431,"")</f>
        <v/>
      </c>
      <c r="P431" s="209" t="str">
        <f ca="1">IF(LEN(B431)&gt;0,ISNUMBER(MATCH(B431,Proposed[Item],0)),"")</f>
        <v/>
      </c>
    </row>
    <row r="432" spans="1:16" ht="15" x14ac:dyDescent="0.2">
      <c r="A432" s="276">
        <f t="shared" ca="1" si="392"/>
        <v>213</v>
      </c>
      <c r="B432" s="168" t="str">
        <f ca="1">IFERROR(INDEX(INDIRECT(RangeItems),MATCH($A432,INDIRECT(RangeEstCount),0)),"")</f>
        <v/>
      </c>
      <c r="C432" s="365" t="str">
        <f ca="1">IFERROR(INDEX(Calcs[Description],INDEX(INDIRECT(RangeCount),MATCH($A432,INDIRECT(RangeEstCount),0))),"")</f>
        <v/>
      </c>
      <c r="D432" s="365"/>
      <c r="E432" s="365"/>
      <c r="F432" s="365"/>
      <c r="G432" s="365"/>
      <c r="H432" s="375" t="str">
        <f ca="1">IF(AND(Bid?,NOT(Awd?)),C432,OFFSET(F432,1,0))</f>
        <v/>
      </c>
      <c r="I432" s="216" t="str">
        <f t="shared" ref="I432:O432" ca="1" si="433">IFERROR(SUM(OFFSET(INDIRECT(RangeQuantity),MATCH($A432,INDIRECT(RangeEstCount),0)-1,COLUMN(I432)-COLUMN($H432),1,1))&amp;" "&amp;OFFSET($D432,1,0),"")</f>
        <v/>
      </c>
      <c r="J432" s="277" t="str">
        <f t="shared" ca="1" si="433"/>
        <v/>
      </c>
      <c r="K432" s="277" t="str">
        <f t="shared" ca="1" si="433"/>
        <v/>
      </c>
      <c r="L432" s="277" t="str">
        <f t="shared" ca="1" si="433"/>
        <v/>
      </c>
      <c r="M432" s="277" t="str">
        <f t="shared" ca="1" si="433"/>
        <v/>
      </c>
      <c r="N432" s="277" t="str">
        <f t="shared" ca="1" si="433"/>
        <v/>
      </c>
      <c r="O432" s="277" t="str">
        <f t="shared" ca="1" si="433"/>
        <v/>
      </c>
      <c r="P432" s="209" t="str">
        <f ca="1">IF(LEN(B432)&gt;0,ISNUMBER(MATCH(B432,Proposed[Item],0)),"")</f>
        <v/>
      </c>
    </row>
    <row r="433" spans="1:16" ht="15" x14ac:dyDescent="0.2">
      <c r="A433" s="276">
        <f t="shared" ca="1" si="392"/>
        <v>213</v>
      </c>
      <c r="B433" s="111" t="str">
        <f ca="1">IFERROR("Line "&amp;INDEX(Calcs[Line],INDEX(INDIRECT(RangeCount),MATCH($A433,INDIRECT(RangeEstCount),0))),"")</f>
        <v/>
      </c>
      <c r="C433" s="169" t="str">
        <f ca="1">IFERROR(IF(AND($D433="LPSM",Bid?,All?),"ALL",TEXT(OFFSET(INDIRECT(RangeQuantity),MATCH($A433,INDIRECT(RangeEstCount),0)-1,MATCH(Account,Accounts,0)-1,1,1),IF($D433="LPSM","0%","#,##0"&amp;IF(OFFSET(Items[#Data],MATCH($A433,INDIRECT(RangeEstCount),0)-1,MATCH(Decimals,Items[#Headers],0)-1,1,1)&gt;0,"."&amp;REPT("0",OFFSET(Items[#Data],MATCH($A433,INDIRECT(RangeEstCount),0)-1,MATCH(Decimals,Items[#Headers],0)-1,1,1)),"")))),"")</f>
        <v/>
      </c>
      <c r="D433" s="170" t="str">
        <f ca="1">IFERROR(INDEX(INDIRECT(RangeUnit),MATCH($A433,INDIRECT(RangeEstCount),0))&amp;SUBSTITUTE(" ["&amp;INDEX(INDIRECT(RangeAmend),MATCH($A433,INDIRECT(RangeEstCount),0))&amp;"]"," []",""),"")</f>
        <v/>
      </c>
      <c r="E433" s="170" t="str">
        <f ca="1">IFERROR(IF(INDEX(INDIRECT(RangeContrQty),MATCH($A433,INDIRECT(RangeEstCount),0)),"(CQ)",""),"")</f>
        <v/>
      </c>
      <c r="F433" s="171" t="str">
        <f ca="1">IFERROR(IF(OR(NOT(Bid?),LEFT(UPPER($D433),4)="FXHR"),INDEX(INDIRECT(RangeUnitPrice),MATCH($A433,INDIRECT(RangeEstCount),0)),IF(Awd?,OFFSET(TabAmount,MATCH(INDEX(INDIRECT(RangeCount),MATCH($A433,INDIRECT(RangeEstCount),0)),OFFSET(TabCount,1,0,2*NumPayItems,1),0),MATCH(Awarded2,Bidders,0)),IF(OR($C433="",$D433="LPSM"),"","$"))),"")</f>
        <v/>
      </c>
      <c r="G433" s="171" t="str">
        <f ca="1">IFERROR(VALUE(C433)*F433,IF(AND(Bid?,NOT(Awd?),$D433="LPSM"),"$",F433))</f>
        <v/>
      </c>
      <c r="H433" s="374"/>
      <c r="I433" s="217" t="str">
        <f ca="1">IFERROR(VALUE(SUBSTITUTE(OFFSET(I433,-1,0)," "&amp;$D433,""))*$F433,"")</f>
        <v/>
      </c>
      <c r="J433" s="215" t="str">
        <f ca="1">IFERROR(VALUE(SUBSTITUTE(OFFSET(J433,-1,0)," "&amp;$D433,""))*$F433,"")</f>
        <v/>
      </c>
      <c r="K433" s="215" t="str">
        <f t="shared" ref="K433:M433" ca="1" si="434">IFERROR(VALUE(SUBSTITUTE(OFFSET(K433,-1,0)," "&amp;$D433,""))*$F433,"")</f>
        <v/>
      </c>
      <c r="L433" s="215" t="str">
        <f t="shared" ca="1" si="434"/>
        <v/>
      </c>
      <c r="M433" s="215" t="str">
        <f t="shared" ca="1" si="434"/>
        <v/>
      </c>
      <c r="N433" s="215" t="str">
        <f ca="1">IFERROR(VALUE(SUBSTITUTE(OFFSET(N433,-1,0)," "&amp;$D433,""))*$F433,"")</f>
        <v/>
      </c>
      <c r="O433" s="215" t="str">
        <f ca="1">IFERROR(VALUE(SUBSTITUTE(OFFSET(O433,-1,0)," "&amp;$D433,""))*$F433,"")</f>
        <v/>
      </c>
      <c r="P433" s="209" t="str">
        <f ca="1">IF(LEN(B433)&gt;0,ISNUMBER(MATCH(B433,Proposed[Item],0)),"")</f>
        <v/>
      </c>
    </row>
    <row r="434" spans="1:16" ht="15" x14ac:dyDescent="0.2">
      <c r="A434" s="276">
        <f t="shared" ca="1" si="392"/>
        <v>214</v>
      </c>
      <c r="B434" s="168" t="str">
        <f ca="1">IFERROR(INDEX(INDIRECT(RangeItems),MATCH($A434,INDIRECT(RangeEstCount),0)),"")</f>
        <v/>
      </c>
      <c r="C434" s="365" t="str">
        <f ca="1">IFERROR(INDEX(Calcs[Description],INDEX(INDIRECT(RangeCount),MATCH($A434,INDIRECT(RangeEstCount),0))),"")</f>
        <v/>
      </c>
      <c r="D434" s="365"/>
      <c r="E434" s="365"/>
      <c r="F434" s="365"/>
      <c r="G434" s="365"/>
      <c r="H434" s="375" t="str">
        <f ca="1">IF(AND(Bid?,NOT(Awd?)),C434,OFFSET(F434,1,0))</f>
        <v/>
      </c>
      <c r="I434" s="216" t="str">
        <f t="shared" ref="I434:O434" ca="1" si="435">IFERROR(SUM(OFFSET(INDIRECT(RangeQuantity),MATCH($A434,INDIRECT(RangeEstCount),0)-1,COLUMN(I434)-COLUMN($H434),1,1))&amp;" "&amp;OFFSET($D434,1,0),"")</f>
        <v/>
      </c>
      <c r="J434" s="277" t="str">
        <f t="shared" ca="1" si="435"/>
        <v/>
      </c>
      <c r="K434" s="277" t="str">
        <f t="shared" ca="1" si="435"/>
        <v/>
      </c>
      <c r="L434" s="277" t="str">
        <f t="shared" ca="1" si="435"/>
        <v/>
      </c>
      <c r="M434" s="277" t="str">
        <f t="shared" ca="1" si="435"/>
        <v/>
      </c>
      <c r="N434" s="277" t="str">
        <f t="shared" ca="1" si="435"/>
        <v/>
      </c>
      <c r="O434" s="277" t="str">
        <f t="shared" ca="1" si="435"/>
        <v/>
      </c>
      <c r="P434" s="209" t="str">
        <f ca="1">IF(LEN(B434)&gt;0,ISNUMBER(MATCH(B434,Proposed[Item],0)),"")</f>
        <v/>
      </c>
    </row>
    <row r="435" spans="1:16" ht="15" x14ac:dyDescent="0.2">
      <c r="A435" s="276">
        <f t="shared" ca="1" si="392"/>
        <v>214</v>
      </c>
      <c r="B435" s="111" t="str">
        <f ca="1">IFERROR("Line "&amp;INDEX(Calcs[Line],INDEX(INDIRECT(RangeCount),MATCH($A435,INDIRECT(RangeEstCount),0))),"")</f>
        <v/>
      </c>
      <c r="C435" s="169" t="str">
        <f ca="1">IFERROR(IF(AND($D435="LPSM",Bid?,All?),"ALL",TEXT(OFFSET(INDIRECT(RangeQuantity),MATCH($A435,INDIRECT(RangeEstCount),0)-1,MATCH(Account,Accounts,0)-1,1,1),IF($D435="LPSM","0%","#,##0"&amp;IF(OFFSET(Items[#Data],MATCH($A435,INDIRECT(RangeEstCount),0)-1,MATCH(Decimals,Items[#Headers],0)-1,1,1)&gt;0,"."&amp;REPT("0",OFFSET(Items[#Data],MATCH($A435,INDIRECT(RangeEstCount),0)-1,MATCH(Decimals,Items[#Headers],0)-1,1,1)),"")))),"")</f>
        <v/>
      </c>
      <c r="D435" s="170" t="str">
        <f ca="1">IFERROR(INDEX(INDIRECT(RangeUnit),MATCH($A435,INDIRECT(RangeEstCount),0))&amp;SUBSTITUTE(" ["&amp;INDEX(INDIRECT(RangeAmend),MATCH($A435,INDIRECT(RangeEstCount),0))&amp;"]"," []",""),"")</f>
        <v/>
      </c>
      <c r="E435" s="170" t="str">
        <f ca="1">IFERROR(IF(INDEX(INDIRECT(RangeContrQty),MATCH($A435,INDIRECT(RangeEstCount),0)),"(CQ)",""),"")</f>
        <v/>
      </c>
      <c r="F435" s="171" t="str">
        <f ca="1">IFERROR(IF(OR(NOT(Bid?),LEFT(UPPER($D435),4)="FXHR"),INDEX(INDIRECT(RangeUnitPrice),MATCH($A435,INDIRECT(RangeEstCount),0)),IF(Awd?,OFFSET(TabAmount,MATCH(INDEX(INDIRECT(RangeCount),MATCH($A435,INDIRECT(RangeEstCount),0)),OFFSET(TabCount,1,0,2*NumPayItems,1),0),MATCH(Awarded2,Bidders,0)),IF(OR($C435="",$D435="LPSM"),"","$"))),"")</f>
        <v/>
      </c>
      <c r="G435" s="171" t="str">
        <f ca="1">IFERROR(VALUE(C435)*F435,IF(AND(Bid?,NOT(Awd?),$D435="LPSM"),"$",F435))</f>
        <v/>
      </c>
      <c r="H435" s="374"/>
      <c r="I435" s="217" t="str">
        <f ca="1">IFERROR(VALUE(SUBSTITUTE(OFFSET(I435,-1,0)," "&amp;$D435,""))*$F435,"")</f>
        <v/>
      </c>
      <c r="J435" s="215" t="str">
        <f ca="1">IFERROR(VALUE(SUBSTITUTE(OFFSET(J435,-1,0)," "&amp;$D435,""))*$F435,"")</f>
        <v/>
      </c>
      <c r="K435" s="215" t="str">
        <f t="shared" ref="K435:M435" ca="1" si="436">IFERROR(VALUE(SUBSTITUTE(OFFSET(K435,-1,0)," "&amp;$D435,""))*$F435,"")</f>
        <v/>
      </c>
      <c r="L435" s="215" t="str">
        <f t="shared" ca="1" si="436"/>
        <v/>
      </c>
      <c r="M435" s="215" t="str">
        <f t="shared" ca="1" si="436"/>
        <v/>
      </c>
      <c r="N435" s="215" t="str">
        <f ca="1">IFERROR(VALUE(SUBSTITUTE(OFFSET(N435,-1,0)," "&amp;$D435,""))*$F435,"")</f>
        <v/>
      </c>
      <c r="O435" s="215" t="str">
        <f ca="1">IFERROR(VALUE(SUBSTITUTE(OFFSET(O435,-1,0)," "&amp;$D435,""))*$F435,"")</f>
        <v/>
      </c>
      <c r="P435" s="209" t="str">
        <f ca="1">IF(LEN(B435)&gt;0,ISNUMBER(MATCH(B435,Proposed[Item],0)),"")</f>
        <v/>
      </c>
    </row>
    <row r="436" spans="1:16" ht="15" x14ac:dyDescent="0.2">
      <c r="A436" s="276">
        <f t="shared" ca="1" si="392"/>
        <v>215</v>
      </c>
      <c r="B436" s="168" t="str">
        <f ca="1">IFERROR(INDEX(INDIRECT(RangeItems),MATCH($A436,INDIRECT(RangeEstCount),0)),"")</f>
        <v/>
      </c>
      <c r="C436" s="365" t="str">
        <f ca="1">IFERROR(INDEX(Calcs[Description],INDEX(INDIRECT(RangeCount),MATCH($A436,INDIRECT(RangeEstCount),0))),"")</f>
        <v/>
      </c>
      <c r="D436" s="365"/>
      <c r="E436" s="365"/>
      <c r="F436" s="365"/>
      <c r="G436" s="365"/>
      <c r="H436" s="375" t="str">
        <f ca="1">IF(AND(Bid?,NOT(Awd?)),C436,OFFSET(F436,1,0))</f>
        <v/>
      </c>
      <c r="I436" s="216" t="str">
        <f t="shared" ref="I436:O436" ca="1" si="437">IFERROR(SUM(OFFSET(INDIRECT(RangeQuantity),MATCH($A436,INDIRECT(RangeEstCount),0)-1,COLUMN(I436)-COLUMN($H436),1,1))&amp;" "&amp;OFFSET($D436,1,0),"")</f>
        <v/>
      </c>
      <c r="J436" s="277" t="str">
        <f t="shared" ca="1" si="437"/>
        <v/>
      </c>
      <c r="K436" s="277" t="str">
        <f t="shared" ca="1" si="437"/>
        <v/>
      </c>
      <c r="L436" s="277" t="str">
        <f t="shared" ca="1" si="437"/>
        <v/>
      </c>
      <c r="M436" s="277" t="str">
        <f t="shared" ca="1" si="437"/>
        <v/>
      </c>
      <c r="N436" s="277" t="str">
        <f t="shared" ca="1" si="437"/>
        <v/>
      </c>
      <c r="O436" s="277" t="str">
        <f t="shared" ca="1" si="437"/>
        <v/>
      </c>
      <c r="P436" s="209" t="str">
        <f ca="1">IF(LEN(B436)&gt;0,ISNUMBER(MATCH(B436,Proposed[Item],0)),"")</f>
        <v/>
      </c>
    </row>
    <row r="437" spans="1:16" ht="15" x14ac:dyDescent="0.2">
      <c r="A437" s="276">
        <f t="shared" ca="1" si="392"/>
        <v>215</v>
      </c>
      <c r="B437" s="111" t="str">
        <f ca="1">IFERROR("Line "&amp;INDEX(Calcs[Line],INDEX(INDIRECT(RangeCount),MATCH($A437,INDIRECT(RangeEstCount),0))),"")</f>
        <v/>
      </c>
      <c r="C437" s="169" t="str">
        <f ca="1">IFERROR(IF(AND($D437="LPSM",Bid?,All?),"ALL",TEXT(OFFSET(INDIRECT(RangeQuantity),MATCH($A437,INDIRECT(RangeEstCount),0)-1,MATCH(Account,Accounts,0)-1,1,1),IF($D437="LPSM","0%","#,##0"&amp;IF(OFFSET(Items[#Data],MATCH($A437,INDIRECT(RangeEstCount),0)-1,MATCH(Decimals,Items[#Headers],0)-1,1,1)&gt;0,"."&amp;REPT("0",OFFSET(Items[#Data],MATCH($A437,INDIRECT(RangeEstCount),0)-1,MATCH(Decimals,Items[#Headers],0)-1,1,1)),"")))),"")</f>
        <v/>
      </c>
      <c r="D437" s="170" t="str">
        <f ca="1">IFERROR(INDEX(INDIRECT(RangeUnit),MATCH($A437,INDIRECT(RangeEstCount),0))&amp;SUBSTITUTE(" ["&amp;INDEX(INDIRECT(RangeAmend),MATCH($A437,INDIRECT(RangeEstCount),0))&amp;"]"," []",""),"")</f>
        <v/>
      </c>
      <c r="E437" s="170" t="str">
        <f ca="1">IFERROR(IF(INDEX(INDIRECT(RangeContrQty),MATCH($A437,INDIRECT(RangeEstCount),0)),"(CQ)",""),"")</f>
        <v/>
      </c>
      <c r="F437" s="171" t="str">
        <f ca="1">IFERROR(IF(OR(NOT(Bid?),LEFT(UPPER($D437),4)="FXHR"),INDEX(INDIRECT(RangeUnitPrice),MATCH($A437,INDIRECT(RangeEstCount),0)),IF(Awd?,OFFSET(TabAmount,MATCH(INDEX(INDIRECT(RangeCount),MATCH($A437,INDIRECT(RangeEstCount),0)),OFFSET(TabCount,1,0,2*NumPayItems,1),0),MATCH(Awarded2,Bidders,0)),IF(OR($C437="",$D437="LPSM"),"","$"))),"")</f>
        <v/>
      </c>
      <c r="G437" s="171" t="str">
        <f ca="1">IFERROR(VALUE(C437)*F437,IF(AND(Bid?,NOT(Awd?),$D437="LPSM"),"$",F437))</f>
        <v/>
      </c>
      <c r="H437" s="374"/>
      <c r="I437" s="217" t="str">
        <f ca="1">IFERROR(VALUE(SUBSTITUTE(OFFSET(I437,-1,0)," "&amp;$D437,""))*$F437,"")</f>
        <v/>
      </c>
      <c r="J437" s="215" t="str">
        <f ca="1">IFERROR(VALUE(SUBSTITUTE(OFFSET(J437,-1,0)," "&amp;$D437,""))*$F437,"")</f>
        <v/>
      </c>
      <c r="K437" s="215" t="str">
        <f t="shared" ref="K437:M437" ca="1" si="438">IFERROR(VALUE(SUBSTITUTE(OFFSET(K437,-1,0)," "&amp;$D437,""))*$F437,"")</f>
        <v/>
      </c>
      <c r="L437" s="215" t="str">
        <f t="shared" ca="1" si="438"/>
        <v/>
      </c>
      <c r="M437" s="215" t="str">
        <f t="shared" ca="1" si="438"/>
        <v/>
      </c>
      <c r="N437" s="215" t="str">
        <f ca="1">IFERROR(VALUE(SUBSTITUTE(OFFSET(N437,-1,0)," "&amp;$D437,""))*$F437,"")</f>
        <v/>
      </c>
      <c r="O437" s="215" t="str">
        <f ca="1">IFERROR(VALUE(SUBSTITUTE(OFFSET(O437,-1,0)," "&amp;$D437,""))*$F437,"")</f>
        <v/>
      </c>
      <c r="P437" s="209" t="str">
        <f ca="1">IF(LEN(B437)&gt;0,ISNUMBER(MATCH(B437,Proposed[Item],0)),"")</f>
        <v/>
      </c>
    </row>
    <row r="438" spans="1:16" ht="15" x14ac:dyDescent="0.2">
      <c r="A438" s="276">
        <f t="shared" ca="1" si="392"/>
        <v>216</v>
      </c>
      <c r="B438" s="168" t="str">
        <f ca="1">IFERROR(INDEX(INDIRECT(RangeItems),MATCH($A438,INDIRECT(RangeEstCount),0)),"")</f>
        <v/>
      </c>
      <c r="C438" s="365" t="str">
        <f ca="1">IFERROR(INDEX(Calcs[Description],INDEX(INDIRECT(RangeCount),MATCH($A438,INDIRECT(RangeEstCount),0))),"")</f>
        <v/>
      </c>
      <c r="D438" s="365"/>
      <c r="E438" s="365"/>
      <c r="F438" s="365"/>
      <c r="G438" s="365"/>
      <c r="H438" s="375" t="str">
        <f ca="1">IF(AND(Bid?,NOT(Awd?)),C438,OFFSET(F438,1,0))</f>
        <v/>
      </c>
      <c r="I438" s="216" t="str">
        <f t="shared" ref="I438:O438" ca="1" si="439">IFERROR(SUM(OFFSET(INDIRECT(RangeQuantity),MATCH($A438,INDIRECT(RangeEstCount),0)-1,COLUMN(I438)-COLUMN($H438),1,1))&amp;" "&amp;OFFSET($D438,1,0),"")</f>
        <v/>
      </c>
      <c r="J438" s="277" t="str">
        <f t="shared" ca="1" si="439"/>
        <v/>
      </c>
      <c r="K438" s="277" t="str">
        <f t="shared" ca="1" si="439"/>
        <v/>
      </c>
      <c r="L438" s="277" t="str">
        <f t="shared" ca="1" si="439"/>
        <v/>
      </c>
      <c r="M438" s="277" t="str">
        <f t="shared" ca="1" si="439"/>
        <v/>
      </c>
      <c r="N438" s="277" t="str">
        <f t="shared" ca="1" si="439"/>
        <v/>
      </c>
      <c r="O438" s="277" t="str">
        <f t="shared" ca="1" si="439"/>
        <v/>
      </c>
      <c r="P438" s="209" t="str">
        <f ca="1">IF(LEN(B438)&gt;0,ISNUMBER(MATCH(B438,Proposed[Item],0)),"")</f>
        <v/>
      </c>
    </row>
    <row r="439" spans="1:16" ht="15" x14ac:dyDescent="0.2">
      <c r="A439" s="276">
        <f t="shared" ca="1" si="392"/>
        <v>216</v>
      </c>
      <c r="B439" s="111" t="str">
        <f ca="1">IFERROR("Line "&amp;INDEX(Calcs[Line],INDEX(INDIRECT(RangeCount),MATCH($A439,INDIRECT(RangeEstCount),0))),"")</f>
        <v/>
      </c>
      <c r="C439" s="169" t="str">
        <f ca="1">IFERROR(IF(AND($D439="LPSM",Bid?,All?),"ALL",TEXT(OFFSET(INDIRECT(RangeQuantity),MATCH($A439,INDIRECT(RangeEstCount),0)-1,MATCH(Account,Accounts,0)-1,1,1),IF($D439="LPSM","0%","#,##0"&amp;IF(OFFSET(Items[#Data],MATCH($A439,INDIRECT(RangeEstCount),0)-1,MATCH(Decimals,Items[#Headers],0)-1,1,1)&gt;0,"."&amp;REPT("0",OFFSET(Items[#Data],MATCH($A439,INDIRECT(RangeEstCount),0)-1,MATCH(Decimals,Items[#Headers],0)-1,1,1)),"")))),"")</f>
        <v/>
      </c>
      <c r="D439" s="170" t="str">
        <f ca="1">IFERROR(INDEX(INDIRECT(RangeUnit),MATCH($A439,INDIRECT(RangeEstCount),0))&amp;SUBSTITUTE(" ["&amp;INDEX(INDIRECT(RangeAmend),MATCH($A439,INDIRECT(RangeEstCount),0))&amp;"]"," []",""),"")</f>
        <v/>
      </c>
      <c r="E439" s="170" t="str">
        <f ca="1">IFERROR(IF(INDEX(INDIRECT(RangeContrQty),MATCH($A439,INDIRECT(RangeEstCount),0)),"(CQ)",""),"")</f>
        <v/>
      </c>
      <c r="F439" s="171" t="str">
        <f ca="1">IFERROR(IF(OR(NOT(Bid?),LEFT(UPPER($D439),4)="FXHR"),INDEX(INDIRECT(RangeUnitPrice),MATCH($A439,INDIRECT(RangeEstCount),0)),IF(Awd?,OFFSET(TabAmount,MATCH(INDEX(INDIRECT(RangeCount),MATCH($A439,INDIRECT(RangeEstCount),0)),OFFSET(TabCount,1,0,2*NumPayItems,1),0),MATCH(Awarded2,Bidders,0)),IF(OR($C439="",$D439="LPSM"),"","$"))),"")</f>
        <v/>
      </c>
      <c r="G439" s="171" t="str">
        <f ca="1">IFERROR(VALUE(C439)*F439,IF(AND(Bid?,NOT(Awd?),$D439="LPSM"),"$",F439))</f>
        <v/>
      </c>
      <c r="H439" s="374"/>
      <c r="I439" s="217" t="str">
        <f ca="1">IFERROR(VALUE(SUBSTITUTE(OFFSET(I439,-1,0)," "&amp;$D439,""))*$F439,"")</f>
        <v/>
      </c>
      <c r="J439" s="215" t="str">
        <f ca="1">IFERROR(VALUE(SUBSTITUTE(OFFSET(J439,-1,0)," "&amp;$D439,""))*$F439,"")</f>
        <v/>
      </c>
      <c r="K439" s="215" t="str">
        <f t="shared" ref="K439:M439" ca="1" si="440">IFERROR(VALUE(SUBSTITUTE(OFFSET(K439,-1,0)," "&amp;$D439,""))*$F439,"")</f>
        <v/>
      </c>
      <c r="L439" s="215" t="str">
        <f t="shared" ca="1" si="440"/>
        <v/>
      </c>
      <c r="M439" s="215" t="str">
        <f t="shared" ca="1" si="440"/>
        <v/>
      </c>
      <c r="N439" s="215" t="str">
        <f ca="1">IFERROR(VALUE(SUBSTITUTE(OFFSET(N439,-1,0)," "&amp;$D439,""))*$F439,"")</f>
        <v/>
      </c>
      <c r="O439" s="215" t="str">
        <f ca="1">IFERROR(VALUE(SUBSTITUTE(OFFSET(O439,-1,0)," "&amp;$D439,""))*$F439,"")</f>
        <v/>
      </c>
      <c r="P439" s="209" t="str">
        <f ca="1">IF(LEN(B439)&gt;0,ISNUMBER(MATCH(B439,Proposed[Item],0)),"")</f>
        <v/>
      </c>
    </row>
    <row r="440" spans="1:16" ht="15" x14ac:dyDescent="0.2">
      <c r="A440" s="276">
        <f t="shared" ca="1" si="392"/>
        <v>217</v>
      </c>
      <c r="B440" s="168" t="str">
        <f ca="1">IFERROR(INDEX(INDIRECT(RangeItems),MATCH($A440,INDIRECT(RangeEstCount),0)),"")</f>
        <v/>
      </c>
      <c r="C440" s="365" t="str">
        <f ca="1">IFERROR(INDEX(Calcs[Description],INDEX(INDIRECT(RangeCount),MATCH($A440,INDIRECT(RangeEstCount),0))),"")</f>
        <v/>
      </c>
      <c r="D440" s="365"/>
      <c r="E440" s="365"/>
      <c r="F440" s="365"/>
      <c r="G440" s="365"/>
      <c r="H440" s="375" t="str">
        <f ca="1">IF(AND(Bid?,NOT(Awd?)),C440,OFFSET(F440,1,0))</f>
        <v/>
      </c>
      <c r="I440" s="216" t="str">
        <f t="shared" ref="I440:O440" ca="1" si="441">IFERROR(SUM(OFFSET(INDIRECT(RangeQuantity),MATCH($A440,INDIRECT(RangeEstCount),0)-1,COLUMN(I440)-COLUMN($H440),1,1))&amp;" "&amp;OFFSET($D440,1,0),"")</f>
        <v/>
      </c>
      <c r="J440" s="277" t="str">
        <f t="shared" ca="1" si="441"/>
        <v/>
      </c>
      <c r="K440" s="277" t="str">
        <f t="shared" ca="1" si="441"/>
        <v/>
      </c>
      <c r="L440" s="277" t="str">
        <f t="shared" ca="1" si="441"/>
        <v/>
      </c>
      <c r="M440" s="277" t="str">
        <f t="shared" ca="1" si="441"/>
        <v/>
      </c>
      <c r="N440" s="277" t="str">
        <f t="shared" ca="1" si="441"/>
        <v/>
      </c>
      <c r="O440" s="277" t="str">
        <f t="shared" ca="1" si="441"/>
        <v/>
      </c>
      <c r="P440" s="209" t="str">
        <f ca="1">IF(LEN(B440)&gt;0,ISNUMBER(MATCH(B440,Proposed[Item],0)),"")</f>
        <v/>
      </c>
    </row>
    <row r="441" spans="1:16" ht="15" x14ac:dyDescent="0.2">
      <c r="A441" s="276">
        <f t="shared" ca="1" si="392"/>
        <v>217</v>
      </c>
      <c r="B441" s="111" t="str">
        <f ca="1">IFERROR("Line "&amp;INDEX(Calcs[Line],INDEX(INDIRECT(RangeCount),MATCH($A441,INDIRECT(RangeEstCount),0))),"")</f>
        <v/>
      </c>
      <c r="C441" s="169" t="str">
        <f ca="1">IFERROR(IF(AND($D441="LPSM",Bid?,All?),"ALL",TEXT(OFFSET(INDIRECT(RangeQuantity),MATCH($A441,INDIRECT(RangeEstCount),0)-1,MATCH(Account,Accounts,0)-1,1,1),IF($D441="LPSM","0%","#,##0"&amp;IF(OFFSET(Items[#Data],MATCH($A441,INDIRECT(RangeEstCount),0)-1,MATCH(Decimals,Items[#Headers],0)-1,1,1)&gt;0,"."&amp;REPT("0",OFFSET(Items[#Data],MATCH($A441,INDIRECT(RangeEstCount),0)-1,MATCH(Decimals,Items[#Headers],0)-1,1,1)),"")))),"")</f>
        <v/>
      </c>
      <c r="D441" s="170" t="str">
        <f ca="1">IFERROR(INDEX(INDIRECT(RangeUnit),MATCH($A441,INDIRECT(RangeEstCount),0))&amp;SUBSTITUTE(" ["&amp;INDEX(INDIRECT(RangeAmend),MATCH($A441,INDIRECT(RangeEstCount),0))&amp;"]"," []",""),"")</f>
        <v/>
      </c>
      <c r="E441" s="170" t="str">
        <f ca="1">IFERROR(IF(INDEX(INDIRECT(RangeContrQty),MATCH($A441,INDIRECT(RangeEstCount),0)),"(CQ)",""),"")</f>
        <v/>
      </c>
      <c r="F441" s="171" t="str">
        <f ca="1">IFERROR(IF(OR(NOT(Bid?),LEFT(UPPER($D441),4)="FXHR"),INDEX(INDIRECT(RangeUnitPrice),MATCH($A441,INDIRECT(RangeEstCount),0)),IF(Awd?,OFFSET(TabAmount,MATCH(INDEX(INDIRECT(RangeCount),MATCH($A441,INDIRECT(RangeEstCount),0)),OFFSET(TabCount,1,0,2*NumPayItems,1),0),MATCH(Awarded2,Bidders,0)),IF(OR($C441="",$D441="LPSM"),"","$"))),"")</f>
        <v/>
      </c>
      <c r="G441" s="171" t="str">
        <f ca="1">IFERROR(VALUE(C441)*F441,IF(AND(Bid?,NOT(Awd?),$D441="LPSM"),"$",F441))</f>
        <v/>
      </c>
      <c r="H441" s="374"/>
      <c r="I441" s="217" t="str">
        <f ca="1">IFERROR(VALUE(SUBSTITUTE(OFFSET(I441,-1,0)," "&amp;$D441,""))*$F441,"")</f>
        <v/>
      </c>
      <c r="J441" s="215" t="str">
        <f ca="1">IFERROR(VALUE(SUBSTITUTE(OFFSET(J441,-1,0)," "&amp;$D441,""))*$F441,"")</f>
        <v/>
      </c>
      <c r="K441" s="215" t="str">
        <f t="shared" ref="K441:M441" ca="1" si="442">IFERROR(VALUE(SUBSTITUTE(OFFSET(K441,-1,0)," "&amp;$D441,""))*$F441,"")</f>
        <v/>
      </c>
      <c r="L441" s="215" t="str">
        <f t="shared" ca="1" si="442"/>
        <v/>
      </c>
      <c r="M441" s="215" t="str">
        <f t="shared" ca="1" si="442"/>
        <v/>
      </c>
      <c r="N441" s="215" t="str">
        <f ca="1">IFERROR(VALUE(SUBSTITUTE(OFFSET(N441,-1,0)," "&amp;$D441,""))*$F441,"")</f>
        <v/>
      </c>
      <c r="O441" s="215" t="str">
        <f ca="1">IFERROR(VALUE(SUBSTITUTE(OFFSET(O441,-1,0)," "&amp;$D441,""))*$F441,"")</f>
        <v/>
      </c>
      <c r="P441" s="209" t="str">
        <f ca="1">IF(LEN(B441)&gt;0,ISNUMBER(MATCH(B441,Proposed[Item],0)),"")</f>
        <v/>
      </c>
    </row>
    <row r="442" spans="1:16" ht="15" x14ac:dyDescent="0.2">
      <c r="A442" s="276">
        <f t="shared" ca="1" si="392"/>
        <v>218</v>
      </c>
      <c r="B442" s="168" t="str">
        <f ca="1">IFERROR(INDEX(INDIRECT(RangeItems),MATCH($A442,INDIRECT(RangeEstCount),0)),"")</f>
        <v/>
      </c>
      <c r="C442" s="365" t="str">
        <f ca="1">IFERROR(INDEX(Calcs[Description],INDEX(INDIRECT(RangeCount),MATCH($A442,INDIRECT(RangeEstCount),0))),"")</f>
        <v/>
      </c>
      <c r="D442" s="365"/>
      <c r="E442" s="365"/>
      <c r="F442" s="365"/>
      <c r="G442" s="365"/>
      <c r="H442" s="375" t="str">
        <f ca="1">IF(AND(Bid?,NOT(Awd?)),C442,OFFSET(F442,1,0))</f>
        <v/>
      </c>
      <c r="I442" s="216" t="str">
        <f t="shared" ref="I442:O442" ca="1" si="443">IFERROR(SUM(OFFSET(INDIRECT(RangeQuantity),MATCH($A442,INDIRECT(RangeEstCount),0)-1,COLUMN(I442)-COLUMN($H442),1,1))&amp;" "&amp;OFFSET($D442,1,0),"")</f>
        <v/>
      </c>
      <c r="J442" s="277" t="str">
        <f t="shared" ca="1" si="443"/>
        <v/>
      </c>
      <c r="K442" s="277" t="str">
        <f t="shared" ca="1" si="443"/>
        <v/>
      </c>
      <c r="L442" s="277" t="str">
        <f t="shared" ca="1" si="443"/>
        <v/>
      </c>
      <c r="M442" s="277" t="str">
        <f t="shared" ca="1" si="443"/>
        <v/>
      </c>
      <c r="N442" s="277" t="str">
        <f t="shared" ca="1" si="443"/>
        <v/>
      </c>
      <c r="O442" s="277" t="str">
        <f t="shared" ca="1" si="443"/>
        <v/>
      </c>
      <c r="P442" s="209" t="str">
        <f ca="1">IF(LEN(B442)&gt;0,ISNUMBER(MATCH(B442,Proposed[Item],0)),"")</f>
        <v/>
      </c>
    </row>
    <row r="443" spans="1:16" ht="15" x14ac:dyDescent="0.2">
      <c r="A443" s="276">
        <f t="shared" ca="1" si="392"/>
        <v>218</v>
      </c>
      <c r="B443" s="111" t="str">
        <f ca="1">IFERROR("Line "&amp;INDEX(Calcs[Line],INDEX(INDIRECT(RangeCount),MATCH($A443,INDIRECT(RangeEstCount),0))),"")</f>
        <v/>
      </c>
      <c r="C443" s="169" t="str">
        <f ca="1">IFERROR(IF(AND($D443="LPSM",Bid?,All?),"ALL",TEXT(OFFSET(INDIRECT(RangeQuantity),MATCH($A443,INDIRECT(RangeEstCount),0)-1,MATCH(Account,Accounts,0)-1,1,1),IF($D443="LPSM","0%","#,##0"&amp;IF(OFFSET(Items[#Data],MATCH($A443,INDIRECT(RangeEstCount),0)-1,MATCH(Decimals,Items[#Headers],0)-1,1,1)&gt;0,"."&amp;REPT("0",OFFSET(Items[#Data],MATCH($A443,INDIRECT(RangeEstCount),0)-1,MATCH(Decimals,Items[#Headers],0)-1,1,1)),"")))),"")</f>
        <v/>
      </c>
      <c r="D443" s="170" t="str">
        <f ca="1">IFERROR(INDEX(INDIRECT(RangeUnit),MATCH($A443,INDIRECT(RangeEstCount),0))&amp;SUBSTITUTE(" ["&amp;INDEX(INDIRECT(RangeAmend),MATCH($A443,INDIRECT(RangeEstCount),0))&amp;"]"," []",""),"")</f>
        <v/>
      </c>
      <c r="E443" s="170" t="str">
        <f ca="1">IFERROR(IF(INDEX(INDIRECT(RangeContrQty),MATCH($A443,INDIRECT(RangeEstCount),0)),"(CQ)",""),"")</f>
        <v/>
      </c>
      <c r="F443" s="171" t="str">
        <f ca="1">IFERROR(IF(OR(NOT(Bid?),LEFT(UPPER($D443),4)="FXHR"),INDEX(INDIRECT(RangeUnitPrice),MATCH($A443,INDIRECT(RangeEstCount),0)),IF(Awd?,OFFSET(TabAmount,MATCH(INDEX(INDIRECT(RangeCount),MATCH($A443,INDIRECT(RangeEstCount),0)),OFFSET(TabCount,1,0,2*NumPayItems,1),0),MATCH(Awarded2,Bidders,0)),IF(OR($C443="",$D443="LPSM"),"","$"))),"")</f>
        <v/>
      </c>
      <c r="G443" s="171" t="str">
        <f ca="1">IFERROR(VALUE(C443)*F443,IF(AND(Bid?,NOT(Awd?),$D443="LPSM"),"$",F443))</f>
        <v/>
      </c>
      <c r="H443" s="374"/>
      <c r="I443" s="217" t="str">
        <f ca="1">IFERROR(VALUE(SUBSTITUTE(OFFSET(I443,-1,0)," "&amp;$D443,""))*$F443,"")</f>
        <v/>
      </c>
      <c r="J443" s="215" t="str">
        <f ca="1">IFERROR(VALUE(SUBSTITUTE(OFFSET(J443,-1,0)," "&amp;$D443,""))*$F443,"")</f>
        <v/>
      </c>
      <c r="K443" s="215" t="str">
        <f t="shared" ref="K443:M443" ca="1" si="444">IFERROR(VALUE(SUBSTITUTE(OFFSET(K443,-1,0)," "&amp;$D443,""))*$F443,"")</f>
        <v/>
      </c>
      <c r="L443" s="215" t="str">
        <f t="shared" ca="1" si="444"/>
        <v/>
      </c>
      <c r="M443" s="215" t="str">
        <f t="shared" ca="1" si="444"/>
        <v/>
      </c>
      <c r="N443" s="215" t="str">
        <f ca="1">IFERROR(VALUE(SUBSTITUTE(OFFSET(N443,-1,0)," "&amp;$D443,""))*$F443,"")</f>
        <v/>
      </c>
      <c r="O443" s="215" t="str">
        <f ca="1">IFERROR(VALUE(SUBSTITUTE(OFFSET(O443,-1,0)," "&amp;$D443,""))*$F443,"")</f>
        <v/>
      </c>
      <c r="P443" s="209" t="str">
        <f ca="1">IF(LEN(B443)&gt;0,ISNUMBER(MATCH(B443,Proposed[Item],0)),"")</f>
        <v/>
      </c>
    </row>
    <row r="444" spans="1:16" ht="15" x14ac:dyDescent="0.2">
      <c r="A444" s="276">
        <f t="shared" ca="1" si="392"/>
        <v>219</v>
      </c>
      <c r="B444" s="168" t="str">
        <f ca="1">IFERROR(INDEX(INDIRECT(RangeItems),MATCH($A444,INDIRECT(RangeEstCount),0)),"")</f>
        <v/>
      </c>
      <c r="C444" s="365" t="str">
        <f ca="1">IFERROR(INDEX(Calcs[Description],INDEX(INDIRECT(RangeCount),MATCH($A444,INDIRECT(RangeEstCount),0))),"")</f>
        <v/>
      </c>
      <c r="D444" s="365"/>
      <c r="E444" s="365"/>
      <c r="F444" s="365"/>
      <c r="G444" s="365"/>
      <c r="H444" s="375" t="str">
        <f ca="1">IF(AND(Bid?,NOT(Awd?)),C444,OFFSET(F444,1,0))</f>
        <v/>
      </c>
      <c r="I444" s="216" t="str">
        <f t="shared" ref="I444:O444" ca="1" si="445">IFERROR(SUM(OFFSET(INDIRECT(RangeQuantity),MATCH($A444,INDIRECT(RangeEstCount),0)-1,COLUMN(I444)-COLUMN($H444),1,1))&amp;" "&amp;OFFSET($D444,1,0),"")</f>
        <v/>
      </c>
      <c r="J444" s="277" t="str">
        <f t="shared" ca="1" si="445"/>
        <v/>
      </c>
      <c r="K444" s="277" t="str">
        <f t="shared" ca="1" si="445"/>
        <v/>
      </c>
      <c r="L444" s="277" t="str">
        <f t="shared" ca="1" si="445"/>
        <v/>
      </c>
      <c r="M444" s="277" t="str">
        <f t="shared" ca="1" si="445"/>
        <v/>
      </c>
      <c r="N444" s="277" t="str">
        <f t="shared" ca="1" si="445"/>
        <v/>
      </c>
      <c r="O444" s="277" t="str">
        <f t="shared" ca="1" si="445"/>
        <v/>
      </c>
      <c r="P444" s="209" t="str">
        <f ca="1">IF(LEN(B444)&gt;0,ISNUMBER(MATCH(B444,Proposed[Item],0)),"")</f>
        <v/>
      </c>
    </row>
    <row r="445" spans="1:16" ht="15" x14ac:dyDescent="0.2">
      <c r="A445" s="276">
        <f t="shared" ca="1" si="392"/>
        <v>219</v>
      </c>
      <c r="B445" s="111" t="str">
        <f ca="1">IFERROR("Line "&amp;INDEX(Calcs[Line],INDEX(INDIRECT(RangeCount),MATCH($A445,INDIRECT(RangeEstCount),0))),"")</f>
        <v/>
      </c>
      <c r="C445" s="169" t="str">
        <f ca="1">IFERROR(IF(AND($D445="LPSM",Bid?,All?),"ALL",TEXT(OFFSET(INDIRECT(RangeQuantity),MATCH($A445,INDIRECT(RangeEstCount),0)-1,MATCH(Account,Accounts,0)-1,1,1),IF($D445="LPSM","0%","#,##0"&amp;IF(OFFSET(Items[#Data],MATCH($A445,INDIRECT(RangeEstCount),0)-1,MATCH(Decimals,Items[#Headers],0)-1,1,1)&gt;0,"."&amp;REPT("0",OFFSET(Items[#Data],MATCH($A445,INDIRECT(RangeEstCount),0)-1,MATCH(Decimals,Items[#Headers],0)-1,1,1)),"")))),"")</f>
        <v/>
      </c>
      <c r="D445" s="170" t="str">
        <f ca="1">IFERROR(INDEX(INDIRECT(RangeUnit),MATCH($A445,INDIRECT(RangeEstCount),0))&amp;SUBSTITUTE(" ["&amp;INDEX(INDIRECT(RangeAmend),MATCH($A445,INDIRECT(RangeEstCount),0))&amp;"]"," []",""),"")</f>
        <v/>
      </c>
      <c r="E445" s="170" t="str">
        <f ca="1">IFERROR(IF(INDEX(INDIRECT(RangeContrQty),MATCH($A445,INDIRECT(RangeEstCount),0)),"(CQ)",""),"")</f>
        <v/>
      </c>
      <c r="F445" s="171" t="str">
        <f ca="1">IFERROR(IF(OR(NOT(Bid?),LEFT(UPPER($D445),4)="FXHR"),INDEX(INDIRECT(RangeUnitPrice),MATCH($A445,INDIRECT(RangeEstCount),0)),IF(Awd?,OFFSET(TabAmount,MATCH(INDEX(INDIRECT(RangeCount),MATCH($A445,INDIRECT(RangeEstCount),0)),OFFSET(TabCount,1,0,2*NumPayItems,1),0),MATCH(Awarded2,Bidders,0)),IF(OR($C445="",$D445="LPSM"),"","$"))),"")</f>
        <v/>
      </c>
      <c r="G445" s="171" t="str">
        <f ca="1">IFERROR(VALUE(C445)*F445,IF(AND(Bid?,NOT(Awd?),$D445="LPSM"),"$",F445))</f>
        <v/>
      </c>
      <c r="H445" s="374"/>
      <c r="I445" s="217" t="str">
        <f ca="1">IFERROR(VALUE(SUBSTITUTE(OFFSET(I445,-1,0)," "&amp;$D445,""))*$F445,"")</f>
        <v/>
      </c>
      <c r="J445" s="215" t="str">
        <f ca="1">IFERROR(VALUE(SUBSTITUTE(OFFSET(J445,-1,0)," "&amp;$D445,""))*$F445,"")</f>
        <v/>
      </c>
      <c r="K445" s="215" t="str">
        <f t="shared" ref="K445:M445" ca="1" si="446">IFERROR(VALUE(SUBSTITUTE(OFFSET(K445,-1,0)," "&amp;$D445,""))*$F445,"")</f>
        <v/>
      </c>
      <c r="L445" s="215" t="str">
        <f t="shared" ca="1" si="446"/>
        <v/>
      </c>
      <c r="M445" s="215" t="str">
        <f t="shared" ca="1" si="446"/>
        <v/>
      </c>
      <c r="N445" s="215" t="str">
        <f ca="1">IFERROR(VALUE(SUBSTITUTE(OFFSET(N445,-1,0)," "&amp;$D445,""))*$F445,"")</f>
        <v/>
      </c>
      <c r="O445" s="215" t="str">
        <f ca="1">IFERROR(VALUE(SUBSTITUTE(OFFSET(O445,-1,0)," "&amp;$D445,""))*$F445,"")</f>
        <v/>
      </c>
      <c r="P445" s="209" t="str">
        <f ca="1">IF(LEN(B445)&gt;0,ISNUMBER(MATCH(B445,Proposed[Item],0)),"")</f>
        <v/>
      </c>
    </row>
    <row r="446" spans="1:16" ht="15" x14ac:dyDescent="0.2">
      <c r="A446" s="276">
        <f t="shared" ca="1" si="392"/>
        <v>220</v>
      </c>
      <c r="B446" s="168" t="str">
        <f ca="1">IFERROR(INDEX(INDIRECT(RangeItems),MATCH($A446,INDIRECT(RangeEstCount),0)),"")</f>
        <v/>
      </c>
      <c r="C446" s="365" t="str">
        <f ca="1">IFERROR(INDEX(Calcs[Description],INDEX(INDIRECT(RangeCount),MATCH($A446,INDIRECT(RangeEstCount),0))),"")</f>
        <v/>
      </c>
      <c r="D446" s="365"/>
      <c r="E446" s="365"/>
      <c r="F446" s="365"/>
      <c r="G446" s="365"/>
      <c r="H446" s="375" t="str">
        <f ca="1">IF(AND(Bid?,NOT(Awd?)),C446,OFFSET(F446,1,0))</f>
        <v/>
      </c>
      <c r="I446" s="216" t="str">
        <f t="shared" ref="I446:O446" ca="1" si="447">IFERROR(SUM(OFFSET(INDIRECT(RangeQuantity),MATCH($A446,INDIRECT(RangeEstCount),0)-1,COLUMN(I446)-COLUMN($H446),1,1))&amp;" "&amp;OFFSET($D446,1,0),"")</f>
        <v/>
      </c>
      <c r="J446" s="277" t="str">
        <f t="shared" ca="1" si="447"/>
        <v/>
      </c>
      <c r="K446" s="277" t="str">
        <f t="shared" ca="1" si="447"/>
        <v/>
      </c>
      <c r="L446" s="277" t="str">
        <f t="shared" ca="1" si="447"/>
        <v/>
      </c>
      <c r="M446" s="277" t="str">
        <f t="shared" ca="1" si="447"/>
        <v/>
      </c>
      <c r="N446" s="277" t="str">
        <f t="shared" ca="1" si="447"/>
        <v/>
      </c>
      <c r="O446" s="277" t="str">
        <f t="shared" ca="1" si="447"/>
        <v/>
      </c>
      <c r="P446" s="209" t="str">
        <f ca="1">IF(LEN(B446)&gt;0,ISNUMBER(MATCH(B446,Proposed[Item],0)),"")</f>
        <v/>
      </c>
    </row>
    <row r="447" spans="1:16" ht="15" x14ac:dyDescent="0.2">
      <c r="A447" s="276">
        <f t="shared" ca="1" si="392"/>
        <v>220</v>
      </c>
      <c r="B447" s="111" t="str">
        <f ca="1">IFERROR("Line "&amp;INDEX(Calcs[Line],INDEX(INDIRECT(RangeCount),MATCH($A447,INDIRECT(RangeEstCount),0))),"")</f>
        <v/>
      </c>
      <c r="C447" s="169" t="str">
        <f ca="1">IFERROR(IF(AND($D447="LPSM",Bid?,All?),"ALL",TEXT(OFFSET(INDIRECT(RangeQuantity),MATCH($A447,INDIRECT(RangeEstCount),0)-1,MATCH(Account,Accounts,0)-1,1,1),IF($D447="LPSM","0%","#,##0"&amp;IF(OFFSET(Items[#Data],MATCH($A447,INDIRECT(RangeEstCount),0)-1,MATCH(Decimals,Items[#Headers],0)-1,1,1)&gt;0,"."&amp;REPT("0",OFFSET(Items[#Data],MATCH($A447,INDIRECT(RangeEstCount),0)-1,MATCH(Decimals,Items[#Headers],0)-1,1,1)),"")))),"")</f>
        <v/>
      </c>
      <c r="D447" s="170" t="str">
        <f ca="1">IFERROR(INDEX(INDIRECT(RangeUnit),MATCH($A447,INDIRECT(RangeEstCount),0))&amp;SUBSTITUTE(" ["&amp;INDEX(INDIRECT(RangeAmend),MATCH($A447,INDIRECT(RangeEstCount),0))&amp;"]"," []",""),"")</f>
        <v/>
      </c>
      <c r="E447" s="170" t="str">
        <f ca="1">IFERROR(IF(INDEX(INDIRECT(RangeContrQty),MATCH($A447,INDIRECT(RangeEstCount),0)),"(CQ)",""),"")</f>
        <v/>
      </c>
      <c r="F447" s="171" t="str">
        <f ca="1">IFERROR(IF(OR(NOT(Bid?),LEFT(UPPER($D447),4)="FXHR"),INDEX(INDIRECT(RangeUnitPrice),MATCH($A447,INDIRECT(RangeEstCount),0)),IF(Awd?,OFFSET(TabAmount,MATCH(INDEX(INDIRECT(RangeCount),MATCH($A447,INDIRECT(RangeEstCount),0)),OFFSET(TabCount,1,0,2*NumPayItems,1),0),MATCH(Awarded2,Bidders,0)),IF(OR($C447="",$D447="LPSM"),"","$"))),"")</f>
        <v/>
      </c>
      <c r="G447" s="171" t="str">
        <f ca="1">IFERROR(VALUE(C447)*F447,IF(AND(Bid?,NOT(Awd?),$D447="LPSM"),"$",F447))</f>
        <v/>
      </c>
      <c r="H447" s="374"/>
      <c r="I447" s="217" t="str">
        <f ca="1">IFERROR(VALUE(SUBSTITUTE(OFFSET(I447,-1,0)," "&amp;$D447,""))*$F447,"")</f>
        <v/>
      </c>
      <c r="J447" s="215" t="str">
        <f ca="1">IFERROR(VALUE(SUBSTITUTE(OFFSET(J447,-1,0)," "&amp;$D447,""))*$F447,"")</f>
        <v/>
      </c>
      <c r="K447" s="215" t="str">
        <f t="shared" ref="K447:M447" ca="1" si="448">IFERROR(VALUE(SUBSTITUTE(OFFSET(K447,-1,0)," "&amp;$D447,""))*$F447,"")</f>
        <v/>
      </c>
      <c r="L447" s="215" t="str">
        <f t="shared" ca="1" si="448"/>
        <v/>
      </c>
      <c r="M447" s="215" t="str">
        <f t="shared" ca="1" si="448"/>
        <v/>
      </c>
      <c r="N447" s="215" t="str">
        <f ca="1">IFERROR(VALUE(SUBSTITUTE(OFFSET(N447,-1,0)," "&amp;$D447,""))*$F447,"")</f>
        <v/>
      </c>
      <c r="O447" s="215" t="str">
        <f ca="1">IFERROR(VALUE(SUBSTITUTE(OFFSET(O447,-1,0)," "&amp;$D447,""))*$F447,"")</f>
        <v/>
      </c>
      <c r="P447" s="209" t="str">
        <f ca="1">IF(LEN(B447)&gt;0,ISNUMBER(MATCH(B447,Proposed[Item],0)),"")</f>
        <v/>
      </c>
    </row>
    <row r="448" spans="1:16" ht="15" x14ac:dyDescent="0.2">
      <c r="A448" s="276">
        <f t="shared" ca="1" si="392"/>
        <v>221</v>
      </c>
      <c r="B448" s="168" t="str">
        <f ca="1">IFERROR(INDEX(INDIRECT(RangeItems),MATCH($A448,INDIRECT(RangeEstCount),0)),"")</f>
        <v/>
      </c>
      <c r="C448" s="365" t="str">
        <f ca="1">IFERROR(INDEX(Calcs[Description],INDEX(INDIRECT(RangeCount),MATCH($A448,INDIRECT(RangeEstCount),0))),"")</f>
        <v/>
      </c>
      <c r="D448" s="365"/>
      <c r="E448" s="365"/>
      <c r="F448" s="365"/>
      <c r="G448" s="365"/>
      <c r="H448" s="375" t="str">
        <f ca="1">IF(AND(Bid?,NOT(Awd?)),C448,OFFSET(F448,1,0))</f>
        <v/>
      </c>
      <c r="I448" s="216" t="str">
        <f t="shared" ref="I448:O448" ca="1" si="449">IFERROR(SUM(OFFSET(INDIRECT(RangeQuantity),MATCH($A448,INDIRECT(RangeEstCount),0)-1,COLUMN(I448)-COLUMN($H448),1,1))&amp;" "&amp;OFFSET($D448,1,0),"")</f>
        <v/>
      </c>
      <c r="J448" s="277" t="str">
        <f t="shared" ca="1" si="449"/>
        <v/>
      </c>
      <c r="K448" s="277" t="str">
        <f t="shared" ca="1" si="449"/>
        <v/>
      </c>
      <c r="L448" s="277" t="str">
        <f t="shared" ca="1" si="449"/>
        <v/>
      </c>
      <c r="M448" s="277" t="str">
        <f t="shared" ca="1" si="449"/>
        <v/>
      </c>
      <c r="N448" s="277" t="str">
        <f t="shared" ca="1" si="449"/>
        <v/>
      </c>
      <c r="O448" s="277" t="str">
        <f t="shared" ca="1" si="449"/>
        <v/>
      </c>
      <c r="P448" s="209" t="str">
        <f ca="1">IF(LEN(B448)&gt;0,ISNUMBER(MATCH(B448,Proposed[Item],0)),"")</f>
        <v/>
      </c>
    </row>
    <row r="449" spans="1:16" ht="15" x14ac:dyDescent="0.2">
      <c r="A449" s="276">
        <f t="shared" ca="1" si="392"/>
        <v>221</v>
      </c>
      <c r="B449" s="111" t="str">
        <f ca="1">IFERROR("Line "&amp;INDEX(Calcs[Line],INDEX(INDIRECT(RangeCount),MATCH($A449,INDIRECT(RangeEstCount),0))),"")</f>
        <v/>
      </c>
      <c r="C449" s="169" t="str">
        <f ca="1">IFERROR(IF(AND($D449="LPSM",Bid?,All?),"ALL",TEXT(OFFSET(INDIRECT(RangeQuantity),MATCH($A449,INDIRECT(RangeEstCount),0)-1,MATCH(Account,Accounts,0)-1,1,1),IF($D449="LPSM","0%","#,##0"&amp;IF(OFFSET(Items[#Data],MATCH($A449,INDIRECT(RangeEstCount),0)-1,MATCH(Decimals,Items[#Headers],0)-1,1,1)&gt;0,"."&amp;REPT("0",OFFSET(Items[#Data],MATCH($A449,INDIRECT(RangeEstCount),0)-1,MATCH(Decimals,Items[#Headers],0)-1,1,1)),"")))),"")</f>
        <v/>
      </c>
      <c r="D449" s="170" t="str">
        <f ca="1">IFERROR(INDEX(INDIRECT(RangeUnit),MATCH($A449,INDIRECT(RangeEstCount),0))&amp;SUBSTITUTE(" ["&amp;INDEX(INDIRECT(RangeAmend),MATCH($A449,INDIRECT(RangeEstCount),0))&amp;"]"," []",""),"")</f>
        <v/>
      </c>
      <c r="E449" s="170" t="str">
        <f ca="1">IFERROR(IF(INDEX(INDIRECT(RangeContrQty),MATCH($A449,INDIRECT(RangeEstCount),0)),"(CQ)",""),"")</f>
        <v/>
      </c>
      <c r="F449" s="171" t="str">
        <f ca="1">IFERROR(IF(OR(NOT(Bid?),LEFT(UPPER($D449),4)="FXHR"),INDEX(INDIRECT(RangeUnitPrice),MATCH($A449,INDIRECT(RangeEstCount),0)),IF(Awd?,OFFSET(TabAmount,MATCH(INDEX(INDIRECT(RangeCount),MATCH($A449,INDIRECT(RangeEstCount),0)),OFFSET(TabCount,1,0,2*NumPayItems,1),0),MATCH(Awarded2,Bidders,0)),IF(OR($C449="",$D449="LPSM"),"","$"))),"")</f>
        <v/>
      </c>
      <c r="G449" s="171" t="str">
        <f ca="1">IFERROR(VALUE(C449)*F449,IF(AND(Bid?,NOT(Awd?),$D449="LPSM"),"$",F449))</f>
        <v/>
      </c>
      <c r="H449" s="374"/>
      <c r="I449" s="217" t="str">
        <f ca="1">IFERROR(VALUE(SUBSTITUTE(OFFSET(I449,-1,0)," "&amp;$D449,""))*$F449,"")</f>
        <v/>
      </c>
      <c r="J449" s="215" t="str">
        <f ca="1">IFERROR(VALUE(SUBSTITUTE(OFFSET(J449,-1,0)," "&amp;$D449,""))*$F449,"")</f>
        <v/>
      </c>
      <c r="K449" s="215" t="str">
        <f t="shared" ref="K449:M449" ca="1" si="450">IFERROR(VALUE(SUBSTITUTE(OFFSET(K449,-1,0)," "&amp;$D449,""))*$F449,"")</f>
        <v/>
      </c>
      <c r="L449" s="215" t="str">
        <f t="shared" ca="1" si="450"/>
        <v/>
      </c>
      <c r="M449" s="215" t="str">
        <f t="shared" ca="1" si="450"/>
        <v/>
      </c>
      <c r="N449" s="215" t="str">
        <f ca="1">IFERROR(VALUE(SUBSTITUTE(OFFSET(N449,-1,0)," "&amp;$D449,""))*$F449,"")</f>
        <v/>
      </c>
      <c r="O449" s="215" t="str">
        <f ca="1">IFERROR(VALUE(SUBSTITUTE(OFFSET(O449,-1,0)," "&amp;$D449,""))*$F449,"")</f>
        <v/>
      </c>
      <c r="P449" s="209" t="str">
        <f ca="1">IF(LEN(B449)&gt;0,ISNUMBER(MATCH(B449,Proposed[Item],0)),"")</f>
        <v/>
      </c>
    </row>
    <row r="450" spans="1:16" ht="15" x14ac:dyDescent="0.2">
      <c r="A450" s="276">
        <f t="shared" ca="1" si="392"/>
        <v>222</v>
      </c>
      <c r="B450" s="168" t="str">
        <f ca="1">IFERROR(INDEX(INDIRECT(RangeItems),MATCH($A450,INDIRECT(RangeEstCount),0)),"")</f>
        <v/>
      </c>
      <c r="C450" s="365" t="str">
        <f ca="1">IFERROR(INDEX(Calcs[Description],INDEX(INDIRECT(RangeCount),MATCH($A450,INDIRECT(RangeEstCount),0))),"")</f>
        <v/>
      </c>
      <c r="D450" s="365"/>
      <c r="E450" s="365"/>
      <c r="F450" s="365"/>
      <c r="G450" s="365"/>
      <c r="H450" s="375" t="str">
        <f ca="1">IF(AND(Bid?,NOT(Awd?)),C450,OFFSET(F450,1,0))</f>
        <v/>
      </c>
      <c r="I450" s="216" t="str">
        <f t="shared" ref="I450:O450" ca="1" si="451">IFERROR(SUM(OFFSET(INDIRECT(RangeQuantity),MATCH($A450,INDIRECT(RangeEstCount),0)-1,COLUMN(I450)-COLUMN($H450),1,1))&amp;" "&amp;OFFSET($D450,1,0),"")</f>
        <v/>
      </c>
      <c r="J450" s="277" t="str">
        <f t="shared" ca="1" si="451"/>
        <v/>
      </c>
      <c r="K450" s="277" t="str">
        <f t="shared" ca="1" si="451"/>
        <v/>
      </c>
      <c r="L450" s="277" t="str">
        <f t="shared" ca="1" si="451"/>
        <v/>
      </c>
      <c r="M450" s="277" t="str">
        <f t="shared" ca="1" si="451"/>
        <v/>
      </c>
      <c r="N450" s="277" t="str">
        <f t="shared" ca="1" si="451"/>
        <v/>
      </c>
      <c r="O450" s="277" t="str">
        <f t="shared" ca="1" si="451"/>
        <v/>
      </c>
      <c r="P450" s="209" t="str">
        <f ca="1">IF(LEN(B450)&gt;0,ISNUMBER(MATCH(B450,Proposed[Item],0)),"")</f>
        <v/>
      </c>
    </row>
    <row r="451" spans="1:16" ht="15" x14ac:dyDescent="0.2">
      <c r="A451" s="276">
        <f t="shared" ca="1" si="392"/>
        <v>222</v>
      </c>
      <c r="B451" s="111" t="str">
        <f ca="1">IFERROR("Line "&amp;INDEX(Calcs[Line],INDEX(INDIRECT(RangeCount),MATCH($A451,INDIRECT(RangeEstCount),0))),"")</f>
        <v/>
      </c>
      <c r="C451" s="169" t="str">
        <f ca="1">IFERROR(IF(AND($D451="LPSM",Bid?,All?),"ALL",TEXT(OFFSET(INDIRECT(RangeQuantity),MATCH($A451,INDIRECT(RangeEstCount),0)-1,MATCH(Account,Accounts,0)-1,1,1),IF($D451="LPSM","0%","#,##0"&amp;IF(OFFSET(Items[#Data],MATCH($A451,INDIRECT(RangeEstCount),0)-1,MATCH(Decimals,Items[#Headers],0)-1,1,1)&gt;0,"."&amp;REPT("0",OFFSET(Items[#Data],MATCH($A451,INDIRECT(RangeEstCount),0)-1,MATCH(Decimals,Items[#Headers],0)-1,1,1)),"")))),"")</f>
        <v/>
      </c>
      <c r="D451" s="170" t="str">
        <f ca="1">IFERROR(INDEX(INDIRECT(RangeUnit),MATCH($A451,INDIRECT(RangeEstCount),0))&amp;SUBSTITUTE(" ["&amp;INDEX(INDIRECT(RangeAmend),MATCH($A451,INDIRECT(RangeEstCount),0))&amp;"]"," []",""),"")</f>
        <v/>
      </c>
      <c r="E451" s="170" t="str">
        <f ca="1">IFERROR(IF(INDEX(INDIRECT(RangeContrQty),MATCH($A451,INDIRECT(RangeEstCount),0)),"(CQ)",""),"")</f>
        <v/>
      </c>
      <c r="F451" s="171" t="str">
        <f ca="1">IFERROR(IF(OR(NOT(Bid?),LEFT(UPPER($D451),4)="FXHR"),INDEX(INDIRECT(RangeUnitPrice),MATCH($A451,INDIRECT(RangeEstCount),0)),IF(Awd?,OFFSET(TabAmount,MATCH(INDEX(INDIRECT(RangeCount),MATCH($A451,INDIRECT(RangeEstCount),0)),OFFSET(TabCount,1,0,2*NumPayItems,1),0),MATCH(Awarded2,Bidders,0)),IF(OR($C451="",$D451="LPSM"),"","$"))),"")</f>
        <v/>
      </c>
      <c r="G451" s="171" t="str">
        <f ca="1">IFERROR(VALUE(C451)*F451,IF(AND(Bid?,NOT(Awd?),$D451="LPSM"),"$",F451))</f>
        <v/>
      </c>
      <c r="H451" s="374"/>
      <c r="I451" s="217" t="str">
        <f ca="1">IFERROR(VALUE(SUBSTITUTE(OFFSET(I451,-1,0)," "&amp;$D451,""))*$F451,"")</f>
        <v/>
      </c>
      <c r="J451" s="215" t="str">
        <f ca="1">IFERROR(VALUE(SUBSTITUTE(OFFSET(J451,-1,0)," "&amp;$D451,""))*$F451,"")</f>
        <v/>
      </c>
      <c r="K451" s="215" t="str">
        <f t="shared" ref="K451:M451" ca="1" si="452">IFERROR(VALUE(SUBSTITUTE(OFFSET(K451,-1,0)," "&amp;$D451,""))*$F451,"")</f>
        <v/>
      </c>
      <c r="L451" s="215" t="str">
        <f t="shared" ca="1" si="452"/>
        <v/>
      </c>
      <c r="M451" s="215" t="str">
        <f t="shared" ca="1" si="452"/>
        <v/>
      </c>
      <c r="N451" s="215" t="str">
        <f ca="1">IFERROR(VALUE(SUBSTITUTE(OFFSET(N451,-1,0)," "&amp;$D451,""))*$F451,"")</f>
        <v/>
      </c>
      <c r="O451" s="215" t="str">
        <f ca="1">IFERROR(VALUE(SUBSTITUTE(OFFSET(O451,-1,0)," "&amp;$D451,""))*$F451,"")</f>
        <v/>
      </c>
      <c r="P451" s="209" t="str">
        <f ca="1">IF(LEN(B451)&gt;0,ISNUMBER(MATCH(B451,Proposed[Item],0)),"")</f>
        <v/>
      </c>
    </row>
    <row r="452" spans="1:16" ht="15" x14ac:dyDescent="0.2">
      <c r="A452" s="276">
        <f t="shared" ca="1" si="392"/>
        <v>223</v>
      </c>
      <c r="B452" s="168" t="str">
        <f ca="1">IFERROR(INDEX(INDIRECT(RangeItems),MATCH($A452,INDIRECT(RangeEstCount),0)),"")</f>
        <v/>
      </c>
      <c r="C452" s="365" t="str">
        <f ca="1">IFERROR(INDEX(Calcs[Description],INDEX(INDIRECT(RangeCount),MATCH($A452,INDIRECT(RangeEstCount),0))),"")</f>
        <v/>
      </c>
      <c r="D452" s="365"/>
      <c r="E452" s="365"/>
      <c r="F452" s="365"/>
      <c r="G452" s="365"/>
      <c r="H452" s="375" t="str">
        <f ca="1">IF(AND(Bid?,NOT(Awd?)),C452,OFFSET(F452,1,0))</f>
        <v/>
      </c>
      <c r="I452" s="216" t="str">
        <f t="shared" ref="I452:O452" ca="1" si="453">IFERROR(SUM(OFFSET(INDIRECT(RangeQuantity),MATCH($A452,INDIRECT(RangeEstCount),0)-1,COLUMN(I452)-COLUMN($H452),1,1))&amp;" "&amp;OFFSET($D452,1,0),"")</f>
        <v/>
      </c>
      <c r="J452" s="277" t="str">
        <f t="shared" ca="1" si="453"/>
        <v/>
      </c>
      <c r="K452" s="277" t="str">
        <f t="shared" ca="1" si="453"/>
        <v/>
      </c>
      <c r="L452" s="277" t="str">
        <f t="shared" ca="1" si="453"/>
        <v/>
      </c>
      <c r="M452" s="277" t="str">
        <f t="shared" ca="1" si="453"/>
        <v/>
      </c>
      <c r="N452" s="277" t="str">
        <f t="shared" ca="1" si="453"/>
        <v/>
      </c>
      <c r="O452" s="277" t="str">
        <f t="shared" ca="1" si="453"/>
        <v/>
      </c>
      <c r="P452" s="209" t="str">
        <f ca="1">IF(LEN(B452)&gt;0,ISNUMBER(MATCH(B452,Proposed[Item],0)),"")</f>
        <v/>
      </c>
    </row>
    <row r="453" spans="1:16" ht="15" x14ac:dyDescent="0.2">
      <c r="A453" s="276">
        <f t="shared" ca="1" si="392"/>
        <v>223</v>
      </c>
      <c r="B453" s="111" t="str">
        <f ca="1">IFERROR("Line "&amp;INDEX(Calcs[Line],INDEX(INDIRECT(RangeCount),MATCH($A453,INDIRECT(RangeEstCount),0))),"")</f>
        <v/>
      </c>
      <c r="C453" s="169" t="str">
        <f ca="1">IFERROR(IF(AND($D453="LPSM",Bid?,All?),"ALL",TEXT(OFFSET(INDIRECT(RangeQuantity),MATCH($A453,INDIRECT(RangeEstCount),0)-1,MATCH(Account,Accounts,0)-1,1,1),IF($D453="LPSM","0%","#,##0"&amp;IF(OFFSET(Items[#Data],MATCH($A453,INDIRECT(RangeEstCount),0)-1,MATCH(Decimals,Items[#Headers],0)-1,1,1)&gt;0,"."&amp;REPT("0",OFFSET(Items[#Data],MATCH($A453,INDIRECT(RangeEstCount),0)-1,MATCH(Decimals,Items[#Headers],0)-1,1,1)),"")))),"")</f>
        <v/>
      </c>
      <c r="D453" s="170" t="str">
        <f ca="1">IFERROR(INDEX(INDIRECT(RangeUnit),MATCH($A453,INDIRECT(RangeEstCount),0))&amp;SUBSTITUTE(" ["&amp;INDEX(INDIRECT(RangeAmend),MATCH($A453,INDIRECT(RangeEstCount),0))&amp;"]"," []",""),"")</f>
        <v/>
      </c>
      <c r="E453" s="170" t="str">
        <f ca="1">IFERROR(IF(INDEX(INDIRECT(RangeContrQty),MATCH($A453,INDIRECT(RangeEstCount),0)),"(CQ)",""),"")</f>
        <v/>
      </c>
      <c r="F453" s="171" t="str">
        <f ca="1">IFERROR(IF(OR(NOT(Bid?),LEFT(UPPER($D453),4)="FXHR"),INDEX(INDIRECT(RangeUnitPrice),MATCH($A453,INDIRECT(RangeEstCount),0)),IF(Awd?,OFFSET(TabAmount,MATCH(INDEX(INDIRECT(RangeCount),MATCH($A453,INDIRECT(RangeEstCount),0)),OFFSET(TabCount,1,0,2*NumPayItems,1),0),MATCH(Awarded2,Bidders,0)),IF(OR($C453="",$D453="LPSM"),"","$"))),"")</f>
        <v/>
      </c>
      <c r="G453" s="171" t="str">
        <f ca="1">IFERROR(VALUE(C453)*F453,IF(AND(Bid?,NOT(Awd?),$D453="LPSM"),"$",F453))</f>
        <v/>
      </c>
      <c r="H453" s="374"/>
      <c r="I453" s="217" t="str">
        <f ca="1">IFERROR(VALUE(SUBSTITUTE(OFFSET(I453,-1,0)," "&amp;$D453,""))*$F453,"")</f>
        <v/>
      </c>
      <c r="J453" s="215" t="str">
        <f ca="1">IFERROR(VALUE(SUBSTITUTE(OFFSET(J453,-1,0)," "&amp;$D453,""))*$F453,"")</f>
        <v/>
      </c>
      <c r="K453" s="215" t="str">
        <f t="shared" ref="K453:M453" ca="1" si="454">IFERROR(VALUE(SUBSTITUTE(OFFSET(K453,-1,0)," "&amp;$D453,""))*$F453,"")</f>
        <v/>
      </c>
      <c r="L453" s="215" t="str">
        <f t="shared" ca="1" si="454"/>
        <v/>
      </c>
      <c r="M453" s="215" t="str">
        <f t="shared" ca="1" si="454"/>
        <v/>
      </c>
      <c r="N453" s="215" t="str">
        <f ca="1">IFERROR(VALUE(SUBSTITUTE(OFFSET(N453,-1,0)," "&amp;$D453,""))*$F453,"")</f>
        <v/>
      </c>
      <c r="O453" s="215" t="str">
        <f ca="1">IFERROR(VALUE(SUBSTITUTE(OFFSET(O453,-1,0)," "&amp;$D453,""))*$F453,"")</f>
        <v/>
      </c>
      <c r="P453" s="209" t="str">
        <f ca="1">IF(LEN(B453)&gt;0,ISNUMBER(MATCH(B453,Proposed[Item],0)),"")</f>
        <v/>
      </c>
    </row>
    <row r="454" spans="1:16" ht="15" x14ac:dyDescent="0.2">
      <c r="A454" s="276">
        <f t="shared" ca="1" si="392"/>
        <v>224</v>
      </c>
      <c r="B454" s="168" t="str">
        <f ca="1">IFERROR(INDEX(INDIRECT(RangeItems),MATCH($A454,INDIRECT(RangeEstCount),0)),"")</f>
        <v/>
      </c>
      <c r="C454" s="365" t="str">
        <f ca="1">IFERROR(INDEX(Calcs[Description],INDEX(INDIRECT(RangeCount),MATCH($A454,INDIRECT(RangeEstCount),0))),"")</f>
        <v/>
      </c>
      <c r="D454" s="365"/>
      <c r="E454" s="365"/>
      <c r="F454" s="365"/>
      <c r="G454" s="365"/>
      <c r="H454" s="375" t="str">
        <f ca="1">IF(AND(Bid?,NOT(Awd?)),C454,OFFSET(F454,1,0))</f>
        <v/>
      </c>
      <c r="I454" s="216" t="str">
        <f t="shared" ref="I454:O454" ca="1" si="455">IFERROR(SUM(OFFSET(INDIRECT(RangeQuantity),MATCH($A454,INDIRECT(RangeEstCount),0)-1,COLUMN(I454)-COLUMN($H454),1,1))&amp;" "&amp;OFFSET($D454,1,0),"")</f>
        <v/>
      </c>
      <c r="J454" s="277" t="str">
        <f t="shared" ca="1" si="455"/>
        <v/>
      </c>
      <c r="K454" s="277" t="str">
        <f t="shared" ca="1" si="455"/>
        <v/>
      </c>
      <c r="L454" s="277" t="str">
        <f t="shared" ca="1" si="455"/>
        <v/>
      </c>
      <c r="M454" s="277" t="str">
        <f t="shared" ca="1" si="455"/>
        <v/>
      </c>
      <c r="N454" s="277" t="str">
        <f t="shared" ca="1" si="455"/>
        <v/>
      </c>
      <c r="O454" s="277" t="str">
        <f t="shared" ca="1" si="455"/>
        <v/>
      </c>
      <c r="P454" s="209" t="str">
        <f ca="1">IF(LEN(B454)&gt;0,ISNUMBER(MATCH(B454,Proposed[Item],0)),"")</f>
        <v/>
      </c>
    </row>
    <row r="455" spans="1:16" ht="15" x14ac:dyDescent="0.2">
      <c r="A455" s="276">
        <f t="shared" ca="1" si="392"/>
        <v>224</v>
      </c>
      <c r="B455" s="111" t="str">
        <f ca="1">IFERROR("Line "&amp;INDEX(Calcs[Line],INDEX(INDIRECT(RangeCount),MATCH($A455,INDIRECT(RangeEstCount),0))),"")</f>
        <v/>
      </c>
      <c r="C455" s="169" t="str">
        <f ca="1">IFERROR(IF(AND($D455="LPSM",Bid?,All?),"ALL",TEXT(OFFSET(INDIRECT(RangeQuantity),MATCH($A455,INDIRECT(RangeEstCount),0)-1,MATCH(Account,Accounts,0)-1,1,1),IF($D455="LPSM","0%","#,##0"&amp;IF(OFFSET(Items[#Data],MATCH($A455,INDIRECT(RangeEstCount),0)-1,MATCH(Decimals,Items[#Headers],0)-1,1,1)&gt;0,"."&amp;REPT("0",OFFSET(Items[#Data],MATCH($A455,INDIRECT(RangeEstCount),0)-1,MATCH(Decimals,Items[#Headers],0)-1,1,1)),"")))),"")</f>
        <v/>
      </c>
      <c r="D455" s="170" t="str">
        <f ca="1">IFERROR(INDEX(INDIRECT(RangeUnit),MATCH($A455,INDIRECT(RangeEstCount),0))&amp;SUBSTITUTE(" ["&amp;INDEX(INDIRECT(RangeAmend),MATCH($A455,INDIRECT(RangeEstCount),0))&amp;"]"," []",""),"")</f>
        <v/>
      </c>
      <c r="E455" s="170" t="str">
        <f ca="1">IFERROR(IF(INDEX(INDIRECT(RangeContrQty),MATCH($A455,INDIRECT(RangeEstCount),0)),"(CQ)",""),"")</f>
        <v/>
      </c>
      <c r="F455" s="171" t="str">
        <f ca="1">IFERROR(IF(OR(NOT(Bid?),LEFT(UPPER($D455),4)="FXHR"),INDEX(INDIRECT(RangeUnitPrice),MATCH($A455,INDIRECT(RangeEstCount),0)),IF(Awd?,OFFSET(TabAmount,MATCH(INDEX(INDIRECT(RangeCount),MATCH($A455,INDIRECT(RangeEstCount),0)),OFFSET(TabCount,1,0,2*NumPayItems,1),0),MATCH(Awarded2,Bidders,0)),IF(OR($C455="",$D455="LPSM"),"","$"))),"")</f>
        <v/>
      </c>
      <c r="G455" s="171" t="str">
        <f ca="1">IFERROR(VALUE(C455)*F455,IF(AND(Bid?,NOT(Awd?),$D455="LPSM"),"$",F455))</f>
        <v/>
      </c>
      <c r="H455" s="374"/>
      <c r="I455" s="217" t="str">
        <f ca="1">IFERROR(VALUE(SUBSTITUTE(OFFSET(I455,-1,0)," "&amp;$D455,""))*$F455,"")</f>
        <v/>
      </c>
      <c r="J455" s="215" t="str">
        <f ca="1">IFERROR(VALUE(SUBSTITUTE(OFFSET(J455,-1,0)," "&amp;$D455,""))*$F455,"")</f>
        <v/>
      </c>
      <c r="K455" s="215" t="str">
        <f t="shared" ref="K455:M455" ca="1" si="456">IFERROR(VALUE(SUBSTITUTE(OFFSET(K455,-1,0)," "&amp;$D455,""))*$F455,"")</f>
        <v/>
      </c>
      <c r="L455" s="215" t="str">
        <f t="shared" ca="1" si="456"/>
        <v/>
      </c>
      <c r="M455" s="215" t="str">
        <f t="shared" ca="1" si="456"/>
        <v/>
      </c>
      <c r="N455" s="215" t="str">
        <f ca="1">IFERROR(VALUE(SUBSTITUTE(OFFSET(N455,-1,0)," "&amp;$D455,""))*$F455,"")</f>
        <v/>
      </c>
      <c r="O455" s="215" t="str">
        <f ca="1">IFERROR(VALUE(SUBSTITUTE(OFFSET(O455,-1,0)," "&amp;$D455,""))*$F455,"")</f>
        <v/>
      </c>
      <c r="P455" s="209" t="str">
        <f ca="1">IF(LEN(B455)&gt;0,ISNUMBER(MATCH(B455,Proposed[Item],0)),"")</f>
        <v/>
      </c>
    </row>
    <row r="456" spans="1:16" ht="15" x14ac:dyDescent="0.2">
      <c r="A456" s="276">
        <f t="shared" ref="A456:A507" ca="1" si="457">OFFSET(A456,-2,0)+1</f>
        <v>225</v>
      </c>
      <c r="B456" s="168" t="str">
        <f ca="1">IFERROR(INDEX(INDIRECT(RangeItems),MATCH($A456,INDIRECT(RangeEstCount),0)),"")</f>
        <v/>
      </c>
      <c r="C456" s="365" t="str">
        <f ca="1">IFERROR(INDEX(Calcs[Description],INDEX(INDIRECT(RangeCount),MATCH($A456,INDIRECT(RangeEstCount),0))),"")</f>
        <v/>
      </c>
      <c r="D456" s="365"/>
      <c r="E456" s="365"/>
      <c r="F456" s="365"/>
      <c r="G456" s="365"/>
      <c r="H456" s="375" t="str">
        <f ca="1">IF(AND(Bid?,NOT(Awd?)),C456,OFFSET(F456,1,0))</f>
        <v/>
      </c>
      <c r="I456" s="216" t="str">
        <f t="shared" ref="I456:O456" ca="1" si="458">IFERROR(SUM(OFFSET(INDIRECT(RangeQuantity),MATCH($A456,INDIRECT(RangeEstCount),0)-1,COLUMN(I456)-COLUMN($H456),1,1))&amp;" "&amp;OFFSET($D456,1,0),"")</f>
        <v/>
      </c>
      <c r="J456" s="277" t="str">
        <f t="shared" ca="1" si="458"/>
        <v/>
      </c>
      <c r="K456" s="277" t="str">
        <f t="shared" ca="1" si="458"/>
        <v/>
      </c>
      <c r="L456" s="277" t="str">
        <f t="shared" ca="1" si="458"/>
        <v/>
      </c>
      <c r="M456" s="277" t="str">
        <f t="shared" ca="1" si="458"/>
        <v/>
      </c>
      <c r="N456" s="277" t="str">
        <f t="shared" ca="1" si="458"/>
        <v/>
      </c>
      <c r="O456" s="277" t="str">
        <f t="shared" ca="1" si="458"/>
        <v/>
      </c>
      <c r="P456" s="209" t="str">
        <f ca="1">IF(LEN(B456)&gt;0,ISNUMBER(MATCH(B456,Proposed[Item],0)),"")</f>
        <v/>
      </c>
    </row>
    <row r="457" spans="1:16" ht="15" x14ac:dyDescent="0.2">
      <c r="A457" s="276">
        <f t="shared" ca="1" si="457"/>
        <v>225</v>
      </c>
      <c r="B457" s="111" t="str">
        <f ca="1">IFERROR("Line "&amp;INDEX(Calcs[Line],INDEX(INDIRECT(RangeCount),MATCH($A457,INDIRECT(RangeEstCount),0))),"")</f>
        <v/>
      </c>
      <c r="C457" s="169" t="str">
        <f ca="1">IFERROR(IF(AND($D457="LPSM",Bid?,All?),"ALL",TEXT(OFFSET(INDIRECT(RangeQuantity),MATCH($A457,INDIRECT(RangeEstCount),0)-1,MATCH(Account,Accounts,0)-1,1,1),IF($D457="LPSM","0%","#,##0"&amp;IF(OFFSET(Items[#Data],MATCH($A457,INDIRECT(RangeEstCount),0)-1,MATCH(Decimals,Items[#Headers],0)-1,1,1)&gt;0,"."&amp;REPT("0",OFFSET(Items[#Data],MATCH($A457,INDIRECT(RangeEstCount),0)-1,MATCH(Decimals,Items[#Headers],0)-1,1,1)),"")))),"")</f>
        <v/>
      </c>
      <c r="D457" s="170" t="str">
        <f ca="1">IFERROR(INDEX(INDIRECT(RangeUnit),MATCH($A457,INDIRECT(RangeEstCount),0))&amp;SUBSTITUTE(" ["&amp;INDEX(INDIRECT(RangeAmend),MATCH($A457,INDIRECT(RangeEstCount),0))&amp;"]"," []",""),"")</f>
        <v/>
      </c>
      <c r="E457" s="170" t="str">
        <f ca="1">IFERROR(IF(INDEX(INDIRECT(RangeContrQty),MATCH($A457,INDIRECT(RangeEstCount),0)),"(CQ)",""),"")</f>
        <v/>
      </c>
      <c r="F457" s="171" t="str">
        <f ca="1">IFERROR(IF(OR(NOT(Bid?),LEFT(UPPER($D457),4)="FXHR"),INDEX(INDIRECT(RangeUnitPrice),MATCH($A457,INDIRECT(RangeEstCount),0)),IF(Awd?,OFFSET(TabAmount,MATCH(INDEX(INDIRECT(RangeCount),MATCH($A457,INDIRECT(RangeEstCount),0)),OFFSET(TabCount,1,0,2*NumPayItems,1),0),MATCH(Awarded2,Bidders,0)),IF(OR($C457="",$D457="LPSM"),"","$"))),"")</f>
        <v/>
      </c>
      <c r="G457" s="171" t="str">
        <f ca="1">IFERROR(VALUE(C457)*F457,IF(AND(Bid?,NOT(Awd?),$D457="LPSM"),"$",F457))</f>
        <v/>
      </c>
      <c r="H457" s="374"/>
      <c r="I457" s="217" t="str">
        <f ca="1">IFERROR(VALUE(SUBSTITUTE(OFFSET(I457,-1,0)," "&amp;$D457,""))*$F457,"")</f>
        <v/>
      </c>
      <c r="J457" s="215" t="str">
        <f ca="1">IFERROR(VALUE(SUBSTITUTE(OFFSET(J457,-1,0)," "&amp;$D457,""))*$F457,"")</f>
        <v/>
      </c>
      <c r="K457" s="215" t="str">
        <f t="shared" ref="K457:M457" ca="1" si="459">IFERROR(VALUE(SUBSTITUTE(OFFSET(K457,-1,0)," "&amp;$D457,""))*$F457,"")</f>
        <v/>
      </c>
      <c r="L457" s="215" t="str">
        <f t="shared" ca="1" si="459"/>
        <v/>
      </c>
      <c r="M457" s="215" t="str">
        <f t="shared" ca="1" si="459"/>
        <v/>
      </c>
      <c r="N457" s="215" t="str">
        <f ca="1">IFERROR(VALUE(SUBSTITUTE(OFFSET(N457,-1,0)," "&amp;$D457,""))*$F457,"")</f>
        <v/>
      </c>
      <c r="O457" s="215" t="str">
        <f ca="1">IFERROR(VALUE(SUBSTITUTE(OFFSET(O457,-1,0)," "&amp;$D457,""))*$F457,"")</f>
        <v/>
      </c>
      <c r="P457" s="209" t="str">
        <f ca="1">IF(LEN(B457)&gt;0,ISNUMBER(MATCH(B457,Proposed[Item],0)),"")</f>
        <v/>
      </c>
    </row>
    <row r="458" spans="1:16" ht="15" x14ac:dyDescent="0.2">
      <c r="A458" s="276">
        <f t="shared" ca="1" si="457"/>
        <v>226</v>
      </c>
      <c r="B458" s="168" t="str">
        <f ca="1">IFERROR(INDEX(INDIRECT(RangeItems),MATCH($A458,INDIRECT(RangeEstCount),0)),"")</f>
        <v/>
      </c>
      <c r="C458" s="365" t="str">
        <f ca="1">IFERROR(INDEX(Calcs[Description],INDEX(INDIRECT(RangeCount),MATCH($A458,INDIRECT(RangeEstCount),0))),"")</f>
        <v/>
      </c>
      <c r="D458" s="365"/>
      <c r="E458" s="365"/>
      <c r="F458" s="365"/>
      <c r="G458" s="365"/>
      <c r="H458" s="375" t="str">
        <f ca="1">IF(AND(Bid?,NOT(Awd?)),C458,OFFSET(F458,1,0))</f>
        <v/>
      </c>
      <c r="I458" s="216" t="str">
        <f t="shared" ref="I458:O458" ca="1" si="460">IFERROR(SUM(OFFSET(INDIRECT(RangeQuantity),MATCH($A458,INDIRECT(RangeEstCount),0)-1,COLUMN(I458)-COLUMN($H458),1,1))&amp;" "&amp;OFFSET($D458,1,0),"")</f>
        <v/>
      </c>
      <c r="J458" s="277" t="str">
        <f t="shared" ca="1" si="460"/>
        <v/>
      </c>
      <c r="K458" s="277" t="str">
        <f t="shared" ca="1" si="460"/>
        <v/>
      </c>
      <c r="L458" s="277" t="str">
        <f t="shared" ca="1" si="460"/>
        <v/>
      </c>
      <c r="M458" s="277" t="str">
        <f t="shared" ca="1" si="460"/>
        <v/>
      </c>
      <c r="N458" s="277" t="str">
        <f t="shared" ca="1" si="460"/>
        <v/>
      </c>
      <c r="O458" s="277" t="str">
        <f t="shared" ca="1" si="460"/>
        <v/>
      </c>
      <c r="P458" s="209" t="str">
        <f ca="1">IF(LEN(B458)&gt;0,ISNUMBER(MATCH(B458,Proposed[Item],0)),"")</f>
        <v/>
      </c>
    </row>
    <row r="459" spans="1:16" ht="15" x14ac:dyDescent="0.2">
      <c r="A459" s="276">
        <f t="shared" ca="1" si="457"/>
        <v>226</v>
      </c>
      <c r="B459" s="111" t="str">
        <f ca="1">IFERROR("Line "&amp;INDEX(Calcs[Line],INDEX(INDIRECT(RangeCount),MATCH($A459,INDIRECT(RangeEstCount),0))),"")</f>
        <v/>
      </c>
      <c r="C459" s="169" t="str">
        <f ca="1">IFERROR(IF(AND($D459="LPSM",Bid?,All?),"ALL",TEXT(OFFSET(INDIRECT(RangeQuantity),MATCH($A459,INDIRECT(RangeEstCount),0)-1,MATCH(Account,Accounts,0)-1,1,1),IF($D459="LPSM","0%","#,##0"&amp;IF(OFFSET(Items[#Data],MATCH($A459,INDIRECT(RangeEstCount),0)-1,MATCH(Decimals,Items[#Headers],0)-1,1,1)&gt;0,"."&amp;REPT("0",OFFSET(Items[#Data],MATCH($A459,INDIRECT(RangeEstCount),0)-1,MATCH(Decimals,Items[#Headers],0)-1,1,1)),"")))),"")</f>
        <v/>
      </c>
      <c r="D459" s="170" t="str">
        <f ca="1">IFERROR(INDEX(INDIRECT(RangeUnit),MATCH($A459,INDIRECT(RangeEstCount),0))&amp;SUBSTITUTE(" ["&amp;INDEX(INDIRECT(RangeAmend),MATCH($A459,INDIRECT(RangeEstCount),0))&amp;"]"," []",""),"")</f>
        <v/>
      </c>
      <c r="E459" s="170" t="str">
        <f ca="1">IFERROR(IF(INDEX(INDIRECT(RangeContrQty),MATCH($A459,INDIRECT(RangeEstCount),0)),"(CQ)",""),"")</f>
        <v/>
      </c>
      <c r="F459" s="171" t="str">
        <f ca="1">IFERROR(IF(OR(NOT(Bid?),LEFT(UPPER($D459),4)="FXHR"),INDEX(INDIRECT(RangeUnitPrice),MATCH($A459,INDIRECT(RangeEstCount),0)),IF(Awd?,OFFSET(TabAmount,MATCH(INDEX(INDIRECT(RangeCount),MATCH($A459,INDIRECT(RangeEstCount),0)),OFFSET(TabCount,1,0,2*NumPayItems,1),0),MATCH(Awarded2,Bidders,0)),IF(OR($C459="",$D459="LPSM"),"","$"))),"")</f>
        <v/>
      </c>
      <c r="G459" s="171" t="str">
        <f ca="1">IFERROR(VALUE(C459)*F459,IF(AND(Bid?,NOT(Awd?),$D459="LPSM"),"$",F459))</f>
        <v/>
      </c>
      <c r="H459" s="374"/>
      <c r="I459" s="217" t="str">
        <f ca="1">IFERROR(VALUE(SUBSTITUTE(OFFSET(I459,-1,0)," "&amp;$D459,""))*$F459,"")</f>
        <v/>
      </c>
      <c r="J459" s="215" t="str">
        <f ca="1">IFERROR(VALUE(SUBSTITUTE(OFFSET(J459,-1,0)," "&amp;$D459,""))*$F459,"")</f>
        <v/>
      </c>
      <c r="K459" s="215" t="str">
        <f t="shared" ref="K459:M459" ca="1" si="461">IFERROR(VALUE(SUBSTITUTE(OFFSET(K459,-1,0)," "&amp;$D459,""))*$F459,"")</f>
        <v/>
      </c>
      <c r="L459" s="215" t="str">
        <f t="shared" ca="1" si="461"/>
        <v/>
      </c>
      <c r="M459" s="215" t="str">
        <f t="shared" ca="1" si="461"/>
        <v/>
      </c>
      <c r="N459" s="215" t="str">
        <f ca="1">IFERROR(VALUE(SUBSTITUTE(OFFSET(N459,-1,0)," "&amp;$D459,""))*$F459,"")</f>
        <v/>
      </c>
      <c r="O459" s="215" t="str">
        <f ca="1">IFERROR(VALUE(SUBSTITUTE(OFFSET(O459,-1,0)," "&amp;$D459,""))*$F459,"")</f>
        <v/>
      </c>
      <c r="P459" s="209" t="str">
        <f ca="1">IF(LEN(B459)&gt;0,ISNUMBER(MATCH(B459,Proposed[Item],0)),"")</f>
        <v/>
      </c>
    </row>
    <row r="460" spans="1:16" ht="15" x14ac:dyDescent="0.2">
      <c r="A460" s="276">
        <f t="shared" ca="1" si="457"/>
        <v>227</v>
      </c>
      <c r="B460" s="168" t="str">
        <f ca="1">IFERROR(INDEX(INDIRECT(RangeItems),MATCH($A460,INDIRECT(RangeEstCount),0)),"")</f>
        <v/>
      </c>
      <c r="C460" s="365" t="str">
        <f ca="1">IFERROR(INDEX(Calcs[Description],INDEX(INDIRECT(RangeCount),MATCH($A460,INDIRECT(RangeEstCount),0))),"")</f>
        <v/>
      </c>
      <c r="D460" s="365"/>
      <c r="E460" s="365"/>
      <c r="F460" s="365"/>
      <c r="G460" s="365"/>
      <c r="H460" s="375" t="str">
        <f ca="1">IF(AND(Bid?,NOT(Awd?)),C460,OFFSET(F460,1,0))</f>
        <v/>
      </c>
      <c r="I460" s="216" t="str">
        <f t="shared" ref="I460:O460" ca="1" si="462">IFERROR(SUM(OFFSET(INDIRECT(RangeQuantity),MATCH($A460,INDIRECT(RangeEstCount),0)-1,COLUMN(I460)-COLUMN($H460),1,1))&amp;" "&amp;OFFSET($D460,1,0),"")</f>
        <v/>
      </c>
      <c r="J460" s="277" t="str">
        <f t="shared" ca="1" si="462"/>
        <v/>
      </c>
      <c r="K460" s="277" t="str">
        <f t="shared" ca="1" si="462"/>
        <v/>
      </c>
      <c r="L460" s="277" t="str">
        <f t="shared" ca="1" si="462"/>
        <v/>
      </c>
      <c r="M460" s="277" t="str">
        <f t="shared" ca="1" si="462"/>
        <v/>
      </c>
      <c r="N460" s="277" t="str">
        <f t="shared" ca="1" si="462"/>
        <v/>
      </c>
      <c r="O460" s="277" t="str">
        <f t="shared" ca="1" si="462"/>
        <v/>
      </c>
      <c r="P460" s="209" t="str">
        <f ca="1">IF(LEN(B460)&gt;0,ISNUMBER(MATCH(B460,Proposed[Item],0)),"")</f>
        <v/>
      </c>
    </row>
    <row r="461" spans="1:16" ht="15" x14ac:dyDescent="0.2">
      <c r="A461" s="276">
        <f t="shared" ca="1" si="457"/>
        <v>227</v>
      </c>
      <c r="B461" s="111" t="str">
        <f ca="1">IFERROR("Line "&amp;INDEX(Calcs[Line],INDEX(INDIRECT(RangeCount),MATCH($A461,INDIRECT(RangeEstCount),0))),"")</f>
        <v/>
      </c>
      <c r="C461" s="169" t="str">
        <f ca="1">IFERROR(IF(AND($D461="LPSM",Bid?,All?),"ALL",TEXT(OFFSET(INDIRECT(RangeQuantity),MATCH($A461,INDIRECT(RangeEstCount),0)-1,MATCH(Account,Accounts,0)-1,1,1),IF($D461="LPSM","0%","#,##0"&amp;IF(OFFSET(Items[#Data],MATCH($A461,INDIRECT(RangeEstCount),0)-1,MATCH(Decimals,Items[#Headers],0)-1,1,1)&gt;0,"."&amp;REPT("0",OFFSET(Items[#Data],MATCH($A461,INDIRECT(RangeEstCount),0)-1,MATCH(Decimals,Items[#Headers],0)-1,1,1)),"")))),"")</f>
        <v/>
      </c>
      <c r="D461" s="170" t="str">
        <f ca="1">IFERROR(INDEX(INDIRECT(RangeUnit),MATCH($A461,INDIRECT(RangeEstCount),0))&amp;SUBSTITUTE(" ["&amp;INDEX(INDIRECT(RangeAmend),MATCH($A461,INDIRECT(RangeEstCount),0))&amp;"]"," []",""),"")</f>
        <v/>
      </c>
      <c r="E461" s="170" t="str">
        <f ca="1">IFERROR(IF(INDEX(INDIRECT(RangeContrQty),MATCH($A461,INDIRECT(RangeEstCount),0)),"(CQ)",""),"")</f>
        <v/>
      </c>
      <c r="F461" s="171" t="str">
        <f ca="1">IFERROR(IF(OR(NOT(Bid?),LEFT(UPPER($D461),4)="FXHR"),INDEX(INDIRECT(RangeUnitPrice),MATCH($A461,INDIRECT(RangeEstCount),0)),IF(Awd?,OFFSET(TabAmount,MATCH(INDEX(INDIRECT(RangeCount),MATCH($A461,INDIRECT(RangeEstCount),0)),OFFSET(TabCount,1,0,2*NumPayItems,1),0),MATCH(Awarded2,Bidders,0)),IF(OR($C461="",$D461="LPSM"),"","$"))),"")</f>
        <v/>
      </c>
      <c r="G461" s="171" t="str">
        <f ca="1">IFERROR(VALUE(C461)*F461,IF(AND(Bid?,NOT(Awd?),$D461="LPSM"),"$",F461))</f>
        <v/>
      </c>
      <c r="H461" s="374"/>
      <c r="I461" s="217" t="str">
        <f ca="1">IFERROR(VALUE(SUBSTITUTE(OFFSET(I461,-1,0)," "&amp;$D461,""))*$F461,"")</f>
        <v/>
      </c>
      <c r="J461" s="215" t="str">
        <f ca="1">IFERROR(VALUE(SUBSTITUTE(OFFSET(J461,-1,0)," "&amp;$D461,""))*$F461,"")</f>
        <v/>
      </c>
      <c r="K461" s="215" t="str">
        <f t="shared" ref="K461:M461" ca="1" si="463">IFERROR(VALUE(SUBSTITUTE(OFFSET(K461,-1,0)," "&amp;$D461,""))*$F461,"")</f>
        <v/>
      </c>
      <c r="L461" s="215" t="str">
        <f t="shared" ca="1" si="463"/>
        <v/>
      </c>
      <c r="M461" s="215" t="str">
        <f t="shared" ca="1" si="463"/>
        <v/>
      </c>
      <c r="N461" s="215" t="str">
        <f ca="1">IFERROR(VALUE(SUBSTITUTE(OFFSET(N461,-1,0)," "&amp;$D461,""))*$F461,"")</f>
        <v/>
      </c>
      <c r="O461" s="215" t="str">
        <f ca="1">IFERROR(VALUE(SUBSTITUTE(OFFSET(O461,-1,0)," "&amp;$D461,""))*$F461,"")</f>
        <v/>
      </c>
      <c r="P461" s="209" t="str">
        <f ca="1">IF(LEN(B461)&gt;0,ISNUMBER(MATCH(B461,Proposed[Item],0)),"")</f>
        <v/>
      </c>
    </row>
    <row r="462" spans="1:16" ht="15" x14ac:dyDescent="0.2">
      <c r="A462" s="276">
        <f t="shared" ca="1" si="457"/>
        <v>228</v>
      </c>
      <c r="B462" s="168" t="str">
        <f ca="1">IFERROR(INDEX(INDIRECT(RangeItems),MATCH($A462,INDIRECT(RangeEstCount),0)),"")</f>
        <v/>
      </c>
      <c r="C462" s="365" t="str">
        <f ca="1">IFERROR(INDEX(Calcs[Description],INDEX(INDIRECT(RangeCount),MATCH($A462,INDIRECT(RangeEstCount),0))),"")</f>
        <v/>
      </c>
      <c r="D462" s="365"/>
      <c r="E462" s="365"/>
      <c r="F462" s="365"/>
      <c r="G462" s="365"/>
      <c r="H462" s="375" t="str">
        <f ca="1">IF(AND(Bid?,NOT(Awd?)),C462,OFFSET(F462,1,0))</f>
        <v/>
      </c>
      <c r="I462" s="216" t="str">
        <f t="shared" ref="I462:O462" ca="1" si="464">IFERROR(SUM(OFFSET(INDIRECT(RangeQuantity),MATCH($A462,INDIRECT(RangeEstCount),0)-1,COLUMN(I462)-COLUMN($H462),1,1))&amp;" "&amp;OFFSET($D462,1,0),"")</f>
        <v/>
      </c>
      <c r="J462" s="277" t="str">
        <f t="shared" ca="1" si="464"/>
        <v/>
      </c>
      <c r="K462" s="277" t="str">
        <f t="shared" ca="1" si="464"/>
        <v/>
      </c>
      <c r="L462" s="277" t="str">
        <f t="shared" ca="1" si="464"/>
        <v/>
      </c>
      <c r="M462" s="277" t="str">
        <f t="shared" ca="1" si="464"/>
        <v/>
      </c>
      <c r="N462" s="277" t="str">
        <f t="shared" ca="1" si="464"/>
        <v/>
      </c>
      <c r="O462" s="277" t="str">
        <f t="shared" ca="1" si="464"/>
        <v/>
      </c>
      <c r="P462" s="209" t="str">
        <f ca="1">IF(LEN(B462)&gt;0,ISNUMBER(MATCH(B462,Proposed[Item],0)),"")</f>
        <v/>
      </c>
    </row>
    <row r="463" spans="1:16" ht="15" x14ac:dyDescent="0.2">
      <c r="A463" s="276">
        <f t="shared" ca="1" si="457"/>
        <v>228</v>
      </c>
      <c r="B463" s="111" t="str">
        <f ca="1">IFERROR("Line "&amp;INDEX(Calcs[Line],INDEX(INDIRECT(RangeCount),MATCH($A463,INDIRECT(RangeEstCount),0))),"")</f>
        <v/>
      </c>
      <c r="C463" s="169" t="str">
        <f ca="1">IFERROR(IF(AND($D463="LPSM",Bid?,All?),"ALL",TEXT(OFFSET(INDIRECT(RangeQuantity),MATCH($A463,INDIRECT(RangeEstCount),0)-1,MATCH(Account,Accounts,0)-1,1,1),IF($D463="LPSM","0%","#,##0"&amp;IF(OFFSET(Items[#Data],MATCH($A463,INDIRECT(RangeEstCount),0)-1,MATCH(Decimals,Items[#Headers],0)-1,1,1)&gt;0,"."&amp;REPT("0",OFFSET(Items[#Data],MATCH($A463,INDIRECT(RangeEstCount),0)-1,MATCH(Decimals,Items[#Headers],0)-1,1,1)),"")))),"")</f>
        <v/>
      </c>
      <c r="D463" s="170" t="str">
        <f ca="1">IFERROR(INDEX(INDIRECT(RangeUnit),MATCH($A463,INDIRECT(RangeEstCount),0))&amp;SUBSTITUTE(" ["&amp;INDEX(INDIRECT(RangeAmend),MATCH($A463,INDIRECT(RangeEstCount),0))&amp;"]"," []",""),"")</f>
        <v/>
      </c>
      <c r="E463" s="170" t="str">
        <f ca="1">IFERROR(IF(INDEX(INDIRECT(RangeContrQty),MATCH($A463,INDIRECT(RangeEstCount),0)),"(CQ)",""),"")</f>
        <v/>
      </c>
      <c r="F463" s="171" t="str">
        <f ca="1">IFERROR(IF(OR(NOT(Bid?),LEFT(UPPER($D463),4)="FXHR"),INDEX(INDIRECT(RangeUnitPrice),MATCH($A463,INDIRECT(RangeEstCount),0)),IF(Awd?,OFFSET(TabAmount,MATCH(INDEX(INDIRECT(RangeCount),MATCH($A463,INDIRECT(RangeEstCount),0)),OFFSET(TabCount,1,0,2*NumPayItems,1),0),MATCH(Awarded2,Bidders,0)),IF(OR($C463="",$D463="LPSM"),"","$"))),"")</f>
        <v/>
      </c>
      <c r="G463" s="171" t="str">
        <f ca="1">IFERROR(VALUE(C463)*F463,IF(AND(Bid?,NOT(Awd?),$D463="LPSM"),"$",F463))</f>
        <v/>
      </c>
      <c r="H463" s="374"/>
      <c r="I463" s="217" t="str">
        <f ca="1">IFERROR(VALUE(SUBSTITUTE(OFFSET(I463,-1,0)," "&amp;$D463,""))*$F463,"")</f>
        <v/>
      </c>
      <c r="J463" s="215" t="str">
        <f ca="1">IFERROR(VALUE(SUBSTITUTE(OFFSET(J463,-1,0)," "&amp;$D463,""))*$F463,"")</f>
        <v/>
      </c>
      <c r="K463" s="215" t="str">
        <f t="shared" ref="K463:M463" ca="1" si="465">IFERROR(VALUE(SUBSTITUTE(OFFSET(K463,-1,0)," "&amp;$D463,""))*$F463,"")</f>
        <v/>
      </c>
      <c r="L463" s="215" t="str">
        <f t="shared" ca="1" si="465"/>
        <v/>
      </c>
      <c r="M463" s="215" t="str">
        <f t="shared" ca="1" si="465"/>
        <v/>
      </c>
      <c r="N463" s="215" t="str">
        <f ca="1">IFERROR(VALUE(SUBSTITUTE(OFFSET(N463,-1,0)," "&amp;$D463,""))*$F463,"")</f>
        <v/>
      </c>
      <c r="O463" s="215" t="str">
        <f ca="1">IFERROR(VALUE(SUBSTITUTE(OFFSET(O463,-1,0)," "&amp;$D463,""))*$F463,"")</f>
        <v/>
      </c>
      <c r="P463" s="209" t="str">
        <f ca="1">IF(LEN(B463)&gt;0,ISNUMBER(MATCH(B463,Proposed[Item],0)),"")</f>
        <v/>
      </c>
    </row>
    <row r="464" spans="1:16" ht="15" x14ac:dyDescent="0.2">
      <c r="A464" s="276">
        <f t="shared" ca="1" si="457"/>
        <v>229</v>
      </c>
      <c r="B464" s="168" t="str">
        <f ca="1">IFERROR(INDEX(INDIRECT(RangeItems),MATCH($A464,INDIRECT(RangeEstCount),0)),"")</f>
        <v/>
      </c>
      <c r="C464" s="365" t="str">
        <f ca="1">IFERROR(INDEX(Calcs[Description],INDEX(INDIRECT(RangeCount),MATCH($A464,INDIRECT(RangeEstCount),0))),"")</f>
        <v/>
      </c>
      <c r="D464" s="365"/>
      <c r="E464" s="365"/>
      <c r="F464" s="365"/>
      <c r="G464" s="365"/>
      <c r="H464" s="375" t="str">
        <f ca="1">IF(AND(Bid?,NOT(Awd?)),C464,OFFSET(F464,1,0))</f>
        <v/>
      </c>
      <c r="I464" s="216" t="str">
        <f t="shared" ref="I464:O464" ca="1" si="466">IFERROR(SUM(OFFSET(INDIRECT(RangeQuantity),MATCH($A464,INDIRECT(RangeEstCount),0)-1,COLUMN(I464)-COLUMN($H464),1,1))&amp;" "&amp;OFFSET($D464,1,0),"")</f>
        <v/>
      </c>
      <c r="J464" s="277" t="str">
        <f t="shared" ca="1" si="466"/>
        <v/>
      </c>
      <c r="K464" s="277" t="str">
        <f t="shared" ca="1" si="466"/>
        <v/>
      </c>
      <c r="L464" s="277" t="str">
        <f t="shared" ca="1" si="466"/>
        <v/>
      </c>
      <c r="M464" s="277" t="str">
        <f t="shared" ca="1" si="466"/>
        <v/>
      </c>
      <c r="N464" s="277" t="str">
        <f t="shared" ca="1" si="466"/>
        <v/>
      </c>
      <c r="O464" s="277" t="str">
        <f t="shared" ca="1" si="466"/>
        <v/>
      </c>
      <c r="P464" s="209" t="str">
        <f ca="1">IF(LEN(B464)&gt;0,ISNUMBER(MATCH(B464,Proposed[Item],0)),"")</f>
        <v/>
      </c>
    </row>
    <row r="465" spans="1:16" ht="15" x14ac:dyDescent="0.2">
      <c r="A465" s="276">
        <f t="shared" ca="1" si="457"/>
        <v>229</v>
      </c>
      <c r="B465" s="111" t="str">
        <f ca="1">IFERROR("Line "&amp;INDEX(Calcs[Line],INDEX(INDIRECT(RangeCount),MATCH($A465,INDIRECT(RangeEstCount),0))),"")</f>
        <v/>
      </c>
      <c r="C465" s="169" t="str">
        <f ca="1">IFERROR(IF(AND($D465="LPSM",Bid?,All?),"ALL",TEXT(OFFSET(INDIRECT(RangeQuantity),MATCH($A465,INDIRECT(RangeEstCount),0)-1,MATCH(Account,Accounts,0)-1,1,1),IF($D465="LPSM","0%","#,##0"&amp;IF(OFFSET(Items[#Data],MATCH($A465,INDIRECT(RangeEstCount),0)-1,MATCH(Decimals,Items[#Headers],0)-1,1,1)&gt;0,"."&amp;REPT("0",OFFSET(Items[#Data],MATCH($A465,INDIRECT(RangeEstCount),0)-1,MATCH(Decimals,Items[#Headers],0)-1,1,1)),"")))),"")</f>
        <v/>
      </c>
      <c r="D465" s="170" t="str">
        <f ca="1">IFERROR(INDEX(INDIRECT(RangeUnit),MATCH($A465,INDIRECT(RangeEstCount),0))&amp;SUBSTITUTE(" ["&amp;INDEX(INDIRECT(RangeAmend),MATCH($A465,INDIRECT(RangeEstCount),0))&amp;"]"," []",""),"")</f>
        <v/>
      </c>
      <c r="E465" s="170" t="str">
        <f ca="1">IFERROR(IF(INDEX(INDIRECT(RangeContrQty),MATCH($A465,INDIRECT(RangeEstCount),0)),"(CQ)",""),"")</f>
        <v/>
      </c>
      <c r="F465" s="171" t="str">
        <f ca="1">IFERROR(IF(OR(NOT(Bid?),LEFT(UPPER($D465),4)="FXHR"),INDEX(INDIRECT(RangeUnitPrice),MATCH($A465,INDIRECT(RangeEstCount),0)),IF(Awd?,OFFSET(TabAmount,MATCH(INDEX(INDIRECT(RangeCount),MATCH($A465,INDIRECT(RangeEstCount),0)),OFFSET(TabCount,1,0,2*NumPayItems,1),0),MATCH(Awarded2,Bidders,0)),IF(OR($C465="",$D465="LPSM"),"","$"))),"")</f>
        <v/>
      </c>
      <c r="G465" s="171" t="str">
        <f ca="1">IFERROR(VALUE(C465)*F465,IF(AND(Bid?,NOT(Awd?),$D465="LPSM"),"$",F465))</f>
        <v/>
      </c>
      <c r="H465" s="374"/>
      <c r="I465" s="217" t="str">
        <f ca="1">IFERROR(VALUE(SUBSTITUTE(OFFSET(I465,-1,0)," "&amp;$D465,""))*$F465,"")</f>
        <v/>
      </c>
      <c r="J465" s="215" t="str">
        <f ca="1">IFERROR(VALUE(SUBSTITUTE(OFFSET(J465,-1,0)," "&amp;$D465,""))*$F465,"")</f>
        <v/>
      </c>
      <c r="K465" s="215" t="str">
        <f t="shared" ref="K465:M465" ca="1" si="467">IFERROR(VALUE(SUBSTITUTE(OFFSET(K465,-1,0)," "&amp;$D465,""))*$F465,"")</f>
        <v/>
      </c>
      <c r="L465" s="215" t="str">
        <f t="shared" ca="1" si="467"/>
        <v/>
      </c>
      <c r="M465" s="215" t="str">
        <f t="shared" ca="1" si="467"/>
        <v/>
      </c>
      <c r="N465" s="215" t="str">
        <f ca="1">IFERROR(VALUE(SUBSTITUTE(OFFSET(N465,-1,0)," "&amp;$D465,""))*$F465,"")</f>
        <v/>
      </c>
      <c r="O465" s="215" t="str">
        <f ca="1">IFERROR(VALUE(SUBSTITUTE(OFFSET(O465,-1,0)," "&amp;$D465,""))*$F465,"")</f>
        <v/>
      </c>
      <c r="P465" s="209" t="str">
        <f ca="1">IF(LEN(B465)&gt;0,ISNUMBER(MATCH(B465,Proposed[Item],0)),"")</f>
        <v/>
      </c>
    </row>
    <row r="466" spans="1:16" ht="15" x14ac:dyDescent="0.2">
      <c r="A466" s="276">
        <f t="shared" ca="1" si="457"/>
        <v>230</v>
      </c>
      <c r="B466" s="168" t="str">
        <f ca="1">IFERROR(INDEX(INDIRECT(RangeItems),MATCH($A466,INDIRECT(RangeEstCount),0)),"")</f>
        <v/>
      </c>
      <c r="C466" s="365" t="str">
        <f ca="1">IFERROR(INDEX(Calcs[Description],INDEX(INDIRECT(RangeCount),MATCH($A466,INDIRECT(RangeEstCount),0))),"")</f>
        <v/>
      </c>
      <c r="D466" s="365"/>
      <c r="E466" s="365"/>
      <c r="F466" s="365"/>
      <c r="G466" s="365"/>
      <c r="H466" s="375" t="str">
        <f ca="1">IF(AND(Bid?,NOT(Awd?)),C466,OFFSET(F466,1,0))</f>
        <v/>
      </c>
      <c r="I466" s="216" t="str">
        <f t="shared" ref="I466:O466" ca="1" si="468">IFERROR(SUM(OFFSET(INDIRECT(RangeQuantity),MATCH($A466,INDIRECT(RangeEstCount),0)-1,COLUMN(I466)-COLUMN($H466),1,1))&amp;" "&amp;OFFSET($D466,1,0),"")</f>
        <v/>
      </c>
      <c r="J466" s="277" t="str">
        <f t="shared" ca="1" si="468"/>
        <v/>
      </c>
      <c r="K466" s="277" t="str">
        <f t="shared" ca="1" si="468"/>
        <v/>
      </c>
      <c r="L466" s="277" t="str">
        <f t="shared" ca="1" si="468"/>
        <v/>
      </c>
      <c r="M466" s="277" t="str">
        <f t="shared" ca="1" si="468"/>
        <v/>
      </c>
      <c r="N466" s="277" t="str">
        <f t="shared" ca="1" si="468"/>
        <v/>
      </c>
      <c r="O466" s="277" t="str">
        <f t="shared" ca="1" si="468"/>
        <v/>
      </c>
      <c r="P466" s="209" t="str">
        <f ca="1">IF(LEN(B466)&gt;0,ISNUMBER(MATCH(B466,Proposed[Item],0)),"")</f>
        <v/>
      </c>
    </row>
    <row r="467" spans="1:16" ht="15" x14ac:dyDescent="0.2">
      <c r="A467" s="276">
        <f t="shared" ca="1" si="457"/>
        <v>230</v>
      </c>
      <c r="B467" s="111" t="str">
        <f ca="1">IFERROR("Line "&amp;INDEX(Calcs[Line],INDEX(INDIRECT(RangeCount),MATCH($A467,INDIRECT(RangeEstCount),0))),"")</f>
        <v/>
      </c>
      <c r="C467" s="169" t="str">
        <f ca="1">IFERROR(IF(AND($D467="LPSM",Bid?,All?),"ALL",TEXT(OFFSET(INDIRECT(RangeQuantity),MATCH($A467,INDIRECT(RangeEstCount),0)-1,MATCH(Account,Accounts,0)-1,1,1),IF($D467="LPSM","0%","#,##0"&amp;IF(OFFSET(Items[#Data],MATCH($A467,INDIRECT(RangeEstCount),0)-1,MATCH(Decimals,Items[#Headers],0)-1,1,1)&gt;0,"."&amp;REPT("0",OFFSET(Items[#Data],MATCH($A467,INDIRECT(RangeEstCount),0)-1,MATCH(Decimals,Items[#Headers],0)-1,1,1)),"")))),"")</f>
        <v/>
      </c>
      <c r="D467" s="170" t="str">
        <f ca="1">IFERROR(INDEX(INDIRECT(RangeUnit),MATCH($A467,INDIRECT(RangeEstCount),0))&amp;SUBSTITUTE(" ["&amp;INDEX(INDIRECT(RangeAmend),MATCH($A467,INDIRECT(RangeEstCount),0))&amp;"]"," []",""),"")</f>
        <v/>
      </c>
      <c r="E467" s="170" t="str">
        <f ca="1">IFERROR(IF(INDEX(INDIRECT(RangeContrQty),MATCH($A467,INDIRECT(RangeEstCount),0)),"(CQ)",""),"")</f>
        <v/>
      </c>
      <c r="F467" s="171" t="str">
        <f ca="1">IFERROR(IF(OR(NOT(Bid?),LEFT(UPPER($D467),4)="FXHR"),INDEX(INDIRECT(RangeUnitPrice),MATCH($A467,INDIRECT(RangeEstCount),0)),IF(Awd?,OFFSET(TabAmount,MATCH(INDEX(INDIRECT(RangeCount),MATCH($A467,INDIRECT(RangeEstCount),0)),OFFSET(TabCount,1,0,2*NumPayItems,1),0),MATCH(Awarded2,Bidders,0)),IF(OR($C467="",$D467="LPSM"),"","$"))),"")</f>
        <v/>
      </c>
      <c r="G467" s="171" t="str">
        <f ca="1">IFERROR(VALUE(C467)*F467,IF(AND(Bid?,NOT(Awd?),$D467="LPSM"),"$",F467))</f>
        <v/>
      </c>
      <c r="H467" s="374"/>
      <c r="I467" s="217" t="str">
        <f ca="1">IFERROR(VALUE(SUBSTITUTE(OFFSET(I467,-1,0)," "&amp;$D467,""))*$F467,"")</f>
        <v/>
      </c>
      <c r="J467" s="215" t="str">
        <f ca="1">IFERROR(VALUE(SUBSTITUTE(OFFSET(J467,-1,0)," "&amp;$D467,""))*$F467,"")</f>
        <v/>
      </c>
      <c r="K467" s="215" t="str">
        <f t="shared" ref="K467:M467" ca="1" si="469">IFERROR(VALUE(SUBSTITUTE(OFFSET(K467,-1,0)," "&amp;$D467,""))*$F467,"")</f>
        <v/>
      </c>
      <c r="L467" s="215" t="str">
        <f t="shared" ca="1" si="469"/>
        <v/>
      </c>
      <c r="M467" s="215" t="str">
        <f t="shared" ca="1" si="469"/>
        <v/>
      </c>
      <c r="N467" s="215" t="str">
        <f ca="1">IFERROR(VALUE(SUBSTITUTE(OFFSET(N467,-1,0)," "&amp;$D467,""))*$F467,"")</f>
        <v/>
      </c>
      <c r="O467" s="215" t="str">
        <f ca="1">IFERROR(VALUE(SUBSTITUTE(OFFSET(O467,-1,0)," "&amp;$D467,""))*$F467,"")</f>
        <v/>
      </c>
      <c r="P467" s="209" t="str">
        <f ca="1">IF(LEN(B467)&gt;0,ISNUMBER(MATCH(B467,Proposed[Item],0)),"")</f>
        <v/>
      </c>
    </row>
    <row r="468" spans="1:16" ht="15" x14ac:dyDescent="0.2">
      <c r="A468" s="276">
        <f t="shared" ca="1" si="457"/>
        <v>231</v>
      </c>
      <c r="B468" s="168" t="str">
        <f ca="1">IFERROR(INDEX(INDIRECT(RangeItems),MATCH($A468,INDIRECT(RangeEstCount),0)),"")</f>
        <v/>
      </c>
      <c r="C468" s="365" t="str">
        <f ca="1">IFERROR(INDEX(Calcs[Description],INDEX(INDIRECT(RangeCount),MATCH($A468,INDIRECT(RangeEstCount),0))),"")</f>
        <v/>
      </c>
      <c r="D468" s="365"/>
      <c r="E468" s="365"/>
      <c r="F468" s="365"/>
      <c r="G468" s="365"/>
      <c r="H468" s="375" t="str">
        <f ca="1">IF(AND(Bid?,NOT(Awd?)),C468,OFFSET(F468,1,0))</f>
        <v/>
      </c>
      <c r="I468" s="216" t="str">
        <f t="shared" ref="I468:O468" ca="1" si="470">IFERROR(SUM(OFFSET(INDIRECT(RangeQuantity),MATCH($A468,INDIRECT(RangeEstCount),0)-1,COLUMN(I468)-COLUMN($H468),1,1))&amp;" "&amp;OFFSET($D468,1,0),"")</f>
        <v/>
      </c>
      <c r="J468" s="277" t="str">
        <f t="shared" ca="1" si="470"/>
        <v/>
      </c>
      <c r="K468" s="277" t="str">
        <f t="shared" ca="1" si="470"/>
        <v/>
      </c>
      <c r="L468" s="277" t="str">
        <f t="shared" ca="1" si="470"/>
        <v/>
      </c>
      <c r="M468" s="277" t="str">
        <f t="shared" ca="1" si="470"/>
        <v/>
      </c>
      <c r="N468" s="277" t="str">
        <f t="shared" ca="1" si="470"/>
        <v/>
      </c>
      <c r="O468" s="277" t="str">
        <f t="shared" ca="1" si="470"/>
        <v/>
      </c>
      <c r="P468" s="209" t="str">
        <f ca="1">IF(LEN(B468)&gt;0,ISNUMBER(MATCH(B468,Proposed[Item],0)),"")</f>
        <v/>
      </c>
    </row>
    <row r="469" spans="1:16" ht="15" x14ac:dyDescent="0.2">
      <c r="A469" s="276">
        <f t="shared" ca="1" si="457"/>
        <v>231</v>
      </c>
      <c r="B469" s="111" t="str">
        <f ca="1">IFERROR("Line "&amp;INDEX(Calcs[Line],INDEX(INDIRECT(RangeCount),MATCH($A469,INDIRECT(RangeEstCount),0))),"")</f>
        <v/>
      </c>
      <c r="C469" s="169" t="str">
        <f ca="1">IFERROR(IF(AND($D469="LPSM",Bid?,All?),"ALL",TEXT(OFFSET(INDIRECT(RangeQuantity),MATCH($A469,INDIRECT(RangeEstCount),0)-1,MATCH(Account,Accounts,0)-1,1,1),IF($D469="LPSM","0%","#,##0"&amp;IF(OFFSET(Items[#Data],MATCH($A469,INDIRECT(RangeEstCount),0)-1,MATCH(Decimals,Items[#Headers],0)-1,1,1)&gt;0,"."&amp;REPT("0",OFFSET(Items[#Data],MATCH($A469,INDIRECT(RangeEstCount),0)-1,MATCH(Decimals,Items[#Headers],0)-1,1,1)),"")))),"")</f>
        <v/>
      </c>
      <c r="D469" s="170" t="str">
        <f ca="1">IFERROR(INDEX(INDIRECT(RangeUnit),MATCH($A469,INDIRECT(RangeEstCount),0))&amp;SUBSTITUTE(" ["&amp;INDEX(INDIRECT(RangeAmend),MATCH($A469,INDIRECT(RangeEstCount),0))&amp;"]"," []",""),"")</f>
        <v/>
      </c>
      <c r="E469" s="170" t="str">
        <f ca="1">IFERROR(IF(INDEX(INDIRECT(RangeContrQty),MATCH($A469,INDIRECT(RangeEstCount),0)),"(CQ)",""),"")</f>
        <v/>
      </c>
      <c r="F469" s="171" t="str">
        <f ca="1">IFERROR(IF(OR(NOT(Bid?),LEFT(UPPER($D469),4)="FXHR"),INDEX(INDIRECT(RangeUnitPrice),MATCH($A469,INDIRECT(RangeEstCount),0)),IF(Awd?,OFFSET(TabAmount,MATCH(INDEX(INDIRECT(RangeCount),MATCH($A469,INDIRECT(RangeEstCount),0)),OFFSET(TabCount,1,0,2*NumPayItems,1),0),MATCH(Awarded2,Bidders,0)),IF(OR($C469="",$D469="LPSM"),"","$"))),"")</f>
        <v/>
      </c>
      <c r="G469" s="171" t="str">
        <f ca="1">IFERROR(VALUE(C469)*F469,IF(AND(Bid?,NOT(Awd?),$D469="LPSM"),"$",F469))</f>
        <v/>
      </c>
      <c r="H469" s="374"/>
      <c r="I469" s="217" t="str">
        <f ca="1">IFERROR(VALUE(SUBSTITUTE(OFFSET(I469,-1,0)," "&amp;$D469,""))*$F469,"")</f>
        <v/>
      </c>
      <c r="J469" s="215" t="str">
        <f ca="1">IFERROR(VALUE(SUBSTITUTE(OFFSET(J469,-1,0)," "&amp;$D469,""))*$F469,"")</f>
        <v/>
      </c>
      <c r="K469" s="215" t="str">
        <f t="shared" ref="K469:M469" ca="1" si="471">IFERROR(VALUE(SUBSTITUTE(OFFSET(K469,-1,0)," "&amp;$D469,""))*$F469,"")</f>
        <v/>
      </c>
      <c r="L469" s="215" t="str">
        <f t="shared" ca="1" si="471"/>
        <v/>
      </c>
      <c r="M469" s="215" t="str">
        <f t="shared" ca="1" si="471"/>
        <v/>
      </c>
      <c r="N469" s="215" t="str">
        <f ca="1">IFERROR(VALUE(SUBSTITUTE(OFFSET(N469,-1,0)," "&amp;$D469,""))*$F469,"")</f>
        <v/>
      </c>
      <c r="O469" s="215" t="str">
        <f ca="1">IFERROR(VALUE(SUBSTITUTE(OFFSET(O469,-1,0)," "&amp;$D469,""))*$F469,"")</f>
        <v/>
      </c>
      <c r="P469" s="209" t="str">
        <f ca="1">IF(LEN(B469)&gt;0,ISNUMBER(MATCH(B469,Proposed[Item],0)),"")</f>
        <v/>
      </c>
    </row>
    <row r="470" spans="1:16" ht="15" x14ac:dyDescent="0.2">
      <c r="A470" s="276">
        <f t="shared" ca="1" si="457"/>
        <v>232</v>
      </c>
      <c r="B470" s="168" t="str">
        <f ca="1">IFERROR(INDEX(INDIRECT(RangeItems),MATCH($A470,INDIRECT(RangeEstCount),0)),"")</f>
        <v/>
      </c>
      <c r="C470" s="365" t="str">
        <f ca="1">IFERROR(INDEX(Calcs[Description],INDEX(INDIRECT(RangeCount),MATCH($A470,INDIRECT(RangeEstCount),0))),"")</f>
        <v/>
      </c>
      <c r="D470" s="365"/>
      <c r="E470" s="365"/>
      <c r="F470" s="365"/>
      <c r="G470" s="365"/>
      <c r="H470" s="375" t="str">
        <f ca="1">IF(AND(Bid?,NOT(Awd?)),C470,OFFSET(F470,1,0))</f>
        <v/>
      </c>
      <c r="I470" s="216" t="str">
        <f t="shared" ref="I470:O470" ca="1" si="472">IFERROR(SUM(OFFSET(INDIRECT(RangeQuantity),MATCH($A470,INDIRECT(RangeEstCount),0)-1,COLUMN(I470)-COLUMN($H470),1,1))&amp;" "&amp;OFFSET($D470,1,0),"")</f>
        <v/>
      </c>
      <c r="J470" s="277" t="str">
        <f t="shared" ca="1" si="472"/>
        <v/>
      </c>
      <c r="K470" s="277" t="str">
        <f t="shared" ca="1" si="472"/>
        <v/>
      </c>
      <c r="L470" s="277" t="str">
        <f t="shared" ca="1" si="472"/>
        <v/>
      </c>
      <c r="M470" s="277" t="str">
        <f t="shared" ca="1" si="472"/>
        <v/>
      </c>
      <c r="N470" s="277" t="str">
        <f t="shared" ca="1" si="472"/>
        <v/>
      </c>
      <c r="O470" s="277" t="str">
        <f t="shared" ca="1" si="472"/>
        <v/>
      </c>
      <c r="P470" s="209" t="str">
        <f ca="1">IF(LEN(B470)&gt;0,ISNUMBER(MATCH(B470,Proposed[Item],0)),"")</f>
        <v/>
      </c>
    </row>
    <row r="471" spans="1:16" ht="15" x14ac:dyDescent="0.2">
      <c r="A471" s="276">
        <f t="shared" ca="1" si="457"/>
        <v>232</v>
      </c>
      <c r="B471" s="111" t="str">
        <f ca="1">IFERROR("Line "&amp;INDEX(Calcs[Line],INDEX(INDIRECT(RangeCount),MATCH($A471,INDIRECT(RangeEstCount),0))),"")</f>
        <v/>
      </c>
      <c r="C471" s="169" t="str">
        <f ca="1">IFERROR(IF(AND($D471="LPSM",Bid?,All?),"ALL",TEXT(OFFSET(INDIRECT(RangeQuantity),MATCH($A471,INDIRECT(RangeEstCount),0)-1,MATCH(Account,Accounts,0)-1,1,1),IF($D471="LPSM","0%","#,##0"&amp;IF(OFFSET(Items[#Data],MATCH($A471,INDIRECT(RangeEstCount),0)-1,MATCH(Decimals,Items[#Headers],0)-1,1,1)&gt;0,"."&amp;REPT("0",OFFSET(Items[#Data],MATCH($A471,INDIRECT(RangeEstCount),0)-1,MATCH(Decimals,Items[#Headers],0)-1,1,1)),"")))),"")</f>
        <v/>
      </c>
      <c r="D471" s="170" t="str">
        <f ca="1">IFERROR(INDEX(INDIRECT(RangeUnit),MATCH($A471,INDIRECT(RangeEstCount),0))&amp;SUBSTITUTE(" ["&amp;INDEX(INDIRECT(RangeAmend),MATCH($A471,INDIRECT(RangeEstCount),0))&amp;"]"," []",""),"")</f>
        <v/>
      </c>
      <c r="E471" s="170" t="str">
        <f ca="1">IFERROR(IF(INDEX(INDIRECT(RangeContrQty),MATCH($A471,INDIRECT(RangeEstCount),0)),"(CQ)",""),"")</f>
        <v/>
      </c>
      <c r="F471" s="171" t="str">
        <f ca="1">IFERROR(IF(OR(NOT(Bid?),LEFT(UPPER($D471),4)="FXHR"),INDEX(INDIRECT(RangeUnitPrice),MATCH($A471,INDIRECT(RangeEstCount),0)),IF(Awd?,OFFSET(TabAmount,MATCH(INDEX(INDIRECT(RangeCount),MATCH($A471,INDIRECT(RangeEstCount),0)),OFFSET(TabCount,1,0,2*NumPayItems,1),0),MATCH(Awarded2,Bidders,0)),IF(OR($C471="",$D471="LPSM"),"","$"))),"")</f>
        <v/>
      </c>
      <c r="G471" s="171" t="str">
        <f ca="1">IFERROR(VALUE(C471)*F471,IF(AND(Bid?,NOT(Awd?),$D471="LPSM"),"$",F471))</f>
        <v/>
      </c>
      <c r="H471" s="374"/>
      <c r="I471" s="217" t="str">
        <f ca="1">IFERROR(VALUE(SUBSTITUTE(OFFSET(I471,-1,0)," "&amp;$D471,""))*$F471,"")</f>
        <v/>
      </c>
      <c r="J471" s="215" t="str">
        <f ca="1">IFERROR(VALUE(SUBSTITUTE(OFFSET(J471,-1,0)," "&amp;$D471,""))*$F471,"")</f>
        <v/>
      </c>
      <c r="K471" s="215" t="str">
        <f t="shared" ref="K471:M471" ca="1" si="473">IFERROR(VALUE(SUBSTITUTE(OFFSET(K471,-1,0)," "&amp;$D471,""))*$F471,"")</f>
        <v/>
      </c>
      <c r="L471" s="215" t="str">
        <f t="shared" ca="1" si="473"/>
        <v/>
      </c>
      <c r="M471" s="215" t="str">
        <f t="shared" ca="1" si="473"/>
        <v/>
      </c>
      <c r="N471" s="215" t="str">
        <f ca="1">IFERROR(VALUE(SUBSTITUTE(OFFSET(N471,-1,0)," "&amp;$D471,""))*$F471,"")</f>
        <v/>
      </c>
      <c r="O471" s="215" t="str">
        <f ca="1">IFERROR(VALUE(SUBSTITUTE(OFFSET(O471,-1,0)," "&amp;$D471,""))*$F471,"")</f>
        <v/>
      </c>
      <c r="P471" s="209" t="str">
        <f ca="1">IF(LEN(B471)&gt;0,ISNUMBER(MATCH(B471,Proposed[Item],0)),"")</f>
        <v/>
      </c>
    </row>
    <row r="472" spans="1:16" ht="15" x14ac:dyDescent="0.2">
      <c r="A472" s="276">
        <f t="shared" ca="1" si="457"/>
        <v>233</v>
      </c>
      <c r="B472" s="168" t="str">
        <f ca="1">IFERROR(INDEX(INDIRECT(RangeItems),MATCH($A472,INDIRECT(RangeEstCount),0)),"")</f>
        <v/>
      </c>
      <c r="C472" s="365" t="str">
        <f ca="1">IFERROR(INDEX(Calcs[Description],INDEX(INDIRECT(RangeCount),MATCH($A472,INDIRECT(RangeEstCount),0))),"")</f>
        <v/>
      </c>
      <c r="D472" s="365"/>
      <c r="E472" s="365"/>
      <c r="F472" s="365"/>
      <c r="G472" s="365"/>
      <c r="H472" s="375" t="str">
        <f ca="1">IF(AND(Bid?,NOT(Awd?)),C472,OFFSET(F472,1,0))</f>
        <v/>
      </c>
      <c r="I472" s="216" t="str">
        <f t="shared" ref="I472:O472" ca="1" si="474">IFERROR(SUM(OFFSET(INDIRECT(RangeQuantity),MATCH($A472,INDIRECT(RangeEstCount),0)-1,COLUMN(I472)-COLUMN($H472),1,1))&amp;" "&amp;OFFSET($D472,1,0),"")</f>
        <v/>
      </c>
      <c r="J472" s="277" t="str">
        <f t="shared" ca="1" si="474"/>
        <v/>
      </c>
      <c r="K472" s="277" t="str">
        <f t="shared" ca="1" si="474"/>
        <v/>
      </c>
      <c r="L472" s="277" t="str">
        <f t="shared" ca="1" si="474"/>
        <v/>
      </c>
      <c r="M472" s="277" t="str">
        <f t="shared" ca="1" si="474"/>
        <v/>
      </c>
      <c r="N472" s="277" t="str">
        <f t="shared" ca="1" si="474"/>
        <v/>
      </c>
      <c r="O472" s="277" t="str">
        <f t="shared" ca="1" si="474"/>
        <v/>
      </c>
      <c r="P472" s="209" t="str">
        <f ca="1">IF(LEN(B472)&gt;0,ISNUMBER(MATCH(B472,Proposed[Item],0)),"")</f>
        <v/>
      </c>
    </row>
    <row r="473" spans="1:16" ht="15" x14ac:dyDescent="0.2">
      <c r="A473" s="276">
        <f t="shared" ca="1" si="457"/>
        <v>233</v>
      </c>
      <c r="B473" s="111" t="str">
        <f ca="1">IFERROR("Line "&amp;INDEX(Calcs[Line],INDEX(INDIRECT(RangeCount),MATCH($A473,INDIRECT(RangeEstCount),0))),"")</f>
        <v/>
      </c>
      <c r="C473" s="169" t="str">
        <f ca="1">IFERROR(IF(AND($D473="LPSM",Bid?,All?),"ALL",TEXT(OFFSET(INDIRECT(RangeQuantity),MATCH($A473,INDIRECT(RangeEstCount),0)-1,MATCH(Account,Accounts,0)-1,1,1),IF($D473="LPSM","0%","#,##0"&amp;IF(OFFSET(Items[#Data],MATCH($A473,INDIRECT(RangeEstCount),0)-1,MATCH(Decimals,Items[#Headers],0)-1,1,1)&gt;0,"."&amp;REPT("0",OFFSET(Items[#Data],MATCH($A473,INDIRECT(RangeEstCount),0)-1,MATCH(Decimals,Items[#Headers],0)-1,1,1)),"")))),"")</f>
        <v/>
      </c>
      <c r="D473" s="170" t="str">
        <f ca="1">IFERROR(INDEX(INDIRECT(RangeUnit),MATCH($A473,INDIRECT(RangeEstCount),0))&amp;SUBSTITUTE(" ["&amp;INDEX(INDIRECT(RangeAmend),MATCH($A473,INDIRECT(RangeEstCount),0))&amp;"]"," []",""),"")</f>
        <v/>
      </c>
      <c r="E473" s="170" t="str">
        <f ca="1">IFERROR(IF(INDEX(INDIRECT(RangeContrQty),MATCH($A473,INDIRECT(RangeEstCount),0)),"(CQ)",""),"")</f>
        <v/>
      </c>
      <c r="F473" s="171" t="str">
        <f ca="1">IFERROR(IF(OR(NOT(Bid?),LEFT(UPPER($D473),4)="FXHR"),INDEX(INDIRECT(RangeUnitPrice),MATCH($A473,INDIRECT(RangeEstCount),0)),IF(Awd?,OFFSET(TabAmount,MATCH(INDEX(INDIRECT(RangeCount),MATCH($A473,INDIRECT(RangeEstCount),0)),OFFSET(TabCount,1,0,2*NumPayItems,1),0),MATCH(Awarded2,Bidders,0)),IF(OR($C473="",$D473="LPSM"),"","$"))),"")</f>
        <v/>
      </c>
      <c r="G473" s="171" t="str">
        <f ca="1">IFERROR(VALUE(C473)*F473,IF(AND(Bid?,NOT(Awd?),$D473="LPSM"),"$",F473))</f>
        <v/>
      </c>
      <c r="H473" s="374"/>
      <c r="I473" s="217" t="str">
        <f ca="1">IFERROR(VALUE(SUBSTITUTE(OFFSET(I473,-1,0)," "&amp;$D473,""))*$F473,"")</f>
        <v/>
      </c>
      <c r="J473" s="215" t="str">
        <f ca="1">IFERROR(VALUE(SUBSTITUTE(OFFSET(J473,-1,0)," "&amp;$D473,""))*$F473,"")</f>
        <v/>
      </c>
      <c r="K473" s="215" t="str">
        <f t="shared" ref="K473:M473" ca="1" si="475">IFERROR(VALUE(SUBSTITUTE(OFFSET(K473,-1,0)," "&amp;$D473,""))*$F473,"")</f>
        <v/>
      </c>
      <c r="L473" s="215" t="str">
        <f t="shared" ca="1" si="475"/>
        <v/>
      </c>
      <c r="M473" s="215" t="str">
        <f t="shared" ca="1" si="475"/>
        <v/>
      </c>
      <c r="N473" s="215" t="str">
        <f ca="1">IFERROR(VALUE(SUBSTITUTE(OFFSET(N473,-1,0)," "&amp;$D473,""))*$F473,"")</f>
        <v/>
      </c>
      <c r="O473" s="215" t="str">
        <f ca="1">IFERROR(VALUE(SUBSTITUTE(OFFSET(O473,-1,0)," "&amp;$D473,""))*$F473,"")</f>
        <v/>
      </c>
      <c r="P473" s="209" t="str">
        <f ca="1">IF(LEN(B473)&gt;0,ISNUMBER(MATCH(B473,Proposed[Item],0)),"")</f>
        <v/>
      </c>
    </row>
    <row r="474" spans="1:16" ht="15" x14ac:dyDescent="0.2">
      <c r="A474" s="276">
        <f t="shared" ca="1" si="457"/>
        <v>234</v>
      </c>
      <c r="B474" s="168" t="str">
        <f ca="1">IFERROR(INDEX(INDIRECT(RangeItems),MATCH($A474,INDIRECT(RangeEstCount),0)),"")</f>
        <v/>
      </c>
      <c r="C474" s="365" t="str">
        <f ca="1">IFERROR(INDEX(Calcs[Description],INDEX(INDIRECT(RangeCount),MATCH($A474,INDIRECT(RangeEstCount),0))),"")</f>
        <v/>
      </c>
      <c r="D474" s="365"/>
      <c r="E474" s="365"/>
      <c r="F474" s="365"/>
      <c r="G474" s="365"/>
      <c r="H474" s="375" t="str">
        <f ca="1">IF(AND(Bid?,NOT(Awd?)),C474,OFFSET(F474,1,0))</f>
        <v/>
      </c>
      <c r="I474" s="216" t="str">
        <f t="shared" ref="I474:O474" ca="1" si="476">IFERROR(SUM(OFFSET(INDIRECT(RangeQuantity),MATCH($A474,INDIRECT(RangeEstCount),0)-1,COLUMN(I474)-COLUMN($H474),1,1))&amp;" "&amp;OFFSET($D474,1,0),"")</f>
        <v/>
      </c>
      <c r="J474" s="277" t="str">
        <f t="shared" ca="1" si="476"/>
        <v/>
      </c>
      <c r="K474" s="277" t="str">
        <f t="shared" ca="1" si="476"/>
        <v/>
      </c>
      <c r="L474" s="277" t="str">
        <f t="shared" ca="1" si="476"/>
        <v/>
      </c>
      <c r="M474" s="277" t="str">
        <f t="shared" ca="1" si="476"/>
        <v/>
      </c>
      <c r="N474" s="277" t="str">
        <f t="shared" ca="1" si="476"/>
        <v/>
      </c>
      <c r="O474" s="277" t="str">
        <f t="shared" ca="1" si="476"/>
        <v/>
      </c>
      <c r="P474" s="209" t="str">
        <f ca="1">IF(LEN(B474)&gt;0,ISNUMBER(MATCH(B474,Proposed[Item],0)),"")</f>
        <v/>
      </c>
    </row>
    <row r="475" spans="1:16" ht="15" x14ac:dyDescent="0.2">
      <c r="A475" s="276">
        <f t="shared" ca="1" si="457"/>
        <v>234</v>
      </c>
      <c r="B475" s="111" t="str">
        <f ca="1">IFERROR("Line "&amp;INDEX(Calcs[Line],INDEX(INDIRECT(RangeCount),MATCH($A475,INDIRECT(RangeEstCount),0))),"")</f>
        <v/>
      </c>
      <c r="C475" s="169" t="str">
        <f ca="1">IFERROR(IF(AND($D475="LPSM",Bid?,All?),"ALL",TEXT(OFFSET(INDIRECT(RangeQuantity),MATCH($A475,INDIRECT(RangeEstCount),0)-1,MATCH(Account,Accounts,0)-1,1,1),IF($D475="LPSM","0%","#,##0"&amp;IF(OFFSET(Items[#Data],MATCH($A475,INDIRECT(RangeEstCount),0)-1,MATCH(Decimals,Items[#Headers],0)-1,1,1)&gt;0,"."&amp;REPT("0",OFFSET(Items[#Data],MATCH($A475,INDIRECT(RangeEstCount),0)-1,MATCH(Decimals,Items[#Headers],0)-1,1,1)),"")))),"")</f>
        <v/>
      </c>
      <c r="D475" s="170" t="str">
        <f ca="1">IFERROR(INDEX(INDIRECT(RangeUnit),MATCH($A475,INDIRECT(RangeEstCount),0))&amp;SUBSTITUTE(" ["&amp;INDEX(INDIRECT(RangeAmend),MATCH($A475,INDIRECT(RangeEstCount),0))&amp;"]"," []",""),"")</f>
        <v/>
      </c>
      <c r="E475" s="170" t="str">
        <f ca="1">IFERROR(IF(INDEX(INDIRECT(RangeContrQty),MATCH($A475,INDIRECT(RangeEstCount),0)),"(CQ)",""),"")</f>
        <v/>
      </c>
      <c r="F475" s="171" t="str">
        <f ca="1">IFERROR(IF(OR(NOT(Bid?),LEFT(UPPER($D475),4)="FXHR"),INDEX(INDIRECT(RangeUnitPrice),MATCH($A475,INDIRECT(RangeEstCount),0)),IF(Awd?,OFFSET(TabAmount,MATCH(INDEX(INDIRECT(RangeCount),MATCH($A475,INDIRECT(RangeEstCount),0)),OFFSET(TabCount,1,0,2*NumPayItems,1),0),MATCH(Awarded2,Bidders,0)),IF(OR($C475="",$D475="LPSM"),"","$"))),"")</f>
        <v/>
      </c>
      <c r="G475" s="171" t="str">
        <f ca="1">IFERROR(VALUE(C475)*F475,IF(AND(Bid?,NOT(Awd?),$D475="LPSM"),"$",F475))</f>
        <v/>
      </c>
      <c r="H475" s="374"/>
      <c r="I475" s="217" t="str">
        <f ca="1">IFERROR(VALUE(SUBSTITUTE(OFFSET(I475,-1,0)," "&amp;$D475,""))*$F475,"")</f>
        <v/>
      </c>
      <c r="J475" s="215" t="str">
        <f ca="1">IFERROR(VALUE(SUBSTITUTE(OFFSET(J475,-1,0)," "&amp;$D475,""))*$F475,"")</f>
        <v/>
      </c>
      <c r="K475" s="215" t="str">
        <f t="shared" ref="K475:M475" ca="1" si="477">IFERROR(VALUE(SUBSTITUTE(OFFSET(K475,-1,0)," "&amp;$D475,""))*$F475,"")</f>
        <v/>
      </c>
      <c r="L475" s="215" t="str">
        <f t="shared" ca="1" si="477"/>
        <v/>
      </c>
      <c r="M475" s="215" t="str">
        <f t="shared" ca="1" si="477"/>
        <v/>
      </c>
      <c r="N475" s="215" t="str">
        <f ca="1">IFERROR(VALUE(SUBSTITUTE(OFFSET(N475,-1,0)," "&amp;$D475,""))*$F475,"")</f>
        <v/>
      </c>
      <c r="O475" s="215" t="str">
        <f ca="1">IFERROR(VALUE(SUBSTITUTE(OFFSET(O475,-1,0)," "&amp;$D475,""))*$F475,"")</f>
        <v/>
      </c>
      <c r="P475" s="209" t="str">
        <f ca="1">IF(LEN(B475)&gt;0,ISNUMBER(MATCH(B475,Proposed[Item],0)),"")</f>
        <v/>
      </c>
    </row>
    <row r="476" spans="1:16" ht="15" x14ac:dyDescent="0.2">
      <c r="A476" s="276">
        <f t="shared" ca="1" si="457"/>
        <v>235</v>
      </c>
      <c r="B476" s="168" t="str">
        <f ca="1">IFERROR(INDEX(INDIRECT(RangeItems),MATCH($A476,INDIRECT(RangeEstCount),0)),"")</f>
        <v/>
      </c>
      <c r="C476" s="365" t="str">
        <f ca="1">IFERROR(INDEX(Calcs[Description],INDEX(INDIRECT(RangeCount),MATCH($A476,INDIRECT(RangeEstCount),0))),"")</f>
        <v/>
      </c>
      <c r="D476" s="365"/>
      <c r="E476" s="365"/>
      <c r="F476" s="365"/>
      <c r="G476" s="365"/>
      <c r="H476" s="375" t="str">
        <f ca="1">IF(AND(Bid?,NOT(Awd?)),C476,OFFSET(F476,1,0))</f>
        <v/>
      </c>
      <c r="I476" s="216" t="str">
        <f t="shared" ref="I476:O476" ca="1" si="478">IFERROR(SUM(OFFSET(INDIRECT(RangeQuantity),MATCH($A476,INDIRECT(RangeEstCount),0)-1,COLUMN(I476)-COLUMN($H476),1,1))&amp;" "&amp;OFFSET($D476,1,0),"")</f>
        <v/>
      </c>
      <c r="J476" s="277" t="str">
        <f t="shared" ca="1" si="478"/>
        <v/>
      </c>
      <c r="K476" s="277" t="str">
        <f t="shared" ca="1" si="478"/>
        <v/>
      </c>
      <c r="L476" s="277" t="str">
        <f t="shared" ca="1" si="478"/>
        <v/>
      </c>
      <c r="M476" s="277" t="str">
        <f t="shared" ca="1" si="478"/>
        <v/>
      </c>
      <c r="N476" s="277" t="str">
        <f t="shared" ca="1" si="478"/>
        <v/>
      </c>
      <c r="O476" s="277" t="str">
        <f t="shared" ca="1" si="478"/>
        <v/>
      </c>
      <c r="P476" s="209" t="str">
        <f ca="1">IF(LEN(B476)&gt;0,ISNUMBER(MATCH(B476,Proposed[Item],0)),"")</f>
        <v/>
      </c>
    </row>
    <row r="477" spans="1:16" ht="15" x14ac:dyDescent="0.2">
      <c r="A477" s="276">
        <f t="shared" ca="1" si="457"/>
        <v>235</v>
      </c>
      <c r="B477" s="111" t="str">
        <f ca="1">IFERROR("Line "&amp;INDEX(Calcs[Line],INDEX(INDIRECT(RangeCount),MATCH($A477,INDIRECT(RangeEstCount),0))),"")</f>
        <v/>
      </c>
      <c r="C477" s="169" t="str">
        <f ca="1">IFERROR(IF(AND($D477="LPSM",Bid?,All?),"ALL",TEXT(OFFSET(INDIRECT(RangeQuantity),MATCH($A477,INDIRECT(RangeEstCount),0)-1,MATCH(Account,Accounts,0)-1,1,1),IF($D477="LPSM","0%","#,##0"&amp;IF(OFFSET(Items[#Data],MATCH($A477,INDIRECT(RangeEstCount),0)-1,MATCH(Decimals,Items[#Headers],0)-1,1,1)&gt;0,"."&amp;REPT("0",OFFSET(Items[#Data],MATCH($A477,INDIRECT(RangeEstCount),0)-1,MATCH(Decimals,Items[#Headers],0)-1,1,1)),"")))),"")</f>
        <v/>
      </c>
      <c r="D477" s="170" t="str">
        <f ca="1">IFERROR(INDEX(INDIRECT(RangeUnit),MATCH($A477,INDIRECT(RangeEstCount),0))&amp;SUBSTITUTE(" ["&amp;INDEX(INDIRECT(RangeAmend),MATCH($A477,INDIRECT(RangeEstCount),0))&amp;"]"," []",""),"")</f>
        <v/>
      </c>
      <c r="E477" s="170" t="str">
        <f ca="1">IFERROR(IF(INDEX(INDIRECT(RangeContrQty),MATCH($A477,INDIRECT(RangeEstCount),0)),"(CQ)",""),"")</f>
        <v/>
      </c>
      <c r="F477" s="171" t="str">
        <f ca="1">IFERROR(IF(OR(NOT(Bid?),LEFT(UPPER($D477),4)="FXHR"),INDEX(INDIRECT(RangeUnitPrice),MATCH($A477,INDIRECT(RangeEstCount),0)),IF(Awd?,OFFSET(TabAmount,MATCH(INDEX(INDIRECT(RangeCount),MATCH($A477,INDIRECT(RangeEstCount),0)),OFFSET(TabCount,1,0,2*NumPayItems,1),0),MATCH(Awarded2,Bidders,0)),IF(OR($C477="",$D477="LPSM"),"","$"))),"")</f>
        <v/>
      </c>
      <c r="G477" s="171" t="str">
        <f ca="1">IFERROR(VALUE(C477)*F477,IF(AND(Bid?,NOT(Awd?),$D477="LPSM"),"$",F477))</f>
        <v/>
      </c>
      <c r="H477" s="374"/>
      <c r="I477" s="217" t="str">
        <f ca="1">IFERROR(VALUE(SUBSTITUTE(OFFSET(I477,-1,0)," "&amp;$D477,""))*$F477,"")</f>
        <v/>
      </c>
      <c r="J477" s="215" t="str">
        <f ca="1">IFERROR(VALUE(SUBSTITUTE(OFFSET(J477,-1,0)," "&amp;$D477,""))*$F477,"")</f>
        <v/>
      </c>
      <c r="K477" s="215" t="str">
        <f t="shared" ref="K477:M477" ca="1" si="479">IFERROR(VALUE(SUBSTITUTE(OFFSET(K477,-1,0)," "&amp;$D477,""))*$F477,"")</f>
        <v/>
      </c>
      <c r="L477" s="215" t="str">
        <f t="shared" ca="1" si="479"/>
        <v/>
      </c>
      <c r="M477" s="215" t="str">
        <f t="shared" ca="1" si="479"/>
        <v/>
      </c>
      <c r="N477" s="215" t="str">
        <f ca="1">IFERROR(VALUE(SUBSTITUTE(OFFSET(N477,-1,0)," "&amp;$D477,""))*$F477,"")</f>
        <v/>
      </c>
      <c r="O477" s="215" t="str">
        <f ca="1">IFERROR(VALUE(SUBSTITUTE(OFFSET(O477,-1,0)," "&amp;$D477,""))*$F477,"")</f>
        <v/>
      </c>
      <c r="P477" s="209" t="str">
        <f ca="1">IF(LEN(B477)&gt;0,ISNUMBER(MATCH(B477,Proposed[Item],0)),"")</f>
        <v/>
      </c>
    </row>
    <row r="478" spans="1:16" ht="15" x14ac:dyDescent="0.2">
      <c r="A478" s="276">
        <f t="shared" ca="1" si="457"/>
        <v>236</v>
      </c>
      <c r="B478" s="168" t="str">
        <f ca="1">IFERROR(INDEX(INDIRECT(RangeItems),MATCH($A478,INDIRECT(RangeEstCount),0)),"")</f>
        <v/>
      </c>
      <c r="C478" s="365" t="str">
        <f ca="1">IFERROR(INDEX(Calcs[Description],INDEX(INDIRECT(RangeCount),MATCH($A478,INDIRECT(RangeEstCount),0))),"")</f>
        <v/>
      </c>
      <c r="D478" s="365"/>
      <c r="E478" s="365"/>
      <c r="F478" s="365"/>
      <c r="G478" s="365"/>
      <c r="H478" s="375" t="str">
        <f ca="1">IF(AND(Bid?,NOT(Awd?)),C478,OFFSET(F478,1,0))</f>
        <v/>
      </c>
      <c r="I478" s="216" t="str">
        <f t="shared" ref="I478:O478" ca="1" si="480">IFERROR(SUM(OFFSET(INDIRECT(RangeQuantity),MATCH($A478,INDIRECT(RangeEstCount),0)-1,COLUMN(I478)-COLUMN($H478),1,1))&amp;" "&amp;OFFSET($D478,1,0),"")</f>
        <v/>
      </c>
      <c r="J478" s="277" t="str">
        <f t="shared" ca="1" si="480"/>
        <v/>
      </c>
      <c r="K478" s="277" t="str">
        <f t="shared" ca="1" si="480"/>
        <v/>
      </c>
      <c r="L478" s="277" t="str">
        <f t="shared" ca="1" si="480"/>
        <v/>
      </c>
      <c r="M478" s="277" t="str">
        <f t="shared" ca="1" si="480"/>
        <v/>
      </c>
      <c r="N478" s="277" t="str">
        <f t="shared" ca="1" si="480"/>
        <v/>
      </c>
      <c r="O478" s="277" t="str">
        <f t="shared" ca="1" si="480"/>
        <v/>
      </c>
      <c r="P478" s="209" t="str">
        <f ca="1">IF(LEN(B478)&gt;0,ISNUMBER(MATCH(B478,Proposed[Item],0)),"")</f>
        <v/>
      </c>
    </row>
    <row r="479" spans="1:16" ht="15" x14ac:dyDescent="0.2">
      <c r="A479" s="276">
        <f t="shared" ca="1" si="457"/>
        <v>236</v>
      </c>
      <c r="B479" s="111" t="str">
        <f ca="1">IFERROR("Line "&amp;INDEX(Calcs[Line],INDEX(INDIRECT(RangeCount),MATCH($A479,INDIRECT(RangeEstCount),0))),"")</f>
        <v/>
      </c>
      <c r="C479" s="169" t="str">
        <f ca="1">IFERROR(IF(AND($D479="LPSM",Bid?,All?),"ALL",TEXT(OFFSET(INDIRECT(RangeQuantity),MATCH($A479,INDIRECT(RangeEstCount),0)-1,MATCH(Account,Accounts,0)-1,1,1),IF($D479="LPSM","0%","#,##0"&amp;IF(OFFSET(Items[#Data],MATCH($A479,INDIRECT(RangeEstCount),0)-1,MATCH(Decimals,Items[#Headers],0)-1,1,1)&gt;0,"."&amp;REPT("0",OFFSET(Items[#Data],MATCH($A479,INDIRECT(RangeEstCount),0)-1,MATCH(Decimals,Items[#Headers],0)-1,1,1)),"")))),"")</f>
        <v/>
      </c>
      <c r="D479" s="170" t="str">
        <f ca="1">IFERROR(INDEX(INDIRECT(RangeUnit),MATCH($A479,INDIRECT(RangeEstCount),0))&amp;SUBSTITUTE(" ["&amp;INDEX(INDIRECT(RangeAmend),MATCH($A479,INDIRECT(RangeEstCount),0))&amp;"]"," []",""),"")</f>
        <v/>
      </c>
      <c r="E479" s="170" t="str">
        <f ca="1">IFERROR(IF(INDEX(INDIRECT(RangeContrQty),MATCH($A479,INDIRECT(RangeEstCount),0)),"(CQ)",""),"")</f>
        <v/>
      </c>
      <c r="F479" s="171" t="str">
        <f ca="1">IFERROR(IF(OR(NOT(Bid?),LEFT(UPPER($D479),4)="FXHR"),INDEX(INDIRECT(RangeUnitPrice),MATCH($A479,INDIRECT(RangeEstCount),0)),IF(Awd?,OFFSET(TabAmount,MATCH(INDEX(INDIRECT(RangeCount),MATCH($A479,INDIRECT(RangeEstCount),0)),OFFSET(TabCount,1,0,2*NumPayItems,1),0),MATCH(Awarded2,Bidders,0)),IF(OR($C479="",$D479="LPSM"),"","$"))),"")</f>
        <v/>
      </c>
      <c r="G479" s="171" t="str">
        <f ca="1">IFERROR(VALUE(C479)*F479,IF(AND(Bid?,NOT(Awd?),$D479="LPSM"),"$",F479))</f>
        <v/>
      </c>
      <c r="H479" s="374"/>
      <c r="I479" s="217" t="str">
        <f ca="1">IFERROR(VALUE(SUBSTITUTE(OFFSET(I479,-1,0)," "&amp;$D479,""))*$F479,"")</f>
        <v/>
      </c>
      <c r="J479" s="215" t="str">
        <f ca="1">IFERROR(VALUE(SUBSTITUTE(OFFSET(J479,-1,0)," "&amp;$D479,""))*$F479,"")</f>
        <v/>
      </c>
      <c r="K479" s="215" t="str">
        <f t="shared" ref="K479:M479" ca="1" si="481">IFERROR(VALUE(SUBSTITUTE(OFFSET(K479,-1,0)," "&amp;$D479,""))*$F479,"")</f>
        <v/>
      </c>
      <c r="L479" s="215" t="str">
        <f t="shared" ca="1" si="481"/>
        <v/>
      </c>
      <c r="M479" s="215" t="str">
        <f t="shared" ca="1" si="481"/>
        <v/>
      </c>
      <c r="N479" s="215" t="str">
        <f ca="1">IFERROR(VALUE(SUBSTITUTE(OFFSET(N479,-1,0)," "&amp;$D479,""))*$F479,"")</f>
        <v/>
      </c>
      <c r="O479" s="215" t="str">
        <f ca="1">IFERROR(VALUE(SUBSTITUTE(OFFSET(O479,-1,0)," "&amp;$D479,""))*$F479,"")</f>
        <v/>
      </c>
      <c r="P479" s="209" t="str">
        <f ca="1">IF(LEN(B479)&gt;0,ISNUMBER(MATCH(B479,Proposed[Item],0)),"")</f>
        <v/>
      </c>
    </row>
    <row r="480" spans="1:16" ht="15" x14ac:dyDescent="0.2">
      <c r="A480" s="276">
        <f t="shared" ca="1" si="457"/>
        <v>237</v>
      </c>
      <c r="B480" s="168" t="str">
        <f ca="1">IFERROR(INDEX(INDIRECT(RangeItems),MATCH($A480,INDIRECT(RangeEstCount),0)),"")</f>
        <v/>
      </c>
      <c r="C480" s="365" t="str">
        <f ca="1">IFERROR(INDEX(Calcs[Description],INDEX(INDIRECT(RangeCount),MATCH($A480,INDIRECT(RangeEstCount),0))),"")</f>
        <v/>
      </c>
      <c r="D480" s="365"/>
      <c r="E480" s="365"/>
      <c r="F480" s="365"/>
      <c r="G480" s="365"/>
      <c r="H480" s="375" t="str">
        <f ca="1">IF(AND(Bid?,NOT(Awd?)),C480,OFFSET(F480,1,0))</f>
        <v/>
      </c>
      <c r="I480" s="216" t="str">
        <f t="shared" ref="I480:O480" ca="1" si="482">IFERROR(SUM(OFFSET(INDIRECT(RangeQuantity),MATCH($A480,INDIRECT(RangeEstCount),0)-1,COLUMN(I480)-COLUMN($H480),1,1))&amp;" "&amp;OFFSET($D480,1,0),"")</f>
        <v/>
      </c>
      <c r="J480" s="277" t="str">
        <f t="shared" ca="1" si="482"/>
        <v/>
      </c>
      <c r="K480" s="277" t="str">
        <f t="shared" ca="1" si="482"/>
        <v/>
      </c>
      <c r="L480" s="277" t="str">
        <f t="shared" ca="1" si="482"/>
        <v/>
      </c>
      <c r="M480" s="277" t="str">
        <f t="shared" ca="1" si="482"/>
        <v/>
      </c>
      <c r="N480" s="277" t="str">
        <f t="shared" ca="1" si="482"/>
        <v/>
      </c>
      <c r="O480" s="277" t="str">
        <f t="shared" ca="1" si="482"/>
        <v/>
      </c>
      <c r="P480" s="209" t="str">
        <f ca="1">IF(LEN(B480)&gt;0,ISNUMBER(MATCH(B480,Proposed[Item],0)),"")</f>
        <v/>
      </c>
    </row>
    <row r="481" spans="1:16" ht="15" x14ac:dyDescent="0.2">
      <c r="A481" s="276">
        <f t="shared" ca="1" si="457"/>
        <v>237</v>
      </c>
      <c r="B481" s="111" t="str">
        <f ca="1">IFERROR("Line "&amp;INDEX(Calcs[Line],INDEX(INDIRECT(RangeCount),MATCH($A481,INDIRECT(RangeEstCount),0))),"")</f>
        <v/>
      </c>
      <c r="C481" s="169" t="str">
        <f ca="1">IFERROR(IF(AND($D481="LPSM",Bid?,All?),"ALL",TEXT(OFFSET(INDIRECT(RangeQuantity),MATCH($A481,INDIRECT(RangeEstCount),0)-1,MATCH(Account,Accounts,0)-1,1,1),IF($D481="LPSM","0%","#,##0"&amp;IF(OFFSET(Items[#Data],MATCH($A481,INDIRECT(RangeEstCount),0)-1,MATCH(Decimals,Items[#Headers],0)-1,1,1)&gt;0,"."&amp;REPT("0",OFFSET(Items[#Data],MATCH($A481,INDIRECT(RangeEstCount),0)-1,MATCH(Decimals,Items[#Headers],0)-1,1,1)),"")))),"")</f>
        <v/>
      </c>
      <c r="D481" s="170" t="str">
        <f ca="1">IFERROR(INDEX(INDIRECT(RangeUnit),MATCH($A481,INDIRECT(RangeEstCount),0))&amp;SUBSTITUTE(" ["&amp;INDEX(INDIRECT(RangeAmend),MATCH($A481,INDIRECT(RangeEstCount),0))&amp;"]"," []",""),"")</f>
        <v/>
      </c>
      <c r="E481" s="170" t="str">
        <f ca="1">IFERROR(IF(INDEX(INDIRECT(RangeContrQty),MATCH($A481,INDIRECT(RangeEstCount),0)),"(CQ)",""),"")</f>
        <v/>
      </c>
      <c r="F481" s="171" t="str">
        <f ca="1">IFERROR(IF(OR(NOT(Bid?),LEFT(UPPER($D481),4)="FXHR"),INDEX(INDIRECT(RangeUnitPrice),MATCH($A481,INDIRECT(RangeEstCount),0)),IF(Awd?,OFFSET(TabAmount,MATCH(INDEX(INDIRECT(RangeCount),MATCH($A481,INDIRECT(RangeEstCount),0)),OFFSET(TabCount,1,0,2*NumPayItems,1),0),MATCH(Awarded2,Bidders,0)),IF(OR($C481="",$D481="LPSM"),"","$"))),"")</f>
        <v/>
      </c>
      <c r="G481" s="171" t="str">
        <f ca="1">IFERROR(VALUE(C481)*F481,IF(AND(Bid?,NOT(Awd?),$D481="LPSM"),"$",F481))</f>
        <v/>
      </c>
      <c r="H481" s="374"/>
      <c r="I481" s="217" t="str">
        <f ca="1">IFERROR(VALUE(SUBSTITUTE(OFFSET(I481,-1,0)," "&amp;$D481,""))*$F481,"")</f>
        <v/>
      </c>
      <c r="J481" s="215" t="str">
        <f ca="1">IFERROR(VALUE(SUBSTITUTE(OFFSET(J481,-1,0)," "&amp;$D481,""))*$F481,"")</f>
        <v/>
      </c>
      <c r="K481" s="215" t="str">
        <f t="shared" ref="K481:M481" ca="1" si="483">IFERROR(VALUE(SUBSTITUTE(OFFSET(K481,-1,0)," "&amp;$D481,""))*$F481,"")</f>
        <v/>
      </c>
      <c r="L481" s="215" t="str">
        <f t="shared" ca="1" si="483"/>
        <v/>
      </c>
      <c r="M481" s="215" t="str">
        <f t="shared" ca="1" si="483"/>
        <v/>
      </c>
      <c r="N481" s="215" t="str">
        <f ca="1">IFERROR(VALUE(SUBSTITUTE(OFFSET(N481,-1,0)," "&amp;$D481,""))*$F481,"")</f>
        <v/>
      </c>
      <c r="O481" s="215" t="str">
        <f ca="1">IFERROR(VALUE(SUBSTITUTE(OFFSET(O481,-1,0)," "&amp;$D481,""))*$F481,"")</f>
        <v/>
      </c>
      <c r="P481" s="209" t="str">
        <f ca="1">IF(LEN(B481)&gt;0,ISNUMBER(MATCH(B481,Proposed[Item],0)),"")</f>
        <v/>
      </c>
    </row>
    <row r="482" spans="1:16" ht="15" x14ac:dyDescent="0.2">
      <c r="A482" s="276">
        <f t="shared" ca="1" si="457"/>
        <v>238</v>
      </c>
      <c r="B482" s="168" t="str">
        <f ca="1">IFERROR(INDEX(INDIRECT(RangeItems),MATCH($A482,INDIRECT(RangeEstCount),0)),"")</f>
        <v/>
      </c>
      <c r="C482" s="365" t="str">
        <f ca="1">IFERROR(INDEX(Calcs[Description],INDEX(INDIRECT(RangeCount),MATCH($A482,INDIRECT(RangeEstCount),0))),"")</f>
        <v/>
      </c>
      <c r="D482" s="365"/>
      <c r="E482" s="365"/>
      <c r="F482" s="365"/>
      <c r="G482" s="365"/>
      <c r="H482" s="375" t="str">
        <f ca="1">IF(AND(Bid?,NOT(Awd?)),C482,OFFSET(F482,1,0))</f>
        <v/>
      </c>
      <c r="I482" s="216" t="str">
        <f t="shared" ref="I482:O482" ca="1" si="484">IFERROR(SUM(OFFSET(INDIRECT(RangeQuantity),MATCH($A482,INDIRECT(RangeEstCount),0)-1,COLUMN(I482)-COLUMN($H482),1,1))&amp;" "&amp;OFFSET($D482,1,0),"")</f>
        <v/>
      </c>
      <c r="J482" s="277" t="str">
        <f t="shared" ca="1" si="484"/>
        <v/>
      </c>
      <c r="K482" s="277" t="str">
        <f t="shared" ca="1" si="484"/>
        <v/>
      </c>
      <c r="L482" s="277" t="str">
        <f t="shared" ca="1" si="484"/>
        <v/>
      </c>
      <c r="M482" s="277" t="str">
        <f t="shared" ca="1" si="484"/>
        <v/>
      </c>
      <c r="N482" s="277" t="str">
        <f t="shared" ca="1" si="484"/>
        <v/>
      </c>
      <c r="O482" s="277" t="str">
        <f t="shared" ca="1" si="484"/>
        <v/>
      </c>
      <c r="P482" s="209" t="str">
        <f ca="1">IF(LEN(B482)&gt;0,ISNUMBER(MATCH(B482,Proposed[Item],0)),"")</f>
        <v/>
      </c>
    </row>
    <row r="483" spans="1:16" ht="15" x14ac:dyDescent="0.2">
      <c r="A483" s="276">
        <f t="shared" ca="1" si="457"/>
        <v>238</v>
      </c>
      <c r="B483" s="111" t="str">
        <f ca="1">IFERROR("Line "&amp;INDEX(Calcs[Line],INDEX(INDIRECT(RangeCount),MATCH($A483,INDIRECT(RangeEstCount),0))),"")</f>
        <v/>
      </c>
      <c r="C483" s="169" t="str">
        <f ca="1">IFERROR(IF(AND($D483="LPSM",Bid?,All?),"ALL",TEXT(OFFSET(INDIRECT(RangeQuantity),MATCH($A483,INDIRECT(RangeEstCount),0)-1,MATCH(Account,Accounts,0)-1,1,1),IF($D483="LPSM","0%","#,##0"&amp;IF(OFFSET(Items[#Data],MATCH($A483,INDIRECT(RangeEstCount),0)-1,MATCH(Decimals,Items[#Headers],0)-1,1,1)&gt;0,"."&amp;REPT("0",OFFSET(Items[#Data],MATCH($A483,INDIRECT(RangeEstCount),0)-1,MATCH(Decimals,Items[#Headers],0)-1,1,1)),"")))),"")</f>
        <v/>
      </c>
      <c r="D483" s="170" t="str">
        <f ca="1">IFERROR(INDEX(INDIRECT(RangeUnit),MATCH($A483,INDIRECT(RangeEstCount),0))&amp;SUBSTITUTE(" ["&amp;INDEX(INDIRECT(RangeAmend),MATCH($A483,INDIRECT(RangeEstCount),0))&amp;"]"," []",""),"")</f>
        <v/>
      </c>
      <c r="E483" s="170" t="str">
        <f ca="1">IFERROR(IF(INDEX(INDIRECT(RangeContrQty),MATCH($A483,INDIRECT(RangeEstCount),0)),"(CQ)",""),"")</f>
        <v/>
      </c>
      <c r="F483" s="171" t="str">
        <f ca="1">IFERROR(IF(OR(NOT(Bid?),LEFT(UPPER($D483),4)="FXHR"),INDEX(INDIRECT(RangeUnitPrice),MATCH($A483,INDIRECT(RangeEstCount),0)),IF(Awd?,OFFSET(TabAmount,MATCH(INDEX(INDIRECT(RangeCount),MATCH($A483,INDIRECT(RangeEstCount),0)),OFFSET(TabCount,1,0,2*NumPayItems,1),0),MATCH(Awarded2,Bidders,0)),IF(OR($C483="",$D483="LPSM"),"","$"))),"")</f>
        <v/>
      </c>
      <c r="G483" s="171" t="str">
        <f ca="1">IFERROR(VALUE(C483)*F483,IF(AND(Bid?,NOT(Awd?),$D483="LPSM"),"$",F483))</f>
        <v/>
      </c>
      <c r="H483" s="374"/>
      <c r="I483" s="217" t="str">
        <f ca="1">IFERROR(VALUE(SUBSTITUTE(OFFSET(I483,-1,0)," "&amp;$D483,""))*$F483,"")</f>
        <v/>
      </c>
      <c r="J483" s="215" t="str">
        <f ca="1">IFERROR(VALUE(SUBSTITUTE(OFFSET(J483,-1,0)," "&amp;$D483,""))*$F483,"")</f>
        <v/>
      </c>
      <c r="K483" s="215" t="str">
        <f t="shared" ref="K483:M483" ca="1" si="485">IFERROR(VALUE(SUBSTITUTE(OFFSET(K483,-1,0)," "&amp;$D483,""))*$F483,"")</f>
        <v/>
      </c>
      <c r="L483" s="215" t="str">
        <f t="shared" ca="1" si="485"/>
        <v/>
      </c>
      <c r="M483" s="215" t="str">
        <f t="shared" ca="1" si="485"/>
        <v/>
      </c>
      <c r="N483" s="215" t="str">
        <f ca="1">IFERROR(VALUE(SUBSTITUTE(OFFSET(N483,-1,0)," "&amp;$D483,""))*$F483,"")</f>
        <v/>
      </c>
      <c r="O483" s="215" t="str">
        <f ca="1">IFERROR(VALUE(SUBSTITUTE(OFFSET(O483,-1,0)," "&amp;$D483,""))*$F483,"")</f>
        <v/>
      </c>
      <c r="P483" s="209" t="str">
        <f ca="1">IF(LEN(B483)&gt;0,ISNUMBER(MATCH(B483,Proposed[Item],0)),"")</f>
        <v/>
      </c>
    </row>
    <row r="484" spans="1:16" ht="15" x14ac:dyDescent="0.2">
      <c r="A484" s="276">
        <f t="shared" ca="1" si="457"/>
        <v>239</v>
      </c>
      <c r="B484" s="168" t="str">
        <f ca="1">IFERROR(INDEX(INDIRECT(RangeItems),MATCH($A484,INDIRECT(RangeEstCount),0)),"")</f>
        <v/>
      </c>
      <c r="C484" s="365" t="str">
        <f ca="1">IFERROR(INDEX(Calcs[Description],INDEX(INDIRECT(RangeCount),MATCH($A484,INDIRECT(RangeEstCount),0))),"")</f>
        <v/>
      </c>
      <c r="D484" s="365"/>
      <c r="E484" s="365"/>
      <c r="F484" s="365"/>
      <c r="G484" s="365"/>
      <c r="H484" s="375" t="str">
        <f ca="1">IF(AND(Bid?,NOT(Awd?)),C484,OFFSET(F484,1,0))</f>
        <v/>
      </c>
      <c r="I484" s="216" t="str">
        <f t="shared" ref="I484:O484" ca="1" si="486">IFERROR(SUM(OFFSET(INDIRECT(RangeQuantity),MATCH($A484,INDIRECT(RangeEstCount),0)-1,COLUMN(I484)-COLUMN($H484),1,1))&amp;" "&amp;OFFSET($D484,1,0),"")</f>
        <v/>
      </c>
      <c r="J484" s="277" t="str">
        <f t="shared" ca="1" si="486"/>
        <v/>
      </c>
      <c r="K484" s="277" t="str">
        <f t="shared" ca="1" si="486"/>
        <v/>
      </c>
      <c r="L484" s="277" t="str">
        <f t="shared" ca="1" si="486"/>
        <v/>
      </c>
      <c r="M484" s="277" t="str">
        <f t="shared" ca="1" si="486"/>
        <v/>
      </c>
      <c r="N484" s="277" t="str">
        <f t="shared" ca="1" si="486"/>
        <v/>
      </c>
      <c r="O484" s="277" t="str">
        <f t="shared" ca="1" si="486"/>
        <v/>
      </c>
      <c r="P484" s="209" t="str">
        <f ca="1">IF(LEN(B484)&gt;0,ISNUMBER(MATCH(B484,Proposed[Item],0)),"")</f>
        <v/>
      </c>
    </row>
    <row r="485" spans="1:16" ht="15" x14ac:dyDescent="0.2">
      <c r="A485" s="276">
        <f t="shared" ca="1" si="457"/>
        <v>239</v>
      </c>
      <c r="B485" s="111" t="str">
        <f ca="1">IFERROR("Line "&amp;INDEX(Calcs[Line],INDEX(INDIRECT(RangeCount),MATCH($A485,INDIRECT(RangeEstCount),0))),"")</f>
        <v/>
      </c>
      <c r="C485" s="169" t="str">
        <f ca="1">IFERROR(IF(AND($D485="LPSM",Bid?,All?),"ALL",TEXT(OFFSET(INDIRECT(RangeQuantity),MATCH($A485,INDIRECT(RangeEstCount),0)-1,MATCH(Account,Accounts,0)-1,1,1),IF($D485="LPSM","0%","#,##0"&amp;IF(OFFSET(Items[#Data],MATCH($A485,INDIRECT(RangeEstCount),0)-1,MATCH(Decimals,Items[#Headers],0)-1,1,1)&gt;0,"."&amp;REPT("0",OFFSET(Items[#Data],MATCH($A485,INDIRECT(RangeEstCount),0)-1,MATCH(Decimals,Items[#Headers],0)-1,1,1)),"")))),"")</f>
        <v/>
      </c>
      <c r="D485" s="170" t="str">
        <f ca="1">IFERROR(INDEX(INDIRECT(RangeUnit),MATCH($A485,INDIRECT(RangeEstCount),0))&amp;SUBSTITUTE(" ["&amp;INDEX(INDIRECT(RangeAmend),MATCH($A485,INDIRECT(RangeEstCount),0))&amp;"]"," []",""),"")</f>
        <v/>
      </c>
      <c r="E485" s="170" t="str">
        <f ca="1">IFERROR(IF(INDEX(INDIRECT(RangeContrQty),MATCH($A485,INDIRECT(RangeEstCount),0)),"(CQ)",""),"")</f>
        <v/>
      </c>
      <c r="F485" s="171" t="str">
        <f ca="1">IFERROR(IF(OR(NOT(Bid?),LEFT(UPPER($D485),4)="FXHR"),INDEX(INDIRECT(RangeUnitPrice),MATCH($A485,INDIRECT(RangeEstCount),0)),IF(Awd?,OFFSET(TabAmount,MATCH(INDEX(INDIRECT(RangeCount),MATCH($A485,INDIRECT(RangeEstCount),0)),OFFSET(TabCount,1,0,2*NumPayItems,1),0),MATCH(Awarded2,Bidders,0)),IF(OR($C485="",$D485="LPSM"),"","$"))),"")</f>
        <v/>
      </c>
      <c r="G485" s="171" t="str">
        <f ca="1">IFERROR(VALUE(C485)*F485,IF(AND(Bid?,NOT(Awd?),$D485="LPSM"),"$",F485))</f>
        <v/>
      </c>
      <c r="H485" s="374"/>
      <c r="I485" s="217" t="str">
        <f ca="1">IFERROR(VALUE(SUBSTITUTE(OFFSET(I485,-1,0)," "&amp;$D485,""))*$F485,"")</f>
        <v/>
      </c>
      <c r="J485" s="215" t="str">
        <f ca="1">IFERROR(VALUE(SUBSTITUTE(OFFSET(J485,-1,0)," "&amp;$D485,""))*$F485,"")</f>
        <v/>
      </c>
      <c r="K485" s="215" t="str">
        <f t="shared" ref="K485:M485" ca="1" si="487">IFERROR(VALUE(SUBSTITUTE(OFFSET(K485,-1,0)," "&amp;$D485,""))*$F485,"")</f>
        <v/>
      </c>
      <c r="L485" s="215" t="str">
        <f t="shared" ca="1" si="487"/>
        <v/>
      </c>
      <c r="M485" s="215" t="str">
        <f t="shared" ca="1" si="487"/>
        <v/>
      </c>
      <c r="N485" s="215" t="str">
        <f ca="1">IFERROR(VALUE(SUBSTITUTE(OFFSET(N485,-1,0)," "&amp;$D485,""))*$F485,"")</f>
        <v/>
      </c>
      <c r="O485" s="215" t="str">
        <f ca="1">IFERROR(VALUE(SUBSTITUTE(OFFSET(O485,-1,0)," "&amp;$D485,""))*$F485,"")</f>
        <v/>
      </c>
      <c r="P485" s="209" t="str">
        <f ca="1">IF(LEN(B485)&gt;0,ISNUMBER(MATCH(B485,Proposed[Item],0)),"")</f>
        <v/>
      </c>
    </row>
    <row r="486" spans="1:16" ht="15" x14ac:dyDescent="0.2">
      <c r="A486" s="276">
        <f t="shared" ca="1" si="457"/>
        <v>240</v>
      </c>
      <c r="B486" s="168" t="str">
        <f ca="1">IFERROR(INDEX(INDIRECT(RangeItems),MATCH($A486,INDIRECT(RangeEstCount),0)),"")</f>
        <v/>
      </c>
      <c r="C486" s="365" t="str">
        <f ca="1">IFERROR(INDEX(Calcs[Description],INDEX(INDIRECT(RangeCount),MATCH($A486,INDIRECT(RangeEstCount),0))),"")</f>
        <v/>
      </c>
      <c r="D486" s="365"/>
      <c r="E486" s="365"/>
      <c r="F486" s="365"/>
      <c r="G486" s="365"/>
      <c r="H486" s="375" t="str">
        <f ca="1">IF(AND(Bid?,NOT(Awd?)),C486,OFFSET(F486,1,0))</f>
        <v/>
      </c>
      <c r="I486" s="216" t="str">
        <f t="shared" ref="I486:O486" ca="1" si="488">IFERROR(SUM(OFFSET(INDIRECT(RangeQuantity),MATCH($A486,INDIRECT(RangeEstCount),0)-1,COLUMN(I486)-COLUMN($H486),1,1))&amp;" "&amp;OFFSET($D486,1,0),"")</f>
        <v/>
      </c>
      <c r="J486" s="277" t="str">
        <f t="shared" ca="1" si="488"/>
        <v/>
      </c>
      <c r="K486" s="277" t="str">
        <f t="shared" ca="1" si="488"/>
        <v/>
      </c>
      <c r="L486" s="277" t="str">
        <f t="shared" ca="1" si="488"/>
        <v/>
      </c>
      <c r="M486" s="277" t="str">
        <f t="shared" ca="1" si="488"/>
        <v/>
      </c>
      <c r="N486" s="277" t="str">
        <f t="shared" ca="1" si="488"/>
        <v/>
      </c>
      <c r="O486" s="277" t="str">
        <f t="shared" ca="1" si="488"/>
        <v/>
      </c>
      <c r="P486" s="209" t="str">
        <f ca="1">IF(LEN(B486)&gt;0,ISNUMBER(MATCH(B486,Proposed[Item],0)),"")</f>
        <v/>
      </c>
    </row>
    <row r="487" spans="1:16" ht="15" x14ac:dyDescent="0.2">
      <c r="A487" s="276">
        <f t="shared" ca="1" si="457"/>
        <v>240</v>
      </c>
      <c r="B487" s="111" t="str">
        <f ca="1">IFERROR("Line "&amp;INDEX(Calcs[Line],INDEX(INDIRECT(RangeCount),MATCH($A487,INDIRECT(RangeEstCount),0))),"")</f>
        <v/>
      </c>
      <c r="C487" s="169" t="str">
        <f ca="1">IFERROR(IF(AND($D487="LPSM",Bid?,All?),"ALL",TEXT(OFFSET(INDIRECT(RangeQuantity),MATCH($A487,INDIRECT(RangeEstCount),0)-1,MATCH(Account,Accounts,0)-1,1,1),IF($D487="LPSM","0%","#,##0"&amp;IF(OFFSET(Items[#Data],MATCH($A487,INDIRECT(RangeEstCount),0)-1,MATCH(Decimals,Items[#Headers],0)-1,1,1)&gt;0,"."&amp;REPT("0",OFFSET(Items[#Data],MATCH($A487,INDIRECT(RangeEstCount),0)-1,MATCH(Decimals,Items[#Headers],0)-1,1,1)),"")))),"")</f>
        <v/>
      </c>
      <c r="D487" s="170" t="str">
        <f ca="1">IFERROR(INDEX(INDIRECT(RangeUnit),MATCH($A487,INDIRECT(RangeEstCount),0))&amp;SUBSTITUTE(" ["&amp;INDEX(INDIRECT(RangeAmend),MATCH($A487,INDIRECT(RangeEstCount),0))&amp;"]"," []",""),"")</f>
        <v/>
      </c>
      <c r="E487" s="170" t="str">
        <f ca="1">IFERROR(IF(INDEX(INDIRECT(RangeContrQty),MATCH($A487,INDIRECT(RangeEstCount),0)),"(CQ)",""),"")</f>
        <v/>
      </c>
      <c r="F487" s="171" t="str">
        <f ca="1">IFERROR(IF(OR(NOT(Bid?),LEFT(UPPER($D487),4)="FXHR"),INDEX(INDIRECT(RangeUnitPrice),MATCH($A487,INDIRECT(RangeEstCount),0)),IF(Awd?,OFFSET(TabAmount,MATCH(INDEX(INDIRECT(RangeCount),MATCH($A487,INDIRECT(RangeEstCount),0)),OFFSET(TabCount,1,0,2*NumPayItems,1),0),MATCH(Awarded2,Bidders,0)),IF(OR($C487="",$D487="LPSM"),"","$"))),"")</f>
        <v/>
      </c>
      <c r="G487" s="171" t="str">
        <f ca="1">IFERROR(VALUE(C487)*F487,IF(AND(Bid?,NOT(Awd?),$D487="LPSM"),"$",F487))</f>
        <v/>
      </c>
      <c r="H487" s="374"/>
      <c r="I487" s="217" t="str">
        <f ca="1">IFERROR(VALUE(SUBSTITUTE(OFFSET(I487,-1,0)," "&amp;$D487,""))*$F487,"")</f>
        <v/>
      </c>
      <c r="J487" s="215" t="str">
        <f ca="1">IFERROR(VALUE(SUBSTITUTE(OFFSET(J487,-1,0)," "&amp;$D487,""))*$F487,"")</f>
        <v/>
      </c>
      <c r="K487" s="215" t="str">
        <f t="shared" ref="K487:M487" ca="1" si="489">IFERROR(VALUE(SUBSTITUTE(OFFSET(K487,-1,0)," "&amp;$D487,""))*$F487,"")</f>
        <v/>
      </c>
      <c r="L487" s="215" t="str">
        <f t="shared" ca="1" si="489"/>
        <v/>
      </c>
      <c r="M487" s="215" t="str">
        <f t="shared" ca="1" si="489"/>
        <v/>
      </c>
      <c r="N487" s="215" t="str">
        <f ca="1">IFERROR(VALUE(SUBSTITUTE(OFFSET(N487,-1,0)," "&amp;$D487,""))*$F487,"")</f>
        <v/>
      </c>
      <c r="O487" s="215" t="str">
        <f ca="1">IFERROR(VALUE(SUBSTITUTE(OFFSET(O487,-1,0)," "&amp;$D487,""))*$F487,"")</f>
        <v/>
      </c>
      <c r="P487" s="209" t="str">
        <f ca="1">IF(LEN(B487)&gt;0,ISNUMBER(MATCH(B487,Proposed[Item],0)),"")</f>
        <v/>
      </c>
    </row>
    <row r="488" spans="1:16" ht="15" x14ac:dyDescent="0.2">
      <c r="A488" s="276">
        <f t="shared" ca="1" si="457"/>
        <v>241</v>
      </c>
      <c r="B488" s="168" t="str">
        <f ca="1">IFERROR(INDEX(INDIRECT(RangeItems),MATCH($A488,INDIRECT(RangeEstCount),0)),"")</f>
        <v/>
      </c>
      <c r="C488" s="365" t="str">
        <f ca="1">IFERROR(INDEX(Calcs[Description],INDEX(INDIRECT(RangeCount),MATCH($A488,INDIRECT(RangeEstCount),0))),"")</f>
        <v/>
      </c>
      <c r="D488" s="365"/>
      <c r="E488" s="365"/>
      <c r="F488" s="365"/>
      <c r="G488" s="365"/>
      <c r="H488" s="375" t="str">
        <f ca="1">IF(AND(Bid?,NOT(Awd?)),C488,OFFSET(F488,1,0))</f>
        <v/>
      </c>
      <c r="I488" s="216" t="str">
        <f t="shared" ref="I488:O488" ca="1" si="490">IFERROR(SUM(OFFSET(INDIRECT(RangeQuantity),MATCH($A488,INDIRECT(RangeEstCount),0)-1,COLUMN(I488)-COLUMN($H488),1,1))&amp;" "&amp;OFFSET($D488,1,0),"")</f>
        <v/>
      </c>
      <c r="J488" s="277" t="str">
        <f t="shared" ca="1" si="490"/>
        <v/>
      </c>
      <c r="K488" s="277" t="str">
        <f t="shared" ca="1" si="490"/>
        <v/>
      </c>
      <c r="L488" s="277" t="str">
        <f t="shared" ca="1" si="490"/>
        <v/>
      </c>
      <c r="M488" s="277" t="str">
        <f t="shared" ca="1" si="490"/>
        <v/>
      </c>
      <c r="N488" s="277" t="str">
        <f t="shared" ca="1" si="490"/>
        <v/>
      </c>
      <c r="O488" s="277" t="str">
        <f t="shared" ca="1" si="490"/>
        <v/>
      </c>
      <c r="P488" s="209" t="str">
        <f ca="1">IF(LEN(B488)&gt;0,ISNUMBER(MATCH(B488,Proposed[Item],0)),"")</f>
        <v/>
      </c>
    </row>
    <row r="489" spans="1:16" ht="15" x14ac:dyDescent="0.2">
      <c r="A489" s="276">
        <f t="shared" ca="1" si="457"/>
        <v>241</v>
      </c>
      <c r="B489" s="111" t="str">
        <f ca="1">IFERROR("Line "&amp;INDEX(Calcs[Line],INDEX(INDIRECT(RangeCount),MATCH($A489,INDIRECT(RangeEstCount),0))),"")</f>
        <v/>
      </c>
      <c r="C489" s="169" t="str">
        <f ca="1">IFERROR(IF(AND($D489="LPSM",Bid?,All?),"ALL",TEXT(OFFSET(INDIRECT(RangeQuantity),MATCH($A489,INDIRECT(RangeEstCount),0)-1,MATCH(Account,Accounts,0)-1,1,1),IF($D489="LPSM","0%","#,##0"&amp;IF(OFFSET(Items[#Data],MATCH($A489,INDIRECT(RangeEstCount),0)-1,MATCH(Decimals,Items[#Headers],0)-1,1,1)&gt;0,"."&amp;REPT("0",OFFSET(Items[#Data],MATCH($A489,INDIRECT(RangeEstCount),0)-1,MATCH(Decimals,Items[#Headers],0)-1,1,1)),"")))),"")</f>
        <v/>
      </c>
      <c r="D489" s="170" t="str">
        <f ca="1">IFERROR(INDEX(INDIRECT(RangeUnit),MATCH($A489,INDIRECT(RangeEstCount),0))&amp;SUBSTITUTE(" ["&amp;INDEX(INDIRECT(RangeAmend),MATCH($A489,INDIRECT(RangeEstCount),0))&amp;"]"," []",""),"")</f>
        <v/>
      </c>
      <c r="E489" s="170" t="str">
        <f ca="1">IFERROR(IF(INDEX(INDIRECT(RangeContrQty),MATCH($A489,INDIRECT(RangeEstCount),0)),"(CQ)",""),"")</f>
        <v/>
      </c>
      <c r="F489" s="171" t="str">
        <f ca="1">IFERROR(IF(OR(NOT(Bid?),LEFT(UPPER($D489),4)="FXHR"),INDEX(INDIRECT(RangeUnitPrice),MATCH($A489,INDIRECT(RangeEstCount),0)),IF(Awd?,OFFSET(TabAmount,MATCH(INDEX(INDIRECT(RangeCount),MATCH($A489,INDIRECT(RangeEstCount),0)),OFFSET(TabCount,1,0,2*NumPayItems,1),0),MATCH(Awarded2,Bidders,0)),IF(OR($C489="",$D489="LPSM"),"","$"))),"")</f>
        <v/>
      </c>
      <c r="G489" s="171" t="str">
        <f ca="1">IFERROR(VALUE(C489)*F489,IF(AND(Bid?,NOT(Awd?),$D489="LPSM"),"$",F489))</f>
        <v/>
      </c>
      <c r="H489" s="374"/>
      <c r="I489" s="217" t="str">
        <f ca="1">IFERROR(VALUE(SUBSTITUTE(OFFSET(I489,-1,0)," "&amp;$D489,""))*$F489,"")</f>
        <v/>
      </c>
      <c r="J489" s="215" t="str">
        <f ca="1">IFERROR(VALUE(SUBSTITUTE(OFFSET(J489,-1,0)," "&amp;$D489,""))*$F489,"")</f>
        <v/>
      </c>
      <c r="K489" s="215" t="str">
        <f t="shared" ref="K489:M489" ca="1" si="491">IFERROR(VALUE(SUBSTITUTE(OFFSET(K489,-1,0)," "&amp;$D489,""))*$F489,"")</f>
        <v/>
      </c>
      <c r="L489" s="215" t="str">
        <f t="shared" ca="1" si="491"/>
        <v/>
      </c>
      <c r="M489" s="215" t="str">
        <f t="shared" ca="1" si="491"/>
        <v/>
      </c>
      <c r="N489" s="215" t="str">
        <f ca="1">IFERROR(VALUE(SUBSTITUTE(OFFSET(N489,-1,0)," "&amp;$D489,""))*$F489,"")</f>
        <v/>
      </c>
      <c r="O489" s="215" t="str">
        <f ca="1">IFERROR(VALUE(SUBSTITUTE(OFFSET(O489,-1,0)," "&amp;$D489,""))*$F489,"")</f>
        <v/>
      </c>
      <c r="P489" s="209" t="str">
        <f ca="1">IF(LEN(B489)&gt;0,ISNUMBER(MATCH(B489,Proposed[Item],0)),"")</f>
        <v/>
      </c>
    </row>
    <row r="490" spans="1:16" ht="15" x14ac:dyDescent="0.2">
      <c r="A490" s="276">
        <f t="shared" ca="1" si="457"/>
        <v>242</v>
      </c>
      <c r="B490" s="168" t="str">
        <f ca="1">IFERROR(INDEX(INDIRECT(RangeItems),MATCH($A490,INDIRECT(RangeEstCount),0)),"")</f>
        <v/>
      </c>
      <c r="C490" s="365" t="str">
        <f ca="1">IFERROR(INDEX(Calcs[Description],INDEX(INDIRECT(RangeCount),MATCH($A490,INDIRECT(RangeEstCount),0))),"")</f>
        <v/>
      </c>
      <c r="D490" s="365"/>
      <c r="E490" s="365"/>
      <c r="F490" s="365"/>
      <c r="G490" s="365"/>
      <c r="H490" s="375" t="str">
        <f ca="1">IF(AND(Bid?,NOT(Awd?)),C490,OFFSET(F490,1,0))</f>
        <v/>
      </c>
      <c r="I490" s="216" t="str">
        <f t="shared" ref="I490:O490" ca="1" si="492">IFERROR(SUM(OFFSET(INDIRECT(RangeQuantity),MATCH($A490,INDIRECT(RangeEstCount),0)-1,COLUMN(I490)-COLUMN($H490),1,1))&amp;" "&amp;OFFSET($D490,1,0),"")</f>
        <v/>
      </c>
      <c r="J490" s="277" t="str">
        <f t="shared" ca="1" si="492"/>
        <v/>
      </c>
      <c r="K490" s="277" t="str">
        <f t="shared" ca="1" si="492"/>
        <v/>
      </c>
      <c r="L490" s="277" t="str">
        <f t="shared" ca="1" si="492"/>
        <v/>
      </c>
      <c r="M490" s="277" t="str">
        <f t="shared" ca="1" si="492"/>
        <v/>
      </c>
      <c r="N490" s="277" t="str">
        <f t="shared" ca="1" si="492"/>
        <v/>
      </c>
      <c r="O490" s="277" t="str">
        <f t="shared" ca="1" si="492"/>
        <v/>
      </c>
      <c r="P490" s="209" t="str">
        <f ca="1">IF(LEN(B490)&gt;0,ISNUMBER(MATCH(B490,Proposed[Item],0)),"")</f>
        <v/>
      </c>
    </row>
    <row r="491" spans="1:16" ht="15" x14ac:dyDescent="0.2">
      <c r="A491" s="276">
        <f t="shared" ca="1" si="457"/>
        <v>242</v>
      </c>
      <c r="B491" s="111" t="str">
        <f ca="1">IFERROR("Line "&amp;INDEX(Calcs[Line],INDEX(INDIRECT(RangeCount),MATCH($A491,INDIRECT(RangeEstCount),0))),"")</f>
        <v/>
      </c>
      <c r="C491" s="169" t="str">
        <f ca="1">IFERROR(IF(AND($D491="LPSM",Bid?,All?),"ALL",TEXT(OFFSET(INDIRECT(RangeQuantity),MATCH($A491,INDIRECT(RangeEstCount),0)-1,MATCH(Account,Accounts,0)-1,1,1),IF($D491="LPSM","0%","#,##0"&amp;IF(OFFSET(Items[#Data],MATCH($A491,INDIRECT(RangeEstCount),0)-1,MATCH(Decimals,Items[#Headers],0)-1,1,1)&gt;0,"."&amp;REPT("0",OFFSET(Items[#Data],MATCH($A491,INDIRECT(RangeEstCount),0)-1,MATCH(Decimals,Items[#Headers],0)-1,1,1)),"")))),"")</f>
        <v/>
      </c>
      <c r="D491" s="170" t="str">
        <f ca="1">IFERROR(INDEX(INDIRECT(RangeUnit),MATCH($A491,INDIRECT(RangeEstCount),0))&amp;SUBSTITUTE(" ["&amp;INDEX(INDIRECT(RangeAmend),MATCH($A491,INDIRECT(RangeEstCount),0))&amp;"]"," []",""),"")</f>
        <v/>
      </c>
      <c r="E491" s="170" t="str">
        <f ca="1">IFERROR(IF(INDEX(INDIRECT(RangeContrQty),MATCH($A491,INDIRECT(RangeEstCount),0)),"(CQ)",""),"")</f>
        <v/>
      </c>
      <c r="F491" s="171" t="str">
        <f ca="1">IFERROR(IF(OR(NOT(Bid?),LEFT(UPPER($D491),4)="FXHR"),INDEX(INDIRECT(RangeUnitPrice),MATCH($A491,INDIRECT(RangeEstCount),0)),IF(Awd?,OFFSET(TabAmount,MATCH(INDEX(INDIRECT(RangeCount),MATCH($A491,INDIRECT(RangeEstCount),0)),OFFSET(TabCount,1,0,2*NumPayItems,1),0),MATCH(Awarded2,Bidders,0)),IF(OR($C491="",$D491="LPSM"),"","$"))),"")</f>
        <v/>
      </c>
      <c r="G491" s="171" t="str">
        <f ca="1">IFERROR(VALUE(C491)*F491,IF(AND(Bid?,NOT(Awd?),$D491="LPSM"),"$",F491))</f>
        <v/>
      </c>
      <c r="H491" s="374"/>
      <c r="I491" s="217" t="str">
        <f ca="1">IFERROR(VALUE(SUBSTITUTE(OFFSET(I491,-1,0)," "&amp;$D491,""))*$F491,"")</f>
        <v/>
      </c>
      <c r="J491" s="215" t="str">
        <f ca="1">IFERROR(VALUE(SUBSTITUTE(OFFSET(J491,-1,0)," "&amp;$D491,""))*$F491,"")</f>
        <v/>
      </c>
      <c r="K491" s="215" t="str">
        <f t="shared" ref="K491:M491" ca="1" si="493">IFERROR(VALUE(SUBSTITUTE(OFFSET(K491,-1,0)," "&amp;$D491,""))*$F491,"")</f>
        <v/>
      </c>
      <c r="L491" s="215" t="str">
        <f t="shared" ca="1" si="493"/>
        <v/>
      </c>
      <c r="M491" s="215" t="str">
        <f t="shared" ca="1" si="493"/>
        <v/>
      </c>
      <c r="N491" s="215" t="str">
        <f ca="1">IFERROR(VALUE(SUBSTITUTE(OFFSET(N491,-1,0)," "&amp;$D491,""))*$F491,"")</f>
        <v/>
      </c>
      <c r="O491" s="215" t="str">
        <f ca="1">IFERROR(VALUE(SUBSTITUTE(OFFSET(O491,-1,0)," "&amp;$D491,""))*$F491,"")</f>
        <v/>
      </c>
      <c r="P491" s="209" t="str">
        <f ca="1">IF(LEN(B491)&gt;0,ISNUMBER(MATCH(B491,Proposed[Item],0)),"")</f>
        <v/>
      </c>
    </row>
    <row r="492" spans="1:16" ht="15" x14ac:dyDescent="0.2">
      <c r="A492" s="276">
        <f t="shared" ca="1" si="457"/>
        <v>243</v>
      </c>
      <c r="B492" s="168" t="str">
        <f ca="1">IFERROR(INDEX(INDIRECT(RangeItems),MATCH($A492,INDIRECT(RangeEstCount),0)),"")</f>
        <v/>
      </c>
      <c r="C492" s="365" t="str">
        <f ca="1">IFERROR(INDEX(Calcs[Description],INDEX(INDIRECT(RangeCount),MATCH($A492,INDIRECT(RangeEstCount),0))),"")</f>
        <v/>
      </c>
      <c r="D492" s="365"/>
      <c r="E492" s="365"/>
      <c r="F492" s="365"/>
      <c r="G492" s="365"/>
      <c r="H492" s="375" t="str">
        <f ca="1">IF(AND(Bid?,NOT(Awd?)),C492,OFFSET(F492,1,0))</f>
        <v/>
      </c>
      <c r="I492" s="216" t="str">
        <f t="shared" ref="I492:O492" ca="1" si="494">IFERROR(SUM(OFFSET(INDIRECT(RangeQuantity),MATCH($A492,INDIRECT(RangeEstCount),0)-1,COLUMN(I492)-COLUMN($H492),1,1))&amp;" "&amp;OFFSET($D492,1,0),"")</f>
        <v/>
      </c>
      <c r="J492" s="277" t="str">
        <f t="shared" ca="1" si="494"/>
        <v/>
      </c>
      <c r="K492" s="277" t="str">
        <f t="shared" ca="1" si="494"/>
        <v/>
      </c>
      <c r="L492" s="277" t="str">
        <f t="shared" ca="1" si="494"/>
        <v/>
      </c>
      <c r="M492" s="277" t="str">
        <f t="shared" ca="1" si="494"/>
        <v/>
      </c>
      <c r="N492" s="277" t="str">
        <f t="shared" ca="1" si="494"/>
        <v/>
      </c>
      <c r="O492" s="277" t="str">
        <f t="shared" ca="1" si="494"/>
        <v/>
      </c>
      <c r="P492" s="209" t="str">
        <f ca="1">IF(LEN(B492)&gt;0,ISNUMBER(MATCH(B492,Proposed[Item],0)),"")</f>
        <v/>
      </c>
    </row>
    <row r="493" spans="1:16" ht="15" x14ac:dyDescent="0.2">
      <c r="A493" s="276">
        <f t="shared" ca="1" si="457"/>
        <v>243</v>
      </c>
      <c r="B493" s="111" t="str">
        <f ca="1">IFERROR("Line "&amp;INDEX(Calcs[Line],INDEX(INDIRECT(RangeCount),MATCH($A493,INDIRECT(RangeEstCount),0))),"")</f>
        <v/>
      </c>
      <c r="C493" s="169" t="str">
        <f ca="1">IFERROR(IF(AND($D493="LPSM",Bid?,All?),"ALL",TEXT(OFFSET(INDIRECT(RangeQuantity),MATCH($A493,INDIRECT(RangeEstCount),0)-1,MATCH(Account,Accounts,0)-1,1,1),IF($D493="LPSM","0%","#,##0"&amp;IF(OFFSET(Items[#Data],MATCH($A493,INDIRECT(RangeEstCount),0)-1,MATCH(Decimals,Items[#Headers],0)-1,1,1)&gt;0,"."&amp;REPT("0",OFFSET(Items[#Data],MATCH($A493,INDIRECT(RangeEstCount),0)-1,MATCH(Decimals,Items[#Headers],0)-1,1,1)),"")))),"")</f>
        <v/>
      </c>
      <c r="D493" s="170" t="str">
        <f ca="1">IFERROR(INDEX(INDIRECT(RangeUnit),MATCH($A493,INDIRECT(RangeEstCount),0))&amp;SUBSTITUTE(" ["&amp;INDEX(INDIRECT(RangeAmend),MATCH($A493,INDIRECT(RangeEstCount),0))&amp;"]"," []",""),"")</f>
        <v/>
      </c>
      <c r="E493" s="170" t="str">
        <f ca="1">IFERROR(IF(INDEX(INDIRECT(RangeContrQty),MATCH($A493,INDIRECT(RangeEstCount),0)),"(CQ)",""),"")</f>
        <v/>
      </c>
      <c r="F493" s="171" t="str">
        <f ca="1">IFERROR(IF(OR(NOT(Bid?),LEFT(UPPER($D493),4)="FXHR"),INDEX(INDIRECT(RangeUnitPrice),MATCH($A493,INDIRECT(RangeEstCount),0)),IF(Awd?,OFFSET(TabAmount,MATCH(INDEX(INDIRECT(RangeCount),MATCH($A493,INDIRECT(RangeEstCount),0)),OFFSET(TabCount,1,0,2*NumPayItems,1),0),MATCH(Awarded2,Bidders,0)),IF(OR($C493="",$D493="LPSM"),"","$"))),"")</f>
        <v/>
      </c>
      <c r="G493" s="171" t="str">
        <f ca="1">IFERROR(VALUE(C493)*F493,IF(AND(Bid?,NOT(Awd?),$D493="LPSM"),"$",F493))</f>
        <v/>
      </c>
      <c r="H493" s="374"/>
      <c r="I493" s="217" t="str">
        <f ca="1">IFERROR(VALUE(SUBSTITUTE(OFFSET(I493,-1,0)," "&amp;$D493,""))*$F493,"")</f>
        <v/>
      </c>
      <c r="J493" s="215" t="str">
        <f ca="1">IFERROR(VALUE(SUBSTITUTE(OFFSET(J493,-1,0)," "&amp;$D493,""))*$F493,"")</f>
        <v/>
      </c>
      <c r="K493" s="215" t="str">
        <f t="shared" ref="K493:M493" ca="1" si="495">IFERROR(VALUE(SUBSTITUTE(OFFSET(K493,-1,0)," "&amp;$D493,""))*$F493,"")</f>
        <v/>
      </c>
      <c r="L493" s="215" t="str">
        <f t="shared" ca="1" si="495"/>
        <v/>
      </c>
      <c r="M493" s="215" t="str">
        <f t="shared" ca="1" si="495"/>
        <v/>
      </c>
      <c r="N493" s="215" t="str">
        <f ca="1">IFERROR(VALUE(SUBSTITUTE(OFFSET(N493,-1,0)," "&amp;$D493,""))*$F493,"")</f>
        <v/>
      </c>
      <c r="O493" s="215" t="str">
        <f ca="1">IFERROR(VALUE(SUBSTITUTE(OFFSET(O493,-1,0)," "&amp;$D493,""))*$F493,"")</f>
        <v/>
      </c>
      <c r="P493" s="209" t="str">
        <f ca="1">IF(LEN(B493)&gt;0,ISNUMBER(MATCH(B493,Proposed[Item],0)),"")</f>
        <v/>
      </c>
    </row>
    <row r="494" spans="1:16" ht="15" x14ac:dyDescent="0.2">
      <c r="A494" s="276">
        <f t="shared" ca="1" si="457"/>
        <v>244</v>
      </c>
      <c r="B494" s="168" t="str">
        <f ca="1">IFERROR(INDEX(INDIRECT(RangeItems),MATCH($A494,INDIRECT(RangeEstCount),0)),"")</f>
        <v/>
      </c>
      <c r="C494" s="365" t="str">
        <f ca="1">IFERROR(INDEX(Calcs[Description],INDEX(INDIRECT(RangeCount),MATCH($A494,INDIRECT(RangeEstCount),0))),"")</f>
        <v/>
      </c>
      <c r="D494" s="365"/>
      <c r="E494" s="365"/>
      <c r="F494" s="365"/>
      <c r="G494" s="365"/>
      <c r="H494" s="375" t="str">
        <f ca="1">IF(AND(Bid?,NOT(Awd?)),C494,OFFSET(F494,1,0))</f>
        <v/>
      </c>
      <c r="I494" s="216" t="str">
        <f t="shared" ref="I494:O494" ca="1" si="496">IFERROR(SUM(OFFSET(INDIRECT(RangeQuantity),MATCH($A494,INDIRECT(RangeEstCount),0)-1,COLUMN(I494)-COLUMN($H494),1,1))&amp;" "&amp;OFFSET($D494,1,0),"")</f>
        <v/>
      </c>
      <c r="J494" s="277" t="str">
        <f t="shared" ca="1" si="496"/>
        <v/>
      </c>
      <c r="K494" s="277" t="str">
        <f t="shared" ca="1" si="496"/>
        <v/>
      </c>
      <c r="L494" s="277" t="str">
        <f t="shared" ca="1" si="496"/>
        <v/>
      </c>
      <c r="M494" s="277" t="str">
        <f t="shared" ca="1" si="496"/>
        <v/>
      </c>
      <c r="N494" s="277" t="str">
        <f t="shared" ca="1" si="496"/>
        <v/>
      </c>
      <c r="O494" s="277" t="str">
        <f t="shared" ca="1" si="496"/>
        <v/>
      </c>
      <c r="P494" s="209" t="str">
        <f ca="1">IF(LEN(B494)&gt;0,ISNUMBER(MATCH(B494,Proposed[Item],0)),"")</f>
        <v/>
      </c>
    </row>
    <row r="495" spans="1:16" ht="15" x14ac:dyDescent="0.2">
      <c r="A495" s="276">
        <f t="shared" ca="1" si="457"/>
        <v>244</v>
      </c>
      <c r="B495" s="111" t="str">
        <f ca="1">IFERROR("Line "&amp;INDEX(Calcs[Line],INDEX(INDIRECT(RangeCount),MATCH($A495,INDIRECT(RangeEstCount),0))),"")</f>
        <v/>
      </c>
      <c r="C495" s="169" t="str">
        <f ca="1">IFERROR(IF(AND($D495="LPSM",Bid?,All?),"ALL",TEXT(OFFSET(INDIRECT(RangeQuantity),MATCH($A495,INDIRECT(RangeEstCount),0)-1,MATCH(Account,Accounts,0)-1,1,1),IF($D495="LPSM","0%","#,##0"&amp;IF(OFFSET(Items[#Data],MATCH($A495,INDIRECT(RangeEstCount),0)-1,MATCH(Decimals,Items[#Headers],0)-1,1,1)&gt;0,"."&amp;REPT("0",OFFSET(Items[#Data],MATCH($A495,INDIRECT(RangeEstCount),0)-1,MATCH(Decimals,Items[#Headers],0)-1,1,1)),"")))),"")</f>
        <v/>
      </c>
      <c r="D495" s="170" t="str">
        <f ca="1">IFERROR(INDEX(INDIRECT(RangeUnit),MATCH($A495,INDIRECT(RangeEstCount),0))&amp;SUBSTITUTE(" ["&amp;INDEX(INDIRECT(RangeAmend),MATCH($A495,INDIRECT(RangeEstCount),0))&amp;"]"," []",""),"")</f>
        <v/>
      </c>
      <c r="E495" s="170" t="str">
        <f ca="1">IFERROR(IF(INDEX(INDIRECT(RangeContrQty),MATCH($A495,INDIRECT(RangeEstCount),0)),"(CQ)",""),"")</f>
        <v/>
      </c>
      <c r="F495" s="171" t="str">
        <f ca="1">IFERROR(IF(OR(NOT(Bid?),LEFT(UPPER($D495),4)="FXHR"),INDEX(INDIRECT(RangeUnitPrice),MATCH($A495,INDIRECT(RangeEstCount),0)),IF(Awd?,OFFSET(TabAmount,MATCH(INDEX(INDIRECT(RangeCount),MATCH($A495,INDIRECT(RangeEstCount),0)),OFFSET(TabCount,1,0,2*NumPayItems,1),0),MATCH(Awarded2,Bidders,0)),IF(OR($C495="",$D495="LPSM"),"","$"))),"")</f>
        <v/>
      </c>
      <c r="G495" s="171" t="str">
        <f ca="1">IFERROR(VALUE(C495)*F495,IF(AND(Bid?,NOT(Awd?),$D495="LPSM"),"$",F495))</f>
        <v/>
      </c>
      <c r="H495" s="374"/>
      <c r="I495" s="217" t="str">
        <f ca="1">IFERROR(VALUE(SUBSTITUTE(OFFSET(I495,-1,0)," "&amp;$D495,""))*$F495,"")</f>
        <v/>
      </c>
      <c r="J495" s="215" t="str">
        <f ca="1">IFERROR(VALUE(SUBSTITUTE(OFFSET(J495,-1,0)," "&amp;$D495,""))*$F495,"")</f>
        <v/>
      </c>
      <c r="K495" s="215" t="str">
        <f t="shared" ref="K495:M495" ca="1" si="497">IFERROR(VALUE(SUBSTITUTE(OFFSET(K495,-1,0)," "&amp;$D495,""))*$F495,"")</f>
        <v/>
      </c>
      <c r="L495" s="215" t="str">
        <f t="shared" ca="1" si="497"/>
        <v/>
      </c>
      <c r="M495" s="215" t="str">
        <f t="shared" ca="1" si="497"/>
        <v/>
      </c>
      <c r="N495" s="215" t="str">
        <f ca="1">IFERROR(VALUE(SUBSTITUTE(OFFSET(N495,-1,0)," "&amp;$D495,""))*$F495,"")</f>
        <v/>
      </c>
      <c r="O495" s="215" t="str">
        <f ca="1">IFERROR(VALUE(SUBSTITUTE(OFFSET(O495,-1,0)," "&amp;$D495,""))*$F495,"")</f>
        <v/>
      </c>
      <c r="P495" s="209" t="str">
        <f ca="1">IF(LEN(B495)&gt;0,ISNUMBER(MATCH(B495,Proposed[Item],0)),"")</f>
        <v/>
      </c>
    </row>
    <row r="496" spans="1:16" ht="15" x14ac:dyDescent="0.2">
      <c r="A496" s="276">
        <f t="shared" ca="1" si="457"/>
        <v>245</v>
      </c>
      <c r="B496" s="168" t="str">
        <f ca="1">IFERROR(INDEX(INDIRECT(RangeItems),MATCH($A496,INDIRECT(RangeEstCount),0)),"")</f>
        <v/>
      </c>
      <c r="C496" s="365" t="str">
        <f ca="1">IFERROR(INDEX(Calcs[Description],INDEX(INDIRECT(RangeCount),MATCH($A496,INDIRECT(RangeEstCount),0))),"")</f>
        <v/>
      </c>
      <c r="D496" s="365"/>
      <c r="E496" s="365"/>
      <c r="F496" s="365"/>
      <c r="G496" s="365"/>
      <c r="H496" s="375" t="str">
        <f ca="1">IF(AND(Bid?,NOT(Awd?)),C496,OFFSET(F496,1,0))</f>
        <v/>
      </c>
      <c r="I496" s="216" t="str">
        <f t="shared" ref="I496:O496" ca="1" si="498">IFERROR(SUM(OFFSET(INDIRECT(RangeQuantity),MATCH($A496,INDIRECT(RangeEstCount),0)-1,COLUMN(I496)-COLUMN($H496),1,1))&amp;" "&amp;OFFSET($D496,1,0),"")</f>
        <v/>
      </c>
      <c r="J496" s="277" t="str">
        <f t="shared" ca="1" si="498"/>
        <v/>
      </c>
      <c r="K496" s="277" t="str">
        <f t="shared" ca="1" si="498"/>
        <v/>
      </c>
      <c r="L496" s="277" t="str">
        <f t="shared" ca="1" si="498"/>
        <v/>
      </c>
      <c r="M496" s="277" t="str">
        <f t="shared" ca="1" si="498"/>
        <v/>
      </c>
      <c r="N496" s="277" t="str">
        <f t="shared" ca="1" si="498"/>
        <v/>
      </c>
      <c r="O496" s="277" t="str">
        <f t="shared" ca="1" si="498"/>
        <v/>
      </c>
      <c r="P496" s="209" t="str">
        <f ca="1">IF(LEN(B496)&gt;0,ISNUMBER(MATCH(B496,Proposed[Item],0)),"")</f>
        <v/>
      </c>
    </row>
    <row r="497" spans="1:16" ht="15" x14ac:dyDescent="0.2">
      <c r="A497" s="276">
        <f t="shared" ca="1" si="457"/>
        <v>245</v>
      </c>
      <c r="B497" s="111" t="str">
        <f ca="1">IFERROR("Line "&amp;INDEX(Calcs[Line],INDEX(INDIRECT(RangeCount),MATCH($A497,INDIRECT(RangeEstCount),0))),"")</f>
        <v/>
      </c>
      <c r="C497" s="169" t="str">
        <f ca="1">IFERROR(IF(AND($D497="LPSM",Bid?,All?),"ALL",TEXT(OFFSET(INDIRECT(RangeQuantity),MATCH($A497,INDIRECT(RangeEstCount),0)-1,MATCH(Account,Accounts,0)-1,1,1),IF($D497="LPSM","0%","#,##0"&amp;IF(OFFSET(Items[#Data],MATCH($A497,INDIRECT(RangeEstCount),0)-1,MATCH(Decimals,Items[#Headers],0)-1,1,1)&gt;0,"."&amp;REPT("0",OFFSET(Items[#Data],MATCH($A497,INDIRECT(RangeEstCount),0)-1,MATCH(Decimals,Items[#Headers],0)-1,1,1)),"")))),"")</f>
        <v/>
      </c>
      <c r="D497" s="170" t="str">
        <f ca="1">IFERROR(INDEX(INDIRECT(RangeUnit),MATCH($A497,INDIRECT(RangeEstCount),0))&amp;SUBSTITUTE(" ["&amp;INDEX(INDIRECT(RangeAmend),MATCH($A497,INDIRECT(RangeEstCount),0))&amp;"]"," []",""),"")</f>
        <v/>
      </c>
      <c r="E497" s="170" t="str">
        <f ca="1">IFERROR(IF(INDEX(INDIRECT(RangeContrQty),MATCH($A497,INDIRECT(RangeEstCount),0)),"(CQ)",""),"")</f>
        <v/>
      </c>
      <c r="F497" s="171" t="str">
        <f ca="1">IFERROR(IF(OR(NOT(Bid?),LEFT(UPPER($D497),4)="FXHR"),INDEX(INDIRECT(RangeUnitPrice),MATCH($A497,INDIRECT(RangeEstCount),0)),IF(Awd?,OFFSET(TabAmount,MATCH(INDEX(INDIRECT(RangeCount),MATCH($A497,INDIRECT(RangeEstCount),0)),OFFSET(TabCount,1,0,2*NumPayItems,1),0),MATCH(Awarded2,Bidders,0)),IF(OR($C497="",$D497="LPSM"),"","$"))),"")</f>
        <v/>
      </c>
      <c r="G497" s="171" t="str">
        <f ca="1">IFERROR(VALUE(C497)*F497,IF(AND(Bid?,NOT(Awd?),$D497="LPSM"),"$",F497))</f>
        <v/>
      </c>
      <c r="H497" s="374"/>
      <c r="I497" s="217" t="str">
        <f ca="1">IFERROR(VALUE(SUBSTITUTE(OFFSET(I497,-1,0)," "&amp;$D497,""))*$F497,"")</f>
        <v/>
      </c>
      <c r="J497" s="215" t="str">
        <f ca="1">IFERROR(VALUE(SUBSTITUTE(OFFSET(J497,-1,0)," "&amp;$D497,""))*$F497,"")</f>
        <v/>
      </c>
      <c r="K497" s="215" t="str">
        <f t="shared" ref="K497:M497" ca="1" si="499">IFERROR(VALUE(SUBSTITUTE(OFFSET(K497,-1,0)," "&amp;$D497,""))*$F497,"")</f>
        <v/>
      </c>
      <c r="L497" s="215" t="str">
        <f t="shared" ca="1" si="499"/>
        <v/>
      </c>
      <c r="M497" s="215" t="str">
        <f t="shared" ca="1" si="499"/>
        <v/>
      </c>
      <c r="N497" s="215" t="str">
        <f ca="1">IFERROR(VALUE(SUBSTITUTE(OFFSET(N497,-1,0)," "&amp;$D497,""))*$F497,"")</f>
        <v/>
      </c>
      <c r="O497" s="215" t="str">
        <f ca="1">IFERROR(VALUE(SUBSTITUTE(OFFSET(O497,-1,0)," "&amp;$D497,""))*$F497,"")</f>
        <v/>
      </c>
      <c r="P497" s="209" t="str">
        <f ca="1">IF(LEN(B497)&gt;0,ISNUMBER(MATCH(B497,Proposed[Item],0)),"")</f>
        <v/>
      </c>
    </row>
    <row r="498" spans="1:16" ht="15" x14ac:dyDescent="0.2">
      <c r="A498" s="276">
        <f t="shared" ca="1" si="457"/>
        <v>246</v>
      </c>
      <c r="B498" s="168" t="str">
        <f ca="1">IFERROR(INDEX(INDIRECT(RangeItems),MATCH($A498,INDIRECT(RangeEstCount),0)),"")</f>
        <v/>
      </c>
      <c r="C498" s="365" t="str">
        <f ca="1">IFERROR(INDEX(Calcs[Description],INDEX(INDIRECT(RangeCount),MATCH($A498,INDIRECT(RangeEstCount),0))),"")</f>
        <v/>
      </c>
      <c r="D498" s="365"/>
      <c r="E498" s="365"/>
      <c r="F498" s="365"/>
      <c r="G498" s="365"/>
      <c r="H498" s="375" t="str">
        <f ca="1">IF(AND(Bid?,NOT(Awd?)),C498,OFFSET(F498,1,0))</f>
        <v/>
      </c>
      <c r="I498" s="216" t="str">
        <f t="shared" ref="I498:O498" ca="1" si="500">IFERROR(SUM(OFFSET(INDIRECT(RangeQuantity),MATCH($A498,INDIRECT(RangeEstCount),0)-1,COLUMN(I498)-COLUMN($H498),1,1))&amp;" "&amp;OFFSET($D498,1,0),"")</f>
        <v/>
      </c>
      <c r="J498" s="277" t="str">
        <f t="shared" ca="1" si="500"/>
        <v/>
      </c>
      <c r="K498" s="277" t="str">
        <f t="shared" ca="1" si="500"/>
        <v/>
      </c>
      <c r="L498" s="277" t="str">
        <f t="shared" ca="1" si="500"/>
        <v/>
      </c>
      <c r="M498" s="277" t="str">
        <f t="shared" ca="1" si="500"/>
        <v/>
      </c>
      <c r="N498" s="277" t="str">
        <f t="shared" ca="1" si="500"/>
        <v/>
      </c>
      <c r="O498" s="277" t="str">
        <f t="shared" ca="1" si="500"/>
        <v/>
      </c>
      <c r="P498" s="209" t="str">
        <f ca="1">IF(LEN(B498)&gt;0,ISNUMBER(MATCH(B498,Proposed[Item],0)),"")</f>
        <v/>
      </c>
    </row>
    <row r="499" spans="1:16" ht="15" x14ac:dyDescent="0.2">
      <c r="A499" s="276">
        <f t="shared" ca="1" si="457"/>
        <v>246</v>
      </c>
      <c r="B499" s="111" t="str">
        <f ca="1">IFERROR("Line "&amp;INDEX(Calcs[Line],INDEX(INDIRECT(RangeCount),MATCH($A499,INDIRECT(RangeEstCount),0))),"")</f>
        <v/>
      </c>
      <c r="C499" s="169" t="str">
        <f ca="1">IFERROR(IF(AND($D499="LPSM",Bid?,All?),"ALL",TEXT(OFFSET(INDIRECT(RangeQuantity),MATCH($A499,INDIRECT(RangeEstCount),0)-1,MATCH(Account,Accounts,0)-1,1,1),IF($D499="LPSM","0%","#,##0"&amp;IF(OFFSET(Items[#Data],MATCH($A499,INDIRECT(RangeEstCount),0)-1,MATCH(Decimals,Items[#Headers],0)-1,1,1)&gt;0,"."&amp;REPT("0",OFFSET(Items[#Data],MATCH($A499,INDIRECT(RangeEstCount),0)-1,MATCH(Decimals,Items[#Headers],0)-1,1,1)),"")))),"")</f>
        <v/>
      </c>
      <c r="D499" s="170" t="str">
        <f ca="1">IFERROR(INDEX(INDIRECT(RangeUnit),MATCH($A499,INDIRECT(RangeEstCount),0))&amp;SUBSTITUTE(" ["&amp;INDEX(INDIRECT(RangeAmend),MATCH($A499,INDIRECT(RangeEstCount),0))&amp;"]"," []",""),"")</f>
        <v/>
      </c>
      <c r="E499" s="170" t="str">
        <f ca="1">IFERROR(IF(INDEX(INDIRECT(RangeContrQty),MATCH($A499,INDIRECT(RangeEstCount),0)),"(CQ)",""),"")</f>
        <v/>
      </c>
      <c r="F499" s="171" t="str">
        <f ca="1">IFERROR(IF(OR(NOT(Bid?),LEFT(UPPER($D499),4)="FXHR"),INDEX(INDIRECT(RangeUnitPrice),MATCH($A499,INDIRECT(RangeEstCount),0)),IF(Awd?,OFFSET(TabAmount,MATCH(INDEX(INDIRECT(RangeCount),MATCH($A499,INDIRECT(RangeEstCount),0)),OFFSET(TabCount,1,0,2*NumPayItems,1),0),MATCH(Awarded2,Bidders,0)),IF(OR($C499="",$D499="LPSM"),"","$"))),"")</f>
        <v/>
      </c>
      <c r="G499" s="171" t="str">
        <f ca="1">IFERROR(VALUE(C499)*F499,IF(AND(Bid?,NOT(Awd?),$D499="LPSM"),"$",F499))</f>
        <v/>
      </c>
      <c r="H499" s="374"/>
      <c r="I499" s="217" t="str">
        <f ca="1">IFERROR(VALUE(SUBSTITUTE(OFFSET(I499,-1,0)," "&amp;$D499,""))*$F499,"")</f>
        <v/>
      </c>
      <c r="J499" s="215" t="str">
        <f ca="1">IFERROR(VALUE(SUBSTITUTE(OFFSET(J499,-1,0)," "&amp;$D499,""))*$F499,"")</f>
        <v/>
      </c>
      <c r="K499" s="215" t="str">
        <f t="shared" ref="K499:M499" ca="1" si="501">IFERROR(VALUE(SUBSTITUTE(OFFSET(K499,-1,0)," "&amp;$D499,""))*$F499,"")</f>
        <v/>
      </c>
      <c r="L499" s="215" t="str">
        <f t="shared" ca="1" si="501"/>
        <v/>
      </c>
      <c r="M499" s="215" t="str">
        <f t="shared" ca="1" si="501"/>
        <v/>
      </c>
      <c r="N499" s="215" t="str">
        <f ca="1">IFERROR(VALUE(SUBSTITUTE(OFFSET(N499,-1,0)," "&amp;$D499,""))*$F499,"")</f>
        <v/>
      </c>
      <c r="O499" s="215" t="str">
        <f ca="1">IFERROR(VALUE(SUBSTITUTE(OFFSET(O499,-1,0)," "&amp;$D499,""))*$F499,"")</f>
        <v/>
      </c>
      <c r="P499" s="209" t="str">
        <f ca="1">IF(LEN(B499)&gt;0,ISNUMBER(MATCH(B499,Proposed[Item],0)),"")</f>
        <v/>
      </c>
    </row>
    <row r="500" spans="1:16" ht="15" x14ac:dyDescent="0.2">
      <c r="A500" s="276">
        <f t="shared" ca="1" si="457"/>
        <v>247</v>
      </c>
      <c r="B500" s="168" t="str">
        <f ca="1">IFERROR(INDEX(INDIRECT(RangeItems),MATCH($A500,INDIRECT(RangeEstCount),0)),"")</f>
        <v/>
      </c>
      <c r="C500" s="365" t="str">
        <f ca="1">IFERROR(INDEX(Calcs[Description],INDEX(INDIRECT(RangeCount),MATCH($A500,INDIRECT(RangeEstCount),0))),"")</f>
        <v/>
      </c>
      <c r="D500" s="365"/>
      <c r="E500" s="365"/>
      <c r="F500" s="365"/>
      <c r="G500" s="365"/>
      <c r="H500" s="375" t="str">
        <f ca="1">IF(AND(Bid?,NOT(Awd?)),C500,OFFSET(F500,1,0))</f>
        <v/>
      </c>
      <c r="I500" s="216" t="str">
        <f t="shared" ref="I500:O500" ca="1" si="502">IFERROR(SUM(OFFSET(INDIRECT(RangeQuantity),MATCH($A500,INDIRECT(RangeEstCount),0)-1,COLUMN(I500)-COLUMN($H500),1,1))&amp;" "&amp;OFFSET($D500,1,0),"")</f>
        <v/>
      </c>
      <c r="J500" s="277" t="str">
        <f t="shared" ca="1" si="502"/>
        <v/>
      </c>
      <c r="K500" s="277" t="str">
        <f t="shared" ca="1" si="502"/>
        <v/>
      </c>
      <c r="L500" s="277" t="str">
        <f t="shared" ca="1" si="502"/>
        <v/>
      </c>
      <c r="M500" s="277" t="str">
        <f t="shared" ca="1" si="502"/>
        <v/>
      </c>
      <c r="N500" s="277" t="str">
        <f t="shared" ca="1" si="502"/>
        <v/>
      </c>
      <c r="O500" s="277" t="str">
        <f t="shared" ca="1" si="502"/>
        <v/>
      </c>
      <c r="P500" s="209" t="str">
        <f ca="1">IF(LEN(B500)&gt;0,ISNUMBER(MATCH(B500,Proposed[Item],0)),"")</f>
        <v/>
      </c>
    </row>
    <row r="501" spans="1:16" ht="15" x14ac:dyDescent="0.2">
      <c r="A501" s="276">
        <f t="shared" ca="1" si="457"/>
        <v>247</v>
      </c>
      <c r="B501" s="111" t="str">
        <f ca="1">IFERROR("Line "&amp;INDEX(Calcs[Line],INDEX(INDIRECT(RangeCount),MATCH($A501,INDIRECT(RangeEstCount),0))),"")</f>
        <v/>
      </c>
      <c r="C501" s="169" t="str">
        <f ca="1">IFERROR(IF(AND($D501="LPSM",Bid?,All?),"ALL",TEXT(OFFSET(INDIRECT(RangeQuantity),MATCH($A501,INDIRECT(RangeEstCount),0)-1,MATCH(Account,Accounts,0)-1,1,1),IF($D501="LPSM","0%","#,##0"&amp;IF(OFFSET(Items[#Data],MATCH($A501,INDIRECT(RangeEstCount),0)-1,MATCH(Decimals,Items[#Headers],0)-1,1,1)&gt;0,"."&amp;REPT("0",OFFSET(Items[#Data],MATCH($A501,INDIRECT(RangeEstCount),0)-1,MATCH(Decimals,Items[#Headers],0)-1,1,1)),"")))),"")</f>
        <v/>
      </c>
      <c r="D501" s="170" t="str">
        <f ca="1">IFERROR(INDEX(INDIRECT(RangeUnit),MATCH($A501,INDIRECT(RangeEstCount),0))&amp;SUBSTITUTE(" ["&amp;INDEX(INDIRECT(RangeAmend),MATCH($A501,INDIRECT(RangeEstCount),0))&amp;"]"," []",""),"")</f>
        <v/>
      </c>
      <c r="E501" s="170" t="str">
        <f ca="1">IFERROR(IF(INDEX(INDIRECT(RangeContrQty),MATCH($A501,INDIRECT(RangeEstCount),0)),"(CQ)",""),"")</f>
        <v/>
      </c>
      <c r="F501" s="171" t="str">
        <f ca="1">IFERROR(IF(OR(NOT(Bid?),LEFT(UPPER($D501),4)="FXHR"),INDEX(INDIRECT(RangeUnitPrice),MATCH($A501,INDIRECT(RangeEstCount),0)),IF(Awd?,OFFSET(TabAmount,MATCH(INDEX(INDIRECT(RangeCount),MATCH($A501,INDIRECT(RangeEstCount),0)),OFFSET(TabCount,1,0,2*NumPayItems,1),0),MATCH(Awarded2,Bidders,0)),IF(OR($C501="",$D501="LPSM"),"","$"))),"")</f>
        <v/>
      </c>
      <c r="G501" s="171" t="str">
        <f ca="1">IFERROR(VALUE(C501)*F501,IF(AND(Bid?,NOT(Awd?),$D501="LPSM"),"$",F501))</f>
        <v/>
      </c>
      <c r="H501" s="374"/>
      <c r="I501" s="217" t="str">
        <f ca="1">IFERROR(VALUE(SUBSTITUTE(OFFSET(I501,-1,0)," "&amp;$D501,""))*$F501,"")</f>
        <v/>
      </c>
      <c r="J501" s="215" t="str">
        <f ca="1">IFERROR(VALUE(SUBSTITUTE(OFFSET(J501,-1,0)," "&amp;$D501,""))*$F501,"")</f>
        <v/>
      </c>
      <c r="K501" s="215" t="str">
        <f t="shared" ref="K501:M501" ca="1" si="503">IFERROR(VALUE(SUBSTITUTE(OFFSET(K501,-1,0)," "&amp;$D501,""))*$F501,"")</f>
        <v/>
      </c>
      <c r="L501" s="215" t="str">
        <f t="shared" ca="1" si="503"/>
        <v/>
      </c>
      <c r="M501" s="215" t="str">
        <f t="shared" ca="1" si="503"/>
        <v/>
      </c>
      <c r="N501" s="215" t="str">
        <f ca="1">IFERROR(VALUE(SUBSTITUTE(OFFSET(N501,-1,0)," "&amp;$D501,""))*$F501,"")</f>
        <v/>
      </c>
      <c r="O501" s="215" t="str">
        <f ca="1">IFERROR(VALUE(SUBSTITUTE(OFFSET(O501,-1,0)," "&amp;$D501,""))*$F501,"")</f>
        <v/>
      </c>
      <c r="P501" s="209" t="str">
        <f ca="1">IF(LEN(B501)&gt;0,ISNUMBER(MATCH(B501,Proposed[Item],0)),"")</f>
        <v/>
      </c>
    </row>
    <row r="502" spans="1:16" ht="15" x14ac:dyDescent="0.2">
      <c r="A502" s="276">
        <f t="shared" ca="1" si="457"/>
        <v>248</v>
      </c>
      <c r="B502" s="168" t="str">
        <f ca="1">IFERROR(INDEX(INDIRECT(RangeItems),MATCH($A502,INDIRECT(RangeEstCount),0)),"")</f>
        <v/>
      </c>
      <c r="C502" s="365" t="str">
        <f ca="1">IFERROR(INDEX(Calcs[Description],INDEX(INDIRECT(RangeCount),MATCH($A502,INDIRECT(RangeEstCount),0))),"")</f>
        <v/>
      </c>
      <c r="D502" s="365"/>
      <c r="E502" s="365"/>
      <c r="F502" s="365"/>
      <c r="G502" s="365"/>
      <c r="H502" s="375" t="str">
        <f ca="1">IF(AND(Bid?,NOT(Awd?)),C502,OFFSET(F502,1,0))</f>
        <v/>
      </c>
      <c r="I502" s="216" t="str">
        <f t="shared" ref="I502:O502" ca="1" si="504">IFERROR(SUM(OFFSET(INDIRECT(RangeQuantity),MATCH($A502,INDIRECT(RangeEstCount),0)-1,COLUMN(I502)-COLUMN($H502),1,1))&amp;" "&amp;OFFSET($D502,1,0),"")</f>
        <v/>
      </c>
      <c r="J502" s="277" t="str">
        <f t="shared" ca="1" si="504"/>
        <v/>
      </c>
      <c r="K502" s="277" t="str">
        <f t="shared" ca="1" si="504"/>
        <v/>
      </c>
      <c r="L502" s="277" t="str">
        <f t="shared" ca="1" si="504"/>
        <v/>
      </c>
      <c r="M502" s="277" t="str">
        <f t="shared" ca="1" si="504"/>
        <v/>
      </c>
      <c r="N502" s="277" t="str">
        <f t="shared" ca="1" si="504"/>
        <v/>
      </c>
      <c r="O502" s="277" t="str">
        <f t="shared" ca="1" si="504"/>
        <v/>
      </c>
      <c r="P502" s="209" t="str">
        <f ca="1">IF(LEN(B502)&gt;0,ISNUMBER(MATCH(B502,Proposed[Item],0)),"")</f>
        <v/>
      </c>
    </row>
    <row r="503" spans="1:16" ht="15" x14ac:dyDescent="0.2">
      <c r="A503" s="276">
        <f t="shared" ca="1" si="457"/>
        <v>248</v>
      </c>
      <c r="B503" s="111" t="str">
        <f ca="1">IFERROR("Line "&amp;INDEX(Calcs[Line],INDEX(INDIRECT(RangeCount),MATCH($A503,INDIRECT(RangeEstCount),0))),"")</f>
        <v/>
      </c>
      <c r="C503" s="169" t="str">
        <f ca="1">IFERROR(IF(AND($D503="LPSM",Bid?,All?),"ALL",TEXT(OFFSET(INDIRECT(RangeQuantity),MATCH($A503,INDIRECT(RangeEstCount),0)-1,MATCH(Account,Accounts,0)-1,1,1),IF($D503="LPSM","0%","#,##0"&amp;IF(OFFSET(Items[#Data],MATCH($A503,INDIRECT(RangeEstCount),0)-1,MATCH(Decimals,Items[#Headers],0)-1,1,1)&gt;0,"."&amp;REPT("0",OFFSET(Items[#Data],MATCH($A503,INDIRECT(RangeEstCount),0)-1,MATCH(Decimals,Items[#Headers],0)-1,1,1)),"")))),"")</f>
        <v/>
      </c>
      <c r="D503" s="170" t="str">
        <f ca="1">IFERROR(INDEX(INDIRECT(RangeUnit),MATCH($A503,INDIRECT(RangeEstCount),0))&amp;SUBSTITUTE(" ["&amp;INDEX(INDIRECT(RangeAmend),MATCH($A503,INDIRECT(RangeEstCount),0))&amp;"]"," []",""),"")</f>
        <v/>
      </c>
      <c r="E503" s="170" t="str">
        <f ca="1">IFERROR(IF(INDEX(INDIRECT(RangeContrQty),MATCH($A503,INDIRECT(RangeEstCount),0)),"(CQ)",""),"")</f>
        <v/>
      </c>
      <c r="F503" s="171" t="str">
        <f ca="1">IFERROR(IF(OR(NOT(Bid?),LEFT(UPPER($D503),4)="FXHR"),INDEX(INDIRECT(RangeUnitPrice),MATCH($A503,INDIRECT(RangeEstCount),0)),IF(Awd?,OFFSET(TabAmount,MATCH(INDEX(INDIRECT(RangeCount),MATCH($A503,INDIRECT(RangeEstCount),0)),OFFSET(TabCount,1,0,2*NumPayItems,1),0),MATCH(Awarded2,Bidders,0)),IF(OR($C503="",$D503="LPSM"),"","$"))),"")</f>
        <v/>
      </c>
      <c r="G503" s="171" t="str">
        <f ca="1">IFERROR(VALUE(C503)*F503,IF(AND(Bid?,NOT(Awd?),$D503="LPSM"),"$",F503))</f>
        <v/>
      </c>
      <c r="H503" s="374"/>
      <c r="I503" s="217" t="str">
        <f ca="1">IFERROR(VALUE(SUBSTITUTE(OFFSET(I503,-1,0)," "&amp;$D503,""))*$F503,"")</f>
        <v/>
      </c>
      <c r="J503" s="215" t="str">
        <f ca="1">IFERROR(VALUE(SUBSTITUTE(OFFSET(J503,-1,0)," "&amp;$D503,""))*$F503,"")</f>
        <v/>
      </c>
      <c r="K503" s="215" t="str">
        <f t="shared" ref="K503:M503" ca="1" si="505">IFERROR(VALUE(SUBSTITUTE(OFFSET(K503,-1,0)," "&amp;$D503,""))*$F503,"")</f>
        <v/>
      </c>
      <c r="L503" s="215" t="str">
        <f t="shared" ca="1" si="505"/>
        <v/>
      </c>
      <c r="M503" s="215" t="str">
        <f t="shared" ca="1" si="505"/>
        <v/>
      </c>
      <c r="N503" s="215" t="str">
        <f ca="1">IFERROR(VALUE(SUBSTITUTE(OFFSET(N503,-1,0)," "&amp;$D503,""))*$F503,"")</f>
        <v/>
      </c>
      <c r="O503" s="215" t="str">
        <f ca="1">IFERROR(VALUE(SUBSTITUTE(OFFSET(O503,-1,0)," "&amp;$D503,""))*$F503,"")</f>
        <v/>
      </c>
      <c r="P503" s="209" t="str">
        <f ca="1">IF(LEN(B503)&gt;0,ISNUMBER(MATCH(B503,Proposed[Item],0)),"")</f>
        <v/>
      </c>
    </row>
    <row r="504" spans="1:16" ht="15" x14ac:dyDescent="0.2">
      <c r="A504" s="276">
        <f t="shared" ca="1" si="457"/>
        <v>249</v>
      </c>
      <c r="B504" s="168" t="str">
        <f ca="1">IFERROR(INDEX(INDIRECT(RangeItems),MATCH($A504,INDIRECT(RangeEstCount),0)),"")</f>
        <v/>
      </c>
      <c r="C504" s="365" t="str">
        <f ca="1">IFERROR(INDEX(Calcs[Description],INDEX(INDIRECT(RangeCount),MATCH($A504,INDIRECT(RangeEstCount),0))),"")</f>
        <v/>
      </c>
      <c r="D504" s="365"/>
      <c r="E504" s="365"/>
      <c r="F504" s="365"/>
      <c r="G504" s="365"/>
      <c r="H504" s="375" t="str">
        <f ca="1">IF(AND(Bid?,NOT(Awd?)),C504,OFFSET(F504,1,0))</f>
        <v/>
      </c>
      <c r="I504" s="216" t="str">
        <f t="shared" ref="I504:O504" ca="1" si="506">IFERROR(SUM(OFFSET(INDIRECT(RangeQuantity),MATCH($A504,INDIRECT(RangeEstCount),0)-1,COLUMN(I504)-COLUMN($H504),1,1))&amp;" "&amp;OFFSET($D504,1,0),"")</f>
        <v/>
      </c>
      <c r="J504" s="277" t="str">
        <f t="shared" ca="1" si="506"/>
        <v/>
      </c>
      <c r="K504" s="277" t="str">
        <f t="shared" ca="1" si="506"/>
        <v/>
      </c>
      <c r="L504" s="277" t="str">
        <f t="shared" ca="1" si="506"/>
        <v/>
      </c>
      <c r="M504" s="277" t="str">
        <f t="shared" ca="1" si="506"/>
        <v/>
      </c>
      <c r="N504" s="277" t="str">
        <f t="shared" ca="1" si="506"/>
        <v/>
      </c>
      <c r="O504" s="277" t="str">
        <f t="shared" ca="1" si="506"/>
        <v/>
      </c>
      <c r="P504" s="209" t="str">
        <f ca="1">IF(LEN(B504)&gt;0,ISNUMBER(MATCH(B504,Proposed[Item],0)),"")</f>
        <v/>
      </c>
    </row>
    <row r="505" spans="1:16" ht="15" x14ac:dyDescent="0.2">
      <c r="A505" s="276">
        <f t="shared" ca="1" si="457"/>
        <v>249</v>
      </c>
      <c r="B505" s="111" t="str">
        <f ca="1">IFERROR("Line "&amp;INDEX(Calcs[Line],INDEX(INDIRECT(RangeCount),MATCH($A505,INDIRECT(RangeEstCount),0))),"")</f>
        <v/>
      </c>
      <c r="C505" s="169" t="str">
        <f ca="1">IFERROR(IF(AND($D505="LPSM",Bid?,All?),"ALL",TEXT(OFFSET(INDIRECT(RangeQuantity),MATCH($A505,INDIRECT(RangeEstCount),0)-1,MATCH(Account,Accounts,0)-1,1,1),IF($D505="LPSM","0%","#,##0"&amp;IF(OFFSET(Items[#Data],MATCH($A505,INDIRECT(RangeEstCount),0)-1,MATCH(Decimals,Items[#Headers],0)-1,1,1)&gt;0,"."&amp;REPT("0",OFFSET(Items[#Data],MATCH($A505,INDIRECT(RangeEstCount),0)-1,MATCH(Decimals,Items[#Headers],0)-1,1,1)),"")))),"")</f>
        <v/>
      </c>
      <c r="D505" s="170" t="str">
        <f ca="1">IFERROR(INDEX(INDIRECT(RangeUnit),MATCH($A505,INDIRECT(RangeEstCount),0))&amp;SUBSTITUTE(" ["&amp;INDEX(INDIRECT(RangeAmend),MATCH($A505,INDIRECT(RangeEstCount),0))&amp;"]"," []",""),"")</f>
        <v/>
      </c>
      <c r="E505" s="170" t="str">
        <f ca="1">IFERROR(IF(INDEX(INDIRECT(RangeContrQty),MATCH($A505,INDIRECT(RangeEstCount),0)),"(CQ)",""),"")</f>
        <v/>
      </c>
      <c r="F505" s="171" t="str">
        <f ca="1">IFERROR(IF(OR(NOT(Bid?),LEFT(UPPER($D505),4)="FXHR"),INDEX(INDIRECT(RangeUnitPrice),MATCH($A505,INDIRECT(RangeEstCount),0)),IF(Awd?,OFFSET(TabAmount,MATCH(INDEX(INDIRECT(RangeCount),MATCH($A505,INDIRECT(RangeEstCount),0)),OFFSET(TabCount,1,0,2*NumPayItems,1),0),MATCH(Awarded2,Bidders,0)),IF(OR($C505="",$D505="LPSM"),"","$"))),"")</f>
        <v/>
      </c>
      <c r="G505" s="171" t="str">
        <f ca="1">IFERROR(VALUE(C505)*F505,IF(AND(Bid?,NOT(Awd?),$D505="LPSM"),"$",F505))</f>
        <v/>
      </c>
      <c r="H505" s="374"/>
      <c r="I505" s="217" t="str">
        <f ca="1">IFERROR(VALUE(SUBSTITUTE(OFFSET(I505,-1,0)," "&amp;$D505,""))*$F505,"")</f>
        <v/>
      </c>
      <c r="J505" s="215" t="str">
        <f ca="1">IFERROR(VALUE(SUBSTITUTE(OFFSET(J505,-1,0)," "&amp;$D505,""))*$F505,"")</f>
        <v/>
      </c>
      <c r="K505" s="215" t="str">
        <f t="shared" ref="K505:M505" ca="1" si="507">IFERROR(VALUE(SUBSTITUTE(OFFSET(K505,-1,0)," "&amp;$D505,""))*$F505,"")</f>
        <v/>
      </c>
      <c r="L505" s="215" t="str">
        <f t="shared" ca="1" si="507"/>
        <v/>
      </c>
      <c r="M505" s="215" t="str">
        <f t="shared" ca="1" si="507"/>
        <v/>
      </c>
      <c r="N505" s="215" t="str">
        <f ca="1">IFERROR(VALUE(SUBSTITUTE(OFFSET(N505,-1,0)," "&amp;$D505,""))*$F505,"")</f>
        <v/>
      </c>
      <c r="O505" s="215" t="str">
        <f ca="1">IFERROR(VALUE(SUBSTITUTE(OFFSET(O505,-1,0)," "&amp;$D505,""))*$F505,"")</f>
        <v/>
      </c>
      <c r="P505" s="209" t="str">
        <f ca="1">IF(LEN(B505)&gt;0,ISNUMBER(MATCH(B505,Proposed[Item],0)),"")</f>
        <v/>
      </c>
    </row>
    <row r="506" spans="1:16" ht="15" x14ac:dyDescent="0.2">
      <c r="A506" s="276">
        <f t="shared" ca="1" si="457"/>
        <v>250</v>
      </c>
      <c r="B506" s="168" t="str">
        <f ca="1">IFERROR(INDEX(INDIRECT(RangeItems),MATCH($A506,INDIRECT(RangeEstCount),0)),"")</f>
        <v/>
      </c>
      <c r="C506" s="365" t="str">
        <f ca="1">IFERROR(INDEX(Calcs[Description],INDEX(INDIRECT(RangeCount),MATCH($A506,INDIRECT(RangeEstCount),0))),"")</f>
        <v/>
      </c>
      <c r="D506" s="365"/>
      <c r="E506" s="365"/>
      <c r="F506" s="365"/>
      <c r="G506" s="365"/>
      <c r="H506" s="375" t="str">
        <f ca="1">IF(AND(Bid?,NOT(Awd?)),C506,OFFSET(F506,1,0))</f>
        <v/>
      </c>
      <c r="I506" s="216" t="str">
        <f t="shared" ref="I506:O506" ca="1" si="508">IFERROR(SUM(OFFSET(INDIRECT(RangeQuantity),MATCH($A506,INDIRECT(RangeEstCount),0)-1,COLUMN(I506)-COLUMN($H506),1,1))&amp;" "&amp;OFFSET($D506,1,0),"")</f>
        <v/>
      </c>
      <c r="J506" s="277" t="str">
        <f t="shared" ca="1" si="508"/>
        <v/>
      </c>
      <c r="K506" s="277" t="str">
        <f t="shared" ca="1" si="508"/>
        <v/>
      </c>
      <c r="L506" s="277" t="str">
        <f t="shared" ca="1" si="508"/>
        <v/>
      </c>
      <c r="M506" s="277" t="str">
        <f t="shared" ca="1" si="508"/>
        <v/>
      </c>
      <c r="N506" s="277" t="str">
        <f t="shared" ca="1" si="508"/>
        <v/>
      </c>
      <c r="O506" s="277" t="str">
        <f t="shared" ca="1" si="508"/>
        <v/>
      </c>
      <c r="P506" s="209" t="str">
        <f ca="1">IF(LEN(B506)&gt;0,ISNUMBER(MATCH(B506,Proposed[Item],0)),"")</f>
        <v/>
      </c>
    </row>
    <row r="507" spans="1:16" ht="15" x14ac:dyDescent="0.2">
      <c r="A507" s="276">
        <f t="shared" ca="1" si="457"/>
        <v>250</v>
      </c>
      <c r="B507" s="111" t="str">
        <f ca="1">IFERROR("Line "&amp;INDEX(Calcs[Line],INDEX(INDIRECT(RangeCount),MATCH($A507,INDIRECT(RangeEstCount),0))),"")</f>
        <v/>
      </c>
      <c r="C507" s="169" t="str">
        <f ca="1">IFERROR(IF(AND($D507="LPSM",Bid?,All?),"ALL",TEXT(OFFSET(INDIRECT(RangeQuantity),MATCH($A507,INDIRECT(RangeEstCount),0)-1,MATCH(Account,Accounts,0)-1,1,1),IF($D507="LPSM","0%","#,##0"&amp;IF(OFFSET(Items[#Data],MATCH($A507,INDIRECT(RangeEstCount),0)-1,MATCH(Decimals,Items[#Headers],0)-1,1,1)&gt;0,"."&amp;REPT("0",OFFSET(Items[#Data],MATCH($A507,INDIRECT(RangeEstCount),0)-1,MATCH(Decimals,Items[#Headers],0)-1,1,1)),"")))),"")</f>
        <v/>
      </c>
      <c r="D507" s="170" t="str">
        <f ca="1">IFERROR(INDEX(INDIRECT(RangeUnit),MATCH($A507,INDIRECT(RangeEstCount),0))&amp;SUBSTITUTE(" ["&amp;INDEX(INDIRECT(RangeAmend),MATCH($A507,INDIRECT(RangeEstCount),0))&amp;"]"," []",""),"")</f>
        <v/>
      </c>
      <c r="E507" s="170" t="str">
        <f ca="1">IFERROR(IF(INDEX(INDIRECT(RangeContrQty),MATCH($A507,INDIRECT(RangeEstCount),0)),"(CQ)",""),"")</f>
        <v/>
      </c>
      <c r="F507" s="171" t="str">
        <f ca="1">IFERROR(IF(OR(NOT(Bid?),LEFT(UPPER($D507),4)="FXHR"),INDEX(INDIRECT(RangeUnitPrice),MATCH($A507,INDIRECT(RangeEstCount),0)),IF(Awd?,OFFSET(TabAmount,MATCH(INDEX(INDIRECT(RangeCount),MATCH($A507,INDIRECT(RangeEstCount),0)),OFFSET(TabCount,1,0,2*NumPayItems,1),0),MATCH(Awarded2,Bidders,0)),IF(OR($C507="",$D507="LPSM"),"","$"))),"")</f>
        <v/>
      </c>
      <c r="G507" s="171" t="str">
        <f ca="1">IFERROR(VALUE(C507)*F507,IF(AND(Bid?,NOT(Awd?),$D507="LPSM"),"$",F507))</f>
        <v/>
      </c>
      <c r="H507" s="374"/>
      <c r="I507" s="217" t="str">
        <f ca="1">IFERROR(VALUE(SUBSTITUTE(OFFSET(I507,-1,0)," "&amp;$D507,""))*$F507,"")</f>
        <v/>
      </c>
      <c r="J507" s="215" t="str">
        <f ca="1">IFERROR(VALUE(SUBSTITUTE(OFFSET(J507,-1,0)," "&amp;$D507,""))*$F507,"")</f>
        <v/>
      </c>
      <c r="K507" s="215" t="str">
        <f t="shared" ref="K507:M507" ca="1" si="509">IFERROR(VALUE(SUBSTITUTE(OFFSET(K507,-1,0)," "&amp;$D507,""))*$F507,"")</f>
        <v/>
      </c>
      <c r="L507" s="215" t="str">
        <f t="shared" ca="1" si="509"/>
        <v/>
      </c>
      <c r="M507" s="215" t="str">
        <f t="shared" ca="1" si="509"/>
        <v/>
      </c>
      <c r="N507" s="215" t="str">
        <f ca="1">IFERROR(VALUE(SUBSTITUTE(OFFSET(N507,-1,0)," "&amp;$D507,""))*$F507,"")</f>
        <v/>
      </c>
      <c r="O507" s="215" t="str">
        <f ca="1">IFERROR(VALUE(SUBSTITUTE(OFFSET(O507,-1,0)," "&amp;$D507,""))*$F507,"")</f>
        <v/>
      </c>
      <c r="P507" s="209" t="str">
        <f ca="1">IF(LEN(B507)&gt;0,ISNUMBER(MATCH(B507,Proposed[Item],0)),"")</f>
        <v/>
      </c>
    </row>
  </sheetData>
  <sheetProtection sheet="1" objects="1" scenarios="1"/>
  <mergeCells count="509">
    <mergeCell ref="H506:H507"/>
    <mergeCell ref="H488:H489"/>
    <mergeCell ref="H490:H491"/>
    <mergeCell ref="H492:H493"/>
    <mergeCell ref="H494:H495"/>
    <mergeCell ref="H496:H497"/>
    <mergeCell ref="H498:H499"/>
    <mergeCell ref="H500:H501"/>
    <mergeCell ref="H502:H503"/>
    <mergeCell ref="H504:H505"/>
    <mergeCell ref="H470:H471"/>
    <mergeCell ref="H472:H473"/>
    <mergeCell ref="H474:H475"/>
    <mergeCell ref="H476:H477"/>
    <mergeCell ref="H478:H479"/>
    <mergeCell ref="H480:H481"/>
    <mergeCell ref="H482:H483"/>
    <mergeCell ref="H484:H485"/>
    <mergeCell ref="H486:H487"/>
    <mergeCell ref="H452:H453"/>
    <mergeCell ref="H454:H455"/>
    <mergeCell ref="H456:H457"/>
    <mergeCell ref="H458:H459"/>
    <mergeCell ref="H460:H461"/>
    <mergeCell ref="H462:H463"/>
    <mergeCell ref="H464:H465"/>
    <mergeCell ref="H466:H467"/>
    <mergeCell ref="H468:H469"/>
    <mergeCell ref="H434:H435"/>
    <mergeCell ref="H436:H437"/>
    <mergeCell ref="H438:H439"/>
    <mergeCell ref="H440:H441"/>
    <mergeCell ref="H442:H443"/>
    <mergeCell ref="H444:H445"/>
    <mergeCell ref="H446:H447"/>
    <mergeCell ref="H448:H449"/>
    <mergeCell ref="H450:H451"/>
    <mergeCell ref="H416:H417"/>
    <mergeCell ref="H418:H419"/>
    <mergeCell ref="H420:H421"/>
    <mergeCell ref="H422:H423"/>
    <mergeCell ref="H424:H425"/>
    <mergeCell ref="H426:H427"/>
    <mergeCell ref="H428:H429"/>
    <mergeCell ref="H430:H431"/>
    <mergeCell ref="H432:H433"/>
    <mergeCell ref="H398:H399"/>
    <mergeCell ref="H400:H401"/>
    <mergeCell ref="H402:H403"/>
    <mergeCell ref="H404:H405"/>
    <mergeCell ref="H406:H407"/>
    <mergeCell ref="H408:H409"/>
    <mergeCell ref="H410:H411"/>
    <mergeCell ref="H412:H413"/>
    <mergeCell ref="H414:H415"/>
    <mergeCell ref="H380:H381"/>
    <mergeCell ref="H382:H383"/>
    <mergeCell ref="H384:H385"/>
    <mergeCell ref="H386:H387"/>
    <mergeCell ref="H388:H389"/>
    <mergeCell ref="H390:H391"/>
    <mergeCell ref="H392:H393"/>
    <mergeCell ref="H394:H395"/>
    <mergeCell ref="H396:H397"/>
    <mergeCell ref="H362:H363"/>
    <mergeCell ref="H364:H365"/>
    <mergeCell ref="H366:H367"/>
    <mergeCell ref="H368:H369"/>
    <mergeCell ref="H370:H371"/>
    <mergeCell ref="H372:H373"/>
    <mergeCell ref="H374:H375"/>
    <mergeCell ref="H376:H377"/>
    <mergeCell ref="H378:H379"/>
    <mergeCell ref="H344:H345"/>
    <mergeCell ref="H346:H347"/>
    <mergeCell ref="H348:H349"/>
    <mergeCell ref="H350:H351"/>
    <mergeCell ref="H352:H353"/>
    <mergeCell ref="H354:H355"/>
    <mergeCell ref="H356:H357"/>
    <mergeCell ref="H358:H359"/>
    <mergeCell ref="H360:H361"/>
    <mergeCell ref="H326:H327"/>
    <mergeCell ref="H328:H329"/>
    <mergeCell ref="H330:H331"/>
    <mergeCell ref="H332:H333"/>
    <mergeCell ref="H334:H335"/>
    <mergeCell ref="H336:H337"/>
    <mergeCell ref="H338:H339"/>
    <mergeCell ref="H340:H341"/>
    <mergeCell ref="H342:H343"/>
    <mergeCell ref="H308:H309"/>
    <mergeCell ref="H310:H311"/>
    <mergeCell ref="H312:H313"/>
    <mergeCell ref="H314:H315"/>
    <mergeCell ref="H316:H317"/>
    <mergeCell ref="H318:H319"/>
    <mergeCell ref="H320:H321"/>
    <mergeCell ref="H322:H323"/>
    <mergeCell ref="H324:H325"/>
    <mergeCell ref="H290:H291"/>
    <mergeCell ref="H292:H293"/>
    <mergeCell ref="H294:H295"/>
    <mergeCell ref="H296:H297"/>
    <mergeCell ref="H298:H299"/>
    <mergeCell ref="H300:H301"/>
    <mergeCell ref="H302:H303"/>
    <mergeCell ref="H304:H305"/>
    <mergeCell ref="H306:H307"/>
    <mergeCell ref="H272:H273"/>
    <mergeCell ref="H274:H275"/>
    <mergeCell ref="H276:H277"/>
    <mergeCell ref="H278:H279"/>
    <mergeCell ref="H280:H281"/>
    <mergeCell ref="H282:H283"/>
    <mergeCell ref="H284:H285"/>
    <mergeCell ref="H286:H287"/>
    <mergeCell ref="H288:H289"/>
    <mergeCell ref="H254:H255"/>
    <mergeCell ref="H256:H257"/>
    <mergeCell ref="H258:H259"/>
    <mergeCell ref="H260:H261"/>
    <mergeCell ref="H262:H263"/>
    <mergeCell ref="H264:H265"/>
    <mergeCell ref="H266:H267"/>
    <mergeCell ref="H268:H269"/>
    <mergeCell ref="H270:H271"/>
    <mergeCell ref="H236:H237"/>
    <mergeCell ref="H238:H239"/>
    <mergeCell ref="H240:H241"/>
    <mergeCell ref="H242:H243"/>
    <mergeCell ref="H244:H245"/>
    <mergeCell ref="H246:H247"/>
    <mergeCell ref="H248:H249"/>
    <mergeCell ref="H250:H251"/>
    <mergeCell ref="H252:H253"/>
    <mergeCell ref="H218:H219"/>
    <mergeCell ref="H220:H221"/>
    <mergeCell ref="H222:H223"/>
    <mergeCell ref="H224:H225"/>
    <mergeCell ref="H226:H227"/>
    <mergeCell ref="H228:H229"/>
    <mergeCell ref="H230:H231"/>
    <mergeCell ref="H232:H233"/>
    <mergeCell ref="H234:H235"/>
    <mergeCell ref="H200:H201"/>
    <mergeCell ref="H202:H203"/>
    <mergeCell ref="H204:H205"/>
    <mergeCell ref="H206:H207"/>
    <mergeCell ref="H208:H209"/>
    <mergeCell ref="H210:H211"/>
    <mergeCell ref="H212:H213"/>
    <mergeCell ref="H214:H215"/>
    <mergeCell ref="H216:H217"/>
    <mergeCell ref="H182:H183"/>
    <mergeCell ref="H184:H185"/>
    <mergeCell ref="H186:H187"/>
    <mergeCell ref="H188:H189"/>
    <mergeCell ref="H190:H191"/>
    <mergeCell ref="H192:H193"/>
    <mergeCell ref="H194:H195"/>
    <mergeCell ref="H196:H197"/>
    <mergeCell ref="H198:H199"/>
    <mergeCell ref="H164:H165"/>
    <mergeCell ref="H166:H167"/>
    <mergeCell ref="H168:H169"/>
    <mergeCell ref="H170:H171"/>
    <mergeCell ref="H172:H173"/>
    <mergeCell ref="H174:H175"/>
    <mergeCell ref="H176:H177"/>
    <mergeCell ref="H178:H179"/>
    <mergeCell ref="H180:H181"/>
    <mergeCell ref="H146:H147"/>
    <mergeCell ref="H148:H149"/>
    <mergeCell ref="H150:H151"/>
    <mergeCell ref="H152:H153"/>
    <mergeCell ref="H154:H155"/>
    <mergeCell ref="H156:H157"/>
    <mergeCell ref="H158:H159"/>
    <mergeCell ref="H160:H161"/>
    <mergeCell ref="H162:H163"/>
    <mergeCell ref="H128:H129"/>
    <mergeCell ref="H130:H131"/>
    <mergeCell ref="H132:H133"/>
    <mergeCell ref="H134:H135"/>
    <mergeCell ref="H136:H137"/>
    <mergeCell ref="H138:H139"/>
    <mergeCell ref="H140:H141"/>
    <mergeCell ref="H142:H143"/>
    <mergeCell ref="H144:H145"/>
    <mergeCell ref="H110:H111"/>
    <mergeCell ref="H112:H113"/>
    <mergeCell ref="H114:H115"/>
    <mergeCell ref="H116:H117"/>
    <mergeCell ref="H118:H119"/>
    <mergeCell ref="H120:H121"/>
    <mergeCell ref="H122:H123"/>
    <mergeCell ref="H124:H125"/>
    <mergeCell ref="H126:H127"/>
    <mergeCell ref="H92:H93"/>
    <mergeCell ref="H94:H95"/>
    <mergeCell ref="H96:H97"/>
    <mergeCell ref="H98:H99"/>
    <mergeCell ref="H100:H101"/>
    <mergeCell ref="H102:H103"/>
    <mergeCell ref="H104:H105"/>
    <mergeCell ref="H106:H107"/>
    <mergeCell ref="H108:H109"/>
    <mergeCell ref="H74:H75"/>
    <mergeCell ref="H76:H77"/>
    <mergeCell ref="H78:H79"/>
    <mergeCell ref="H80:H81"/>
    <mergeCell ref="H82:H83"/>
    <mergeCell ref="H84:H85"/>
    <mergeCell ref="H86:H87"/>
    <mergeCell ref="H88:H89"/>
    <mergeCell ref="H90:H91"/>
    <mergeCell ref="H56:H57"/>
    <mergeCell ref="H58:H59"/>
    <mergeCell ref="H60:H61"/>
    <mergeCell ref="H62:H63"/>
    <mergeCell ref="H64:H65"/>
    <mergeCell ref="H66:H67"/>
    <mergeCell ref="H68:H69"/>
    <mergeCell ref="H70:H71"/>
    <mergeCell ref="H72:H73"/>
    <mergeCell ref="H38:H39"/>
    <mergeCell ref="H40:H41"/>
    <mergeCell ref="H42:H43"/>
    <mergeCell ref="H44:H45"/>
    <mergeCell ref="H46:H47"/>
    <mergeCell ref="H48:H49"/>
    <mergeCell ref="H50:H51"/>
    <mergeCell ref="H52:H53"/>
    <mergeCell ref="H54:H55"/>
    <mergeCell ref="H20:H21"/>
    <mergeCell ref="H22:H23"/>
    <mergeCell ref="H24:H25"/>
    <mergeCell ref="H26:H27"/>
    <mergeCell ref="H28:H29"/>
    <mergeCell ref="H30:H31"/>
    <mergeCell ref="H32:H33"/>
    <mergeCell ref="H34:H35"/>
    <mergeCell ref="H36:H37"/>
    <mergeCell ref="J6:J7"/>
    <mergeCell ref="N6:N7"/>
    <mergeCell ref="O6:O7"/>
    <mergeCell ref="H8:H9"/>
    <mergeCell ref="H10:H11"/>
    <mergeCell ref="H12:H13"/>
    <mergeCell ref="H14:H15"/>
    <mergeCell ref="H16:H17"/>
    <mergeCell ref="H18:H19"/>
    <mergeCell ref="I6:I7"/>
    <mergeCell ref="K6:K7"/>
    <mergeCell ref="L6:L7"/>
    <mergeCell ref="M6:M7"/>
    <mergeCell ref="F5:G5"/>
    <mergeCell ref="F4:G4"/>
    <mergeCell ref="C488:G488"/>
    <mergeCell ref="C498:G498"/>
    <mergeCell ref="C500:G500"/>
    <mergeCell ref="C502:G502"/>
    <mergeCell ref="C452:G452"/>
    <mergeCell ref="C454:G454"/>
    <mergeCell ref="C456:G456"/>
    <mergeCell ref="C458:G458"/>
    <mergeCell ref="C460:G460"/>
    <mergeCell ref="C462:G462"/>
    <mergeCell ref="C440:G440"/>
    <mergeCell ref="C442:G442"/>
    <mergeCell ref="C444:G444"/>
    <mergeCell ref="C446:G446"/>
    <mergeCell ref="C448:G448"/>
    <mergeCell ref="C450:G450"/>
    <mergeCell ref="C428:G428"/>
    <mergeCell ref="C430:G430"/>
    <mergeCell ref="C432:G432"/>
    <mergeCell ref="C434:G434"/>
    <mergeCell ref="C436:G436"/>
    <mergeCell ref="C438:G438"/>
    <mergeCell ref="C506:G506"/>
    <mergeCell ref="C476:G476"/>
    <mergeCell ref="C478:G478"/>
    <mergeCell ref="C480:G480"/>
    <mergeCell ref="C482:G482"/>
    <mergeCell ref="C484:G484"/>
    <mergeCell ref="C486:G486"/>
    <mergeCell ref="C464:G464"/>
    <mergeCell ref="C466:G466"/>
    <mergeCell ref="C468:G468"/>
    <mergeCell ref="C470:G470"/>
    <mergeCell ref="C472:G472"/>
    <mergeCell ref="C474:G474"/>
    <mergeCell ref="C490:G490"/>
    <mergeCell ref="C492:G492"/>
    <mergeCell ref="C494:G494"/>
    <mergeCell ref="C496:G496"/>
    <mergeCell ref="C504:G504"/>
    <mergeCell ref="C416:G416"/>
    <mergeCell ref="C418:G418"/>
    <mergeCell ref="C420:G420"/>
    <mergeCell ref="C422:G422"/>
    <mergeCell ref="C424:G424"/>
    <mergeCell ref="C426:G426"/>
    <mergeCell ref="C404:G404"/>
    <mergeCell ref="C406:G406"/>
    <mergeCell ref="C408:G408"/>
    <mergeCell ref="C410:G410"/>
    <mergeCell ref="C412:G412"/>
    <mergeCell ref="C414:G414"/>
    <mergeCell ref="C392:G392"/>
    <mergeCell ref="C394:G394"/>
    <mergeCell ref="C396:G396"/>
    <mergeCell ref="C398:G398"/>
    <mergeCell ref="C400:G400"/>
    <mergeCell ref="C402:G402"/>
    <mergeCell ref="C380:G380"/>
    <mergeCell ref="C382:G382"/>
    <mergeCell ref="C384:G384"/>
    <mergeCell ref="C386:G386"/>
    <mergeCell ref="C388:G388"/>
    <mergeCell ref="C390:G390"/>
    <mergeCell ref="C368:G368"/>
    <mergeCell ref="C370:G370"/>
    <mergeCell ref="C372:G372"/>
    <mergeCell ref="C374:G374"/>
    <mergeCell ref="C376:G376"/>
    <mergeCell ref="C378:G378"/>
    <mergeCell ref="C356:G356"/>
    <mergeCell ref="C358:G358"/>
    <mergeCell ref="C360:G360"/>
    <mergeCell ref="C362:G362"/>
    <mergeCell ref="C364:G364"/>
    <mergeCell ref="C366:G366"/>
    <mergeCell ref="C344:G344"/>
    <mergeCell ref="C346:G346"/>
    <mergeCell ref="C348:G348"/>
    <mergeCell ref="C350:G350"/>
    <mergeCell ref="C352:G352"/>
    <mergeCell ref="C354:G354"/>
    <mergeCell ref="C332:G332"/>
    <mergeCell ref="C334:G334"/>
    <mergeCell ref="C336:G336"/>
    <mergeCell ref="C338:G338"/>
    <mergeCell ref="C340:G340"/>
    <mergeCell ref="C342:G342"/>
    <mergeCell ref="C320:G320"/>
    <mergeCell ref="C322:G322"/>
    <mergeCell ref="C324:G324"/>
    <mergeCell ref="C326:G326"/>
    <mergeCell ref="C328:G328"/>
    <mergeCell ref="C330:G330"/>
    <mergeCell ref="C308:G308"/>
    <mergeCell ref="C310:G310"/>
    <mergeCell ref="C312:G312"/>
    <mergeCell ref="C314:G314"/>
    <mergeCell ref="C316:G316"/>
    <mergeCell ref="C318:G318"/>
    <mergeCell ref="C296:G296"/>
    <mergeCell ref="C298:G298"/>
    <mergeCell ref="C300:G300"/>
    <mergeCell ref="C302:G302"/>
    <mergeCell ref="C304:G304"/>
    <mergeCell ref="C306:G306"/>
    <mergeCell ref="C284:G284"/>
    <mergeCell ref="C286:G286"/>
    <mergeCell ref="C288:G288"/>
    <mergeCell ref="C290:G290"/>
    <mergeCell ref="C292:G292"/>
    <mergeCell ref="C294:G294"/>
    <mergeCell ref="C272:G272"/>
    <mergeCell ref="C274:G274"/>
    <mergeCell ref="C276:G276"/>
    <mergeCell ref="C278:G278"/>
    <mergeCell ref="C280:G280"/>
    <mergeCell ref="C282:G282"/>
    <mergeCell ref="C260:G260"/>
    <mergeCell ref="C262:G262"/>
    <mergeCell ref="C264:G264"/>
    <mergeCell ref="C266:G266"/>
    <mergeCell ref="C268:G268"/>
    <mergeCell ref="C270:G270"/>
    <mergeCell ref="C248:G248"/>
    <mergeCell ref="C250:G250"/>
    <mergeCell ref="C252:G252"/>
    <mergeCell ref="C254:G254"/>
    <mergeCell ref="C256:G256"/>
    <mergeCell ref="C258:G258"/>
    <mergeCell ref="C236:G236"/>
    <mergeCell ref="C238:G238"/>
    <mergeCell ref="C240:G240"/>
    <mergeCell ref="C242:G242"/>
    <mergeCell ref="C244:G244"/>
    <mergeCell ref="C246:G246"/>
    <mergeCell ref="C224:G224"/>
    <mergeCell ref="C226:G226"/>
    <mergeCell ref="C228:G228"/>
    <mergeCell ref="C230:G230"/>
    <mergeCell ref="C232:G232"/>
    <mergeCell ref="C234:G234"/>
    <mergeCell ref="C212:G212"/>
    <mergeCell ref="C214:G214"/>
    <mergeCell ref="C216:G216"/>
    <mergeCell ref="C218:G218"/>
    <mergeCell ref="C220:G220"/>
    <mergeCell ref="C222:G222"/>
    <mergeCell ref="C200:G200"/>
    <mergeCell ref="C202:G202"/>
    <mergeCell ref="C204:G204"/>
    <mergeCell ref="C206:G206"/>
    <mergeCell ref="C208:G208"/>
    <mergeCell ref="C210:G210"/>
    <mergeCell ref="C188:G188"/>
    <mergeCell ref="C190:G190"/>
    <mergeCell ref="C192:G192"/>
    <mergeCell ref="C194:G194"/>
    <mergeCell ref="C196:G196"/>
    <mergeCell ref="C198:G198"/>
    <mergeCell ref="C176:G176"/>
    <mergeCell ref="C178:G178"/>
    <mergeCell ref="C180:G180"/>
    <mergeCell ref="C182:G182"/>
    <mergeCell ref="C184:G184"/>
    <mergeCell ref="C186:G186"/>
    <mergeCell ref="C164:G164"/>
    <mergeCell ref="C166:G166"/>
    <mergeCell ref="C168:G168"/>
    <mergeCell ref="C170:G170"/>
    <mergeCell ref="C172:G172"/>
    <mergeCell ref="C174:G174"/>
    <mergeCell ref="C152:G152"/>
    <mergeCell ref="C154:G154"/>
    <mergeCell ref="C156:G156"/>
    <mergeCell ref="C158:G158"/>
    <mergeCell ref="C160:G160"/>
    <mergeCell ref="C162:G162"/>
    <mergeCell ref="C140:G140"/>
    <mergeCell ref="C142:G142"/>
    <mergeCell ref="C144:G144"/>
    <mergeCell ref="C146:G146"/>
    <mergeCell ref="C148:G148"/>
    <mergeCell ref="C150:G150"/>
    <mergeCell ref="C128:G128"/>
    <mergeCell ref="C130:G130"/>
    <mergeCell ref="C132:G132"/>
    <mergeCell ref="C134:G134"/>
    <mergeCell ref="C136:G136"/>
    <mergeCell ref="C138:G138"/>
    <mergeCell ref="C116:G116"/>
    <mergeCell ref="C118:G118"/>
    <mergeCell ref="C120:G120"/>
    <mergeCell ref="C122:G122"/>
    <mergeCell ref="C124:G124"/>
    <mergeCell ref="C126:G126"/>
    <mergeCell ref="C104:G104"/>
    <mergeCell ref="C106:G106"/>
    <mergeCell ref="C108:G108"/>
    <mergeCell ref="C110:G110"/>
    <mergeCell ref="C112:G112"/>
    <mergeCell ref="C114:G114"/>
    <mergeCell ref="C92:G92"/>
    <mergeCell ref="C94:G94"/>
    <mergeCell ref="C96:G96"/>
    <mergeCell ref="C98:G98"/>
    <mergeCell ref="C100:G100"/>
    <mergeCell ref="C102:G102"/>
    <mergeCell ref="C80:G80"/>
    <mergeCell ref="C82:G82"/>
    <mergeCell ref="C84:G84"/>
    <mergeCell ref="C86:G86"/>
    <mergeCell ref="C88:G88"/>
    <mergeCell ref="C90:G90"/>
    <mergeCell ref="C74:G74"/>
    <mergeCell ref="C76:G76"/>
    <mergeCell ref="C78:G78"/>
    <mergeCell ref="C62:G62"/>
    <mergeCell ref="C64:G64"/>
    <mergeCell ref="C66:G66"/>
    <mergeCell ref="C50:G50"/>
    <mergeCell ref="C52:G52"/>
    <mergeCell ref="C54:G54"/>
    <mergeCell ref="C38:G38"/>
    <mergeCell ref="C40:G40"/>
    <mergeCell ref="C42:G42"/>
    <mergeCell ref="C68:G68"/>
    <mergeCell ref="C70:G70"/>
    <mergeCell ref="C72:G72"/>
    <mergeCell ref="C8:G8"/>
    <mergeCell ref="C10:G10"/>
    <mergeCell ref="C12:G12"/>
    <mergeCell ref="C14:G14"/>
    <mergeCell ref="C16:G16"/>
    <mergeCell ref="C18:G18"/>
    <mergeCell ref="C44:G44"/>
    <mergeCell ref="C46:G46"/>
    <mergeCell ref="C48:G48"/>
    <mergeCell ref="C32:G32"/>
    <mergeCell ref="C34:G34"/>
    <mergeCell ref="C36:G36"/>
    <mergeCell ref="C20:G20"/>
    <mergeCell ref="C22:G22"/>
    <mergeCell ref="C24:G24"/>
    <mergeCell ref="C26:G26"/>
    <mergeCell ref="C28:G28"/>
    <mergeCell ref="C30:G30"/>
    <mergeCell ref="C56:G56"/>
    <mergeCell ref="C58:G58"/>
    <mergeCell ref="C60:G60"/>
  </mergeCells>
  <conditionalFormatting sqref="A8:A507">
    <cfRule type="expression" dxfId="178" priority="31" stopIfTrue="1">
      <formula>A8=OFFSET(A8,-1,0)</formula>
    </cfRule>
  </conditionalFormatting>
  <conditionalFormatting sqref="P8:P507">
    <cfRule type="expression" dxfId="177" priority="30">
      <formula>P8</formula>
    </cfRule>
  </conditionalFormatting>
  <conditionalFormatting sqref="F4:G5">
    <cfRule type="expression" dxfId="176" priority="24">
      <formula>OR(Awd?,NOT(Bid?),NOT(Full?),NOT(All?))</formula>
    </cfRule>
  </conditionalFormatting>
  <conditionalFormatting sqref="B8:O507">
    <cfRule type="expression" dxfId="175" priority="7067">
      <formula>$P8</formula>
    </cfRule>
  </conditionalFormatting>
  <conditionalFormatting sqref="I8:O507">
    <cfRule type="expression" dxfId="174" priority="19">
      <formula>OR(VALUE(SUBSTITUTE(I8," "&amp;OFFSET($D8,1,0),""))=0,I8=0)</formula>
    </cfRule>
  </conditionalFormatting>
  <conditionalFormatting sqref="V29:V44">
    <cfRule type="expression" dxfId="173" priority="2">
      <formula>AND((Bid?+0)&amp;((LEN(Awarded2)&gt;0)+0)&amp;(All?+0)&amp;(Full?+0)=$Q29,LEN(Awarded2)&gt;0&lt;&gt;Awd?)</formula>
    </cfRule>
    <cfRule type="expression" dxfId="172" priority="11">
      <formula>ISNUMBER(FIND("-&gt;",V29))</formula>
    </cfRule>
  </conditionalFormatting>
  <conditionalFormatting sqref="H2:O507">
    <cfRule type="expression" dxfId="171" priority="9">
      <formula>AND(Full?,$A2&lt;=NumEstItems)</formula>
    </cfRule>
  </conditionalFormatting>
  <conditionalFormatting sqref="C2:G507">
    <cfRule type="expression" dxfId="170" priority="8">
      <formula>AND(NOT(Full?),$A2&lt;=NumEstItems,ROW(C2)&lt;&gt;ROW(Account))</formula>
    </cfRule>
  </conditionalFormatting>
  <conditionalFormatting sqref="Q7:V16">
    <cfRule type="expression" dxfId="169" priority="7">
      <formula>OR(NOT(Bid?),NOT(Full?))</formula>
    </cfRule>
  </conditionalFormatting>
  <conditionalFormatting sqref="Q29:Q44 V29:V44">
    <cfRule type="expression" dxfId="168" priority="10">
      <formula>$Q29=(0+Bid?)&amp;(0+Awd?)&amp;(0+All?)&amp;(0+Full?)</formula>
    </cfRule>
  </conditionalFormatting>
  <conditionalFormatting sqref="G1">
    <cfRule type="expression" dxfId="167" priority="1">
      <formula>AND(NOT(Bid?),EE.Acct&lt;&gt;EE.AcctCalc)</formula>
    </cfRule>
  </conditionalFormatting>
  <dataValidations count="7">
    <dataValidation type="list" allowBlank="1" showInputMessage="1" showErrorMessage="1" promptTitle="Choose range to print" prompt="Select whether to print the Engineer's Estimate/Bid Schedule or the Account Split" sqref="I1" xr:uid="{00000000-0002-0000-0400-000000000000}">
      <formula1>"Full listing,Account splits"</formula1>
    </dataValidation>
    <dataValidation type="list" allowBlank="1" showInputMessage="1" showErrorMessage="1" promptTitle="Choose page look" prompt="Choose either Engineer's Estimate or Bid Schedule" sqref="H1" xr:uid="{00000000-0002-0000-0400-000001000000}">
      <formula1>"Eng. Estimate,Bid Schedule"</formula1>
    </dataValidation>
    <dataValidation type="list" showInputMessage="1" showErrorMessage="1" errorTitle="Invalid Entry" error="Choose one of the options" promptTitle="Account" prompt="Select account estimate.  Choose ALL to show the sum of all accounts." sqref="G3" xr:uid="{00000000-0002-0000-0400-000002000000}">
      <formula1>Accounts</formula1>
    </dataValidation>
    <dataValidation allowBlank="1" showInputMessage="1" showErrorMessage="1" promptTitle="All?" prompt="Is Account set to ALL on the Listing tab?" sqref="P3 T28" xr:uid="{00000000-0002-0000-0400-000003000000}"/>
    <dataValidation allowBlank="1" showInputMessage="1" showErrorMessage="1" promptTitle="Awd?" prompt="Has the project been awarded?  (i.e. Has a bidder been selected on the Bid Tabs Summary tab?)_x000a_" sqref="P2 S28" xr:uid="{00000000-0002-0000-0400-000004000000}"/>
    <dataValidation allowBlank="1" showInputMessage="1" showErrorMessage="1" promptTitle="Full?" prompt="Is &quot;Full listing&quot; selected on the Listing tab? _x000a_(FALSE = Account Split)" sqref="P4 U28" xr:uid="{00000000-0002-0000-0400-000005000000}"/>
    <dataValidation allowBlank="1" showInputMessage="1" showErrorMessage="1" promptTitle="Bid?" prompt="Was Bid Schedule selected on Listing tab?  _x000a_(FALSE = Engineer's Estimate)" sqref="R28 P1" xr:uid="{00000000-0002-0000-0400-000006000000}"/>
  </dataValidations>
  <pageMargins left="0.75" right="0.75" top="0.5" bottom="0.75" header="0.25" footer="0.25"/>
  <pageSetup fitToHeight="0" orientation="portrait" horizontalDpi="1200" verticalDpi="120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06"/>
  <sheetViews>
    <sheetView showGridLines="0" workbookViewId="0">
      <selection activeCell="C9" sqref="C9"/>
    </sheetView>
  </sheetViews>
  <sheetFormatPr defaultRowHeight="10.5" x14ac:dyDescent="0.15"/>
  <cols>
    <col min="1" max="1" width="9.140625" style="1"/>
    <col min="2" max="2" width="22.7109375" style="1" customWidth="1"/>
    <col min="3" max="3" width="15.7109375" style="1" customWidth="1"/>
    <col min="4" max="4" width="18.7109375" style="1" customWidth="1"/>
    <col min="5" max="6" width="20.7109375" style="1" customWidth="1"/>
    <col min="7" max="16384" width="9.140625" style="1"/>
  </cols>
  <sheetData>
    <row r="1" spans="2:6" ht="12.75" x14ac:dyDescent="0.2">
      <c r="E1" s="17" t="s">
        <v>217</v>
      </c>
      <c r="F1" s="157" t="b">
        <v>0</v>
      </c>
    </row>
    <row r="2" spans="2:6" ht="15" x14ac:dyDescent="0.2">
      <c r="B2" s="21" t="s">
        <v>290</v>
      </c>
      <c r="C2" s="21"/>
      <c r="D2" s="21"/>
      <c r="E2" s="21"/>
      <c r="F2" s="21"/>
    </row>
    <row r="3" spans="2:6" ht="12.75" x14ac:dyDescent="0.2">
      <c r="B3" s="16" t="str">
        <f>SchedOpt &amp;" " &amp;Letter</f>
        <v>&lt; Don't show &gt; A</v>
      </c>
      <c r="C3" s="16"/>
      <c r="D3" s="16"/>
      <c r="E3" s="16" t="str">
        <f>Division&amp;" Federal Lands Highway Division"</f>
        <v>Western Federal Lands Highway Division</v>
      </c>
      <c r="F3" s="16"/>
    </row>
    <row r="4" spans="2:6" ht="12.75" x14ac:dyDescent="0.2">
      <c r="B4" s="17" t="s">
        <v>291</v>
      </c>
      <c r="C4" s="16" t="str">
        <f>ProjectLine1</f>
        <v>AZ FTNP GRCA 13(1)</v>
      </c>
      <c r="D4" s="16"/>
      <c r="E4" s="246" t="str">
        <f>FLMA1</f>
        <v/>
      </c>
      <c r="F4" s="16"/>
    </row>
    <row r="5" spans="2:6" ht="12.75" x14ac:dyDescent="0.2">
      <c r="B5" s="16"/>
      <c r="C5" s="16" t="str">
        <f>ProjectLine2</f>
        <v>MT OMAD 18(38)</v>
      </c>
      <c r="D5" s="16"/>
      <c r="E5" s="16" t="str">
        <f>FLMA2</f>
        <v/>
      </c>
      <c r="F5" s="16"/>
    </row>
    <row r="6" spans="2:6" ht="12.75" x14ac:dyDescent="0.2">
      <c r="B6" s="17" t="s">
        <v>292</v>
      </c>
      <c r="C6" s="247">
        <f>Name</f>
        <v>0</v>
      </c>
      <c r="D6" s="16"/>
      <c r="E6" s="16"/>
      <c r="F6" s="16"/>
    </row>
    <row r="7" spans="2:6" ht="12.75" x14ac:dyDescent="0.2">
      <c r="B7" s="16" t="s">
        <v>293</v>
      </c>
      <c r="C7" s="378"/>
      <c r="D7" s="378"/>
      <c r="E7" s="16"/>
      <c r="F7" s="16"/>
    </row>
    <row r="8" spans="2:6" ht="12.75" x14ac:dyDescent="0.2">
      <c r="B8" s="17" t="s">
        <v>221</v>
      </c>
      <c r="C8" s="132" t="str">
        <f>IF(County=0,"",County)</f>
        <v/>
      </c>
      <c r="F8" s="16"/>
    </row>
    <row r="9" spans="2:6" ht="12.75" x14ac:dyDescent="0.2">
      <c r="B9" s="17" t="s">
        <v>294</v>
      </c>
      <c r="C9" s="132" t="str">
        <f>IF(Location=0,"",Location)</f>
        <v/>
      </c>
      <c r="D9" s="132"/>
      <c r="E9" s="16"/>
      <c r="F9" s="16"/>
    </row>
    <row r="10" spans="2:6" ht="12.75" x14ac:dyDescent="0.2">
      <c r="B10" s="16"/>
      <c r="C10" s="17"/>
      <c r="D10" s="132"/>
      <c r="E10" s="16"/>
      <c r="F10" s="16"/>
    </row>
    <row r="11" spans="2:6" ht="12.75" x14ac:dyDescent="0.2">
      <c r="B11" s="16"/>
      <c r="C11" s="17"/>
      <c r="D11" s="132" t="s">
        <v>295</v>
      </c>
      <c r="E11" s="187"/>
      <c r="F11" s="16"/>
    </row>
    <row r="12" spans="2:6" ht="12.75" x14ac:dyDescent="0.2">
      <c r="B12" s="16"/>
      <c r="C12" s="17"/>
      <c r="D12" s="132" t="s">
        <v>296</v>
      </c>
      <c r="E12" s="188"/>
      <c r="F12" s="16"/>
    </row>
    <row r="13" spans="2:6" ht="12.75" x14ac:dyDescent="0.2">
      <c r="B13" s="16"/>
      <c r="C13" s="17"/>
      <c r="D13" s="132" t="s">
        <v>297</v>
      </c>
      <c r="E13" s="134"/>
      <c r="F13" s="16"/>
    </row>
    <row r="14" spans="2:6" ht="13.5" thickBot="1" x14ac:dyDescent="0.25">
      <c r="B14" s="16"/>
      <c r="C14" s="16"/>
      <c r="D14" s="16"/>
      <c r="E14" s="16"/>
      <c r="F14" s="16"/>
    </row>
    <row r="15" spans="2:6" ht="18" customHeight="1" x14ac:dyDescent="0.15">
      <c r="B15" s="137" t="s">
        <v>298</v>
      </c>
      <c r="C15" s="138"/>
      <c r="D15" s="138"/>
      <c r="E15" s="138"/>
      <c r="F15" s="139"/>
    </row>
    <row r="16" spans="2:6" ht="12.75" x14ac:dyDescent="0.2">
      <c r="B16" s="140"/>
      <c r="C16" s="141"/>
      <c r="D16" s="141"/>
      <c r="E16" s="141"/>
      <c r="F16" s="142"/>
    </row>
    <row r="17" spans="2:6" ht="12.75" x14ac:dyDescent="0.2">
      <c r="B17" s="140"/>
      <c r="C17" s="143" t="s">
        <v>299</v>
      </c>
      <c r="D17" s="379"/>
      <c r="E17" s="379"/>
      <c r="F17" s="144"/>
    </row>
    <row r="18" spans="2:6" ht="12.75" x14ac:dyDescent="0.2">
      <c r="B18" s="140"/>
      <c r="C18" s="143"/>
      <c r="D18" s="158"/>
      <c r="E18" s="159"/>
      <c r="F18" s="144"/>
    </row>
    <row r="19" spans="2:6" ht="12.75" x14ac:dyDescent="0.2">
      <c r="B19" s="140"/>
      <c r="C19" s="143" t="s">
        <v>300</v>
      </c>
      <c r="D19" s="380"/>
      <c r="E19" s="380"/>
      <c r="F19" s="142"/>
    </row>
    <row r="20" spans="2:6" ht="12.75" x14ac:dyDescent="0.2">
      <c r="B20" s="140"/>
      <c r="C20" s="143"/>
      <c r="D20" s="160"/>
      <c r="E20" s="160"/>
      <c r="F20" s="142"/>
    </row>
    <row r="21" spans="2:6" ht="12.75" x14ac:dyDescent="0.2">
      <c r="B21" s="145"/>
      <c r="C21" s="143" t="s">
        <v>297</v>
      </c>
      <c r="D21" s="165"/>
      <c r="E21" s="166"/>
      <c r="F21" s="146"/>
    </row>
    <row r="22" spans="2:6" ht="13.5" thickBot="1" x14ac:dyDescent="0.25">
      <c r="B22" s="381"/>
      <c r="C22" s="382"/>
      <c r="D22" s="382"/>
      <c r="E22" s="147"/>
      <c r="F22" s="161"/>
    </row>
    <row r="23" spans="2:6" ht="12.75" x14ac:dyDescent="0.2">
      <c r="B23" s="383"/>
      <c r="C23" s="384"/>
      <c r="D23" s="384"/>
      <c r="E23" s="113"/>
      <c r="F23" s="275"/>
    </row>
    <row r="24" spans="2:6" ht="12.75" x14ac:dyDescent="0.2">
      <c r="B24" s="383"/>
      <c r="C24" s="384"/>
      <c r="D24" s="384"/>
      <c r="E24" s="113"/>
      <c r="F24" s="275"/>
    </row>
    <row r="25" spans="2:6" ht="12.75" x14ac:dyDescent="0.2">
      <c r="B25" s="113" t="s">
        <v>301</v>
      </c>
      <c r="C25" s="380"/>
      <c r="D25" s="380"/>
      <c r="E25" s="131" t="s">
        <v>302</v>
      </c>
      <c r="F25" s="186"/>
    </row>
    <row r="26" spans="2:6" ht="12.75" x14ac:dyDescent="0.2">
      <c r="B26" s="113"/>
    </row>
    <row r="27" spans="2:6" ht="12.75" x14ac:dyDescent="0.2">
      <c r="B27" s="113" t="s">
        <v>303</v>
      </c>
      <c r="C27" s="380"/>
      <c r="D27" s="380"/>
      <c r="E27"/>
      <c r="F27" s="189" t="s">
        <v>304</v>
      </c>
    </row>
    <row r="28" spans="2:6" ht="12.75" x14ac:dyDescent="0.2">
      <c r="B28" s="148"/>
      <c r="C28" s="148"/>
      <c r="D28" s="148"/>
      <c r="E28" s="148"/>
      <c r="F28" s="148"/>
    </row>
    <row r="29" spans="2:6" ht="18" customHeight="1" x14ac:dyDescent="0.2">
      <c r="B29" s="136" t="s">
        <v>305</v>
      </c>
      <c r="C29" s="167" t="s">
        <v>306</v>
      </c>
      <c r="D29" s="136"/>
      <c r="E29" s="136" t="s">
        <v>307</v>
      </c>
      <c r="F29" s="162" t="s">
        <v>308</v>
      </c>
    </row>
    <row r="30" spans="2:6" ht="12.75" x14ac:dyDescent="0.2">
      <c r="B30" s="141"/>
      <c r="C30" s="141"/>
      <c r="D30" s="141"/>
      <c r="E30" s="141"/>
      <c r="F30" s="163"/>
    </row>
    <row r="31" spans="2:6" ht="12.75" x14ac:dyDescent="0.2">
      <c r="B31" s="154" t="s">
        <v>309</v>
      </c>
      <c r="C31" s="141"/>
      <c r="D31" s="141"/>
      <c r="E31" s="153">
        <f ca="1">OFFSET(Bids,0,-1,1,1)</f>
        <v>0</v>
      </c>
      <c r="F31" s="163"/>
    </row>
    <row r="32" spans="2:6" ht="12.75" x14ac:dyDescent="0.2">
      <c r="B32" s="113"/>
      <c r="C32" s="113"/>
      <c r="D32" s="113"/>
      <c r="E32" s="113"/>
      <c r="F32" s="164"/>
    </row>
    <row r="33" spans="1:7" ht="12.75" x14ac:dyDescent="0.2">
      <c r="A33" s="276" t="str">
        <f ca="1">IF(LEN(E33)&gt;0,"#"&amp;OFFSET(Bids,-1,CEILING(ROW(E33)-ROW(E$31),4)/2-1,1,1),"")</f>
        <v/>
      </c>
      <c r="B33" s="206" t="str">
        <f ca="1">IFERROR(INDEX(Bidders,1,CEILING(ROW(B33)-ROW(B$31),4)/2-1),"")</f>
        <v>~ Type bidder name ~</v>
      </c>
      <c r="C33" s="385"/>
      <c r="D33" s="385"/>
      <c r="E33" s="152" t="str">
        <f ca="1">IFERROR(INDEX(Bids,1,CEILING(ROW(E33)-ROW(E$31),4)/2),"")</f>
        <v/>
      </c>
      <c r="F33" s="386"/>
      <c r="G33" s="1" t="str">
        <f ca="1">IFERROR(INDEX(Bids,1,CEILING(ROW(E33)-ROW(E$31),4)/2-1),"")</f>
        <v/>
      </c>
    </row>
    <row r="34" spans="1:7" ht="12.75" x14ac:dyDescent="0.2">
      <c r="B34" s="157"/>
      <c r="C34" s="385"/>
      <c r="D34" s="385"/>
      <c r="E34" s="113"/>
      <c r="F34" s="386"/>
    </row>
    <row r="35" spans="1:7" ht="12.75" x14ac:dyDescent="0.2">
      <c r="B35" s="157"/>
      <c r="C35" s="385"/>
      <c r="D35" s="385"/>
      <c r="E35" s="113"/>
      <c r="F35" s="386"/>
    </row>
    <row r="36" spans="1:7" ht="12.75" x14ac:dyDescent="0.2">
      <c r="B36" s="113"/>
      <c r="C36" s="113"/>
      <c r="D36" s="113"/>
      <c r="E36" s="113"/>
      <c r="F36" s="164"/>
    </row>
    <row r="37" spans="1:7" ht="12.75" x14ac:dyDescent="0.2">
      <c r="A37" s="276" t="str">
        <f ca="1">IF(LEN(E37)&gt;0,"#"&amp;OFFSET(Bids,-1,CEILING(ROW(E37)-ROW(E$31),4)/2-1,1,1),"")</f>
        <v/>
      </c>
      <c r="B37" s="206" t="str">
        <f ca="1">IFERROR(INDEX(Bidders,1,CEILING(ROW(B37)-ROW(B$31),4)/2-1),"")</f>
        <v/>
      </c>
      <c r="C37" s="385"/>
      <c r="D37" s="385"/>
      <c r="E37" s="152" t="str">
        <f ca="1">IFERROR(INDEX(Bids,1,CEILING(ROW(E37)-ROW(E$31),4)/2),"")</f>
        <v/>
      </c>
      <c r="F37" s="386"/>
      <c r="G37" s="1" t="str">
        <f ca="1">IFERROR(INDEX(Bids,1,CEILING(ROW(E37)-ROW(E$31),4)/2-1),"")</f>
        <v/>
      </c>
    </row>
    <row r="38" spans="1:7" ht="12.75" x14ac:dyDescent="0.2">
      <c r="B38" s="157"/>
      <c r="C38" s="385"/>
      <c r="D38" s="385"/>
      <c r="E38" s="113"/>
      <c r="F38" s="386"/>
    </row>
    <row r="39" spans="1:7" ht="12.75" x14ac:dyDescent="0.2">
      <c r="B39" s="157"/>
      <c r="C39" s="385"/>
      <c r="D39" s="385"/>
      <c r="E39" s="131"/>
      <c r="F39" s="386"/>
    </row>
    <row r="40" spans="1:7" ht="12.75" x14ac:dyDescent="0.2">
      <c r="B40" s="113"/>
      <c r="C40" s="113"/>
      <c r="D40" s="113"/>
      <c r="E40" s="113"/>
      <c r="F40" s="164"/>
    </row>
    <row r="41" spans="1:7" ht="12.75" x14ac:dyDescent="0.2">
      <c r="A41" s="276" t="str">
        <f ca="1">IF(LEN(E41)&gt;0,"#"&amp;OFFSET(Bids,-1,CEILING(ROW(E41)-ROW(E$31),4)/2-1,1,1),"")</f>
        <v/>
      </c>
      <c r="B41" s="206" t="str">
        <f ca="1">IFERROR(INDEX(Bidders,1,CEILING(ROW(B41)-ROW(B$31),4)/2-1),"")</f>
        <v/>
      </c>
      <c r="C41" s="385"/>
      <c r="D41" s="385"/>
      <c r="E41" s="152" t="str">
        <f ca="1">IFERROR(INDEX(Bids,1,CEILING(ROW(E41)-ROW(E$31),4)/2),"")</f>
        <v/>
      </c>
      <c r="F41" s="386"/>
      <c r="G41" s="1" t="str">
        <f ca="1">IFERROR(INDEX(Bids,1,CEILING(ROW(E41)-ROW(E$31),4)/2-1),"")</f>
        <v/>
      </c>
    </row>
    <row r="42" spans="1:7" ht="12.75" x14ac:dyDescent="0.2">
      <c r="B42" s="157"/>
      <c r="C42" s="385"/>
      <c r="D42" s="385"/>
      <c r="E42" s="113"/>
      <c r="F42" s="386"/>
    </row>
    <row r="43" spans="1:7" ht="12.75" x14ac:dyDescent="0.2">
      <c r="B43" s="157"/>
      <c r="C43" s="385"/>
      <c r="D43" s="385"/>
      <c r="E43" s="131"/>
      <c r="F43" s="386"/>
    </row>
    <row r="44" spans="1:7" ht="12.75" x14ac:dyDescent="0.2">
      <c r="B44" s="113"/>
      <c r="C44" s="113"/>
      <c r="D44" s="113"/>
      <c r="E44" s="113"/>
      <c r="F44" s="164"/>
    </row>
    <row r="45" spans="1:7" ht="12.75" x14ac:dyDescent="0.2">
      <c r="A45" s="276" t="str">
        <f ca="1">IF(LEN(E45)&gt;0,"#"&amp;OFFSET(Bids,-1,CEILING(ROW(E45)-ROW(E$31),4)/2-1,1,1),"")</f>
        <v/>
      </c>
      <c r="B45" s="206" t="str">
        <f ca="1">IFERROR(INDEX(Bidders,1,CEILING(ROW(B45)-ROW(B$31),4)/2-1),"")</f>
        <v/>
      </c>
      <c r="C45" s="385"/>
      <c r="D45" s="385"/>
      <c r="E45" s="152" t="str">
        <f ca="1">IFERROR(INDEX(Bids,1,CEILING(ROW(E45)-ROW(E$31),4)/2),"")</f>
        <v/>
      </c>
      <c r="F45" s="386"/>
      <c r="G45" s="1" t="str">
        <f ca="1">IFERROR(INDEX(Bids,1,CEILING(ROW(E45)-ROW(E$31),4)/2-1),"")</f>
        <v/>
      </c>
    </row>
    <row r="46" spans="1:7" ht="12.75" x14ac:dyDescent="0.2">
      <c r="B46" s="157"/>
      <c r="C46" s="385"/>
      <c r="D46" s="385"/>
      <c r="E46" s="113"/>
      <c r="F46" s="386"/>
    </row>
    <row r="47" spans="1:7" ht="12.75" x14ac:dyDescent="0.2">
      <c r="B47" s="157"/>
      <c r="C47" s="385"/>
      <c r="D47" s="385"/>
      <c r="E47" s="135"/>
      <c r="F47" s="386"/>
    </row>
    <row r="48" spans="1:7" ht="12.75" x14ac:dyDescent="0.2">
      <c r="B48" s="113"/>
      <c r="C48" s="113"/>
      <c r="D48" s="113"/>
      <c r="E48" s="15"/>
      <c r="F48" s="164"/>
    </row>
    <row r="49" spans="1:7" ht="12.75" x14ac:dyDescent="0.2">
      <c r="A49" s="276" t="str">
        <f ca="1">IF(LEN(E49)&gt;0,"#"&amp;OFFSET(Bids,-1,CEILING(ROW(E49)-ROW(E$31),4)/2-1,1,1),"")</f>
        <v/>
      </c>
      <c r="B49" s="206" t="str">
        <f ca="1">IFERROR(INDEX(Bidders,1,CEILING(ROW(B49)-ROW(B$31),4)/2-1),"")</f>
        <v/>
      </c>
      <c r="C49" s="385"/>
      <c r="D49" s="385"/>
      <c r="E49" s="152" t="str">
        <f ca="1">IFERROR(INDEX(Bids,1,CEILING(ROW(E49)-ROW(E$31),4)/2),"")</f>
        <v/>
      </c>
      <c r="F49" s="386"/>
      <c r="G49" s="1" t="str">
        <f ca="1">IFERROR(INDEX(Bids,1,CEILING(ROW(E49)-ROW(E$31),4)/2-1),"")</f>
        <v/>
      </c>
    </row>
    <row r="50" spans="1:7" ht="12.75" x14ac:dyDescent="0.2">
      <c r="B50" s="157"/>
      <c r="C50" s="385"/>
      <c r="D50" s="385"/>
      <c r="E50" s="15"/>
      <c r="F50" s="386"/>
    </row>
    <row r="51" spans="1:7" ht="12.75" x14ac:dyDescent="0.2">
      <c r="B51" s="157"/>
      <c r="C51" s="385"/>
      <c r="D51" s="385"/>
      <c r="E51" s="15"/>
      <c r="F51" s="386"/>
    </row>
    <row r="52" spans="1:7" ht="12.75" x14ac:dyDescent="0.2">
      <c r="B52" s="113"/>
      <c r="C52" s="113"/>
      <c r="D52" s="113"/>
      <c r="E52" s="15"/>
      <c r="F52" s="164"/>
    </row>
    <row r="53" spans="1:7" ht="12.75" x14ac:dyDescent="0.2">
      <c r="A53" s="276" t="str">
        <f ca="1">IF(LEN(E53)&gt;0,"#"&amp;OFFSET(Bids,-1,CEILING(ROW(E53)-ROW(E$31),4)/2-1,1,1),"")</f>
        <v/>
      </c>
      <c r="B53" s="206" t="str">
        <f ca="1">IFERROR(INDEX(Bidders,1,CEILING(ROW(B53)-ROW(B$31),4)/2-1),"")</f>
        <v/>
      </c>
      <c r="C53" s="385"/>
      <c r="D53" s="385"/>
      <c r="E53" s="152" t="str">
        <f ca="1">IFERROR(INDEX(Bids,1,CEILING(ROW(E53)-ROW(E$31),4)/2),"")</f>
        <v/>
      </c>
      <c r="F53" s="386"/>
      <c r="G53" s="1" t="str">
        <f ca="1">IFERROR(INDEX(Bids,1,CEILING(ROW(E53)-ROW(E$31),4)/2-1),"")</f>
        <v/>
      </c>
    </row>
    <row r="54" spans="1:7" ht="12.75" x14ac:dyDescent="0.2">
      <c r="B54" s="157"/>
      <c r="C54" s="385"/>
      <c r="D54" s="385"/>
      <c r="E54" s="15"/>
      <c r="F54" s="386"/>
    </row>
    <row r="55" spans="1:7" ht="12.75" x14ac:dyDescent="0.2">
      <c r="B55" s="157"/>
      <c r="C55" s="385"/>
      <c r="D55" s="385"/>
      <c r="E55" s="15"/>
      <c r="F55" s="386"/>
    </row>
    <row r="56" spans="1:7" ht="12.75" x14ac:dyDescent="0.2">
      <c r="B56" s="113"/>
      <c r="C56" s="113"/>
      <c r="D56" s="113"/>
      <c r="E56" s="15"/>
      <c r="F56" s="164"/>
    </row>
    <row r="57" spans="1:7" ht="12.75" x14ac:dyDescent="0.2">
      <c r="A57" s="276" t="str">
        <f ca="1">IF(LEN(E57)&gt;0,"#"&amp;OFFSET(Bids,-1,CEILING(ROW(E57)-ROW(E$31),4)/2-1,1,1),"")</f>
        <v/>
      </c>
      <c r="B57" s="206" t="str">
        <f ca="1">IFERROR(INDEX(Bidders,1,CEILING(ROW(B57)-ROW(B$31),4)/2-1),"")</f>
        <v/>
      </c>
      <c r="C57" s="385"/>
      <c r="D57" s="385"/>
      <c r="E57" s="152" t="str">
        <f ca="1">IFERROR(INDEX(Bids,1,CEILING(ROW(E57)-ROW(E$31),4)/2),"")</f>
        <v/>
      </c>
      <c r="F57" s="386"/>
      <c r="G57" s="1" t="str">
        <f ca="1">IFERROR(INDEX(Bids,1,CEILING(ROW(E57)-ROW(E$31),4)/2-1),"")</f>
        <v/>
      </c>
    </row>
    <row r="58" spans="1:7" ht="12.75" x14ac:dyDescent="0.2">
      <c r="B58" s="157"/>
      <c r="C58" s="385"/>
      <c r="D58" s="385"/>
      <c r="E58" s="16"/>
      <c r="F58" s="386"/>
    </row>
    <row r="59" spans="1:7" ht="12.75" x14ac:dyDescent="0.2">
      <c r="B59" s="157"/>
      <c r="C59" s="385"/>
      <c r="D59" s="385"/>
      <c r="E59" s="16"/>
      <c r="F59" s="386"/>
    </row>
    <row r="60" spans="1:7" ht="12.75" x14ac:dyDescent="0.2">
      <c r="B60" s="113"/>
      <c r="C60" s="113"/>
      <c r="D60" s="113"/>
      <c r="E60" s="15"/>
      <c r="F60" s="164"/>
    </row>
    <row r="61" spans="1:7" ht="12.75" x14ac:dyDescent="0.2">
      <c r="A61" s="276" t="str">
        <f ca="1">IF(LEN(E61)&gt;0,"#"&amp;OFFSET(Bids,-1,CEILING(ROW(E61)-ROW(E$31),4)/2-1,1,1),"")</f>
        <v/>
      </c>
      <c r="B61" s="206" t="str">
        <f ca="1">IFERROR(INDEX(Bidders,1,CEILING(ROW(B61)-ROW(B$31),4)/2-1),"")</f>
        <v/>
      </c>
      <c r="C61" s="385"/>
      <c r="D61" s="385"/>
      <c r="E61" s="152" t="str">
        <f ca="1">IFERROR(INDEX(Bids,1,CEILING(ROW(E61)-ROW(E$31),4)/2),"")</f>
        <v/>
      </c>
      <c r="F61" s="386"/>
      <c r="G61" s="1" t="str">
        <f ca="1">IFERROR(INDEX(Bids,1,CEILING(ROW(E61)-ROW(E$31),4)/2-1),"")</f>
        <v/>
      </c>
    </row>
    <row r="62" spans="1:7" ht="12.75" x14ac:dyDescent="0.2">
      <c r="B62" s="157"/>
      <c r="C62" s="385"/>
      <c r="D62" s="385"/>
      <c r="E62" s="16"/>
      <c r="F62" s="386"/>
    </row>
    <row r="63" spans="1:7" ht="12.75" x14ac:dyDescent="0.2">
      <c r="B63" s="157"/>
      <c r="C63" s="385"/>
      <c r="D63" s="385"/>
      <c r="E63" s="16"/>
      <c r="F63" s="386"/>
    </row>
    <row r="64" spans="1:7" ht="12.75" x14ac:dyDescent="0.2">
      <c r="B64" s="113"/>
      <c r="C64" s="113"/>
      <c r="D64" s="113"/>
      <c r="E64" s="15"/>
      <c r="F64" s="164"/>
    </row>
    <row r="65" spans="1:7" ht="12.75" x14ac:dyDescent="0.2">
      <c r="A65" s="276" t="str">
        <f ca="1">IF(LEN(E65)&gt;0,"#"&amp;OFFSET(Bids,-1,CEILING(ROW(E65)-ROW(E$31),4)/2-1,1,1),"")</f>
        <v/>
      </c>
      <c r="B65" s="206" t="str">
        <f ca="1">IFERROR(INDEX(Bidders,1,CEILING(ROW(B65)-ROW(B$31),4)/2-1),"")</f>
        <v/>
      </c>
      <c r="C65" s="385"/>
      <c r="D65" s="385"/>
      <c r="E65" s="152" t="str">
        <f ca="1">IFERROR(INDEX(Bids,1,CEILING(ROW(E65)-ROW(E$31),4)/2),"")</f>
        <v/>
      </c>
      <c r="F65" s="386"/>
      <c r="G65" s="1" t="str">
        <f ca="1">IFERROR(INDEX(Bids,1,CEILING(ROW(E65)-ROW(E$31),4)/2-1),"")</f>
        <v/>
      </c>
    </row>
    <row r="66" spans="1:7" ht="12.75" x14ac:dyDescent="0.2">
      <c r="B66" s="157"/>
      <c r="C66" s="385"/>
      <c r="D66" s="385"/>
      <c r="E66" s="16"/>
      <c r="F66" s="386"/>
    </row>
    <row r="67" spans="1:7" ht="12.75" x14ac:dyDescent="0.2">
      <c r="B67" s="157"/>
      <c r="C67" s="385"/>
      <c r="D67" s="385"/>
      <c r="E67" s="16"/>
      <c r="F67" s="386"/>
    </row>
    <row r="68" spans="1:7" ht="12.75" x14ac:dyDescent="0.2">
      <c r="B68" s="113"/>
      <c r="C68" s="113"/>
      <c r="D68" s="113"/>
      <c r="E68" s="15"/>
      <c r="F68" s="164"/>
    </row>
    <row r="69" spans="1:7" ht="12.75" x14ac:dyDescent="0.2">
      <c r="A69" s="276" t="str">
        <f ca="1">IF(LEN(E69)&gt;0,"#"&amp;OFFSET(Bids,-1,CEILING(ROW(E69)-ROW(E$31),4)/2-1,1,1),"")</f>
        <v/>
      </c>
      <c r="B69" s="206" t="str">
        <f ca="1">IFERROR(INDEX(Bidders,1,CEILING(ROW(B69)-ROW(B$31),4)/2-1),"")</f>
        <v/>
      </c>
      <c r="C69" s="385"/>
      <c r="D69" s="385"/>
      <c r="E69" s="152" t="str">
        <f ca="1">IFERROR(INDEX(Bids,1,CEILING(ROW(E69)-ROW(E$31),4)/2),"")</f>
        <v/>
      </c>
      <c r="F69" s="386"/>
      <c r="G69" s="1" t="str">
        <f ca="1">IFERROR(INDEX(Bids,1,CEILING(ROW(E69)-ROW(E$31),4)/2-1),"")</f>
        <v/>
      </c>
    </row>
    <row r="70" spans="1:7" ht="12.75" x14ac:dyDescent="0.2">
      <c r="B70" s="157"/>
      <c r="C70" s="385"/>
      <c r="D70" s="385"/>
      <c r="E70" s="16"/>
      <c r="F70" s="386"/>
    </row>
    <row r="71" spans="1:7" ht="12.75" x14ac:dyDescent="0.2">
      <c r="B71" s="157"/>
      <c r="C71" s="385"/>
      <c r="D71" s="385"/>
      <c r="E71" s="16"/>
      <c r="F71" s="386"/>
    </row>
    <row r="72" spans="1:7" ht="12.75" x14ac:dyDescent="0.2">
      <c r="B72" s="113"/>
      <c r="C72" s="113"/>
      <c r="D72" s="113"/>
      <c r="F72" s="164"/>
    </row>
    <row r="73" spans="1:7" ht="12.75" x14ac:dyDescent="0.2">
      <c r="A73" s="276" t="str">
        <f ca="1">IF(LEN(E73)&gt;0,"#"&amp;OFFSET(Bids,-1,CEILING(ROW(E73)-ROW(E$31),4)/2-1,1,1),"")</f>
        <v/>
      </c>
      <c r="B73" s="206" t="str">
        <f ca="1">IFERROR(INDEX(Bidders,1,CEILING(ROW(B73)-ROW(B$31),4)/2-1),"")</f>
        <v/>
      </c>
      <c r="C73" s="385"/>
      <c r="D73" s="385"/>
      <c r="E73" s="152" t="str">
        <f ca="1">IFERROR(INDEX(Bids,1,CEILING(ROW(E73)-ROW(E$31),4)/2),"")</f>
        <v/>
      </c>
      <c r="F73" s="386"/>
      <c r="G73" s="1" t="str">
        <f ca="1">IFERROR(INDEX(Bids,1,CEILING(ROW(E73)-ROW(E$31),4)/2-1),"")</f>
        <v/>
      </c>
    </row>
    <row r="74" spans="1:7" ht="12.75" x14ac:dyDescent="0.2">
      <c r="B74" s="157"/>
      <c r="C74" s="385"/>
      <c r="D74" s="385"/>
      <c r="E74" s="16"/>
      <c r="F74" s="386"/>
    </row>
    <row r="75" spans="1:7" ht="12.75" x14ac:dyDescent="0.2">
      <c r="B75" s="157"/>
      <c r="C75" s="385"/>
      <c r="D75" s="385"/>
      <c r="E75" s="16"/>
      <c r="F75" s="386"/>
    </row>
    <row r="76" spans="1:7" ht="12.75" x14ac:dyDescent="0.2">
      <c r="B76" s="113"/>
      <c r="C76" s="113"/>
      <c r="D76" s="113"/>
      <c r="F76" s="164"/>
    </row>
    <row r="77" spans="1:7" ht="12.75" x14ac:dyDescent="0.2">
      <c r="A77" s="276" t="str">
        <f ca="1">IF(LEN(E77)&gt;0,"#"&amp;OFFSET(Bids,-1,CEILING(ROW(E77)-ROW(E$31),4)/2-1,1,1),"")</f>
        <v/>
      </c>
      <c r="B77" s="206" t="str">
        <f ca="1">IFERROR(INDEX(Bidders,1,CEILING(ROW(B77)-ROW(B$31),4)/2-1),"")</f>
        <v/>
      </c>
      <c r="C77" s="385"/>
      <c r="D77" s="385"/>
      <c r="E77" s="152" t="str">
        <f ca="1">IFERROR(INDEX(Bids,1,CEILING(ROW(E77)-ROW(E$31),4)/2),"")</f>
        <v/>
      </c>
      <c r="F77" s="386"/>
      <c r="G77" s="1" t="str">
        <f ca="1">IFERROR(INDEX(Bids,1,CEILING(ROW(E77)-ROW(E$31),4)/2-1),"")</f>
        <v/>
      </c>
    </row>
    <row r="78" spans="1:7" ht="12.75" x14ac:dyDescent="0.2">
      <c r="B78" s="157"/>
      <c r="C78" s="385"/>
      <c r="D78" s="385"/>
      <c r="E78" s="16"/>
      <c r="F78" s="386"/>
    </row>
    <row r="79" spans="1:7" ht="12.75" x14ac:dyDescent="0.2">
      <c r="B79" s="157"/>
      <c r="C79" s="385"/>
      <c r="D79" s="385"/>
      <c r="E79" s="16"/>
      <c r="F79" s="386"/>
    </row>
    <row r="80" spans="1:7" ht="12.75" x14ac:dyDescent="0.2">
      <c r="B80" s="113"/>
      <c r="C80" s="113"/>
      <c r="D80" s="113"/>
      <c r="F80" s="164"/>
    </row>
    <row r="81" spans="1:7" ht="12.75" x14ac:dyDescent="0.2">
      <c r="A81" s="276" t="str">
        <f ca="1">IF(LEN(E81)&gt;0,"#"&amp;OFFSET(Bids,-1,CEILING(ROW(E81)-ROW(E$31),4)/2-1,1,1),"")</f>
        <v/>
      </c>
      <c r="B81" s="206" t="str">
        <f ca="1">IFERROR(INDEX(Bidders,1,CEILING(ROW(B81)-ROW(B$31),4)/2-1),"")</f>
        <v/>
      </c>
      <c r="C81" s="385"/>
      <c r="D81" s="385"/>
      <c r="E81" s="152" t="str">
        <f ca="1">IFERROR(INDEX(Bids,1,CEILING(ROW(E81)-ROW(E$31),4)/2),"")</f>
        <v/>
      </c>
      <c r="F81" s="386"/>
      <c r="G81" s="1" t="str">
        <f ca="1">IFERROR(INDEX(Bids,1,CEILING(ROW(E81)-ROW(E$31),4)/2-1),"")</f>
        <v/>
      </c>
    </row>
    <row r="82" spans="1:7" ht="12.75" x14ac:dyDescent="0.2">
      <c r="B82" s="157"/>
      <c r="C82" s="385"/>
      <c r="D82" s="385"/>
      <c r="E82" s="16"/>
      <c r="F82" s="386"/>
    </row>
    <row r="83" spans="1:7" ht="12.75" x14ac:dyDescent="0.2">
      <c r="B83" s="157"/>
      <c r="C83" s="385"/>
      <c r="D83" s="385"/>
      <c r="E83" s="16"/>
      <c r="F83" s="386"/>
    </row>
    <row r="84" spans="1:7" ht="12.75" x14ac:dyDescent="0.2">
      <c r="B84" s="113"/>
      <c r="C84" s="113"/>
      <c r="D84" s="113"/>
      <c r="F84" s="164"/>
    </row>
    <row r="85" spans="1:7" ht="12.75" x14ac:dyDescent="0.2">
      <c r="A85" s="276" t="str">
        <f ca="1">IF(LEN(E85)&gt;0,"#"&amp;OFFSET(Bids,-1,CEILING(ROW(E85)-ROW(E$31),4)/2-1,1,1),"")</f>
        <v/>
      </c>
      <c r="B85" s="206" t="str">
        <f ca="1">IFERROR(INDEX(Bidders,1,CEILING(ROW(B85)-ROW(B$31),4)/2-1),"")</f>
        <v/>
      </c>
      <c r="C85" s="385"/>
      <c r="D85" s="385"/>
      <c r="E85" s="152" t="str">
        <f ca="1">IFERROR(INDEX(Bids,1,CEILING(ROW(E85)-ROW(E$31),4)/2),"")</f>
        <v/>
      </c>
      <c r="F85" s="386"/>
      <c r="G85" s="1" t="str">
        <f ca="1">IFERROR(INDEX(Bids,1,CEILING(ROW(E85)-ROW(E$31),4)/2-1),"")</f>
        <v/>
      </c>
    </row>
    <row r="86" spans="1:7" ht="12.75" x14ac:dyDescent="0.2">
      <c r="B86" s="157"/>
      <c r="C86" s="385"/>
      <c r="D86" s="385"/>
      <c r="E86" s="16"/>
      <c r="F86" s="386"/>
    </row>
    <row r="87" spans="1:7" ht="12.75" x14ac:dyDescent="0.2">
      <c r="B87" s="157"/>
      <c r="C87" s="385"/>
      <c r="D87" s="385"/>
      <c r="E87" s="16"/>
      <c r="F87" s="386"/>
    </row>
    <row r="88" spans="1:7" ht="12.75" x14ac:dyDescent="0.2">
      <c r="B88" s="113"/>
      <c r="C88" s="113"/>
      <c r="D88" s="113"/>
      <c r="F88" s="164"/>
    </row>
    <row r="89" spans="1:7" ht="12.75" x14ac:dyDescent="0.2">
      <c r="A89" s="276" t="str">
        <f ca="1">IF(LEN(E89)&gt;0,"#"&amp;OFFSET(Bids,-1,CEILING(ROW(E89)-ROW(E$31),4)/2-1,1,1),"")</f>
        <v/>
      </c>
      <c r="B89" s="206" t="str">
        <f ca="1">IFERROR(INDEX(Bidders,1,CEILING(ROW(B89)-ROW(B$31),4)/2-1),"")</f>
        <v/>
      </c>
      <c r="C89" s="385"/>
      <c r="D89" s="385"/>
      <c r="E89" s="152" t="str">
        <f ca="1">IFERROR(INDEX(Bids,1,CEILING(ROW(E89)-ROW(E$31),4)/2),"")</f>
        <v/>
      </c>
      <c r="F89" s="386"/>
      <c r="G89" s="1" t="str">
        <f ca="1">IFERROR(INDEX(Bids,1,CEILING(ROW(E89)-ROW(E$31),4)/2-1),"")</f>
        <v/>
      </c>
    </row>
    <row r="90" spans="1:7" ht="12.75" x14ac:dyDescent="0.2">
      <c r="B90" s="157"/>
      <c r="C90" s="385"/>
      <c r="D90" s="385"/>
      <c r="E90" s="16"/>
      <c r="F90" s="386"/>
    </row>
    <row r="91" spans="1:7" ht="12.75" x14ac:dyDescent="0.2">
      <c r="B91" s="157"/>
      <c r="C91" s="385"/>
      <c r="D91" s="385"/>
      <c r="E91" s="16"/>
      <c r="F91" s="386"/>
    </row>
    <row r="92" spans="1:7" ht="12.75" x14ac:dyDescent="0.2">
      <c r="B92" s="113"/>
      <c r="C92" s="113"/>
      <c r="D92" s="113"/>
      <c r="F92" s="164"/>
    </row>
    <row r="93" spans="1:7" ht="12.75" x14ac:dyDescent="0.2">
      <c r="A93" s="276" t="str">
        <f ca="1">IF(LEN(E93)&gt;0,"#"&amp;OFFSET(Bids,-1,CEILING(ROW(E93)-ROW(E$31),4)/2-1,1,1),"")</f>
        <v/>
      </c>
      <c r="B93" s="206" t="str">
        <f ca="1">IFERROR(INDEX(Bidders,1,CEILING(ROW(B93)-ROW(B$31),4)/2-1),"")</f>
        <v/>
      </c>
      <c r="C93" s="385"/>
      <c r="D93" s="385"/>
      <c r="E93" s="152" t="str">
        <f ca="1">IFERROR(INDEX(Bids,1,CEILING(ROW(E93)-ROW(E$31),4)/2),"")</f>
        <v/>
      </c>
      <c r="F93" s="386"/>
      <c r="G93" s="1" t="str">
        <f ca="1">IFERROR(INDEX(Bids,1,CEILING(ROW(E93)-ROW(E$31),4)/2-1),"")</f>
        <v/>
      </c>
    </row>
    <row r="94" spans="1:7" ht="12.75" x14ac:dyDescent="0.2">
      <c r="B94" s="157"/>
      <c r="C94" s="385"/>
      <c r="D94" s="385"/>
      <c r="E94" s="16"/>
      <c r="F94" s="386"/>
    </row>
    <row r="95" spans="1:7" ht="12.75" x14ac:dyDescent="0.2">
      <c r="B95" s="157"/>
      <c r="C95" s="385"/>
      <c r="D95" s="385"/>
      <c r="E95" s="16"/>
      <c r="F95" s="386"/>
    </row>
    <row r="96" spans="1:7" ht="12.75" x14ac:dyDescent="0.2">
      <c r="B96" s="113"/>
      <c r="C96" s="113"/>
      <c r="D96" s="113"/>
      <c r="F96" s="164"/>
    </row>
    <row r="97" spans="1:7" ht="12.75" x14ac:dyDescent="0.2">
      <c r="A97" s="276" t="str">
        <f ca="1">IF(LEN(E97)&gt;0,"#"&amp;OFFSET(Bids,-1,CEILING(ROW(E97)-ROW(E$31),4)/2-1,1,1),"")</f>
        <v/>
      </c>
      <c r="B97" s="206" t="str">
        <f ca="1">IFERROR(INDEX(Bidders,1,CEILING(ROW(B97)-ROW(B$31),4)/2-1),"")</f>
        <v/>
      </c>
      <c r="C97" s="385"/>
      <c r="D97" s="385"/>
      <c r="E97" s="152" t="str">
        <f ca="1">IFERROR(INDEX(Bids,1,CEILING(ROW(E97)-ROW(E$31),4)/2),"")</f>
        <v/>
      </c>
      <c r="F97" s="386"/>
      <c r="G97" s="1" t="str">
        <f ca="1">IFERROR(INDEX(Bids,1,CEILING(ROW(E97)-ROW(E$31),4)/2-1),"")</f>
        <v/>
      </c>
    </row>
    <row r="98" spans="1:7" ht="12.75" x14ac:dyDescent="0.2">
      <c r="B98" s="157"/>
      <c r="C98" s="385"/>
      <c r="D98" s="385"/>
      <c r="E98" s="16"/>
      <c r="F98" s="386"/>
    </row>
    <row r="99" spans="1:7" ht="12.75" x14ac:dyDescent="0.2">
      <c r="B99" s="157"/>
      <c r="C99" s="385"/>
      <c r="D99" s="385"/>
      <c r="E99" s="16"/>
      <c r="F99" s="386"/>
    </row>
    <row r="100" spans="1:7" ht="12.75" x14ac:dyDescent="0.2">
      <c r="B100" s="113"/>
      <c r="C100" s="113"/>
      <c r="D100" s="113"/>
      <c r="F100" s="164"/>
    </row>
    <row r="101" spans="1:7" ht="12.75" x14ac:dyDescent="0.2">
      <c r="A101" s="276" t="str">
        <f ca="1">IF(LEN(E101)&gt;0,"#"&amp;OFFSET(Bids,-1,CEILING(ROW(E101)-ROW(E$31),4)/2-1,1,1),"")</f>
        <v/>
      </c>
      <c r="B101" s="206" t="str">
        <f ca="1">IFERROR(INDEX(Bidders,1,CEILING(ROW(B101)-ROW(B$31),4)/2-1),"")</f>
        <v/>
      </c>
      <c r="C101" s="385"/>
      <c r="D101" s="385"/>
      <c r="E101" s="152" t="str">
        <f ca="1">IFERROR(INDEX(Bids,1,CEILING(ROW(E101)-ROW(E$31),4)/2),"")</f>
        <v/>
      </c>
      <c r="F101" s="386"/>
      <c r="G101" s="1" t="str">
        <f ca="1">IFERROR(INDEX(Bids,1,CEILING(ROW(E101)-ROW(E$31),4)/2-1),"")</f>
        <v/>
      </c>
    </row>
    <row r="102" spans="1:7" ht="12.75" x14ac:dyDescent="0.2">
      <c r="B102" s="157"/>
      <c r="C102" s="385"/>
      <c r="D102" s="385"/>
      <c r="E102" s="16"/>
      <c r="F102" s="386"/>
    </row>
    <row r="103" spans="1:7" ht="12.75" x14ac:dyDescent="0.2">
      <c r="B103" s="157"/>
      <c r="C103" s="385"/>
      <c r="D103" s="385"/>
      <c r="E103" s="16"/>
      <c r="F103" s="386"/>
    </row>
    <row r="104" spans="1:7" x14ac:dyDescent="0.15">
      <c r="B104" s="3" t="s">
        <v>310</v>
      </c>
      <c r="C104" s="1" t="str">
        <f ca="1">ADDRESS(ROW(B2),COLUMN(B2),1,1,REPLACE(CELL("filename",B2),1,FIND("]",CELL("filename",B2)),""))&amp;":"&amp;CELL("address",OFFSET(E31,MAX(4,2*COLUMNS(Bidders)),1))</f>
        <v>'Bid Tabs Summary'!$B$2:$F$35</v>
      </c>
    </row>
    <row r="105" spans="1:7" x14ac:dyDescent="0.15">
      <c r="D105" s="3" t="s">
        <v>311</v>
      </c>
      <c r="E105" s="208" t="e">
        <f ca="1">INDEX($E$31:$E$104,MATCH(Awarded2,$B$31:$B$104,0))</f>
        <v>#N/A</v>
      </c>
    </row>
    <row r="106" spans="1:7" x14ac:dyDescent="0.15">
      <c r="C106"/>
    </row>
  </sheetData>
  <sheetProtection sheet="1" objects="1" scenarios="1"/>
  <mergeCells count="44">
    <mergeCell ref="C93:D95"/>
    <mergeCell ref="F93:F95"/>
    <mergeCell ref="C97:D99"/>
    <mergeCell ref="F97:F99"/>
    <mergeCell ref="C101:D103"/>
    <mergeCell ref="F101:F103"/>
    <mergeCell ref="C81:D83"/>
    <mergeCell ref="F81:F83"/>
    <mergeCell ref="C85:D87"/>
    <mergeCell ref="F85:F87"/>
    <mergeCell ref="C89:D91"/>
    <mergeCell ref="F89:F91"/>
    <mergeCell ref="C65:D67"/>
    <mergeCell ref="F65:F67"/>
    <mergeCell ref="C69:D71"/>
    <mergeCell ref="F69:F71"/>
    <mergeCell ref="C27:D27"/>
    <mergeCell ref="C33:D35"/>
    <mergeCell ref="F33:F35"/>
    <mergeCell ref="C41:D43"/>
    <mergeCell ref="C45:D47"/>
    <mergeCell ref="C77:D79"/>
    <mergeCell ref="F37:F39"/>
    <mergeCell ref="F41:F43"/>
    <mergeCell ref="F45:F47"/>
    <mergeCell ref="F49:F51"/>
    <mergeCell ref="F53:F55"/>
    <mergeCell ref="F57:F59"/>
    <mergeCell ref="F61:F63"/>
    <mergeCell ref="F73:F75"/>
    <mergeCell ref="F77:F79"/>
    <mergeCell ref="C49:D51"/>
    <mergeCell ref="C53:D55"/>
    <mergeCell ref="C57:D59"/>
    <mergeCell ref="C61:D63"/>
    <mergeCell ref="C73:D75"/>
    <mergeCell ref="C37:D39"/>
    <mergeCell ref="C7:D7"/>
    <mergeCell ref="D17:E17"/>
    <mergeCell ref="C25:D25"/>
    <mergeCell ref="D19:E19"/>
    <mergeCell ref="B22:D22"/>
    <mergeCell ref="B23:D23"/>
    <mergeCell ref="B24:D24"/>
  </mergeCells>
  <conditionalFormatting sqref="A3:D4 A6:B6 A1:XFD2 A5:XFD5 F3:XFD4 D6:XFD6 A7:XFD7 A9:XFD1048576 F8:XFD8 A8:C8">
    <cfRule type="expression" dxfId="163" priority="10">
      <formula>AND(NOT(Highlights),CELL("protect",A1)=0)</formula>
    </cfRule>
  </conditionalFormatting>
  <conditionalFormatting sqref="B26">
    <cfRule type="expression" dxfId="162" priority="8">
      <formula>AND(NOT(Highlights),CELL("protect",B26)=0)</formula>
    </cfRule>
  </conditionalFormatting>
  <conditionalFormatting sqref="B27">
    <cfRule type="expression" dxfId="161" priority="7">
      <formula>AND(NOT(Highlights),CELL("protect",B27)=0)</formula>
    </cfRule>
  </conditionalFormatting>
  <conditionalFormatting sqref="F27">
    <cfRule type="expression" dxfId="160" priority="6">
      <formula>AND(NOT(Highlights),CELL("protect",F27)=0)</formula>
    </cfRule>
  </conditionalFormatting>
  <conditionalFormatting sqref="B32:B104">
    <cfRule type="expression" dxfId="159" priority="5">
      <formula>AND(LEFT($B32,1)="~",$E32&gt;0)</formula>
    </cfRule>
  </conditionalFormatting>
  <conditionalFormatting sqref="E3:E4">
    <cfRule type="expression" dxfId="158" priority="4">
      <formula>AND(NOT(Highlights),CELL("protect",E3)=0)</formula>
    </cfRule>
  </conditionalFormatting>
  <conditionalFormatting sqref="C6">
    <cfRule type="expression" dxfId="157" priority="3">
      <formula>AND(NOT(Highlights),CELL("protect",C6)=0)</formula>
    </cfRule>
  </conditionalFormatting>
  <conditionalFormatting sqref="C6 C4 C8:C9">
    <cfRule type="expression" dxfId="156" priority="2">
      <formula>OR(LEN(TRIM(C4))=0,C4=0)</formula>
    </cfRule>
  </conditionalFormatting>
  <conditionalFormatting sqref="E31">
    <cfRule type="expression" dxfId="155" priority="1">
      <formula>E31&lt;&gt;EngEst</formula>
    </cfRule>
  </conditionalFormatting>
  <dataValidations count="3">
    <dataValidation type="list" allowBlank="1" showInputMessage="1" showErrorMessage="1" sqref="F1" xr:uid="{00000000-0002-0000-0500-000000000000}">
      <formula1>"True,False"</formula1>
    </dataValidation>
    <dataValidation type="list" allowBlank="1" showInputMessage="1" showErrorMessage="1" promptTitle="Select one..." sqref="F27" xr:uid="{00000000-0002-0000-0500-000001000000}">
      <formula1>"Do NOT Release Data,Data is Public"</formula1>
    </dataValidation>
    <dataValidation type="list" allowBlank="1" showInputMessage="1" showErrorMessage="1" sqref="C25:D25" xr:uid="{00000000-0002-0000-0500-000002000000}">
      <formula1>Bidders</formula1>
    </dataValidation>
  </dataValidations>
  <pageMargins left="0.75" right="0.75" top="0.5" bottom="0.5" header="0.5" footer="0.25"/>
  <pageSetup fitToHeight="0" orientation="portrait" horizontalDpi="1200" verticalDpi="1200" r:id="rId1"/>
  <headerFooter alignWithMargins="0">
    <oddFooter>&amp;L&amp;D&amp;C&amp;"Verdana,Bold"FHWA Confidential&amp;RPage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508"/>
  <sheetViews>
    <sheetView showGridLines="0" zoomScaleNormal="100" workbookViewId="0">
      <pane xSplit="7" ySplit="8" topLeftCell="H9" activePane="bottomRight" state="frozen"/>
      <selection pane="topRight" activeCell="G1" sqref="G1"/>
      <selection pane="bottomLeft" activeCell="A10" sqref="A10"/>
      <selection pane="bottomRight" activeCell="B6" sqref="B6"/>
    </sheetView>
  </sheetViews>
  <sheetFormatPr defaultRowHeight="10.5" x14ac:dyDescent="0.15"/>
  <cols>
    <col min="1" max="1" width="4.7109375" style="1" customWidth="1"/>
    <col min="2" max="2" width="13.28515625" style="1" customWidth="1"/>
    <col min="3" max="3" width="15.7109375" style="1" customWidth="1"/>
    <col min="4" max="4" width="16.7109375" style="1" customWidth="1"/>
    <col min="5" max="5" width="10.7109375" style="1" customWidth="1"/>
    <col min="6" max="6" width="20.7109375" style="1" customWidth="1"/>
    <col min="7" max="7" width="20.7109375" style="149" customWidth="1"/>
    <col min="8" max="43" width="20.7109375" style="1" customWidth="1"/>
    <col min="44" max="16384" width="9.140625" style="1"/>
  </cols>
  <sheetData>
    <row r="1" spans="1:44" ht="15" x14ac:dyDescent="0.2">
      <c r="B1" s="203" t="str">
        <f ca="1">IF(NumPayItems&gt;MAX(A:A),"ADDITIONAL LINES NEEDED AT BOTTOM","")</f>
        <v/>
      </c>
      <c r="H1" s="21" t="s">
        <v>312</v>
      </c>
      <c r="I1" s="210"/>
      <c r="J1" s="210"/>
      <c r="K1" s="210"/>
      <c r="L1" s="210"/>
      <c r="M1" s="210"/>
      <c r="N1" s="21" t="s">
        <v>312</v>
      </c>
      <c r="O1" s="210"/>
      <c r="P1" s="210"/>
      <c r="Q1" s="210"/>
      <c r="R1" s="210"/>
      <c r="S1" s="210"/>
      <c r="T1" s="21" t="s">
        <v>312</v>
      </c>
      <c r="U1" s="210"/>
      <c r="V1" s="210"/>
      <c r="W1" s="210"/>
      <c r="X1" s="210"/>
      <c r="Y1" s="210"/>
      <c r="Z1" s="21" t="s">
        <v>312</v>
      </c>
      <c r="AA1" s="210"/>
      <c r="AB1" s="210"/>
      <c r="AC1" s="210"/>
      <c r="AD1" s="210"/>
      <c r="AE1" s="210"/>
      <c r="AF1" s="21" t="s">
        <v>312</v>
      </c>
      <c r="AG1" s="210"/>
      <c r="AH1" s="210"/>
      <c r="AI1" s="210"/>
      <c r="AJ1" s="210"/>
      <c r="AK1" s="210"/>
      <c r="AL1" s="21" t="s">
        <v>312</v>
      </c>
      <c r="AM1" s="210"/>
      <c r="AN1" s="210"/>
      <c r="AO1" s="210"/>
      <c r="AP1" s="210"/>
      <c r="AQ1" s="210"/>
    </row>
    <row r="2" spans="1:44" ht="12.75" x14ac:dyDescent="0.2">
      <c r="D2" s="1" t="str">
        <f ca="1">ADDRESS(ROW(F8)+1,COLUMN(F8),1,1,REPLACE(CELL("filename",F8),1,FIND("]",CELL("filename",F8)),""))&amp;":"&amp;ADDRESS(ROW(G8)+2*NumPayItems,COLUMN(G8)+MAX(COLUMNS(Bidders),2),1,1)</f>
        <v>'Bid Tabs'!$F$9:$I$22</v>
      </c>
      <c r="F2" s="1" t="str">
        <f ca="1">ADDRESS(ROW(F7),COLUMN(F7)+2,1,1,REPLACE(CELL("filename",F7),1,FIND("]",CELL("filename",F7)),""))&amp;":"&amp;ADDRESS(ROW(F7),COLUMN(Bids)+COLUMNS(Bids)-1,1,1)</f>
        <v>'Bid Tabs'!$H$7:$H$7</v>
      </c>
      <c r="G2" s="94" t="str">
        <f ca="1">ADDRESS(ROW(G3),COLUMN(G3)+1,1,1,REPLACE(CELL("filename",G3),1,FIND("]",CELL("filename",G3)),""))&amp;":"&amp;ADDRESS(ROW(G3),COLUMN(G3)+MAX(MATCH("",OFFSET(G3,0,1,1,100),0)-1,1),1,1)</f>
        <v>'Bid Tabs'!$H$3:$H$3</v>
      </c>
      <c r="H2" s="207"/>
      <c r="I2" s="276" t="str">
        <f ca="1">IF(I3&gt;0,RANK(I3,Bids,1),"")</f>
        <v/>
      </c>
      <c r="J2" s="19"/>
      <c r="K2" s="276" t="str">
        <f ca="1">IF(K3&gt;0,RANK(K3,Bids,1),"")</f>
        <v/>
      </c>
      <c r="L2" s="19"/>
      <c r="M2" s="276" t="str">
        <f ca="1">IF(M3&gt;0,RANK(M3,Bids,1),"")</f>
        <v/>
      </c>
      <c r="N2" s="19"/>
      <c r="O2" s="276" t="str">
        <f ca="1">IF(O3&gt;0,RANK(O3,Bids,1),"")</f>
        <v/>
      </c>
      <c r="P2" s="19"/>
      <c r="Q2" s="276" t="str">
        <f ca="1">IF(Q3&gt;0,RANK(Q3,Bids,1),"")</f>
        <v/>
      </c>
      <c r="R2" s="19"/>
      <c r="S2" s="276" t="str">
        <f ca="1">IF(S3&gt;0,RANK(S3,Bids,1),"")</f>
        <v/>
      </c>
      <c r="T2" s="19"/>
      <c r="U2" s="276" t="str">
        <f ca="1">IF(U3&gt;0,RANK(U3,Bids,1),"")</f>
        <v/>
      </c>
      <c r="V2" s="19"/>
      <c r="W2" s="276" t="str">
        <f ca="1">IF(W3&gt;0,RANK(W3,Bids,1),"")</f>
        <v/>
      </c>
      <c r="X2" s="19"/>
      <c r="Y2" s="276" t="str">
        <f ca="1">IF(Y3&gt;0,RANK(Y3,Bids,1),"")</f>
        <v/>
      </c>
      <c r="Z2" s="19"/>
      <c r="AA2" s="276" t="str">
        <f ca="1">IF(AA3&gt;0,RANK(AA3,Bids,1),"")</f>
        <v/>
      </c>
      <c r="AB2" s="19"/>
      <c r="AC2" s="276" t="str">
        <f ca="1">IF(AC3&gt;0,RANK(AC3,Bids,1),"")</f>
        <v/>
      </c>
      <c r="AD2" s="19"/>
      <c r="AE2" s="276" t="str">
        <f ca="1">IF(AE3&gt;0,RANK(AE3,Bids,1),"")</f>
        <v/>
      </c>
      <c r="AF2" s="19"/>
      <c r="AG2" s="276" t="str">
        <f ca="1">IF(AG3&gt;0,RANK(AG3,Bids,1),"")</f>
        <v/>
      </c>
      <c r="AH2" s="19"/>
      <c r="AI2" s="276" t="str">
        <f ca="1">IF(AI3&gt;0,RANK(AI3,Bids,1),"")</f>
        <v/>
      </c>
      <c r="AJ2" s="19"/>
      <c r="AK2" s="276" t="str">
        <f ca="1">IF(AK3&gt;0,RANK(AK3,Bids,1),"")</f>
        <v/>
      </c>
      <c r="AL2" s="19"/>
      <c r="AM2" s="276" t="str">
        <f ca="1">IF(AM3&gt;0,RANK(AM3,Bids,1),"")</f>
        <v/>
      </c>
      <c r="AN2" s="19"/>
      <c r="AO2" s="276" t="str">
        <f ca="1">IF(AO3&gt;0,RANK(AO3,Bids,1),"")</f>
        <v/>
      </c>
      <c r="AP2" s="19"/>
      <c r="AQ2" s="276" t="str">
        <f ca="1">IF(AQ3&gt;0,RANK(AQ3,Bids,1),"")</f>
        <v/>
      </c>
    </row>
    <row r="3" spans="1:44" ht="15" x14ac:dyDescent="0.2">
      <c r="A3" s="172"/>
      <c r="B3" s="276" t="str">
        <f>IF(LEFT(SchedOpt,1)&lt;&gt;"&lt;",SchedOpt&amp;" " &amp;Letter,"")</f>
        <v/>
      </c>
      <c r="C3" s="16"/>
      <c r="D3" s="16"/>
      <c r="E3" s="26" t="s">
        <v>313</v>
      </c>
      <c r="G3" s="151">
        <f ca="1">SUM(OFFSET(G8,1,0,2*NumPayItems,1))</f>
        <v>0</v>
      </c>
      <c r="H3" s="204" t="str">
        <f ca="1">IF(I3&gt;0,TEXT((I3-EngEst)/EngEst,"0.0%"),"")</f>
        <v/>
      </c>
      <c r="I3" s="25">
        <f ca="1">SUMIF(OFFSET($B8,1,0,2*NumPayItems,1),"Line*",OFFSET(I8,1,0,2*NumPayItems,1))</f>
        <v>0</v>
      </c>
      <c r="J3" s="204" t="str">
        <f ca="1">IF(K3&gt;0,TEXT((K3-EngEst)/EngEst,"0.0%"),"")</f>
        <v/>
      </c>
      <c r="K3" s="25">
        <f ca="1">SUMIF(OFFSET($B8,1,0,2*NumPayItems,1),"Line*",OFFSET(K8,1,0,2*NumPayItems,1))</f>
        <v>0</v>
      </c>
      <c r="L3" s="204" t="str">
        <f ca="1">IF(M3&gt;0,TEXT((M3-EngEst)/EngEst,"0.0%"),"")</f>
        <v/>
      </c>
      <c r="M3" s="25">
        <f ca="1">SUMIF(OFFSET($B8,1,0,2*NumPayItems,1),"Line*",OFFSET(M8,1,0,2*NumPayItems,1))</f>
        <v>0</v>
      </c>
      <c r="N3" s="204" t="str">
        <f ca="1">IF(O3&gt;0,TEXT((O3-EngEst)/EngEst,"0.0%"),"")</f>
        <v/>
      </c>
      <c r="O3" s="25">
        <f ca="1">SUMIF(OFFSET($B8,1,0,2*NumPayItems,1),"Line*",OFFSET(O8,1,0,2*NumPayItems,1))</f>
        <v>0</v>
      </c>
      <c r="P3" s="204" t="str">
        <f ca="1">IF(Q3&gt;0,TEXT((Q3-EngEst)/EngEst,"0.0%"),"")</f>
        <v/>
      </c>
      <c r="Q3" s="25">
        <f ca="1">SUMIF(OFFSET($B8,1,0,2*NumPayItems,1),"Line*",OFFSET(Q8,1,0,2*NumPayItems,1))</f>
        <v>0</v>
      </c>
      <c r="R3" s="204" t="str">
        <f ca="1">IF(S3&gt;0,TEXT((S3-EngEst)/EngEst,"0.0%"),"")</f>
        <v/>
      </c>
      <c r="S3" s="25">
        <f ca="1">SUMIF(OFFSET($B8,1,0,2*NumPayItems,1),"Line*",OFFSET(S8,1,0,2*NumPayItems,1))</f>
        <v>0</v>
      </c>
      <c r="T3" s="204" t="str">
        <f ca="1">IF(U3&gt;0,TEXT((U3-EngEst)/EngEst,"0.0%"),"")</f>
        <v/>
      </c>
      <c r="U3" s="25">
        <f ca="1">SUMIF(OFFSET($B8,1,0,2*NumPayItems,1),"Line*",OFFSET(U8,1,0,2*NumPayItems,1))</f>
        <v>0</v>
      </c>
      <c r="V3" s="204" t="str">
        <f ca="1">IF(W3&gt;0,TEXT((W3-EngEst)/EngEst,"0.0%"),"")</f>
        <v/>
      </c>
      <c r="W3" s="25">
        <f ca="1">SUMIF(OFFSET($B8,1,0,2*NumPayItems,1),"Line*",OFFSET(W8,1,0,2*NumPayItems,1))</f>
        <v>0</v>
      </c>
      <c r="X3" s="204" t="str">
        <f ca="1">IF(Y3&gt;0,TEXT((Y3-EngEst)/EngEst,"0.0%"),"")</f>
        <v/>
      </c>
      <c r="Y3" s="25">
        <f ca="1">SUMIF(OFFSET($B8,1,0,2*NumPayItems,1),"Line*",OFFSET(Y8,1,0,2*NumPayItems,1))</f>
        <v>0</v>
      </c>
      <c r="Z3" s="204" t="str">
        <f ca="1">IF(AA3&gt;0,TEXT((AA3-EngEst)/EngEst,"0.0%"),"")</f>
        <v/>
      </c>
      <c r="AA3" s="25">
        <f ca="1">SUMIF(OFFSET($B8,1,0,2*NumPayItems,1),"Line*",OFFSET(AA8,1,0,2*NumPayItems,1))</f>
        <v>0</v>
      </c>
      <c r="AB3" s="204" t="str">
        <f ca="1">IF(AC3&gt;0,TEXT((AC3-EngEst)/EngEst,"0.0%"),"")</f>
        <v/>
      </c>
      <c r="AC3" s="25">
        <f ca="1">SUMIF(OFFSET($B8,1,0,2*NumPayItems,1),"Line*",OFFSET(AC8,1,0,2*NumPayItems,1))</f>
        <v>0</v>
      </c>
      <c r="AD3" s="204" t="str">
        <f ca="1">IF(AE3&gt;0,TEXT((AE3-EngEst)/EngEst,"0.0%"),"")</f>
        <v/>
      </c>
      <c r="AE3" s="25">
        <f ca="1">SUMIF(OFFSET($B8,1,0,2*NumPayItems,1),"Line*",OFFSET(AE8,1,0,2*NumPayItems,1))</f>
        <v>0</v>
      </c>
      <c r="AF3" s="204" t="str">
        <f ca="1">IF(AG3&gt;0,TEXT((AG3-EngEst)/EngEst,"0.0%"),"")</f>
        <v/>
      </c>
      <c r="AG3" s="25">
        <f ca="1">SUMIF(OFFSET($B8,1,0,2*NumPayItems,1),"Line*",OFFSET(AG8,1,0,2*NumPayItems,1))</f>
        <v>0</v>
      </c>
      <c r="AH3" s="204" t="str">
        <f ca="1">IF(AI3&gt;0,TEXT((AI3-EngEst)/EngEst,"0.0%"),"")</f>
        <v/>
      </c>
      <c r="AI3" s="25">
        <f ca="1">SUMIF(OFFSET($B8,1,0,2*NumPayItems,1),"Line*",OFFSET(AI8,1,0,2*NumPayItems,1))</f>
        <v>0</v>
      </c>
      <c r="AJ3" s="204" t="str">
        <f ca="1">IF(AK3&gt;0,TEXT((AK3-EngEst)/EngEst,"0.0%"),"")</f>
        <v/>
      </c>
      <c r="AK3" s="25">
        <f ca="1">SUMIF(OFFSET($B8,1,0,2*NumPayItems,1),"Line*",OFFSET(AK8,1,0,2*NumPayItems,1))</f>
        <v>0</v>
      </c>
      <c r="AL3" s="204" t="str">
        <f ca="1">IF(AM3&gt;0,TEXT((AM3-EngEst)/EngEst,"0.0%"),"")</f>
        <v/>
      </c>
      <c r="AM3" s="25">
        <f ca="1">SUMIF(OFFSET($B8,1,0,2*NumPayItems,1),"Line*",OFFSET(AM8,1,0,2*NumPayItems,1))</f>
        <v>0</v>
      </c>
      <c r="AN3" s="204" t="str">
        <f ca="1">IF(AO3&gt;0,TEXT((AO3-EngEst)/EngEst,"0.0%"),"")</f>
        <v/>
      </c>
      <c r="AO3" s="25">
        <f ca="1">SUMIF(OFFSET($B8,1,0,2*NumPayItems,1),"Line*",OFFSET(AO8,1,0,2*NumPayItems,1))</f>
        <v>0</v>
      </c>
      <c r="AP3" s="204" t="str">
        <f ca="1">IF(AQ3&gt;0,TEXT((AQ3-EngEst)/EngEst,"0.0%"),"")</f>
        <v/>
      </c>
      <c r="AQ3" s="25">
        <f ca="1">SUMIF(OFFSET($B8,1,0,2*NumPayItems,1),"Line*",OFFSET(AQ8,1,0,2*NumPayItems,1))</f>
        <v>0</v>
      </c>
      <c r="AR3" s="204" t="str">
        <f>IF(AS3&gt;0,TEXT((AS3-EngEst)/EngEst,"0.0%"),"")</f>
        <v/>
      </c>
    </row>
    <row r="4" spans="1:44" ht="15" x14ac:dyDescent="0.2">
      <c r="A4" s="172"/>
      <c r="B4" s="17" t="s">
        <v>219</v>
      </c>
      <c r="C4" s="16" t="str">
        <f>ProjectLine1</f>
        <v>AZ FTNP GRCA 13(1)</v>
      </c>
      <c r="D4" s="16"/>
      <c r="E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row>
    <row r="5" spans="1:44" ht="15" x14ac:dyDescent="0.2">
      <c r="A5" s="172"/>
      <c r="B5" s="16"/>
      <c r="C5" s="16" t="str">
        <f>ProjectLine2</f>
        <v>MT OMAD 18(38)</v>
      </c>
      <c r="D5" s="16"/>
      <c r="E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row>
    <row r="6" spans="1:44" ht="15" x14ac:dyDescent="0.2">
      <c r="A6" s="172"/>
      <c r="B6" s="40" t="str">
        <f>"Project Name:  "&amp;Name</f>
        <v xml:space="preserve">Project Name:  </v>
      </c>
      <c r="C6" s="40"/>
      <c r="D6" s="16"/>
      <c r="E6" s="16"/>
      <c r="F6" s="16"/>
      <c r="G6" s="202"/>
      <c r="H6" s="390"/>
      <c r="I6" s="390"/>
      <c r="J6" s="390"/>
      <c r="K6" s="390"/>
      <c r="L6" s="390"/>
      <c r="M6" s="390"/>
      <c r="N6" s="390"/>
      <c r="O6" s="390"/>
      <c r="P6" s="390"/>
      <c r="Q6" s="390"/>
      <c r="R6" s="390"/>
      <c r="S6" s="390"/>
      <c r="T6" s="390"/>
      <c r="U6" s="390"/>
      <c r="V6" s="390"/>
      <c r="W6" s="390"/>
      <c r="X6" s="390"/>
      <c r="Y6" s="390"/>
      <c r="Z6" s="276"/>
      <c r="AA6" s="276"/>
      <c r="AB6" s="276"/>
      <c r="AC6" s="276"/>
      <c r="AD6" s="390"/>
      <c r="AE6" s="390"/>
      <c r="AF6" s="276"/>
      <c r="AG6" s="276"/>
      <c r="AH6" s="276"/>
      <c r="AI6" s="276"/>
      <c r="AJ6" s="390"/>
      <c r="AK6" s="390"/>
      <c r="AL6" s="276"/>
      <c r="AM6" s="276"/>
      <c r="AN6" s="276"/>
      <c r="AO6" s="276"/>
      <c r="AP6" s="390"/>
      <c r="AQ6" s="390"/>
      <c r="AR6"/>
    </row>
    <row r="7" spans="1:44" ht="15.75" thickBot="1" x14ac:dyDescent="0.25">
      <c r="A7" s="172"/>
      <c r="B7" s="16"/>
      <c r="C7" s="16"/>
      <c r="D7" s="16"/>
      <c r="E7" s="202" t="s">
        <v>248</v>
      </c>
      <c r="F7" s="387" t="s">
        <v>309</v>
      </c>
      <c r="G7" s="387"/>
      <c r="H7" s="391" t="s">
        <v>314</v>
      </c>
      <c r="I7" s="391"/>
      <c r="J7" s="391" t="s">
        <v>314</v>
      </c>
      <c r="K7" s="391"/>
      <c r="L7" s="391" t="s">
        <v>314</v>
      </c>
      <c r="M7" s="391"/>
      <c r="N7" s="391" t="s">
        <v>314</v>
      </c>
      <c r="O7" s="391"/>
      <c r="P7" s="391" t="s">
        <v>314</v>
      </c>
      <c r="Q7" s="391"/>
      <c r="R7" s="391" t="s">
        <v>314</v>
      </c>
      <c r="S7" s="391"/>
      <c r="T7" s="391" t="s">
        <v>314</v>
      </c>
      <c r="U7" s="391"/>
      <c r="V7" s="391" t="s">
        <v>314</v>
      </c>
      <c r="W7" s="391"/>
      <c r="X7" s="391" t="s">
        <v>314</v>
      </c>
      <c r="Y7" s="391"/>
      <c r="Z7" s="391" t="s">
        <v>314</v>
      </c>
      <c r="AA7" s="391"/>
      <c r="AB7" s="391" t="s">
        <v>314</v>
      </c>
      <c r="AC7" s="391"/>
      <c r="AD7" s="391" t="s">
        <v>314</v>
      </c>
      <c r="AE7" s="391"/>
      <c r="AF7" s="391" t="s">
        <v>314</v>
      </c>
      <c r="AG7" s="391"/>
      <c r="AH7" s="391" t="s">
        <v>314</v>
      </c>
      <c r="AI7" s="391"/>
      <c r="AJ7" s="391" t="s">
        <v>314</v>
      </c>
      <c r="AK7" s="391"/>
      <c r="AL7" s="391" t="s">
        <v>314</v>
      </c>
      <c r="AM7" s="391"/>
      <c r="AN7" s="391" t="s">
        <v>314</v>
      </c>
      <c r="AO7" s="391"/>
      <c r="AP7" s="391" t="s">
        <v>314</v>
      </c>
      <c r="AQ7" s="391"/>
    </row>
    <row r="8" spans="1:44" ht="27" customHeight="1" thickTop="1" thickBot="1" x14ac:dyDescent="0.4">
      <c r="A8" s="174"/>
      <c r="B8" s="173" t="s">
        <v>315</v>
      </c>
      <c r="C8" s="173" t="s">
        <v>172</v>
      </c>
      <c r="D8" s="173" t="s">
        <v>156</v>
      </c>
      <c r="E8" s="173"/>
      <c r="F8" s="173" t="s">
        <v>250</v>
      </c>
      <c r="G8" s="173" t="s">
        <v>251</v>
      </c>
      <c r="H8" s="175" t="s">
        <v>250</v>
      </c>
      <c r="I8" s="176" t="s">
        <v>251</v>
      </c>
      <c r="J8" s="175" t="s">
        <v>250</v>
      </c>
      <c r="K8" s="176" t="s">
        <v>251</v>
      </c>
      <c r="L8" s="173" t="s">
        <v>250</v>
      </c>
      <c r="M8" s="176" t="s">
        <v>251</v>
      </c>
      <c r="N8" s="173" t="s">
        <v>250</v>
      </c>
      <c r="O8" s="176" t="s">
        <v>251</v>
      </c>
      <c r="P8" s="173" t="s">
        <v>250</v>
      </c>
      <c r="Q8" s="176" t="s">
        <v>251</v>
      </c>
      <c r="R8" s="173" t="s">
        <v>250</v>
      </c>
      <c r="S8" s="176" t="s">
        <v>251</v>
      </c>
      <c r="T8" s="175" t="s">
        <v>250</v>
      </c>
      <c r="U8" s="176" t="s">
        <v>251</v>
      </c>
      <c r="V8" s="173" t="s">
        <v>250</v>
      </c>
      <c r="W8" s="173" t="s">
        <v>251</v>
      </c>
      <c r="X8" s="173" t="s">
        <v>250</v>
      </c>
      <c r="Y8" s="176" t="s">
        <v>251</v>
      </c>
      <c r="Z8" s="173" t="s">
        <v>250</v>
      </c>
      <c r="AA8" s="176" t="s">
        <v>251</v>
      </c>
      <c r="AB8" s="173" t="s">
        <v>250</v>
      </c>
      <c r="AC8" s="176" t="s">
        <v>251</v>
      </c>
      <c r="AD8" s="173" t="s">
        <v>250</v>
      </c>
      <c r="AE8" s="176" t="s">
        <v>251</v>
      </c>
      <c r="AF8" s="173" t="s">
        <v>250</v>
      </c>
      <c r="AG8" s="176" t="s">
        <v>251</v>
      </c>
      <c r="AH8" s="173" t="s">
        <v>250</v>
      </c>
      <c r="AI8" s="176" t="s">
        <v>251</v>
      </c>
      <c r="AJ8" s="173" t="s">
        <v>250</v>
      </c>
      <c r="AK8" s="176" t="s">
        <v>251</v>
      </c>
      <c r="AL8" s="173" t="s">
        <v>250</v>
      </c>
      <c r="AM8" s="176" t="s">
        <v>251</v>
      </c>
      <c r="AN8" s="173" t="s">
        <v>250</v>
      </c>
      <c r="AO8" s="176" t="s">
        <v>251</v>
      </c>
      <c r="AP8" s="173" t="s">
        <v>250</v>
      </c>
      <c r="AQ8" s="176" t="s">
        <v>251</v>
      </c>
    </row>
    <row r="9" spans="1:44" ht="15" x14ac:dyDescent="0.2">
      <c r="A9" s="276">
        <f t="shared" ref="A9:A72" ca="1" si="0">OFFSET(A9,-2,0)+1</f>
        <v>1</v>
      </c>
      <c r="B9" s="179" t="str">
        <f ca="1">IFERROR(INDEX(INDIRECT(RangeItems),MATCH($A9,INDIRECT(RangeCount),0)),"")</f>
        <v>15101-0000</v>
      </c>
      <c r="C9" s="366" t="str">
        <f ca="1">INDEX(Calcs[Description],$A9)</f>
        <v>MOBILIZATION</v>
      </c>
      <c r="D9" s="366"/>
      <c r="E9" s="366"/>
      <c r="F9" s="366"/>
      <c r="G9" s="366"/>
      <c r="H9" s="389"/>
      <c r="I9" s="180"/>
      <c r="J9" s="389"/>
      <c r="K9" s="180"/>
      <c r="L9" s="389"/>
      <c r="M9" s="180"/>
      <c r="N9" s="389"/>
      <c r="O9" s="180"/>
      <c r="P9" s="389"/>
      <c r="Q9" s="180"/>
      <c r="R9" s="389"/>
      <c r="S9" s="180"/>
      <c r="T9" s="389"/>
      <c r="U9" s="180"/>
      <c r="V9" s="389"/>
      <c r="W9" s="180"/>
      <c r="X9" s="389"/>
      <c r="Y9" s="180"/>
      <c r="Z9" s="389"/>
      <c r="AA9" s="180"/>
      <c r="AB9" s="389"/>
      <c r="AC9" s="180"/>
      <c r="AD9" s="389"/>
      <c r="AE9" s="180"/>
      <c r="AF9" s="389"/>
      <c r="AG9" s="180"/>
      <c r="AH9" s="389"/>
      <c r="AI9" s="180"/>
      <c r="AJ9" s="389"/>
      <c r="AK9" s="180"/>
      <c r="AL9" s="389"/>
      <c r="AM9" s="180"/>
      <c r="AN9" s="389"/>
      <c r="AO9" s="180"/>
      <c r="AP9" s="389"/>
      <c r="AQ9" s="180"/>
      <c r="AR9" s="209" t="b">
        <f ca="1">IF(LEN(B9)&gt;0,ISNUMBER(MATCH(B9,Proposed[Item],0)),"")</f>
        <v>0</v>
      </c>
    </row>
    <row r="10" spans="1:44" ht="15" x14ac:dyDescent="0.2">
      <c r="A10" s="276">
        <f t="shared" ca="1" si="0"/>
        <v>1</v>
      </c>
      <c r="B10" s="111" t="str">
        <f ca="1">IF($A10&lt;=NumPayItems,"Line "&amp;INDEX(Calcs[Line],$A10),"")</f>
        <v>Line A0020</v>
      </c>
      <c r="C10" s="169" t="str">
        <f ca="1">IFERROR(IF($D10="LPSM","ALL",TEXT(INDEX(INDIRECT(RangeQuantity),MATCH($A10,INDIRECT(RangeCount),0)),"#,##0"&amp;IF(OFFSET(Items[],MATCH($A10,INDIRECT(RangeCount),0)-1,MATCH(Decimals,Items[#Headers],0)-1,1,1)&gt;0,"."&amp;REPT("0",OFFSET(Items[],MATCH($A10,INDIRECT(RangeCount),0)-1,MATCH(Decimals,Items[#Headers],0)-1,1,1)),""))),"")</f>
        <v>ALL</v>
      </c>
      <c r="D10" s="170" t="str">
        <f ca="1">IFERROR(INDEX(INDIRECT(RangeUnit),MATCH($A10,INDIRECT(RangeCount),0)),"")</f>
        <v>LPSM</v>
      </c>
      <c r="E10" s="170" t="str">
        <f ca="1">IFERROR(IF(INDEX(INDIRECT(RangeContrQty),MATCH($A10,INDIRECT(RangeCount),0)),"(CQ)",""),"")</f>
        <v/>
      </c>
      <c r="F10" s="171">
        <f ca="1">IFERROR(INDEX(INDIRECT(RangeUnitPrice),MATCH($A10,INDIRECT(RangeCount),0)),"")</f>
        <v>0</v>
      </c>
      <c r="G10" s="171">
        <f ca="1">IFERROR(VALUE(C10)*F10,F10)</f>
        <v>0</v>
      </c>
      <c r="H10" s="388"/>
      <c r="I10" s="178">
        <f ca="1">IF($C10="","",IF($D10="LPSM",H9,VALUE($C10)*H9))</f>
        <v>0</v>
      </c>
      <c r="J10" s="388"/>
      <c r="K10" s="178">
        <f ca="1">IF($C10="","",IF($D10="LPSM",J9,VALUE($C10)*J9))</f>
        <v>0</v>
      </c>
      <c r="L10" s="388"/>
      <c r="M10" s="178">
        <f ca="1">IF($C10="","",IF($D10="LPSM",L9,VALUE($C10)*L9))</f>
        <v>0</v>
      </c>
      <c r="N10" s="388"/>
      <c r="O10" s="178">
        <f ca="1">IF($C10="","",IF($D10="LPSM",N9,VALUE($C10)*N9))</f>
        <v>0</v>
      </c>
      <c r="P10" s="388"/>
      <c r="Q10" s="178">
        <f ca="1">IF($C10="","",IF($D10="LPSM",P9,VALUE($C10)*P9))</f>
        <v>0</v>
      </c>
      <c r="R10" s="388"/>
      <c r="S10" s="178">
        <f ca="1">IF($C10="","",IF($D10="LPSM",R9,VALUE($C10)*R9))</f>
        <v>0</v>
      </c>
      <c r="T10" s="388"/>
      <c r="U10" s="178">
        <f ca="1">IF($C10="","",IF($D10="LPSM",T9,VALUE($C10)*T9))</f>
        <v>0</v>
      </c>
      <c r="V10" s="388"/>
      <c r="W10" s="178">
        <f ca="1">IF($C10="","",IF($D10="LPSM",V9,VALUE($C10)*V9))</f>
        <v>0</v>
      </c>
      <c r="X10" s="388"/>
      <c r="Y10" s="178">
        <f ca="1">IF($C10="","",IF($D10="LPSM",X9,VALUE($C10)*X9))</f>
        <v>0</v>
      </c>
      <c r="Z10" s="388"/>
      <c r="AA10" s="178">
        <f ca="1">IF($C10="","",IF($D10="LPSM",Z9,VALUE($C10)*Z9))</f>
        <v>0</v>
      </c>
      <c r="AB10" s="388"/>
      <c r="AC10" s="178">
        <f ca="1">IF($C10="","",IF($D10="LPSM",AB9,VALUE($C10)*AB9))</f>
        <v>0</v>
      </c>
      <c r="AD10" s="388"/>
      <c r="AE10" s="178">
        <f ca="1">IF($C10="","",IF($D10="LPSM",AD9,VALUE($C10)*AD9))</f>
        <v>0</v>
      </c>
      <c r="AF10" s="388"/>
      <c r="AG10" s="178">
        <f ca="1">IF($C10="","",IF($D10="LPSM",AF9,VALUE($C10)*AF9))</f>
        <v>0</v>
      </c>
      <c r="AH10" s="388"/>
      <c r="AI10" s="178">
        <f ca="1">IF($C10="","",IF($D10="LPSM",AH9,VALUE($C10)*AH9))</f>
        <v>0</v>
      </c>
      <c r="AJ10" s="388"/>
      <c r="AK10" s="178">
        <f ca="1">IF($C10="","",IF($D10="LPSM",AJ9,VALUE($C10)*AJ9))</f>
        <v>0</v>
      </c>
      <c r="AL10" s="388"/>
      <c r="AM10" s="178">
        <f ca="1">IF($C10="","",IF($D10="LPSM",AL9,VALUE($C10)*AL9))</f>
        <v>0</v>
      </c>
      <c r="AN10" s="388"/>
      <c r="AO10" s="178">
        <f ca="1">IF($C10="","",IF($D10="LPSM",AN9,VALUE($C10)*AN9))</f>
        <v>0</v>
      </c>
      <c r="AP10" s="388"/>
      <c r="AQ10" s="178">
        <f ca="1">IF($C10="","",IF($D10="LPSM",AP9,VALUE($C10)*AP9))</f>
        <v>0</v>
      </c>
      <c r="AR10" s="209" t="b">
        <f ca="1">IF(LEN(B10)&gt;0,ISNUMBER(MATCH(B10,Proposed[Item],0)),"")</f>
        <v>0</v>
      </c>
    </row>
    <row r="11" spans="1:44" ht="15" x14ac:dyDescent="0.2">
      <c r="A11" s="276">
        <f t="shared" ca="1" si="0"/>
        <v>2</v>
      </c>
      <c r="B11" s="168" t="str">
        <f ca="1">IFERROR(INDEX(INDIRECT(RangeItems),MATCH($A11,INDIRECT(RangeCount),0)),"")</f>
        <v>15210-3000</v>
      </c>
      <c r="C11" s="365" t="str">
        <f ca="1">INDEX(Calcs[Description],$A11)</f>
        <v>CENTERLINE, VERIFICATION AND STAKING</v>
      </c>
      <c r="D11" s="365"/>
      <c r="E11" s="365"/>
      <c r="F11" s="365"/>
      <c r="G11" s="365"/>
      <c r="H11" s="388"/>
      <c r="I11" s="177"/>
      <c r="J11" s="388"/>
      <c r="K11" s="177"/>
      <c r="L11" s="388"/>
      <c r="M11" s="177"/>
      <c r="N11" s="388"/>
      <c r="O11" s="177"/>
      <c r="P11" s="388"/>
      <c r="Q11" s="177"/>
      <c r="R11" s="388"/>
      <c r="S11" s="177"/>
      <c r="T11" s="388"/>
      <c r="U11" s="177"/>
      <c r="V11" s="388"/>
      <c r="W11" s="177"/>
      <c r="X11" s="388"/>
      <c r="Y11" s="177"/>
      <c r="Z11" s="388"/>
      <c r="AA11" s="177"/>
      <c r="AB11" s="388"/>
      <c r="AC11" s="177"/>
      <c r="AD11" s="388"/>
      <c r="AE11" s="177"/>
      <c r="AF11" s="388"/>
      <c r="AG11" s="177"/>
      <c r="AH11" s="388"/>
      <c r="AI11" s="177"/>
      <c r="AJ11" s="388"/>
      <c r="AK11" s="177"/>
      <c r="AL11" s="388"/>
      <c r="AM11" s="177"/>
      <c r="AN11" s="388"/>
      <c r="AO11" s="177"/>
      <c r="AP11" s="388"/>
      <c r="AQ11" s="177"/>
      <c r="AR11" s="209" t="b">
        <f ca="1">IF(LEN(B11)&gt;0,ISNUMBER(MATCH(B11,Proposed[Item],0)),"")</f>
        <v>0</v>
      </c>
    </row>
    <row r="12" spans="1:44" ht="15" x14ac:dyDescent="0.2">
      <c r="A12" s="276">
        <f t="shared" ca="1" si="0"/>
        <v>2</v>
      </c>
      <c r="B12" s="111" t="str">
        <f ca="1">IF($A12&lt;=NumPayItems,"Line "&amp;INDEX(Calcs[Line],$A12),"")</f>
        <v>Line A0040</v>
      </c>
      <c r="C12" s="169" t="str">
        <f ca="1">IFERROR(IF($D12="LPSM","ALL",TEXT(INDEX(INDIRECT(RangeQuantity),MATCH($A12,INDIRECT(RangeCount),0)),"#,##0"&amp;IF(OFFSET(Items[],MATCH($A12,INDIRECT(RangeCount),0)-1,MATCH(Decimals,Items[#Headers],0)-1,1,1)&gt;0,"."&amp;REPT("0",OFFSET(Items[],MATCH($A12,INDIRECT(RangeCount),0)-1,MATCH(Decimals,Items[#Headers],0)-1,1,1)),""))),"")</f>
        <v>0.00</v>
      </c>
      <c r="D12" s="170" t="str">
        <f ca="1">IFERROR(INDEX(INDIRECT(RangeUnit),MATCH($A12,INDIRECT(RangeCount),0)),"")</f>
        <v>MILE</v>
      </c>
      <c r="E12" s="170" t="str">
        <f ca="1">IFERROR(IF(INDEX(INDIRECT(RangeContrQty),MATCH($A12,INDIRECT(RangeCount),0)),"(CQ)",""),"")</f>
        <v/>
      </c>
      <c r="F12" s="171">
        <f ca="1">IFERROR(INDEX(INDIRECT(RangeUnitPrice),MATCH($A12,INDIRECT(RangeCount),0)),"")</f>
        <v>0</v>
      </c>
      <c r="G12" s="171">
        <f ca="1">IFERROR(VALUE(C12)*F12,F12)</f>
        <v>0</v>
      </c>
      <c r="H12" s="388"/>
      <c r="I12" s="178">
        <f ca="1">IF($C12="","",IF($D12="LPSM",H11,VALUE($C12)*H11))</f>
        <v>0</v>
      </c>
      <c r="J12" s="388"/>
      <c r="K12" s="178">
        <f ca="1">IF($C12="","",IF($D12="LPSM",J11,VALUE($C12)*J11))</f>
        <v>0</v>
      </c>
      <c r="L12" s="388"/>
      <c r="M12" s="178">
        <f ca="1">IF($C12="","",IF($D12="LPSM",L11,VALUE($C12)*L11))</f>
        <v>0</v>
      </c>
      <c r="N12" s="388"/>
      <c r="O12" s="178">
        <f ca="1">IF($C12="","",IF($D12="LPSM",N11,VALUE($C12)*N11))</f>
        <v>0</v>
      </c>
      <c r="P12" s="388"/>
      <c r="Q12" s="178">
        <f ca="1">IF($C12="","",IF($D12="LPSM",P11,VALUE($C12)*P11))</f>
        <v>0</v>
      </c>
      <c r="R12" s="388"/>
      <c r="S12" s="178">
        <f ca="1">IF($C12="","",IF($D12="LPSM",R11,VALUE($C12)*R11))</f>
        <v>0</v>
      </c>
      <c r="T12" s="388"/>
      <c r="U12" s="178">
        <f ca="1">IF($C12="","",IF($D12="LPSM",T11,VALUE($C12)*T11))</f>
        <v>0</v>
      </c>
      <c r="V12" s="388"/>
      <c r="W12" s="178">
        <f ca="1">IF($C12="","",IF($D12="LPSM",V11,VALUE($C12)*V11))</f>
        <v>0</v>
      </c>
      <c r="X12" s="388"/>
      <c r="Y12" s="178">
        <f ca="1">IF($C12="","",IF($D12="LPSM",X11,VALUE($C12)*X11))</f>
        <v>0</v>
      </c>
      <c r="Z12" s="388"/>
      <c r="AA12" s="178">
        <f ca="1">IF($C12="","",IF($D12="LPSM",Z11,VALUE($C12)*Z11))</f>
        <v>0</v>
      </c>
      <c r="AB12" s="388"/>
      <c r="AC12" s="178">
        <f ca="1">IF($C12="","",IF($D12="LPSM",AB11,VALUE($C12)*AB11))</f>
        <v>0</v>
      </c>
      <c r="AD12" s="388"/>
      <c r="AE12" s="178">
        <f ca="1">IF($C12="","",IF($D12="LPSM",AD11,VALUE($C12)*AD11))</f>
        <v>0</v>
      </c>
      <c r="AF12" s="388"/>
      <c r="AG12" s="178">
        <f ca="1">IF($C12="","",IF($D12="LPSM",AF11,VALUE($C12)*AF11))</f>
        <v>0</v>
      </c>
      <c r="AH12" s="388"/>
      <c r="AI12" s="178">
        <f ca="1">IF($C12="","",IF($D12="LPSM",AH11,VALUE($C12)*AH11))</f>
        <v>0</v>
      </c>
      <c r="AJ12" s="388"/>
      <c r="AK12" s="178">
        <f ca="1">IF($C12="","",IF($D12="LPSM",AJ11,VALUE($C12)*AJ11))</f>
        <v>0</v>
      </c>
      <c r="AL12" s="388"/>
      <c r="AM12" s="178">
        <f ca="1">IF($C12="","",IF($D12="LPSM",AL11,VALUE($C12)*AL11))</f>
        <v>0</v>
      </c>
      <c r="AN12" s="388"/>
      <c r="AO12" s="178">
        <f ca="1">IF($C12="","",IF($D12="LPSM",AN11,VALUE($C12)*AN11))</f>
        <v>0</v>
      </c>
      <c r="AP12" s="388"/>
      <c r="AQ12" s="178">
        <f ca="1">IF($C12="","",IF($D12="LPSM",AP11,VALUE($C12)*AP11))</f>
        <v>0</v>
      </c>
      <c r="AR12" s="209" t="b">
        <f ca="1">IF(LEN(B12)&gt;0,ISNUMBER(MATCH(B12,Proposed[Item],0)),"")</f>
        <v>0</v>
      </c>
    </row>
    <row r="13" spans="1:44" ht="15" x14ac:dyDescent="0.2">
      <c r="A13" s="276">
        <f t="shared" ca="1" si="0"/>
        <v>3</v>
      </c>
      <c r="B13" s="168" t="str">
        <f ca="1">IFERROR(INDEX(INDIRECT(RangeItems),MATCH($A13,INDIRECT(RangeCount),0)),"")</f>
        <v>15215-1000</v>
      </c>
      <c r="C13" s="365" t="str">
        <f ca="1">INDEX(Calcs[Description],$A13)</f>
        <v>SURVEY AND STAKING, APPROACH ROAD</v>
      </c>
      <c r="D13" s="365"/>
      <c r="E13" s="365"/>
      <c r="F13" s="365"/>
      <c r="G13" s="365"/>
      <c r="H13" s="388"/>
      <c r="I13" s="177"/>
      <c r="J13" s="388"/>
      <c r="K13" s="177"/>
      <c r="L13" s="388"/>
      <c r="M13" s="177"/>
      <c r="N13" s="388"/>
      <c r="O13" s="177"/>
      <c r="P13" s="388"/>
      <c r="Q13" s="177"/>
      <c r="R13" s="388"/>
      <c r="S13" s="177"/>
      <c r="T13" s="388"/>
      <c r="U13" s="177"/>
      <c r="V13" s="388"/>
      <c r="W13" s="177"/>
      <c r="X13" s="388"/>
      <c r="Y13" s="177"/>
      <c r="Z13" s="388"/>
      <c r="AA13" s="177"/>
      <c r="AB13" s="388"/>
      <c r="AC13" s="177"/>
      <c r="AD13" s="388"/>
      <c r="AE13" s="177"/>
      <c r="AF13" s="388"/>
      <c r="AG13" s="177"/>
      <c r="AH13" s="388"/>
      <c r="AI13" s="177"/>
      <c r="AJ13" s="388"/>
      <c r="AK13" s="177"/>
      <c r="AL13" s="388"/>
      <c r="AM13" s="177"/>
      <c r="AN13" s="388"/>
      <c r="AO13" s="177"/>
      <c r="AP13" s="388"/>
      <c r="AQ13" s="177"/>
      <c r="AR13" s="209" t="b">
        <f ca="1">IF(LEN(B13)&gt;0,ISNUMBER(MATCH(B13,Proposed[Item],0)),"")</f>
        <v>0</v>
      </c>
    </row>
    <row r="14" spans="1:44" ht="15" x14ac:dyDescent="0.2">
      <c r="A14" s="276">
        <f t="shared" ca="1" si="0"/>
        <v>3</v>
      </c>
      <c r="B14" s="111" t="str">
        <f ca="1">IF($A14&lt;=NumPayItems,"Line "&amp;INDEX(Calcs[Line],$A14),"")</f>
        <v>Line A0060</v>
      </c>
      <c r="C14" s="169" t="str">
        <f ca="1">IFERROR(IF($D14="LPSM","ALL",TEXT(INDEX(INDIRECT(RangeQuantity),MATCH($A14,INDIRECT(RangeCount),0)),"#,##0"&amp;IF(OFFSET(Items[],MATCH($A14,INDIRECT(RangeCount),0)-1,MATCH(Decimals,Items[#Headers],0)-1,1,1)&gt;0,"."&amp;REPT("0",OFFSET(Items[],MATCH($A14,INDIRECT(RangeCount),0)-1,MATCH(Decimals,Items[#Headers],0)-1,1,1)),""))),"")</f>
        <v>0</v>
      </c>
      <c r="D14" s="170" t="str">
        <f ca="1">IFERROR(INDEX(INDIRECT(RangeUnit),MATCH($A14,INDIRECT(RangeCount),0)),"")</f>
        <v>EACH</v>
      </c>
      <c r="E14" s="170" t="str">
        <f ca="1">IFERROR(IF(INDEX(INDIRECT(RangeContrQty),MATCH($A14,INDIRECT(RangeCount),0)),"(CQ)",""),"")</f>
        <v/>
      </c>
      <c r="F14" s="171">
        <f ca="1">IFERROR(INDEX(INDIRECT(RangeUnitPrice),MATCH($A14,INDIRECT(RangeCount),0)),"")</f>
        <v>0</v>
      </c>
      <c r="G14" s="171">
        <f ca="1">IFERROR(VALUE(C14)*F14,F14)</f>
        <v>0</v>
      </c>
      <c r="H14" s="388"/>
      <c r="I14" s="178">
        <f ca="1">IF($C14="","",IF($D14="LPSM",H13,VALUE($C14)*H13))</f>
        <v>0</v>
      </c>
      <c r="J14" s="388"/>
      <c r="K14" s="178">
        <f ca="1">IF($C14="","",IF($D14="LPSM",J13,VALUE($C14)*J13))</f>
        <v>0</v>
      </c>
      <c r="L14" s="388"/>
      <c r="M14" s="178">
        <f ca="1">IF($C14="","",IF($D14="LPSM",L13,VALUE($C14)*L13))</f>
        <v>0</v>
      </c>
      <c r="N14" s="388"/>
      <c r="O14" s="178">
        <f ca="1">IF($C14="","",IF($D14="LPSM",N13,VALUE($C14)*N13))</f>
        <v>0</v>
      </c>
      <c r="P14" s="388"/>
      <c r="Q14" s="178">
        <f ca="1">IF($C14="","",IF($D14="LPSM",P13,VALUE($C14)*P13))</f>
        <v>0</v>
      </c>
      <c r="R14" s="388"/>
      <c r="S14" s="178">
        <f ca="1">IF($C14="","",IF($D14="LPSM",R13,VALUE($C14)*R13))</f>
        <v>0</v>
      </c>
      <c r="T14" s="388"/>
      <c r="U14" s="178">
        <f ca="1">IF($C14="","",IF($D14="LPSM",T13,VALUE($C14)*T13))</f>
        <v>0</v>
      </c>
      <c r="V14" s="388"/>
      <c r="W14" s="178">
        <f ca="1">IF($C14="","",IF($D14="LPSM",V13,VALUE($C14)*V13))</f>
        <v>0</v>
      </c>
      <c r="X14" s="388"/>
      <c r="Y14" s="178">
        <f ca="1">IF($C14="","",IF($D14="LPSM",X13,VALUE($C14)*X13))</f>
        <v>0</v>
      </c>
      <c r="Z14" s="388"/>
      <c r="AA14" s="178">
        <f ca="1">IF($C14="","",IF($D14="LPSM",Z13,VALUE($C14)*Z13))</f>
        <v>0</v>
      </c>
      <c r="AB14" s="388"/>
      <c r="AC14" s="178">
        <f ca="1">IF($C14="","",IF($D14="LPSM",AB13,VALUE($C14)*AB13))</f>
        <v>0</v>
      </c>
      <c r="AD14" s="388"/>
      <c r="AE14" s="178">
        <f ca="1">IF($C14="","",IF($D14="LPSM",AD13,VALUE($C14)*AD13))</f>
        <v>0</v>
      </c>
      <c r="AF14" s="388"/>
      <c r="AG14" s="178">
        <f ca="1">IF($C14="","",IF($D14="LPSM",AF13,VALUE($C14)*AF13))</f>
        <v>0</v>
      </c>
      <c r="AH14" s="388"/>
      <c r="AI14" s="178">
        <f ca="1">IF($C14="","",IF($D14="LPSM",AH13,VALUE($C14)*AH13))</f>
        <v>0</v>
      </c>
      <c r="AJ14" s="388"/>
      <c r="AK14" s="178">
        <f ca="1">IF($C14="","",IF($D14="LPSM",AJ13,VALUE($C14)*AJ13))</f>
        <v>0</v>
      </c>
      <c r="AL14" s="388"/>
      <c r="AM14" s="178">
        <f ca="1">IF($C14="","",IF($D14="LPSM",AL13,VALUE($C14)*AL13))</f>
        <v>0</v>
      </c>
      <c r="AN14" s="388"/>
      <c r="AO14" s="178">
        <f ca="1">IF($C14="","",IF($D14="LPSM",AN13,VALUE($C14)*AN13))</f>
        <v>0</v>
      </c>
      <c r="AP14" s="388"/>
      <c r="AQ14" s="178">
        <f ca="1">IF($C14="","",IF($D14="LPSM",AP13,VALUE($C14)*AP13))</f>
        <v>0</v>
      </c>
      <c r="AR14" s="209" t="b">
        <f ca="1">IF(LEN(B14)&gt;0,ISNUMBER(MATCH(B14,Proposed[Item],0)),"")</f>
        <v>0</v>
      </c>
    </row>
    <row r="15" spans="1:44" ht="15" x14ac:dyDescent="0.2">
      <c r="A15" s="276">
        <f t="shared" ca="1" si="0"/>
        <v>4</v>
      </c>
      <c r="B15" s="168" t="str">
        <f ca="1">IFERROR(INDEX(INDIRECT(RangeItems),MATCH($A15,INDIRECT(RangeCount),0)),"")</f>
        <v>15215-3000</v>
      </c>
      <c r="C15" s="365" t="str">
        <f ca="1">INDEX(Calcs[Description],$A15)</f>
        <v>SURVEY AND STAKING, DRAINAGE STRUCTURE</v>
      </c>
      <c r="D15" s="365"/>
      <c r="E15" s="365"/>
      <c r="F15" s="365"/>
      <c r="G15" s="365"/>
      <c r="H15" s="388"/>
      <c r="I15" s="177"/>
      <c r="J15" s="388"/>
      <c r="K15" s="177"/>
      <c r="L15" s="388"/>
      <c r="M15" s="177"/>
      <c r="N15" s="388"/>
      <c r="O15" s="177"/>
      <c r="P15" s="388"/>
      <c r="Q15" s="177"/>
      <c r="R15" s="388"/>
      <c r="S15" s="177"/>
      <c r="T15" s="388"/>
      <c r="U15" s="177"/>
      <c r="V15" s="388"/>
      <c r="W15" s="177"/>
      <c r="X15" s="388"/>
      <c r="Y15" s="177"/>
      <c r="Z15" s="388"/>
      <c r="AA15" s="177"/>
      <c r="AB15" s="388"/>
      <c r="AC15" s="177"/>
      <c r="AD15" s="388"/>
      <c r="AE15" s="177"/>
      <c r="AF15" s="388"/>
      <c r="AG15" s="177"/>
      <c r="AH15" s="388"/>
      <c r="AI15" s="177"/>
      <c r="AJ15" s="388"/>
      <c r="AK15" s="177"/>
      <c r="AL15" s="388"/>
      <c r="AM15" s="177"/>
      <c r="AN15" s="388"/>
      <c r="AO15" s="177"/>
      <c r="AP15" s="388"/>
      <c r="AQ15" s="177"/>
      <c r="AR15" s="209" t="b">
        <f ca="1">IF(LEN(B15)&gt;0,ISNUMBER(MATCH(B15,Proposed[Item],0)),"")</f>
        <v>0</v>
      </c>
    </row>
    <row r="16" spans="1:44" ht="15" x14ac:dyDescent="0.2">
      <c r="A16" s="276">
        <f t="shared" ca="1" si="0"/>
        <v>4</v>
      </c>
      <c r="B16" s="111" t="str">
        <f ca="1">IF($A16&lt;=NumPayItems,"Line "&amp;INDEX(Calcs[Line],$A16),"")</f>
        <v>Line A0080</v>
      </c>
      <c r="C16" s="169" t="str">
        <f ca="1">IFERROR(IF($D16="LPSM","ALL",TEXT(INDEX(INDIRECT(RangeQuantity),MATCH($A16,INDIRECT(RangeCount),0)),"#,##0"&amp;IF(OFFSET(Items[],MATCH($A16,INDIRECT(RangeCount),0)-1,MATCH(Decimals,Items[#Headers],0)-1,1,1)&gt;0,"."&amp;REPT("0",OFFSET(Items[],MATCH($A16,INDIRECT(RangeCount),0)-1,MATCH(Decimals,Items[#Headers],0)-1,1,1)),""))),"")</f>
        <v>0</v>
      </c>
      <c r="D16" s="170" t="str">
        <f ca="1">IFERROR(INDEX(INDIRECT(RangeUnit),MATCH($A16,INDIRECT(RangeCount),0)),"")</f>
        <v>EACH</v>
      </c>
      <c r="E16" s="170" t="str">
        <f ca="1">IFERROR(IF(INDEX(INDIRECT(RangeContrQty),MATCH($A16,INDIRECT(RangeCount),0)),"(CQ)",""),"")</f>
        <v/>
      </c>
      <c r="F16" s="171">
        <f ca="1">IFERROR(INDEX(INDIRECT(RangeUnitPrice),MATCH($A16,INDIRECT(RangeCount),0)),"")</f>
        <v>0</v>
      </c>
      <c r="G16" s="171">
        <f ca="1">IFERROR(VALUE(C16)*F16,F16)</f>
        <v>0</v>
      </c>
      <c r="H16" s="388"/>
      <c r="I16" s="178">
        <f ca="1">IF($C16="","",IF($D16="LPSM",H15,VALUE($C16)*H15))</f>
        <v>0</v>
      </c>
      <c r="J16" s="388"/>
      <c r="K16" s="178">
        <f ca="1">IF($C16="","",IF($D16="LPSM",J15,VALUE($C16)*J15))</f>
        <v>0</v>
      </c>
      <c r="L16" s="388"/>
      <c r="M16" s="178">
        <f ca="1">IF($C16="","",IF($D16="LPSM",L15,VALUE($C16)*L15))</f>
        <v>0</v>
      </c>
      <c r="N16" s="388"/>
      <c r="O16" s="178">
        <f ca="1">IF($C16="","",IF($D16="LPSM",N15,VALUE($C16)*N15))</f>
        <v>0</v>
      </c>
      <c r="P16" s="388"/>
      <c r="Q16" s="178">
        <f ca="1">IF($C16="","",IF($D16="LPSM",P15,VALUE($C16)*P15))</f>
        <v>0</v>
      </c>
      <c r="R16" s="388"/>
      <c r="S16" s="178">
        <f ca="1">IF($C16="","",IF($D16="LPSM",R15,VALUE($C16)*R15))</f>
        <v>0</v>
      </c>
      <c r="T16" s="388"/>
      <c r="U16" s="178">
        <f ca="1">IF($C16="","",IF($D16="LPSM",T15,VALUE($C16)*T15))</f>
        <v>0</v>
      </c>
      <c r="V16" s="388"/>
      <c r="W16" s="178">
        <f ca="1">IF($C16="","",IF($D16="LPSM",V15,VALUE($C16)*V15))</f>
        <v>0</v>
      </c>
      <c r="X16" s="388"/>
      <c r="Y16" s="178">
        <f ca="1">IF($C16="","",IF($D16="LPSM",X15,VALUE($C16)*X15))</f>
        <v>0</v>
      </c>
      <c r="Z16" s="388"/>
      <c r="AA16" s="178">
        <f ca="1">IF($C16="","",IF($D16="LPSM",Z15,VALUE($C16)*Z15))</f>
        <v>0</v>
      </c>
      <c r="AB16" s="388"/>
      <c r="AC16" s="178">
        <f ca="1">IF($C16="","",IF($D16="LPSM",AB15,VALUE($C16)*AB15))</f>
        <v>0</v>
      </c>
      <c r="AD16" s="388"/>
      <c r="AE16" s="178">
        <f ca="1">IF($C16="","",IF($D16="LPSM",AD15,VALUE($C16)*AD15))</f>
        <v>0</v>
      </c>
      <c r="AF16" s="388"/>
      <c r="AG16" s="178">
        <f ca="1">IF($C16="","",IF($D16="LPSM",AF15,VALUE($C16)*AF15))</f>
        <v>0</v>
      </c>
      <c r="AH16" s="388"/>
      <c r="AI16" s="178">
        <f ca="1">IF($C16="","",IF($D16="LPSM",AH15,VALUE($C16)*AH15))</f>
        <v>0</v>
      </c>
      <c r="AJ16" s="388"/>
      <c r="AK16" s="178">
        <f ca="1">IF($C16="","",IF($D16="LPSM",AJ15,VALUE($C16)*AJ15))</f>
        <v>0</v>
      </c>
      <c r="AL16" s="388"/>
      <c r="AM16" s="178">
        <f ca="1">IF($C16="","",IF($D16="LPSM",AL15,VALUE($C16)*AL15))</f>
        <v>0</v>
      </c>
      <c r="AN16" s="388"/>
      <c r="AO16" s="178">
        <f ca="1">IF($C16="","",IF($D16="LPSM",AN15,VALUE($C16)*AN15))</f>
        <v>0</v>
      </c>
      <c r="AP16" s="388"/>
      <c r="AQ16" s="178">
        <f ca="1">IF($C16="","",IF($D16="LPSM",AP15,VALUE($C16)*AP15))</f>
        <v>0</v>
      </c>
      <c r="AR16" s="209" t="b">
        <f ca="1">IF(LEN(B16)&gt;0,ISNUMBER(MATCH(B16,Proposed[Item],0)),"")</f>
        <v>0</v>
      </c>
    </row>
    <row r="17" spans="1:44" ht="15" x14ac:dyDescent="0.2">
      <c r="A17" s="276">
        <f t="shared" ca="1" si="0"/>
        <v>5</v>
      </c>
      <c r="B17" s="168" t="str">
        <f ca="1">IFERROR(INDEX(INDIRECT(RangeItems),MATCH($A17,INDIRECT(RangeCount),0)),"")</f>
        <v>15301-0000</v>
      </c>
      <c r="C17" s="365" t="str">
        <f ca="1">INDEX(Calcs[Description],$A17)</f>
        <v>CONTRACTOR QUALITY CONTROL</v>
      </c>
      <c r="D17" s="365"/>
      <c r="E17" s="365"/>
      <c r="F17" s="365"/>
      <c r="G17" s="365"/>
      <c r="H17" s="388"/>
      <c r="I17" s="177"/>
      <c r="J17" s="388"/>
      <c r="K17" s="177"/>
      <c r="L17" s="388"/>
      <c r="M17" s="177"/>
      <c r="N17" s="388"/>
      <c r="O17" s="177"/>
      <c r="P17" s="388"/>
      <c r="Q17" s="177"/>
      <c r="R17" s="388"/>
      <c r="S17" s="177"/>
      <c r="T17" s="388"/>
      <c r="U17" s="177"/>
      <c r="V17" s="388"/>
      <c r="W17" s="177"/>
      <c r="X17" s="388"/>
      <c r="Y17" s="177"/>
      <c r="Z17" s="388"/>
      <c r="AA17" s="177"/>
      <c r="AB17" s="388"/>
      <c r="AC17" s="177"/>
      <c r="AD17" s="388"/>
      <c r="AE17" s="177"/>
      <c r="AF17" s="388"/>
      <c r="AG17" s="177"/>
      <c r="AH17" s="388"/>
      <c r="AI17" s="177"/>
      <c r="AJ17" s="388"/>
      <c r="AK17" s="177"/>
      <c r="AL17" s="388"/>
      <c r="AM17" s="177"/>
      <c r="AN17" s="388"/>
      <c r="AO17" s="177"/>
      <c r="AP17" s="388"/>
      <c r="AQ17" s="177"/>
      <c r="AR17" s="209" t="b">
        <f ca="1">IF(LEN(B17)&gt;0,ISNUMBER(MATCH(B17,Proposed[Item],0)),"")</f>
        <v>0</v>
      </c>
    </row>
    <row r="18" spans="1:44" ht="15" x14ac:dyDescent="0.2">
      <c r="A18" s="276">
        <f t="shared" ca="1" si="0"/>
        <v>5</v>
      </c>
      <c r="B18" s="111" t="str">
        <f ca="1">IF($A18&lt;=NumPayItems,"Line "&amp;INDEX(Calcs[Line],$A18),"")</f>
        <v>Line A0100</v>
      </c>
      <c r="C18" s="169" t="str">
        <f ca="1">IFERROR(IF($D18="LPSM","ALL",TEXT(INDEX(INDIRECT(RangeQuantity),MATCH($A18,INDIRECT(RangeCount),0)),"#,##0"&amp;IF(OFFSET(Items[],MATCH($A18,INDIRECT(RangeCount),0)-1,MATCH(Decimals,Items[#Headers],0)-1,1,1)&gt;0,"."&amp;REPT("0",OFFSET(Items[],MATCH($A18,INDIRECT(RangeCount),0)-1,MATCH(Decimals,Items[#Headers],0)-1,1,1)),""))),"")</f>
        <v>ALL</v>
      </c>
      <c r="D18" s="170" t="str">
        <f ca="1">IFERROR(INDEX(INDIRECT(RangeUnit),MATCH($A18,INDIRECT(RangeCount),0)),"")</f>
        <v>LPSM</v>
      </c>
      <c r="E18" s="170" t="str">
        <f ca="1">IFERROR(IF(INDEX(INDIRECT(RangeContrQty),MATCH($A18,INDIRECT(RangeCount),0)),"(CQ)",""),"")</f>
        <v/>
      </c>
      <c r="F18" s="171">
        <f ca="1">IFERROR(INDEX(INDIRECT(RangeUnitPrice),MATCH($A18,INDIRECT(RangeCount),0)),"")</f>
        <v>0</v>
      </c>
      <c r="G18" s="171">
        <f ca="1">IFERROR(VALUE(C18)*F18,F18)</f>
        <v>0</v>
      </c>
      <c r="H18" s="388"/>
      <c r="I18" s="178">
        <f ca="1">IF($C18="","",IF($D18="LPSM",H17,VALUE($C18)*H17))</f>
        <v>0</v>
      </c>
      <c r="J18" s="388"/>
      <c r="K18" s="178">
        <f ca="1">IF($C18="","",IF($D18="LPSM",J17,VALUE($C18)*J17))</f>
        <v>0</v>
      </c>
      <c r="L18" s="388"/>
      <c r="M18" s="178">
        <f ca="1">IF($C18="","",IF($D18="LPSM",L17,VALUE($C18)*L17))</f>
        <v>0</v>
      </c>
      <c r="N18" s="388"/>
      <c r="O18" s="178">
        <f ca="1">IF($C18="","",IF($D18="LPSM",N17,VALUE($C18)*N17))</f>
        <v>0</v>
      </c>
      <c r="P18" s="388"/>
      <c r="Q18" s="178">
        <f ca="1">IF($C18="","",IF($D18="LPSM",P17,VALUE($C18)*P17))</f>
        <v>0</v>
      </c>
      <c r="R18" s="388"/>
      <c r="S18" s="178">
        <f ca="1">IF($C18="","",IF($D18="LPSM",R17,VALUE($C18)*R17))</f>
        <v>0</v>
      </c>
      <c r="T18" s="388"/>
      <c r="U18" s="178">
        <f ca="1">IF($C18="","",IF($D18="LPSM",T17,VALUE($C18)*T17))</f>
        <v>0</v>
      </c>
      <c r="V18" s="388"/>
      <c r="W18" s="178">
        <f ca="1">IF($C18="","",IF($D18="LPSM",V17,VALUE($C18)*V17))</f>
        <v>0</v>
      </c>
      <c r="X18" s="388"/>
      <c r="Y18" s="178">
        <f ca="1">IF($C18="","",IF($D18="LPSM",X17,VALUE($C18)*X17))</f>
        <v>0</v>
      </c>
      <c r="Z18" s="388"/>
      <c r="AA18" s="178">
        <f ca="1">IF($C18="","",IF($D18="LPSM",Z17,VALUE($C18)*Z17))</f>
        <v>0</v>
      </c>
      <c r="AB18" s="388"/>
      <c r="AC18" s="178">
        <f ca="1">IF($C18="","",IF($D18="LPSM",AB17,VALUE($C18)*AB17))</f>
        <v>0</v>
      </c>
      <c r="AD18" s="388"/>
      <c r="AE18" s="178">
        <f ca="1">IF($C18="","",IF($D18="LPSM",AD17,VALUE($C18)*AD17))</f>
        <v>0</v>
      </c>
      <c r="AF18" s="388"/>
      <c r="AG18" s="178">
        <f ca="1">IF($C18="","",IF($D18="LPSM",AF17,VALUE($C18)*AF17))</f>
        <v>0</v>
      </c>
      <c r="AH18" s="388"/>
      <c r="AI18" s="178">
        <f ca="1">IF($C18="","",IF($D18="LPSM",AH17,VALUE($C18)*AH17))</f>
        <v>0</v>
      </c>
      <c r="AJ18" s="388"/>
      <c r="AK18" s="178">
        <f ca="1">IF($C18="","",IF($D18="LPSM",AJ17,VALUE($C18)*AJ17))</f>
        <v>0</v>
      </c>
      <c r="AL18" s="388"/>
      <c r="AM18" s="178">
        <f ca="1">IF($C18="","",IF($D18="LPSM",AL17,VALUE($C18)*AL17))</f>
        <v>0</v>
      </c>
      <c r="AN18" s="388"/>
      <c r="AO18" s="178">
        <f ca="1">IF($C18="","",IF($D18="LPSM",AN17,VALUE($C18)*AN17))</f>
        <v>0</v>
      </c>
      <c r="AP18" s="388"/>
      <c r="AQ18" s="178">
        <f ca="1">IF($C18="","",IF($D18="LPSM",AP17,VALUE($C18)*AP17))</f>
        <v>0</v>
      </c>
      <c r="AR18" s="209" t="b">
        <f ca="1">IF(LEN(B18)&gt;0,ISNUMBER(MATCH(B18,Proposed[Item],0)),"")</f>
        <v>0</v>
      </c>
    </row>
    <row r="19" spans="1:44" ht="15" x14ac:dyDescent="0.2">
      <c r="A19" s="276">
        <f t="shared" ca="1" si="0"/>
        <v>6</v>
      </c>
      <c r="B19" s="168" t="str">
        <f ca="1">IFERROR(INDEX(INDIRECT(RangeItems),MATCH($A19,INDIRECT(RangeCount),0)),"")</f>
        <v>15401-0000</v>
      </c>
      <c r="C19" s="365" t="str">
        <f ca="1">INDEX(Calcs[Description],$A19)</f>
        <v>CONTRACTOR TESTING</v>
      </c>
      <c r="D19" s="365"/>
      <c r="E19" s="365"/>
      <c r="F19" s="365"/>
      <c r="G19" s="365"/>
      <c r="H19" s="388"/>
      <c r="I19" s="177"/>
      <c r="J19" s="388"/>
      <c r="K19" s="177"/>
      <c r="L19" s="388"/>
      <c r="M19" s="177"/>
      <c r="N19" s="388"/>
      <c r="O19" s="177"/>
      <c r="P19" s="388"/>
      <c r="Q19" s="177"/>
      <c r="R19" s="388"/>
      <c r="S19" s="177"/>
      <c r="T19" s="388"/>
      <c r="U19" s="177"/>
      <c r="V19" s="388"/>
      <c r="W19" s="177"/>
      <c r="X19" s="388"/>
      <c r="Y19" s="177"/>
      <c r="Z19" s="388"/>
      <c r="AA19" s="177"/>
      <c r="AB19" s="388"/>
      <c r="AC19" s="177"/>
      <c r="AD19" s="388"/>
      <c r="AE19" s="177"/>
      <c r="AF19" s="388"/>
      <c r="AG19" s="177"/>
      <c r="AH19" s="388"/>
      <c r="AI19" s="177"/>
      <c r="AJ19" s="388"/>
      <c r="AK19" s="177"/>
      <c r="AL19" s="388"/>
      <c r="AM19" s="177"/>
      <c r="AN19" s="388"/>
      <c r="AO19" s="177"/>
      <c r="AP19" s="388"/>
      <c r="AQ19" s="177"/>
      <c r="AR19" s="209" t="b">
        <f ca="1">IF(LEN(B19)&gt;0,ISNUMBER(MATCH(B19,Proposed[Item],0)),"")</f>
        <v>0</v>
      </c>
    </row>
    <row r="20" spans="1:44" ht="15" x14ac:dyDescent="0.2">
      <c r="A20" s="276">
        <f t="shared" ca="1" si="0"/>
        <v>6</v>
      </c>
      <c r="B20" s="111" t="str">
        <f ca="1">IF($A20&lt;=NumPayItems,"Line "&amp;INDEX(Calcs[Line],$A20),"")</f>
        <v>Line A0120</v>
      </c>
      <c r="C20" s="169" t="str">
        <f ca="1">IFERROR(IF($D20="LPSM","ALL",TEXT(INDEX(INDIRECT(RangeQuantity),MATCH($A20,INDIRECT(RangeCount),0)),"#,##0"&amp;IF(OFFSET(Items[],MATCH($A20,INDIRECT(RangeCount),0)-1,MATCH(Decimals,Items[#Headers],0)-1,1,1)&gt;0,"."&amp;REPT("0",OFFSET(Items[],MATCH($A20,INDIRECT(RangeCount),0)-1,MATCH(Decimals,Items[#Headers],0)-1,1,1)),""))),"")</f>
        <v>ALL</v>
      </c>
      <c r="D20" s="170" t="str">
        <f ca="1">IFERROR(INDEX(INDIRECT(RangeUnit),MATCH($A20,INDIRECT(RangeCount),0)),"")</f>
        <v>LPSM</v>
      </c>
      <c r="E20" s="170" t="str">
        <f ca="1">IFERROR(IF(INDEX(INDIRECT(RangeContrQty),MATCH($A20,INDIRECT(RangeCount),0)),"(CQ)",""),"")</f>
        <v/>
      </c>
      <c r="F20" s="171">
        <f ca="1">IFERROR(INDEX(INDIRECT(RangeUnitPrice),MATCH($A20,INDIRECT(RangeCount),0)),"")</f>
        <v>0</v>
      </c>
      <c r="G20" s="171">
        <f ca="1">IFERROR(VALUE(C20)*F20,F20)</f>
        <v>0</v>
      </c>
      <c r="H20" s="388"/>
      <c r="I20" s="178">
        <f ca="1">IF($C20="","",IF($D20="LPSM",H19,VALUE($C20)*H19))</f>
        <v>0</v>
      </c>
      <c r="J20" s="388"/>
      <c r="K20" s="178">
        <f ca="1">IF($C20="","",IF($D20="LPSM",J19,VALUE($C20)*J19))</f>
        <v>0</v>
      </c>
      <c r="L20" s="388"/>
      <c r="M20" s="178">
        <f ca="1">IF($C20="","",IF($D20="LPSM",L19,VALUE($C20)*L19))</f>
        <v>0</v>
      </c>
      <c r="N20" s="388"/>
      <c r="O20" s="178">
        <f ca="1">IF($C20="","",IF($D20="LPSM",N19,VALUE($C20)*N19))</f>
        <v>0</v>
      </c>
      <c r="P20" s="388"/>
      <c r="Q20" s="178">
        <f ca="1">IF($C20="","",IF($D20="LPSM",P19,VALUE($C20)*P19))</f>
        <v>0</v>
      </c>
      <c r="R20" s="388"/>
      <c r="S20" s="178">
        <f ca="1">IF($C20="","",IF($D20="LPSM",R19,VALUE($C20)*R19))</f>
        <v>0</v>
      </c>
      <c r="T20" s="388"/>
      <c r="U20" s="178">
        <f ca="1">IF($C20="","",IF($D20="LPSM",T19,VALUE($C20)*T19))</f>
        <v>0</v>
      </c>
      <c r="V20" s="388"/>
      <c r="W20" s="178">
        <f ca="1">IF($C20="","",IF($D20="LPSM",V19,VALUE($C20)*V19))</f>
        <v>0</v>
      </c>
      <c r="X20" s="388"/>
      <c r="Y20" s="178">
        <f ca="1">IF($C20="","",IF($D20="LPSM",X19,VALUE($C20)*X19))</f>
        <v>0</v>
      </c>
      <c r="Z20" s="388"/>
      <c r="AA20" s="178">
        <f ca="1">IF($C20="","",IF($D20="LPSM",Z19,VALUE($C20)*Z19))</f>
        <v>0</v>
      </c>
      <c r="AB20" s="388"/>
      <c r="AC20" s="178">
        <f ca="1">IF($C20="","",IF($D20="LPSM",AB19,VALUE($C20)*AB19))</f>
        <v>0</v>
      </c>
      <c r="AD20" s="388"/>
      <c r="AE20" s="178">
        <f ca="1">IF($C20="","",IF($D20="LPSM",AD19,VALUE($C20)*AD19))</f>
        <v>0</v>
      </c>
      <c r="AF20" s="388"/>
      <c r="AG20" s="178">
        <f ca="1">IF($C20="","",IF($D20="LPSM",AF19,VALUE($C20)*AF19))</f>
        <v>0</v>
      </c>
      <c r="AH20" s="388"/>
      <c r="AI20" s="178">
        <f ca="1">IF($C20="","",IF($D20="LPSM",AH19,VALUE($C20)*AH19))</f>
        <v>0</v>
      </c>
      <c r="AJ20" s="388"/>
      <c r="AK20" s="178">
        <f ca="1">IF($C20="","",IF($D20="LPSM",AJ19,VALUE($C20)*AJ19))</f>
        <v>0</v>
      </c>
      <c r="AL20" s="388"/>
      <c r="AM20" s="178">
        <f ca="1">IF($C20="","",IF($D20="LPSM",AL19,VALUE($C20)*AL19))</f>
        <v>0</v>
      </c>
      <c r="AN20" s="388"/>
      <c r="AO20" s="178">
        <f ca="1">IF($C20="","",IF($D20="LPSM",AN19,VALUE($C20)*AN19))</f>
        <v>0</v>
      </c>
      <c r="AP20" s="388"/>
      <c r="AQ20" s="178">
        <f ca="1">IF($C20="","",IF($D20="LPSM",AP19,VALUE($C20)*AP19))</f>
        <v>0</v>
      </c>
      <c r="AR20" s="209" t="b">
        <f ca="1">IF(LEN(B20)&gt;0,ISNUMBER(MATCH(B20,Proposed[Item],0)),"")</f>
        <v>0</v>
      </c>
    </row>
    <row r="21" spans="1:44" ht="15" x14ac:dyDescent="0.2">
      <c r="A21" s="276">
        <f t="shared" ca="1" si="0"/>
        <v>7</v>
      </c>
      <c r="B21" s="168" t="str">
        <f ca="1">IFERROR(INDEX(INDIRECT(RangeItems),MATCH($A21,INDIRECT(RangeCount),0)),"")</f>
        <v>15501-0000</v>
      </c>
      <c r="C21" s="365" t="str">
        <f ca="1">INDEX(Calcs[Description],$A21)</f>
        <v>CONSTRUCTION SCHEDULE</v>
      </c>
      <c r="D21" s="365"/>
      <c r="E21" s="365"/>
      <c r="F21" s="365"/>
      <c r="G21" s="365"/>
      <c r="H21" s="388"/>
      <c r="I21" s="177"/>
      <c r="J21" s="388"/>
      <c r="K21" s="177"/>
      <c r="L21" s="388"/>
      <c r="M21" s="177"/>
      <c r="N21" s="388"/>
      <c r="O21" s="177"/>
      <c r="P21" s="388"/>
      <c r="Q21" s="177"/>
      <c r="R21" s="388"/>
      <c r="S21" s="177"/>
      <c r="T21" s="388"/>
      <c r="U21" s="177"/>
      <c r="V21" s="388"/>
      <c r="W21" s="177"/>
      <c r="X21" s="388"/>
      <c r="Y21" s="177"/>
      <c r="Z21" s="388"/>
      <c r="AA21" s="177"/>
      <c r="AB21" s="388"/>
      <c r="AC21" s="177"/>
      <c r="AD21" s="388"/>
      <c r="AE21" s="177"/>
      <c r="AF21" s="388"/>
      <c r="AG21" s="177"/>
      <c r="AH21" s="388"/>
      <c r="AI21" s="177"/>
      <c r="AJ21" s="388"/>
      <c r="AK21" s="177"/>
      <c r="AL21" s="388"/>
      <c r="AM21" s="177"/>
      <c r="AN21" s="388"/>
      <c r="AO21" s="177"/>
      <c r="AP21" s="388"/>
      <c r="AQ21" s="177"/>
      <c r="AR21" s="209" t="b">
        <f ca="1">IF(LEN(B21)&gt;0,ISNUMBER(MATCH(B21,Proposed[Item],0)),"")</f>
        <v>0</v>
      </c>
    </row>
    <row r="22" spans="1:44" ht="15" x14ac:dyDescent="0.2">
      <c r="A22" s="276">
        <f t="shared" ca="1" si="0"/>
        <v>7</v>
      </c>
      <c r="B22" s="111" t="str">
        <f ca="1">IF($A22&lt;=NumPayItems,"Line "&amp;INDEX(Calcs[Line],$A22),"")</f>
        <v>Line A0140</v>
      </c>
      <c r="C22" s="169" t="str">
        <f ca="1">IFERROR(IF($D22="LPSM","ALL",TEXT(INDEX(INDIRECT(RangeQuantity),MATCH($A22,INDIRECT(RangeCount),0)),"#,##0"&amp;IF(OFFSET(Items[],MATCH($A22,INDIRECT(RangeCount),0)-1,MATCH(Decimals,Items[#Headers],0)-1,1,1)&gt;0,"."&amp;REPT("0",OFFSET(Items[],MATCH($A22,INDIRECT(RangeCount),0)-1,MATCH(Decimals,Items[#Headers],0)-1,1,1)),""))),"")</f>
        <v>ALL</v>
      </c>
      <c r="D22" s="170" t="str">
        <f ca="1">IFERROR(INDEX(INDIRECT(RangeUnit),MATCH($A22,INDIRECT(RangeCount),0)),"")</f>
        <v>LPSM</v>
      </c>
      <c r="E22" s="170" t="str">
        <f ca="1">IFERROR(IF(INDEX(INDIRECT(RangeContrQty),MATCH($A22,INDIRECT(RangeCount),0)),"(CQ)",""),"")</f>
        <v/>
      </c>
      <c r="F22" s="171">
        <f ca="1">IFERROR(INDEX(INDIRECT(RangeUnitPrice),MATCH($A22,INDIRECT(RangeCount),0)),"")</f>
        <v>0</v>
      </c>
      <c r="G22" s="171">
        <f ca="1">IFERROR(VALUE(C22)*F22,F22)</f>
        <v>0</v>
      </c>
      <c r="H22" s="388"/>
      <c r="I22" s="178">
        <f ca="1">IF($C22="","",IF($D22="LPSM",H21,VALUE($C22)*H21))</f>
        <v>0</v>
      </c>
      <c r="J22" s="388"/>
      <c r="K22" s="178">
        <f ca="1">IF($C22="","",IF($D22="LPSM",J21,VALUE($C22)*J21))</f>
        <v>0</v>
      </c>
      <c r="L22" s="388"/>
      <c r="M22" s="178">
        <f ca="1">IF($C22="","",IF($D22="LPSM",L21,VALUE($C22)*L21))</f>
        <v>0</v>
      </c>
      <c r="N22" s="388"/>
      <c r="O22" s="178">
        <f ca="1">IF($C22="","",IF($D22="LPSM",N21,VALUE($C22)*N21))</f>
        <v>0</v>
      </c>
      <c r="P22" s="388"/>
      <c r="Q22" s="178">
        <f ca="1">IF($C22="","",IF($D22="LPSM",P21,VALUE($C22)*P21))</f>
        <v>0</v>
      </c>
      <c r="R22" s="388"/>
      <c r="S22" s="178">
        <f ca="1">IF($C22="","",IF($D22="LPSM",R21,VALUE($C22)*R21))</f>
        <v>0</v>
      </c>
      <c r="T22" s="388"/>
      <c r="U22" s="178">
        <f ca="1">IF($C22="","",IF($D22="LPSM",T21,VALUE($C22)*T21))</f>
        <v>0</v>
      </c>
      <c r="V22" s="388"/>
      <c r="W22" s="178">
        <f ca="1">IF($C22="","",IF($D22="LPSM",V21,VALUE($C22)*V21))</f>
        <v>0</v>
      </c>
      <c r="X22" s="388"/>
      <c r="Y22" s="178">
        <f ca="1">IF($C22="","",IF($D22="LPSM",X21,VALUE($C22)*X21))</f>
        <v>0</v>
      </c>
      <c r="Z22" s="388"/>
      <c r="AA22" s="178">
        <f ca="1">IF($C22="","",IF($D22="LPSM",Z21,VALUE($C22)*Z21))</f>
        <v>0</v>
      </c>
      <c r="AB22" s="388"/>
      <c r="AC22" s="178">
        <f ca="1">IF($C22="","",IF($D22="LPSM",AB21,VALUE($C22)*AB21))</f>
        <v>0</v>
      </c>
      <c r="AD22" s="388"/>
      <c r="AE22" s="178">
        <f ca="1">IF($C22="","",IF($D22="LPSM",AD21,VALUE($C22)*AD21))</f>
        <v>0</v>
      </c>
      <c r="AF22" s="388"/>
      <c r="AG22" s="178">
        <f ca="1">IF($C22="","",IF($D22="LPSM",AF21,VALUE($C22)*AF21))</f>
        <v>0</v>
      </c>
      <c r="AH22" s="388"/>
      <c r="AI22" s="178">
        <f ca="1">IF($C22="","",IF($D22="LPSM",AH21,VALUE($C22)*AH21))</f>
        <v>0</v>
      </c>
      <c r="AJ22" s="388"/>
      <c r="AK22" s="178">
        <f ca="1">IF($C22="","",IF($D22="LPSM",AJ21,VALUE($C22)*AJ21))</f>
        <v>0</v>
      </c>
      <c r="AL22" s="388"/>
      <c r="AM22" s="178">
        <f ca="1">IF($C22="","",IF($D22="LPSM",AL21,VALUE($C22)*AL21))</f>
        <v>0</v>
      </c>
      <c r="AN22" s="388"/>
      <c r="AO22" s="178">
        <f ca="1">IF($C22="","",IF($D22="LPSM",AN21,VALUE($C22)*AN21))</f>
        <v>0</v>
      </c>
      <c r="AP22" s="388"/>
      <c r="AQ22" s="178">
        <f ca="1">IF($C22="","",IF($D22="LPSM",AP21,VALUE($C22)*AP21))</f>
        <v>0</v>
      </c>
      <c r="AR22" s="209" t="b">
        <f ca="1">IF(LEN(B22)&gt;0,ISNUMBER(MATCH(B22,Proposed[Item],0)),"")</f>
        <v>0</v>
      </c>
    </row>
    <row r="23" spans="1:44" ht="15" x14ac:dyDescent="0.2">
      <c r="A23" s="276">
        <f t="shared" ca="1" si="0"/>
        <v>8</v>
      </c>
      <c r="B23" s="168" t="str">
        <f ca="1">IFERROR(INDEX(INDIRECT(RangeItems),MATCH($A23,INDIRECT(RangeCount),0)),"")</f>
        <v/>
      </c>
      <c r="C23" s="365" t="str">
        <f ca="1">INDEX(Calcs[Description],$A23)</f>
        <v/>
      </c>
      <c r="D23" s="365"/>
      <c r="E23" s="365"/>
      <c r="F23" s="365"/>
      <c r="G23" s="365"/>
      <c r="H23" s="388"/>
      <c r="I23" s="177"/>
      <c r="J23" s="388"/>
      <c r="K23" s="177"/>
      <c r="L23" s="388"/>
      <c r="M23" s="177"/>
      <c r="N23" s="388"/>
      <c r="O23" s="177"/>
      <c r="P23" s="388"/>
      <c r="Q23" s="177"/>
      <c r="R23" s="388"/>
      <c r="S23" s="177"/>
      <c r="T23" s="388"/>
      <c r="U23" s="177"/>
      <c r="V23" s="388"/>
      <c r="W23" s="177"/>
      <c r="X23" s="388"/>
      <c r="Y23" s="177"/>
      <c r="Z23" s="388"/>
      <c r="AA23" s="177"/>
      <c r="AB23" s="388"/>
      <c r="AC23" s="177"/>
      <c r="AD23" s="388"/>
      <c r="AE23" s="177"/>
      <c r="AF23" s="388"/>
      <c r="AG23" s="177"/>
      <c r="AH23" s="388"/>
      <c r="AI23" s="177"/>
      <c r="AJ23" s="388"/>
      <c r="AK23" s="177"/>
      <c r="AL23" s="388"/>
      <c r="AM23" s="177"/>
      <c r="AN23" s="388"/>
      <c r="AO23" s="177"/>
      <c r="AP23" s="388"/>
      <c r="AQ23" s="177"/>
      <c r="AR23" s="209" t="str">
        <f ca="1">IF(LEN(B23)&gt;0,ISNUMBER(MATCH(B23,Proposed[Item],0)),"")</f>
        <v/>
      </c>
    </row>
    <row r="24" spans="1:44" ht="15" x14ac:dyDescent="0.2">
      <c r="A24" s="276">
        <f t="shared" ca="1" si="0"/>
        <v>8</v>
      </c>
      <c r="B24" s="111" t="str">
        <f ca="1">IF($A24&lt;=NumPayItems,"Line "&amp;INDEX(Calcs[Line],$A24),"")</f>
        <v/>
      </c>
      <c r="C24" s="169" t="str">
        <f ca="1">IFERROR(IF($D24="LPSM","ALL",TEXT(INDEX(INDIRECT(RangeQuantity),MATCH($A24,INDIRECT(RangeCount),0)),"#,##0"&amp;IF(OFFSET(Items[],MATCH($A24,INDIRECT(RangeCount),0)-1,MATCH(Decimals,Items[#Headers],0)-1,1,1)&gt;0,"."&amp;REPT("0",OFFSET(Items[],MATCH($A24,INDIRECT(RangeCount),0)-1,MATCH(Decimals,Items[#Headers],0)-1,1,1)),""))),"")</f>
        <v/>
      </c>
      <c r="D24" s="170" t="str">
        <f ca="1">IFERROR(INDEX(INDIRECT(RangeUnit),MATCH($A24,INDIRECT(RangeCount),0)),"")</f>
        <v/>
      </c>
      <c r="E24" s="170" t="str">
        <f ca="1">IFERROR(IF(INDEX(INDIRECT(RangeContrQty),MATCH($A24,INDIRECT(RangeCount),0)),"(CQ)",""),"")</f>
        <v/>
      </c>
      <c r="F24" s="171" t="str">
        <f ca="1">IFERROR(INDEX(INDIRECT(RangeUnitPrice),MATCH($A24,INDIRECT(RangeCount),0)),"")</f>
        <v/>
      </c>
      <c r="G24" s="171" t="str">
        <f ca="1">IFERROR(VALUE(C24)*F24,F24)</f>
        <v/>
      </c>
      <c r="H24" s="388"/>
      <c r="I24" s="178" t="str">
        <f ca="1">IF($C24="","",IF($D24="LPSM",H23,VALUE($C24)*H23))</f>
        <v/>
      </c>
      <c r="J24" s="388"/>
      <c r="K24" s="178" t="str">
        <f ca="1">IF($C24="","",IF($D24="LPSM",J23,VALUE($C24)*J23))</f>
        <v/>
      </c>
      <c r="L24" s="388"/>
      <c r="M24" s="178" t="str">
        <f ca="1">IF($C24="","",IF($D24="LPSM",L23,VALUE($C24)*L23))</f>
        <v/>
      </c>
      <c r="N24" s="388"/>
      <c r="O24" s="178" t="str">
        <f ca="1">IF($C24="","",IF($D24="LPSM",N23,VALUE($C24)*N23))</f>
        <v/>
      </c>
      <c r="P24" s="388"/>
      <c r="Q24" s="178" t="str">
        <f ca="1">IF($C24="","",IF($D24="LPSM",P23,VALUE($C24)*P23))</f>
        <v/>
      </c>
      <c r="R24" s="388"/>
      <c r="S24" s="178" t="str">
        <f ca="1">IF($C24="","",IF($D24="LPSM",R23,VALUE($C24)*R23))</f>
        <v/>
      </c>
      <c r="T24" s="388"/>
      <c r="U24" s="178" t="str">
        <f ca="1">IF($C24="","",IF($D24="LPSM",T23,VALUE($C24)*T23))</f>
        <v/>
      </c>
      <c r="V24" s="388"/>
      <c r="W24" s="178" t="str">
        <f ca="1">IF($C24="","",IF($D24="LPSM",V23,VALUE($C24)*V23))</f>
        <v/>
      </c>
      <c r="X24" s="388"/>
      <c r="Y24" s="178" t="str">
        <f ca="1">IF($C24="","",IF($D24="LPSM",X23,VALUE($C24)*X23))</f>
        <v/>
      </c>
      <c r="Z24" s="388"/>
      <c r="AA24" s="178" t="str">
        <f ca="1">IF($C24="","",IF($D24="LPSM",Z23,VALUE($C24)*Z23))</f>
        <v/>
      </c>
      <c r="AB24" s="388"/>
      <c r="AC24" s="178" t="str">
        <f ca="1">IF($C24="","",IF($D24="LPSM",AB23,VALUE($C24)*AB23))</f>
        <v/>
      </c>
      <c r="AD24" s="388"/>
      <c r="AE24" s="178" t="str">
        <f ca="1">IF($C24="","",IF($D24="LPSM",AD23,VALUE($C24)*AD23))</f>
        <v/>
      </c>
      <c r="AF24" s="388"/>
      <c r="AG24" s="178" t="str">
        <f ca="1">IF($C24="","",IF($D24="LPSM",AF23,VALUE($C24)*AF23))</f>
        <v/>
      </c>
      <c r="AH24" s="388"/>
      <c r="AI24" s="178" t="str">
        <f ca="1">IF($C24="","",IF($D24="LPSM",AH23,VALUE($C24)*AH23))</f>
        <v/>
      </c>
      <c r="AJ24" s="388"/>
      <c r="AK24" s="178" t="str">
        <f ca="1">IF($C24="","",IF($D24="LPSM",AJ23,VALUE($C24)*AJ23))</f>
        <v/>
      </c>
      <c r="AL24" s="388"/>
      <c r="AM24" s="178" t="str">
        <f ca="1">IF($C24="","",IF($D24="LPSM",AL23,VALUE($C24)*AL23))</f>
        <v/>
      </c>
      <c r="AN24" s="388"/>
      <c r="AO24" s="178" t="str">
        <f ca="1">IF($C24="","",IF($D24="LPSM",AN23,VALUE($C24)*AN23))</f>
        <v/>
      </c>
      <c r="AP24" s="388"/>
      <c r="AQ24" s="178" t="str">
        <f ca="1">IF($C24="","",IF($D24="LPSM",AP23,VALUE($C24)*AP23))</f>
        <v/>
      </c>
      <c r="AR24" s="209" t="str">
        <f ca="1">IF(LEN(B24)&gt;0,ISNUMBER(MATCH(B24,Proposed[Item],0)),"")</f>
        <v/>
      </c>
    </row>
    <row r="25" spans="1:44" ht="15" x14ac:dyDescent="0.2">
      <c r="A25" s="276">
        <f t="shared" ca="1" si="0"/>
        <v>9</v>
      </c>
      <c r="B25" s="168" t="str">
        <f ca="1">IFERROR(INDEX(INDIRECT(RangeItems),MATCH($A25,INDIRECT(RangeCount),0)),"")</f>
        <v/>
      </c>
      <c r="C25" s="365" t="str">
        <f ca="1">INDEX(Calcs[Description],$A25)</f>
        <v/>
      </c>
      <c r="D25" s="365"/>
      <c r="E25" s="365"/>
      <c r="F25" s="365"/>
      <c r="G25" s="365"/>
      <c r="H25" s="388"/>
      <c r="I25" s="177"/>
      <c r="J25" s="388"/>
      <c r="K25" s="177"/>
      <c r="L25" s="388"/>
      <c r="M25" s="177"/>
      <c r="N25" s="388"/>
      <c r="O25" s="177"/>
      <c r="P25" s="388"/>
      <c r="Q25" s="177"/>
      <c r="R25" s="388"/>
      <c r="S25" s="177"/>
      <c r="T25" s="388"/>
      <c r="U25" s="177"/>
      <c r="V25" s="388"/>
      <c r="W25" s="177"/>
      <c r="X25" s="388"/>
      <c r="Y25" s="177"/>
      <c r="Z25" s="388"/>
      <c r="AA25" s="177"/>
      <c r="AB25" s="388"/>
      <c r="AC25" s="177"/>
      <c r="AD25" s="388"/>
      <c r="AE25" s="177"/>
      <c r="AF25" s="388"/>
      <c r="AG25" s="177"/>
      <c r="AH25" s="388"/>
      <c r="AI25" s="177"/>
      <c r="AJ25" s="388"/>
      <c r="AK25" s="177"/>
      <c r="AL25" s="388"/>
      <c r="AM25" s="177"/>
      <c r="AN25" s="388"/>
      <c r="AO25" s="177"/>
      <c r="AP25" s="388"/>
      <c r="AQ25" s="177"/>
      <c r="AR25" s="209" t="str">
        <f ca="1">IF(LEN(B25)&gt;0,ISNUMBER(MATCH(B25,Proposed[Item],0)),"")</f>
        <v/>
      </c>
    </row>
    <row r="26" spans="1:44" ht="15" x14ac:dyDescent="0.2">
      <c r="A26" s="276">
        <f t="shared" ca="1" si="0"/>
        <v>9</v>
      </c>
      <c r="B26" s="111" t="str">
        <f ca="1">IF($A26&lt;=NumPayItems,"Line "&amp;INDEX(Calcs[Line],$A26),"")</f>
        <v/>
      </c>
      <c r="C26" s="169" t="str">
        <f ca="1">IFERROR(IF($D26="LPSM","ALL",TEXT(INDEX(INDIRECT(RangeQuantity),MATCH($A26,INDIRECT(RangeCount),0)),"#,##0"&amp;IF(OFFSET(Items[],MATCH($A26,INDIRECT(RangeCount),0)-1,MATCH(Decimals,Items[#Headers],0)-1,1,1)&gt;0,"."&amp;REPT("0",OFFSET(Items[],MATCH($A26,INDIRECT(RangeCount),0)-1,MATCH(Decimals,Items[#Headers],0)-1,1,1)),""))),"")</f>
        <v/>
      </c>
      <c r="D26" s="170" t="str">
        <f ca="1">IFERROR(INDEX(INDIRECT(RangeUnit),MATCH($A26,INDIRECT(RangeCount),0)),"")</f>
        <v/>
      </c>
      <c r="E26" s="170" t="str">
        <f ca="1">IFERROR(IF(INDEX(INDIRECT(RangeContrQty),MATCH($A26,INDIRECT(RangeCount),0)),"(CQ)",""),"")</f>
        <v/>
      </c>
      <c r="F26" s="171" t="str">
        <f ca="1">IFERROR(INDEX(INDIRECT(RangeUnitPrice),MATCH($A26,INDIRECT(RangeCount),0)),"")</f>
        <v/>
      </c>
      <c r="G26" s="171" t="str">
        <f ca="1">IFERROR(VALUE(C26)*F26,F26)</f>
        <v/>
      </c>
      <c r="H26" s="388"/>
      <c r="I26" s="178" t="str">
        <f ca="1">IF($C26="","",IF($D26="LPSM",H25,VALUE($C26)*H25))</f>
        <v/>
      </c>
      <c r="J26" s="388"/>
      <c r="K26" s="178" t="str">
        <f ca="1">IF($C26="","",IF($D26="LPSM",J25,VALUE($C26)*J25))</f>
        <v/>
      </c>
      <c r="L26" s="388"/>
      <c r="M26" s="178" t="str">
        <f ca="1">IF($C26="","",IF($D26="LPSM",L25,VALUE($C26)*L25))</f>
        <v/>
      </c>
      <c r="N26" s="388"/>
      <c r="O26" s="178" t="str">
        <f ca="1">IF($C26="","",IF($D26="LPSM",N25,VALUE($C26)*N25))</f>
        <v/>
      </c>
      <c r="P26" s="388"/>
      <c r="Q26" s="178" t="str">
        <f ca="1">IF($C26="","",IF($D26="LPSM",P25,VALUE($C26)*P25))</f>
        <v/>
      </c>
      <c r="R26" s="388"/>
      <c r="S26" s="178" t="str">
        <f ca="1">IF($C26="","",IF($D26="LPSM",R25,VALUE($C26)*R25))</f>
        <v/>
      </c>
      <c r="T26" s="388"/>
      <c r="U26" s="178" t="str">
        <f ca="1">IF($C26="","",IF($D26="LPSM",T25,VALUE($C26)*T25))</f>
        <v/>
      </c>
      <c r="V26" s="388"/>
      <c r="W26" s="178" t="str">
        <f ca="1">IF($C26="","",IF($D26="LPSM",V25,VALUE($C26)*V25))</f>
        <v/>
      </c>
      <c r="X26" s="388"/>
      <c r="Y26" s="178" t="str">
        <f ca="1">IF($C26="","",IF($D26="LPSM",X25,VALUE($C26)*X25))</f>
        <v/>
      </c>
      <c r="Z26" s="388"/>
      <c r="AA26" s="178" t="str">
        <f ca="1">IF($C26="","",IF($D26="LPSM",Z25,VALUE($C26)*Z25))</f>
        <v/>
      </c>
      <c r="AB26" s="388"/>
      <c r="AC26" s="178" t="str">
        <f ca="1">IF($C26="","",IF($D26="LPSM",AB25,VALUE($C26)*AB25))</f>
        <v/>
      </c>
      <c r="AD26" s="388"/>
      <c r="AE26" s="178" t="str">
        <f ca="1">IF($C26="","",IF($D26="LPSM",AD25,VALUE($C26)*AD25))</f>
        <v/>
      </c>
      <c r="AF26" s="388"/>
      <c r="AG26" s="178" t="str">
        <f ca="1">IF($C26="","",IF($D26="LPSM",AF25,VALUE($C26)*AF25))</f>
        <v/>
      </c>
      <c r="AH26" s="388"/>
      <c r="AI26" s="178" t="str">
        <f ca="1">IF($C26="","",IF($D26="LPSM",AH25,VALUE($C26)*AH25))</f>
        <v/>
      </c>
      <c r="AJ26" s="388"/>
      <c r="AK26" s="178" t="str">
        <f ca="1">IF($C26="","",IF($D26="LPSM",AJ25,VALUE($C26)*AJ25))</f>
        <v/>
      </c>
      <c r="AL26" s="388"/>
      <c r="AM26" s="178" t="str">
        <f ca="1">IF($C26="","",IF($D26="LPSM",AL25,VALUE($C26)*AL25))</f>
        <v/>
      </c>
      <c r="AN26" s="388"/>
      <c r="AO26" s="178" t="str">
        <f ca="1">IF($C26="","",IF($D26="LPSM",AN25,VALUE($C26)*AN25))</f>
        <v/>
      </c>
      <c r="AP26" s="388"/>
      <c r="AQ26" s="178" t="str">
        <f ca="1">IF($C26="","",IF($D26="LPSM",AP25,VALUE($C26)*AP25))</f>
        <v/>
      </c>
      <c r="AR26" s="209" t="str">
        <f ca="1">IF(LEN(B26)&gt;0,ISNUMBER(MATCH(B26,Proposed[Item],0)),"")</f>
        <v/>
      </c>
    </row>
    <row r="27" spans="1:44" ht="15" x14ac:dyDescent="0.2">
      <c r="A27" s="276">
        <f t="shared" ca="1" si="0"/>
        <v>10</v>
      </c>
      <c r="B27" s="168" t="str">
        <f ca="1">IFERROR(INDEX(INDIRECT(RangeItems),MATCH($A27,INDIRECT(RangeCount),0)),"")</f>
        <v/>
      </c>
      <c r="C27" s="365" t="str">
        <f ca="1">INDEX(Calcs[Description],$A27)</f>
        <v/>
      </c>
      <c r="D27" s="365"/>
      <c r="E27" s="365"/>
      <c r="F27" s="365"/>
      <c r="G27" s="365"/>
      <c r="H27" s="388"/>
      <c r="I27" s="177"/>
      <c r="J27" s="388"/>
      <c r="K27" s="177"/>
      <c r="L27" s="388"/>
      <c r="M27" s="177"/>
      <c r="N27" s="388"/>
      <c r="O27" s="177"/>
      <c r="P27" s="388"/>
      <c r="Q27" s="177"/>
      <c r="R27" s="388"/>
      <c r="S27" s="177"/>
      <c r="T27" s="388"/>
      <c r="U27" s="177"/>
      <c r="V27" s="388"/>
      <c r="W27" s="177"/>
      <c r="X27" s="388"/>
      <c r="Y27" s="177"/>
      <c r="Z27" s="388"/>
      <c r="AA27" s="177"/>
      <c r="AB27" s="388"/>
      <c r="AC27" s="177"/>
      <c r="AD27" s="388"/>
      <c r="AE27" s="177"/>
      <c r="AF27" s="388"/>
      <c r="AG27" s="177"/>
      <c r="AH27" s="388"/>
      <c r="AI27" s="177"/>
      <c r="AJ27" s="388"/>
      <c r="AK27" s="177"/>
      <c r="AL27" s="388"/>
      <c r="AM27" s="177"/>
      <c r="AN27" s="388"/>
      <c r="AO27" s="177"/>
      <c r="AP27" s="388"/>
      <c r="AQ27" s="177"/>
      <c r="AR27" s="209" t="str">
        <f ca="1">IF(LEN(B27)&gt;0,ISNUMBER(MATCH(B27,Proposed[Item],0)),"")</f>
        <v/>
      </c>
    </row>
    <row r="28" spans="1:44" ht="15" x14ac:dyDescent="0.2">
      <c r="A28" s="276">
        <f t="shared" ca="1" si="0"/>
        <v>10</v>
      </c>
      <c r="B28" s="111" t="str">
        <f ca="1">IF($A28&lt;=NumPayItems,"Line "&amp;INDEX(Calcs[Line],$A28),"")</f>
        <v/>
      </c>
      <c r="C28" s="169" t="str">
        <f ca="1">IFERROR(IF($D28="LPSM","ALL",TEXT(INDEX(INDIRECT(RangeQuantity),MATCH($A28,INDIRECT(RangeCount),0)),"#,##0"&amp;IF(OFFSET(Items[],MATCH($A28,INDIRECT(RangeCount),0)-1,MATCH(Decimals,Items[#Headers],0)-1,1,1)&gt;0,"."&amp;REPT("0",OFFSET(Items[],MATCH($A28,INDIRECT(RangeCount),0)-1,MATCH(Decimals,Items[#Headers],0)-1,1,1)),""))),"")</f>
        <v/>
      </c>
      <c r="D28" s="170" t="str">
        <f ca="1">IFERROR(INDEX(INDIRECT(RangeUnit),MATCH($A28,INDIRECT(RangeCount),0)),"")</f>
        <v/>
      </c>
      <c r="E28" s="170" t="str">
        <f ca="1">IFERROR(IF(INDEX(INDIRECT(RangeContrQty),MATCH($A28,INDIRECT(RangeCount),0)),"(CQ)",""),"")</f>
        <v/>
      </c>
      <c r="F28" s="171" t="str">
        <f ca="1">IFERROR(INDEX(INDIRECT(RangeUnitPrice),MATCH($A28,INDIRECT(RangeCount),0)),"")</f>
        <v/>
      </c>
      <c r="G28" s="171" t="str">
        <f ca="1">IFERROR(VALUE(C28)*F28,F28)</f>
        <v/>
      </c>
      <c r="H28" s="388"/>
      <c r="I28" s="178" t="str">
        <f ca="1">IF($C28="","",IF($D28="LPSM",H27,VALUE($C28)*H27))</f>
        <v/>
      </c>
      <c r="J28" s="388"/>
      <c r="K28" s="178" t="str">
        <f ca="1">IF($C28="","",IF($D28="LPSM",J27,VALUE($C28)*J27))</f>
        <v/>
      </c>
      <c r="L28" s="388"/>
      <c r="M28" s="178" t="str">
        <f ca="1">IF($C28="","",IF($D28="LPSM",L27,VALUE($C28)*L27))</f>
        <v/>
      </c>
      <c r="N28" s="388"/>
      <c r="O28" s="178" t="str">
        <f ca="1">IF($C28="","",IF($D28="LPSM",N27,VALUE($C28)*N27))</f>
        <v/>
      </c>
      <c r="P28" s="388"/>
      <c r="Q28" s="178" t="str">
        <f ca="1">IF($C28="","",IF($D28="LPSM",P27,VALUE($C28)*P27))</f>
        <v/>
      </c>
      <c r="R28" s="388"/>
      <c r="S28" s="178" t="str">
        <f ca="1">IF($C28="","",IF($D28="LPSM",R27,VALUE($C28)*R27))</f>
        <v/>
      </c>
      <c r="T28" s="388"/>
      <c r="U28" s="178" t="str">
        <f ca="1">IF($C28="","",IF($D28="LPSM",T27,VALUE($C28)*T27))</f>
        <v/>
      </c>
      <c r="V28" s="388"/>
      <c r="W28" s="178" t="str">
        <f ca="1">IF($C28="","",IF($D28="LPSM",V27,VALUE($C28)*V27))</f>
        <v/>
      </c>
      <c r="X28" s="388"/>
      <c r="Y28" s="178" t="str">
        <f ca="1">IF($C28="","",IF($D28="LPSM",X27,VALUE($C28)*X27))</f>
        <v/>
      </c>
      <c r="Z28" s="388"/>
      <c r="AA28" s="178" t="str">
        <f ca="1">IF($C28="","",IF($D28="LPSM",Z27,VALUE($C28)*Z27))</f>
        <v/>
      </c>
      <c r="AB28" s="388"/>
      <c r="AC28" s="178" t="str">
        <f ca="1">IF($C28="","",IF($D28="LPSM",AB27,VALUE($C28)*AB27))</f>
        <v/>
      </c>
      <c r="AD28" s="388"/>
      <c r="AE28" s="178" t="str">
        <f ca="1">IF($C28="","",IF($D28="LPSM",AD27,VALUE($C28)*AD27))</f>
        <v/>
      </c>
      <c r="AF28" s="388"/>
      <c r="AG28" s="178" t="str">
        <f ca="1">IF($C28="","",IF($D28="LPSM",AF27,VALUE($C28)*AF27))</f>
        <v/>
      </c>
      <c r="AH28" s="388"/>
      <c r="AI28" s="178" t="str">
        <f ca="1">IF($C28="","",IF($D28="LPSM",AH27,VALUE($C28)*AH27))</f>
        <v/>
      </c>
      <c r="AJ28" s="388"/>
      <c r="AK28" s="178" t="str">
        <f ca="1">IF($C28="","",IF($D28="LPSM",AJ27,VALUE($C28)*AJ27))</f>
        <v/>
      </c>
      <c r="AL28" s="388"/>
      <c r="AM28" s="178" t="str">
        <f ca="1">IF($C28="","",IF($D28="LPSM",AL27,VALUE($C28)*AL27))</f>
        <v/>
      </c>
      <c r="AN28" s="388"/>
      <c r="AO28" s="178" t="str">
        <f ca="1">IF($C28="","",IF($D28="LPSM",AN27,VALUE($C28)*AN27))</f>
        <v/>
      </c>
      <c r="AP28" s="388"/>
      <c r="AQ28" s="178" t="str">
        <f ca="1">IF($C28="","",IF($D28="LPSM",AP27,VALUE($C28)*AP27))</f>
        <v/>
      </c>
      <c r="AR28" s="209" t="str">
        <f ca="1">IF(LEN(B28)&gt;0,ISNUMBER(MATCH(B28,Proposed[Item],0)),"")</f>
        <v/>
      </c>
    </row>
    <row r="29" spans="1:44" ht="15" x14ac:dyDescent="0.2">
      <c r="A29" s="276">
        <f t="shared" ca="1" si="0"/>
        <v>11</v>
      </c>
      <c r="B29" s="168" t="str">
        <f ca="1">IFERROR(INDEX(INDIRECT(RangeItems),MATCH($A29,INDIRECT(RangeCount),0)),"")</f>
        <v/>
      </c>
      <c r="C29" s="365" t="str">
        <f ca="1">INDEX(Calcs[Description],$A29)</f>
        <v/>
      </c>
      <c r="D29" s="365"/>
      <c r="E29" s="365"/>
      <c r="F29" s="365"/>
      <c r="G29" s="365"/>
      <c r="H29" s="388"/>
      <c r="I29" s="177"/>
      <c r="J29" s="388"/>
      <c r="K29" s="177"/>
      <c r="L29" s="388"/>
      <c r="M29" s="177"/>
      <c r="N29" s="388"/>
      <c r="O29" s="177"/>
      <c r="P29" s="388"/>
      <c r="Q29" s="177"/>
      <c r="R29" s="388"/>
      <c r="S29" s="177"/>
      <c r="T29" s="388"/>
      <c r="U29" s="177"/>
      <c r="V29" s="388"/>
      <c r="W29" s="177"/>
      <c r="X29" s="388"/>
      <c r="Y29" s="177"/>
      <c r="Z29" s="388"/>
      <c r="AA29" s="177"/>
      <c r="AB29" s="388"/>
      <c r="AC29" s="177"/>
      <c r="AD29" s="388"/>
      <c r="AE29" s="177"/>
      <c r="AF29" s="388"/>
      <c r="AG29" s="177"/>
      <c r="AH29" s="388"/>
      <c r="AI29" s="177"/>
      <c r="AJ29" s="388"/>
      <c r="AK29" s="177"/>
      <c r="AL29" s="388"/>
      <c r="AM29" s="177"/>
      <c r="AN29" s="388"/>
      <c r="AO29" s="177"/>
      <c r="AP29" s="388"/>
      <c r="AQ29" s="177"/>
      <c r="AR29" s="209" t="str">
        <f ca="1">IF(LEN(B29)&gt;0,ISNUMBER(MATCH(B29,Proposed[Item],0)),"")</f>
        <v/>
      </c>
    </row>
    <row r="30" spans="1:44" ht="15" x14ac:dyDescent="0.2">
      <c r="A30" s="276">
        <f t="shared" ca="1" si="0"/>
        <v>11</v>
      </c>
      <c r="B30" s="111" t="str">
        <f ca="1">IF($A30&lt;=NumPayItems,"Line "&amp;INDEX(Calcs[Line],$A30),"")</f>
        <v/>
      </c>
      <c r="C30" s="169" t="str">
        <f ca="1">IFERROR(IF($D30="LPSM","ALL",TEXT(INDEX(INDIRECT(RangeQuantity),MATCH($A30,INDIRECT(RangeCount),0)),"#,##0"&amp;IF(OFFSET(Items[],MATCH($A30,INDIRECT(RangeCount),0)-1,MATCH(Decimals,Items[#Headers],0)-1,1,1)&gt;0,"."&amp;REPT("0",OFFSET(Items[],MATCH($A30,INDIRECT(RangeCount),0)-1,MATCH(Decimals,Items[#Headers],0)-1,1,1)),""))),"")</f>
        <v/>
      </c>
      <c r="D30" s="170" t="str">
        <f ca="1">IFERROR(INDEX(INDIRECT(RangeUnit),MATCH($A30,INDIRECT(RangeCount),0)),"")</f>
        <v/>
      </c>
      <c r="E30" s="170" t="str">
        <f ca="1">IFERROR(IF(INDEX(INDIRECT(RangeContrQty),MATCH($A30,INDIRECT(RangeCount),0)),"(CQ)",""),"")</f>
        <v/>
      </c>
      <c r="F30" s="171" t="str">
        <f ca="1">IFERROR(INDEX(INDIRECT(RangeUnitPrice),MATCH($A30,INDIRECT(RangeCount),0)),"")</f>
        <v/>
      </c>
      <c r="G30" s="171" t="str">
        <f ca="1">IFERROR(VALUE(C30)*F30,F30)</f>
        <v/>
      </c>
      <c r="H30" s="388"/>
      <c r="I30" s="178" t="str">
        <f ca="1">IF($C30="","",IF($D30="LPSM",H29,VALUE($C30)*H29))</f>
        <v/>
      </c>
      <c r="J30" s="388"/>
      <c r="K30" s="178" t="str">
        <f ca="1">IF($C30="","",IF($D30="LPSM",J29,VALUE($C30)*J29))</f>
        <v/>
      </c>
      <c r="L30" s="388"/>
      <c r="M30" s="178" t="str">
        <f ca="1">IF($C30="","",IF($D30="LPSM",L29,VALUE($C30)*L29))</f>
        <v/>
      </c>
      <c r="N30" s="388"/>
      <c r="O30" s="178" t="str">
        <f ca="1">IF($C30="","",IF($D30="LPSM",N29,VALUE($C30)*N29))</f>
        <v/>
      </c>
      <c r="P30" s="388"/>
      <c r="Q30" s="178" t="str">
        <f ca="1">IF($C30="","",IF($D30="LPSM",P29,VALUE($C30)*P29))</f>
        <v/>
      </c>
      <c r="R30" s="388"/>
      <c r="S30" s="178" t="str">
        <f ca="1">IF($C30="","",IF($D30="LPSM",R29,VALUE($C30)*R29))</f>
        <v/>
      </c>
      <c r="T30" s="388"/>
      <c r="U30" s="178" t="str">
        <f ca="1">IF($C30="","",IF($D30="LPSM",T29,VALUE($C30)*T29))</f>
        <v/>
      </c>
      <c r="V30" s="388"/>
      <c r="W30" s="178" t="str">
        <f ca="1">IF($C30="","",IF($D30="LPSM",V29,VALUE($C30)*V29))</f>
        <v/>
      </c>
      <c r="X30" s="388"/>
      <c r="Y30" s="178" t="str">
        <f ca="1">IF($C30="","",IF($D30="LPSM",X29,VALUE($C30)*X29))</f>
        <v/>
      </c>
      <c r="Z30" s="388"/>
      <c r="AA30" s="178" t="str">
        <f ca="1">IF($C30="","",IF($D30="LPSM",Z29,VALUE($C30)*Z29))</f>
        <v/>
      </c>
      <c r="AB30" s="388"/>
      <c r="AC30" s="178" t="str">
        <f ca="1">IF($C30="","",IF($D30="LPSM",AB29,VALUE($C30)*AB29))</f>
        <v/>
      </c>
      <c r="AD30" s="388"/>
      <c r="AE30" s="178" t="str">
        <f ca="1">IF($C30="","",IF($D30="LPSM",AD29,VALUE($C30)*AD29))</f>
        <v/>
      </c>
      <c r="AF30" s="388"/>
      <c r="AG30" s="178" t="str">
        <f ca="1">IF($C30="","",IF($D30="LPSM",AF29,VALUE($C30)*AF29))</f>
        <v/>
      </c>
      <c r="AH30" s="388"/>
      <c r="AI30" s="178" t="str">
        <f ca="1">IF($C30="","",IF($D30="LPSM",AH29,VALUE($C30)*AH29))</f>
        <v/>
      </c>
      <c r="AJ30" s="388"/>
      <c r="AK30" s="178" t="str">
        <f ca="1">IF($C30="","",IF($D30="LPSM",AJ29,VALUE($C30)*AJ29))</f>
        <v/>
      </c>
      <c r="AL30" s="388"/>
      <c r="AM30" s="178" t="str">
        <f ca="1">IF($C30="","",IF($D30="LPSM",AL29,VALUE($C30)*AL29))</f>
        <v/>
      </c>
      <c r="AN30" s="388"/>
      <c r="AO30" s="178" t="str">
        <f ca="1">IF($C30="","",IF($D30="LPSM",AN29,VALUE($C30)*AN29))</f>
        <v/>
      </c>
      <c r="AP30" s="388"/>
      <c r="AQ30" s="178" t="str">
        <f ca="1">IF($C30="","",IF($D30="LPSM",AP29,VALUE($C30)*AP29))</f>
        <v/>
      </c>
      <c r="AR30" s="209" t="str">
        <f ca="1">IF(LEN(B30)&gt;0,ISNUMBER(MATCH(B30,Proposed[Item],0)),"")</f>
        <v/>
      </c>
    </row>
    <row r="31" spans="1:44" ht="15" x14ac:dyDescent="0.2">
      <c r="A31" s="276">
        <f t="shared" ca="1" si="0"/>
        <v>12</v>
      </c>
      <c r="B31" s="168" t="str">
        <f ca="1">IFERROR(INDEX(INDIRECT(RangeItems),MATCH($A31,INDIRECT(RangeCount),0)),"")</f>
        <v/>
      </c>
      <c r="C31" s="365" t="str">
        <f ca="1">INDEX(Calcs[Description],$A31)</f>
        <v/>
      </c>
      <c r="D31" s="365"/>
      <c r="E31" s="365"/>
      <c r="F31" s="365"/>
      <c r="G31" s="365"/>
      <c r="H31" s="388"/>
      <c r="I31" s="177"/>
      <c r="J31" s="388"/>
      <c r="K31" s="177"/>
      <c r="L31" s="388"/>
      <c r="M31" s="177"/>
      <c r="N31" s="388"/>
      <c r="O31" s="177"/>
      <c r="P31" s="388"/>
      <c r="Q31" s="177"/>
      <c r="R31" s="388"/>
      <c r="S31" s="177"/>
      <c r="T31" s="388"/>
      <c r="U31" s="177"/>
      <c r="V31" s="388"/>
      <c r="W31" s="177"/>
      <c r="X31" s="388"/>
      <c r="Y31" s="177"/>
      <c r="Z31" s="388"/>
      <c r="AA31" s="177"/>
      <c r="AB31" s="388"/>
      <c r="AC31" s="177"/>
      <c r="AD31" s="388"/>
      <c r="AE31" s="177"/>
      <c r="AF31" s="388"/>
      <c r="AG31" s="177"/>
      <c r="AH31" s="388"/>
      <c r="AI31" s="177"/>
      <c r="AJ31" s="388"/>
      <c r="AK31" s="177"/>
      <c r="AL31" s="388"/>
      <c r="AM31" s="177"/>
      <c r="AN31" s="388"/>
      <c r="AO31" s="177"/>
      <c r="AP31" s="388"/>
      <c r="AQ31" s="177"/>
      <c r="AR31" s="209" t="str">
        <f ca="1">IF(LEN(B31)&gt;0,ISNUMBER(MATCH(B31,Proposed[Item],0)),"")</f>
        <v/>
      </c>
    </row>
    <row r="32" spans="1:44" ht="15" x14ac:dyDescent="0.2">
      <c r="A32" s="276">
        <f t="shared" ca="1" si="0"/>
        <v>12</v>
      </c>
      <c r="B32" s="111" t="str">
        <f ca="1">IF($A32&lt;=NumPayItems,"Line "&amp;INDEX(Calcs[Line],$A32),"")</f>
        <v/>
      </c>
      <c r="C32" s="169" t="str">
        <f ca="1">IFERROR(IF($D32="LPSM","ALL",TEXT(INDEX(INDIRECT(RangeQuantity),MATCH($A32,INDIRECT(RangeCount),0)),"#,##0"&amp;IF(OFFSET(Items[],MATCH($A32,INDIRECT(RangeCount),0)-1,MATCH(Decimals,Items[#Headers],0)-1,1,1)&gt;0,"."&amp;REPT("0",OFFSET(Items[],MATCH($A32,INDIRECT(RangeCount),0)-1,MATCH(Decimals,Items[#Headers],0)-1,1,1)),""))),"")</f>
        <v/>
      </c>
      <c r="D32" s="170" t="str">
        <f ca="1">IFERROR(INDEX(INDIRECT(RangeUnit),MATCH($A32,INDIRECT(RangeCount),0)),"")</f>
        <v/>
      </c>
      <c r="E32" s="170" t="str">
        <f ca="1">IFERROR(IF(INDEX(INDIRECT(RangeContrQty),MATCH($A32,INDIRECT(RangeCount),0)),"(CQ)",""),"")</f>
        <v/>
      </c>
      <c r="F32" s="171" t="str">
        <f ca="1">IFERROR(INDEX(INDIRECT(RangeUnitPrice),MATCH($A32,INDIRECT(RangeCount),0)),"")</f>
        <v/>
      </c>
      <c r="G32" s="171" t="str">
        <f ca="1">IFERROR(VALUE(C32)*F32,F32)</f>
        <v/>
      </c>
      <c r="H32" s="388"/>
      <c r="I32" s="178" t="str">
        <f ca="1">IF($C32="","",IF($D32="LPSM",H31,VALUE($C32)*H31))</f>
        <v/>
      </c>
      <c r="J32" s="388"/>
      <c r="K32" s="178" t="str">
        <f ca="1">IF($C32="","",IF($D32="LPSM",J31,VALUE($C32)*J31))</f>
        <v/>
      </c>
      <c r="L32" s="388"/>
      <c r="M32" s="178" t="str">
        <f ca="1">IF($C32="","",IF($D32="LPSM",L31,VALUE($C32)*L31))</f>
        <v/>
      </c>
      <c r="N32" s="388"/>
      <c r="O32" s="178" t="str">
        <f ca="1">IF($C32="","",IF($D32="LPSM",N31,VALUE($C32)*N31))</f>
        <v/>
      </c>
      <c r="P32" s="388"/>
      <c r="Q32" s="178" t="str">
        <f ca="1">IF($C32="","",IF($D32="LPSM",P31,VALUE($C32)*P31))</f>
        <v/>
      </c>
      <c r="R32" s="388"/>
      <c r="S32" s="178" t="str">
        <f ca="1">IF($C32="","",IF($D32="LPSM",R31,VALUE($C32)*R31))</f>
        <v/>
      </c>
      <c r="T32" s="388"/>
      <c r="U32" s="178" t="str">
        <f ca="1">IF($C32="","",IF($D32="LPSM",T31,VALUE($C32)*T31))</f>
        <v/>
      </c>
      <c r="V32" s="388"/>
      <c r="W32" s="178" t="str">
        <f ca="1">IF($C32="","",IF($D32="LPSM",V31,VALUE($C32)*V31))</f>
        <v/>
      </c>
      <c r="X32" s="388"/>
      <c r="Y32" s="178" t="str">
        <f ca="1">IF($C32="","",IF($D32="LPSM",X31,VALUE($C32)*X31))</f>
        <v/>
      </c>
      <c r="Z32" s="388"/>
      <c r="AA32" s="178" t="str">
        <f ca="1">IF($C32="","",IF($D32="LPSM",Z31,VALUE($C32)*Z31))</f>
        <v/>
      </c>
      <c r="AB32" s="388"/>
      <c r="AC32" s="178" t="str">
        <f ca="1">IF($C32="","",IF($D32="LPSM",AB31,VALUE($C32)*AB31))</f>
        <v/>
      </c>
      <c r="AD32" s="388"/>
      <c r="AE32" s="178" t="str">
        <f ca="1">IF($C32="","",IF($D32="LPSM",AD31,VALUE($C32)*AD31))</f>
        <v/>
      </c>
      <c r="AF32" s="388"/>
      <c r="AG32" s="178" t="str">
        <f ca="1">IF($C32="","",IF($D32="LPSM",AF31,VALUE($C32)*AF31))</f>
        <v/>
      </c>
      <c r="AH32" s="388"/>
      <c r="AI32" s="178" t="str">
        <f ca="1">IF($C32="","",IF($D32="LPSM",AH31,VALUE($C32)*AH31))</f>
        <v/>
      </c>
      <c r="AJ32" s="388"/>
      <c r="AK32" s="178" t="str">
        <f ca="1">IF($C32="","",IF($D32="LPSM",AJ31,VALUE($C32)*AJ31))</f>
        <v/>
      </c>
      <c r="AL32" s="388"/>
      <c r="AM32" s="178" t="str">
        <f ca="1">IF($C32="","",IF($D32="LPSM",AL31,VALUE($C32)*AL31))</f>
        <v/>
      </c>
      <c r="AN32" s="388"/>
      <c r="AO32" s="178" t="str">
        <f ca="1">IF($C32="","",IF($D32="LPSM",AN31,VALUE($C32)*AN31))</f>
        <v/>
      </c>
      <c r="AP32" s="388"/>
      <c r="AQ32" s="178" t="str">
        <f ca="1">IF($C32="","",IF($D32="LPSM",AP31,VALUE($C32)*AP31))</f>
        <v/>
      </c>
      <c r="AR32" s="209" t="str">
        <f ca="1">IF(LEN(B32)&gt;0,ISNUMBER(MATCH(B32,Proposed[Item],0)),"")</f>
        <v/>
      </c>
    </row>
    <row r="33" spans="1:44" ht="15" x14ac:dyDescent="0.2">
      <c r="A33" s="276">
        <f t="shared" ca="1" si="0"/>
        <v>13</v>
      </c>
      <c r="B33" s="168" t="str">
        <f ca="1">IFERROR(INDEX(INDIRECT(RangeItems),MATCH($A33,INDIRECT(RangeCount),0)),"")</f>
        <v/>
      </c>
      <c r="C33" s="365" t="str">
        <f ca="1">INDEX(Calcs[Description],$A33)</f>
        <v/>
      </c>
      <c r="D33" s="365"/>
      <c r="E33" s="365"/>
      <c r="F33" s="365"/>
      <c r="G33" s="365"/>
      <c r="H33" s="388"/>
      <c r="I33" s="177"/>
      <c r="J33" s="388"/>
      <c r="K33" s="177"/>
      <c r="L33" s="388"/>
      <c r="M33" s="177"/>
      <c r="N33" s="388"/>
      <c r="O33" s="177"/>
      <c r="P33" s="388"/>
      <c r="Q33" s="177"/>
      <c r="R33" s="388"/>
      <c r="S33" s="177"/>
      <c r="T33" s="388"/>
      <c r="U33" s="177"/>
      <c r="V33" s="388"/>
      <c r="W33" s="177"/>
      <c r="X33" s="388"/>
      <c r="Y33" s="177"/>
      <c r="Z33" s="388"/>
      <c r="AA33" s="177"/>
      <c r="AB33" s="388"/>
      <c r="AC33" s="177"/>
      <c r="AD33" s="388"/>
      <c r="AE33" s="177"/>
      <c r="AF33" s="388"/>
      <c r="AG33" s="177"/>
      <c r="AH33" s="388"/>
      <c r="AI33" s="177"/>
      <c r="AJ33" s="388"/>
      <c r="AK33" s="177"/>
      <c r="AL33" s="388"/>
      <c r="AM33" s="177"/>
      <c r="AN33" s="388"/>
      <c r="AO33" s="177"/>
      <c r="AP33" s="388"/>
      <c r="AQ33" s="177"/>
      <c r="AR33" s="209" t="str">
        <f ca="1">IF(LEN(B33)&gt;0,ISNUMBER(MATCH(B33,Proposed[Item],0)),"")</f>
        <v/>
      </c>
    </row>
    <row r="34" spans="1:44" ht="15" x14ac:dyDescent="0.2">
      <c r="A34" s="276">
        <f t="shared" ca="1" si="0"/>
        <v>13</v>
      </c>
      <c r="B34" s="111" t="str">
        <f ca="1">IF($A34&lt;=NumPayItems,"Line "&amp;INDEX(Calcs[Line],$A34),"")</f>
        <v/>
      </c>
      <c r="C34" s="169" t="str">
        <f ca="1">IFERROR(IF($D34="LPSM","ALL",TEXT(INDEX(INDIRECT(RangeQuantity),MATCH($A34,INDIRECT(RangeCount),0)),"#,##0"&amp;IF(OFFSET(Items[],MATCH($A34,INDIRECT(RangeCount),0)-1,MATCH(Decimals,Items[#Headers],0)-1,1,1)&gt;0,"."&amp;REPT("0",OFFSET(Items[],MATCH($A34,INDIRECT(RangeCount),0)-1,MATCH(Decimals,Items[#Headers],0)-1,1,1)),""))),"")</f>
        <v/>
      </c>
      <c r="D34" s="170" t="str">
        <f ca="1">IFERROR(INDEX(INDIRECT(RangeUnit),MATCH($A34,INDIRECT(RangeCount),0)),"")</f>
        <v/>
      </c>
      <c r="E34" s="170" t="str">
        <f ca="1">IFERROR(IF(INDEX(INDIRECT(RangeContrQty),MATCH($A34,INDIRECT(RangeCount),0)),"(CQ)",""),"")</f>
        <v/>
      </c>
      <c r="F34" s="171" t="str">
        <f ca="1">IFERROR(INDEX(INDIRECT(RangeUnitPrice),MATCH($A34,INDIRECT(RangeCount),0)),"")</f>
        <v/>
      </c>
      <c r="G34" s="171" t="str">
        <f ca="1">IFERROR(VALUE(C34)*F34,F34)</f>
        <v/>
      </c>
      <c r="H34" s="388"/>
      <c r="I34" s="178" t="str">
        <f ca="1">IF($C34="","",IF($D34="LPSM",H33,VALUE($C34)*H33))</f>
        <v/>
      </c>
      <c r="J34" s="388"/>
      <c r="K34" s="178" t="str">
        <f ca="1">IF($C34="","",IF($D34="LPSM",J33,VALUE($C34)*J33))</f>
        <v/>
      </c>
      <c r="L34" s="388"/>
      <c r="M34" s="178" t="str">
        <f ca="1">IF($C34="","",IF($D34="LPSM",L33,VALUE($C34)*L33))</f>
        <v/>
      </c>
      <c r="N34" s="388"/>
      <c r="O34" s="178" t="str">
        <f ca="1">IF($C34="","",IF($D34="LPSM",N33,VALUE($C34)*N33))</f>
        <v/>
      </c>
      <c r="P34" s="388"/>
      <c r="Q34" s="178" t="str">
        <f ca="1">IF($C34="","",IF($D34="LPSM",P33,VALUE($C34)*P33))</f>
        <v/>
      </c>
      <c r="R34" s="388"/>
      <c r="S34" s="178" t="str">
        <f ca="1">IF($C34="","",IF($D34="LPSM",R33,VALUE($C34)*R33))</f>
        <v/>
      </c>
      <c r="T34" s="388"/>
      <c r="U34" s="178" t="str">
        <f ca="1">IF($C34="","",IF($D34="LPSM",T33,VALUE($C34)*T33))</f>
        <v/>
      </c>
      <c r="V34" s="388"/>
      <c r="W34" s="178" t="str">
        <f ca="1">IF($C34="","",IF($D34="LPSM",V33,VALUE($C34)*V33))</f>
        <v/>
      </c>
      <c r="X34" s="388"/>
      <c r="Y34" s="178" t="str">
        <f ca="1">IF($C34="","",IF($D34="LPSM",X33,VALUE($C34)*X33))</f>
        <v/>
      </c>
      <c r="Z34" s="388"/>
      <c r="AA34" s="178" t="str">
        <f ca="1">IF($C34="","",IF($D34="LPSM",Z33,VALUE($C34)*Z33))</f>
        <v/>
      </c>
      <c r="AB34" s="388"/>
      <c r="AC34" s="178" t="str">
        <f ca="1">IF($C34="","",IF($D34="LPSM",AB33,VALUE($C34)*AB33))</f>
        <v/>
      </c>
      <c r="AD34" s="388"/>
      <c r="AE34" s="178" t="str">
        <f ca="1">IF($C34="","",IF($D34="LPSM",AD33,VALUE($C34)*AD33))</f>
        <v/>
      </c>
      <c r="AF34" s="388"/>
      <c r="AG34" s="178" t="str">
        <f ca="1">IF($C34="","",IF($D34="LPSM",AF33,VALUE($C34)*AF33))</f>
        <v/>
      </c>
      <c r="AH34" s="388"/>
      <c r="AI34" s="178" t="str">
        <f ca="1">IF($C34="","",IF($D34="LPSM",AH33,VALUE($C34)*AH33))</f>
        <v/>
      </c>
      <c r="AJ34" s="388"/>
      <c r="AK34" s="178" t="str">
        <f ca="1">IF($C34="","",IF($D34="LPSM",AJ33,VALUE($C34)*AJ33))</f>
        <v/>
      </c>
      <c r="AL34" s="388"/>
      <c r="AM34" s="178" t="str">
        <f ca="1">IF($C34="","",IF($D34="LPSM",AL33,VALUE($C34)*AL33))</f>
        <v/>
      </c>
      <c r="AN34" s="388"/>
      <c r="AO34" s="178" t="str">
        <f ca="1">IF($C34="","",IF($D34="LPSM",AN33,VALUE($C34)*AN33))</f>
        <v/>
      </c>
      <c r="AP34" s="388"/>
      <c r="AQ34" s="178" t="str">
        <f ca="1">IF($C34="","",IF($D34="LPSM",AP33,VALUE($C34)*AP33))</f>
        <v/>
      </c>
      <c r="AR34" s="209" t="str">
        <f ca="1">IF(LEN(B34)&gt;0,ISNUMBER(MATCH(B34,Proposed[Item],0)),"")</f>
        <v/>
      </c>
    </row>
    <row r="35" spans="1:44" ht="15" x14ac:dyDescent="0.2">
      <c r="A35" s="276">
        <f t="shared" ca="1" si="0"/>
        <v>14</v>
      </c>
      <c r="B35" s="168" t="str">
        <f ca="1">IFERROR(INDEX(INDIRECT(RangeItems),MATCH($A35,INDIRECT(RangeCount),0)),"")</f>
        <v/>
      </c>
      <c r="C35" s="365" t="str">
        <f ca="1">INDEX(Calcs[Description],$A35)</f>
        <v/>
      </c>
      <c r="D35" s="365"/>
      <c r="E35" s="365"/>
      <c r="F35" s="365"/>
      <c r="G35" s="365"/>
      <c r="H35" s="388"/>
      <c r="I35" s="177"/>
      <c r="J35" s="388"/>
      <c r="K35" s="177"/>
      <c r="L35" s="388"/>
      <c r="M35" s="177"/>
      <c r="N35" s="388"/>
      <c r="O35" s="177"/>
      <c r="P35" s="388"/>
      <c r="Q35" s="177"/>
      <c r="R35" s="388"/>
      <c r="S35" s="177"/>
      <c r="T35" s="388"/>
      <c r="U35" s="177"/>
      <c r="V35" s="388"/>
      <c r="W35" s="177"/>
      <c r="X35" s="388"/>
      <c r="Y35" s="177"/>
      <c r="Z35" s="388"/>
      <c r="AA35" s="177"/>
      <c r="AB35" s="388"/>
      <c r="AC35" s="177"/>
      <c r="AD35" s="388"/>
      <c r="AE35" s="177"/>
      <c r="AF35" s="388"/>
      <c r="AG35" s="177"/>
      <c r="AH35" s="388"/>
      <c r="AI35" s="177"/>
      <c r="AJ35" s="388"/>
      <c r="AK35" s="177"/>
      <c r="AL35" s="388"/>
      <c r="AM35" s="177"/>
      <c r="AN35" s="388"/>
      <c r="AO35" s="177"/>
      <c r="AP35" s="388"/>
      <c r="AQ35" s="177"/>
      <c r="AR35" s="209" t="str">
        <f ca="1">IF(LEN(B35)&gt;0,ISNUMBER(MATCH(B35,Proposed[Item],0)),"")</f>
        <v/>
      </c>
    </row>
    <row r="36" spans="1:44" ht="15" x14ac:dyDescent="0.2">
      <c r="A36" s="276">
        <f t="shared" ca="1" si="0"/>
        <v>14</v>
      </c>
      <c r="B36" s="111" t="str">
        <f ca="1">IF($A36&lt;=NumPayItems,"Line "&amp;INDEX(Calcs[Line],$A36),"")</f>
        <v/>
      </c>
      <c r="C36" s="169" t="str">
        <f ca="1">IFERROR(IF($D36="LPSM","ALL",TEXT(INDEX(INDIRECT(RangeQuantity),MATCH($A36,INDIRECT(RangeCount),0)),"#,##0"&amp;IF(OFFSET(Items[],MATCH($A36,INDIRECT(RangeCount),0)-1,MATCH(Decimals,Items[#Headers],0)-1,1,1)&gt;0,"."&amp;REPT("0",OFFSET(Items[],MATCH($A36,INDIRECT(RangeCount),0)-1,MATCH(Decimals,Items[#Headers],0)-1,1,1)),""))),"")</f>
        <v/>
      </c>
      <c r="D36" s="170" t="str">
        <f ca="1">IFERROR(INDEX(INDIRECT(RangeUnit),MATCH($A36,INDIRECT(RangeCount),0)),"")</f>
        <v/>
      </c>
      <c r="E36" s="170" t="str">
        <f ca="1">IFERROR(IF(INDEX(INDIRECT(RangeContrQty),MATCH($A36,INDIRECT(RangeCount),0)),"(CQ)",""),"")</f>
        <v/>
      </c>
      <c r="F36" s="171" t="str">
        <f ca="1">IFERROR(INDEX(INDIRECT(RangeUnitPrice),MATCH($A36,INDIRECT(RangeCount),0)),"")</f>
        <v/>
      </c>
      <c r="G36" s="171" t="str">
        <f ca="1">IFERROR(VALUE(C36)*F36,F36)</f>
        <v/>
      </c>
      <c r="H36" s="388"/>
      <c r="I36" s="178" t="str">
        <f ca="1">IF($C36="","",IF($D36="LPSM",H35,VALUE($C36)*H35))</f>
        <v/>
      </c>
      <c r="J36" s="388"/>
      <c r="K36" s="178" t="str">
        <f ca="1">IF($C36="","",IF($D36="LPSM",J35,VALUE($C36)*J35))</f>
        <v/>
      </c>
      <c r="L36" s="388"/>
      <c r="M36" s="178" t="str">
        <f ca="1">IF($C36="","",IF($D36="LPSM",L35,VALUE($C36)*L35))</f>
        <v/>
      </c>
      <c r="N36" s="388"/>
      <c r="O36" s="178" t="str">
        <f ca="1">IF($C36="","",IF($D36="LPSM",N35,VALUE($C36)*N35))</f>
        <v/>
      </c>
      <c r="P36" s="388"/>
      <c r="Q36" s="178" t="str">
        <f ca="1">IF($C36="","",IF($D36="LPSM",P35,VALUE($C36)*P35))</f>
        <v/>
      </c>
      <c r="R36" s="388"/>
      <c r="S36" s="178" t="str">
        <f ca="1">IF($C36="","",IF($D36="LPSM",R35,VALUE($C36)*R35))</f>
        <v/>
      </c>
      <c r="T36" s="388"/>
      <c r="U36" s="178" t="str">
        <f ca="1">IF($C36="","",IF($D36="LPSM",T35,VALUE($C36)*T35))</f>
        <v/>
      </c>
      <c r="V36" s="388"/>
      <c r="W36" s="178" t="str">
        <f ca="1">IF($C36="","",IF($D36="LPSM",V35,VALUE($C36)*V35))</f>
        <v/>
      </c>
      <c r="X36" s="388"/>
      <c r="Y36" s="178" t="str">
        <f ca="1">IF($C36="","",IF($D36="LPSM",X35,VALUE($C36)*X35))</f>
        <v/>
      </c>
      <c r="Z36" s="388"/>
      <c r="AA36" s="178" t="str">
        <f ca="1">IF($C36="","",IF($D36="LPSM",Z35,VALUE($C36)*Z35))</f>
        <v/>
      </c>
      <c r="AB36" s="388"/>
      <c r="AC36" s="178" t="str">
        <f ca="1">IF($C36="","",IF($D36="LPSM",AB35,VALUE($C36)*AB35))</f>
        <v/>
      </c>
      <c r="AD36" s="388"/>
      <c r="AE36" s="178" t="str">
        <f ca="1">IF($C36="","",IF($D36="LPSM",AD35,VALUE($C36)*AD35))</f>
        <v/>
      </c>
      <c r="AF36" s="388"/>
      <c r="AG36" s="178" t="str">
        <f ca="1">IF($C36="","",IF($D36="LPSM",AF35,VALUE($C36)*AF35))</f>
        <v/>
      </c>
      <c r="AH36" s="388"/>
      <c r="AI36" s="178" t="str">
        <f ca="1">IF($C36="","",IF($D36="LPSM",AH35,VALUE($C36)*AH35))</f>
        <v/>
      </c>
      <c r="AJ36" s="388"/>
      <c r="AK36" s="178" t="str">
        <f ca="1">IF($C36="","",IF($D36="LPSM",AJ35,VALUE($C36)*AJ35))</f>
        <v/>
      </c>
      <c r="AL36" s="388"/>
      <c r="AM36" s="178" t="str">
        <f ca="1">IF($C36="","",IF($D36="LPSM",AL35,VALUE($C36)*AL35))</f>
        <v/>
      </c>
      <c r="AN36" s="388"/>
      <c r="AO36" s="178" t="str">
        <f ca="1">IF($C36="","",IF($D36="LPSM",AN35,VALUE($C36)*AN35))</f>
        <v/>
      </c>
      <c r="AP36" s="388"/>
      <c r="AQ36" s="178" t="str">
        <f ca="1">IF($C36="","",IF($D36="LPSM",AP35,VALUE($C36)*AP35))</f>
        <v/>
      </c>
      <c r="AR36" s="209" t="str">
        <f ca="1">IF(LEN(B36)&gt;0,ISNUMBER(MATCH(B36,Proposed[Item],0)),"")</f>
        <v/>
      </c>
    </row>
    <row r="37" spans="1:44" ht="15" x14ac:dyDescent="0.2">
      <c r="A37" s="276">
        <f t="shared" ca="1" si="0"/>
        <v>15</v>
      </c>
      <c r="B37" s="168" t="str">
        <f ca="1">IFERROR(INDEX(INDIRECT(RangeItems),MATCH($A37,INDIRECT(RangeCount),0)),"")</f>
        <v/>
      </c>
      <c r="C37" s="365" t="str">
        <f ca="1">INDEX(Calcs[Description],$A37)</f>
        <v/>
      </c>
      <c r="D37" s="365"/>
      <c r="E37" s="365"/>
      <c r="F37" s="365"/>
      <c r="G37" s="365"/>
      <c r="H37" s="388"/>
      <c r="I37" s="177"/>
      <c r="J37" s="388"/>
      <c r="K37" s="177"/>
      <c r="L37" s="388"/>
      <c r="M37" s="177"/>
      <c r="N37" s="388"/>
      <c r="O37" s="177"/>
      <c r="P37" s="388"/>
      <c r="Q37" s="177"/>
      <c r="R37" s="388"/>
      <c r="S37" s="177"/>
      <c r="T37" s="388"/>
      <c r="U37" s="177"/>
      <c r="V37" s="388"/>
      <c r="W37" s="177"/>
      <c r="X37" s="388"/>
      <c r="Y37" s="177"/>
      <c r="Z37" s="388"/>
      <c r="AA37" s="177"/>
      <c r="AB37" s="388"/>
      <c r="AC37" s="177"/>
      <c r="AD37" s="388"/>
      <c r="AE37" s="177"/>
      <c r="AF37" s="388"/>
      <c r="AG37" s="177"/>
      <c r="AH37" s="388"/>
      <c r="AI37" s="177"/>
      <c r="AJ37" s="388"/>
      <c r="AK37" s="177"/>
      <c r="AL37" s="388"/>
      <c r="AM37" s="177"/>
      <c r="AN37" s="388"/>
      <c r="AO37" s="177"/>
      <c r="AP37" s="388"/>
      <c r="AQ37" s="177"/>
      <c r="AR37" s="209" t="str">
        <f ca="1">IF(LEN(B37)&gt;0,ISNUMBER(MATCH(B37,Proposed[Item],0)),"")</f>
        <v/>
      </c>
    </row>
    <row r="38" spans="1:44" ht="15" x14ac:dyDescent="0.2">
      <c r="A38" s="276">
        <f t="shared" ca="1" si="0"/>
        <v>15</v>
      </c>
      <c r="B38" s="111" t="str">
        <f ca="1">IF($A38&lt;=NumPayItems,"Line "&amp;INDEX(Calcs[Line],$A38),"")</f>
        <v/>
      </c>
      <c r="C38" s="169" t="str">
        <f ca="1">IFERROR(IF($D38="LPSM","ALL",TEXT(INDEX(INDIRECT(RangeQuantity),MATCH($A38,INDIRECT(RangeCount),0)),"#,##0"&amp;IF(OFFSET(Items[],MATCH($A38,INDIRECT(RangeCount),0)-1,MATCH(Decimals,Items[#Headers],0)-1,1,1)&gt;0,"."&amp;REPT("0",OFFSET(Items[],MATCH($A38,INDIRECT(RangeCount),0)-1,MATCH(Decimals,Items[#Headers],0)-1,1,1)),""))),"")</f>
        <v/>
      </c>
      <c r="D38" s="170" t="str">
        <f ca="1">IFERROR(INDEX(INDIRECT(RangeUnit),MATCH($A38,INDIRECT(RangeCount),0)),"")</f>
        <v/>
      </c>
      <c r="E38" s="170" t="str">
        <f ca="1">IFERROR(IF(INDEX(INDIRECT(RangeContrQty),MATCH($A38,INDIRECT(RangeCount),0)),"(CQ)",""),"")</f>
        <v/>
      </c>
      <c r="F38" s="171" t="str">
        <f ca="1">IFERROR(INDEX(INDIRECT(RangeUnitPrice),MATCH($A38,INDIRECT(RangeCount),0)),"")</f>
        <v/>
      </c>
      <c r="G38" s="171" t="str">
        <f ca="1">IFERROR(VALUE(C38)*F38,F38)</f>
        <v/>
      </c>
      <c r="H38" s="388"/>
      <c r="I38" s="178" t="str">
        <f ca="1">IF($C38="","",IF($D38="LPSM",H37,VALUE($C38)*H37))</f>
        <v/>
      </c>
      <c r="J38" s="388"/>
      <c r="K38" s="178" t="str">
        <f ca="1">IF($C38="","",IF($D38="LPSM",J37,VALUE($C38)*J37))</f>
        <v/>
      </c>
      <c r="L38" s="388"/>
      <c r="M38" s="178" t="str">
        <f ca="1">IF($C38="","",IF($D38="LPSM",L37,VALUE($C38)*L37))</f>
        <v/>
      </c>
      <c r="N38" s="388"/>
      <c r="O38" s="178" t="str">
        <f ca="1">IF($C38="","",IF($D38="LPSM",N37,VALUE($C38)*N37))</f>
        <v/>
      </c>
      <c r="P38" s="388"/>
      <c r="Q38" s="178" t="str">
        <f ca="1">IF($C38="","",IF($D38="LPSM",P37,VALUE($C38)*P37))</f>
        <v/>
      </c>
      <c r="R38" s="388"/>
      <c r="S38" s="178" t="str">
        <f ca="1">IF($C38="","",IF($D38="LPSM",R37,VALUE($C38)*R37))</f>
        <v/>
      </c>
      <c r="T38" s="388"/>
      <c r="U38" s="178" t="str">
        <f ca="1">IF($C38="","",IF($D38="LPSM",T37,VALUE($C38)*T37))</f>
        <v/>
      </c>
      <c r="V38" s="388"/>
      <c r="W38" s="178" t="str">
        <f ca="1">IF($C38="","",IF($D38="LPSM",V37,VALUE($C38)*V37))</f>
        <v/>
      </c>
      <c r="X38" s="388"/>
      <c r="Y38" s="178" t="str">
        <f ca="1">IF($C38="","",IF($D38="LPSM",X37,VALUE($C38)*X37))</f>
        <v/>
      </c>
      <c r="Z38" s="388"/>
      <c r="AA38" s="178" t="str">
        <f ca="1">IF($C38="","",IF($D38="LPSM",Z37,VALUE($C38)*Z37))</f>
        <v/>
      </c>
      <c r="AB38" s="388"/>
      <c r="AC38" s="178" t="str">
        <f ca="1">IF($C38="","",IF($D38="LPSM",AB37,VALUE($C38)*AB37))</f>
        <v/>
      </c>
      <c r="AD38" s="388"/>
      <c r="AE38" s="178" t="str">
        <f ca="1">IF($C38="","",IF($D38="LPSM",AD37,VALUE($C38)*AD37))</f>
        <v/>
      </c>
      <c r="AF38" s="388"/>
      <c r="AG38" s="178" t="str">
        <f ca="1">IF($C38="","",IF($D38="LPSM",AF37,VALUE($C38)*AF37))</f>
        <v/>
      </c>
      <c r="AH38" s="388"/>
      <c r="AI38" s="178" t="str">
        <f ca="1">IF($C38="","",IF($D38="LPSM",AH37,VALUE($C38)*AH37))</f>
        <v/>
      </c>
      <c r="AJ38" s="388"/>
      <c r="AK38" s="178" t="str">
        <f ca="1">IF($C38="","",IF($D38="LPSM",AJ37,VALUE($C38)*AJ37))</f>
        <v/>
      </c>
      <c r="AL38" s="388"/>
      <c r="AM38" s="178" t="str">
        <f ca="1">IF($C38="","",IF($D38="LPSM",AL37,VALUE($C38)*AL37))</f>
        <v/>
      </c>
      <c r="AN38" s="388"/>
      <c r="AO38" s="178" t="str">
        <f ca="1">IF($C38="","",IF($D38="LPSM",AN37,VALUE($C38)*AN37))</f>
        <v/>
      </c>
      <c r="AP38" s="388"/>
      <c r="AQ38" s="178" t="str">
        <f ca="1">IF($C38="","",IF($D38="LPSM",AP37,VALUE($C38)*AP37))</f>
        <v/>
      </c>
      <c r="AR38" s="209" t="str">
        <f ca="1">IF(LEN(B38)&gt;0,ISNUMBER(MATCH(B38,Proposed[Item],0)),"")</f>
        <v/>
      </c>
    </row>
    <row r="39" spans="1:44" ht="15" x14ac:dyDescent="0.2">
      <c r="A39" s="276">
        <f t="shared" ca="1" si="0"/>
        <v>16</v>
      </c>
      <c r="B39" s="168" t="str">
        <f ca="1">IFERROR(INDEX(INDIRECT(RangeItems),MATCH($A39,INDIRECT(RangeCount),0)),"")</f>
        <v/>
      </c>
      <c r="C39" s="365" t="str">
        <f ca="1">INDEX(Calcs[Description],$A39)</f>
        <v/>
      </c>
      <c r="D39" s="365"/>
      <c r="E39" s="365"/>
      <c r="F39" s="365"/>
      <c r="G39" s="365"/>
      <c r="H39" s="388"/>
      <c r="I39" s="177"/>
      <c r="J39" s="388"/>
      <c r="K39" s="177"/>
      <c r="L39" s="388"/>
      <c r="M39" s="177"/>
      <c r="N39" s="388"/>
      <c r="O39" s="177"/>
      <c r="P39" s="388"/>
      <c r="Q39" s="177"/>
      <c r="R39" s="388"/>
      <c r="S39" s="177"/>
      <c r="T39" s="388"/>
      <c r="U39" s="177"/>
      <c r="V39" s="388"/>
      <c r="W39" s="177"/>
      <c r="X39" s="388"/>
      <c r="Y39" s="177"/>
      <c r="Z39" s="388"/>
      <c r="AA39" s="177"/>
      <c r="AB39" s="388"/>
      <c r="AC39" s="177"/>
      <c r="AD39" s="388"/>
      <c r="AE39" s="177"/>
      <c r="AF39" s="388"/>
      <c r="AG39" s="177"/>
      <c r="AH39" s="388"/>
      <c r="AI39" s="177"/>
      <c r="AJ39" s="388"/>
      <c r="AK39" s="177"/>
      <c r="AL39" s="388"/>
      <c r="AM39" s="177"/>
      <c r="AN39" s="388"/>
      <c r="AO39" s="177"/>
      <c r="AP39" s="388"/>
      <c r="AQ39" s="177"/>
      <c r="AR39" s="209" t="str">
        <f ca="1">IF(LEN(B39)&gt;0,ISNUMBER(MATCH(B39,Proposed[Item],0)),"")</f>
        <v/>
      </c>
    </row>
    <row r="40" spans="1:44" ht="15" x14ac:dyDescent="0.2">
      <c r="A40" s="276">
        <f t="shared" ca="1" si="0"/>
        <v>16</v>
      </c>
      <c r="B40" s="111" t="str">
        <f ca="1">IF($A40&lt;=NumPayItems,"Line "&amp;INDEX(Calcs[Line],$A40),"")</f>
        <v/>
      </c>
      <c r="C40" s="169" t="str">
        <f ca="1">IFERROR(IF($D40="LPSM","ALL",TEXT(INDEX(INDIRECT(RangeQuantity),MATCH($A40,INDIRECT(RangeCount),0)),"#,##0"&amp;IF(OFFSET(Items[],MATCH($A40,INDIRECT(RangeCount),0)-1,MATCH(Decimals,Items[#Headers],0)-1,1,1)&gt;0,"."&amp;REPT("0",OFFSET(Items[],MATCH($A40,INDIRECT(RangeCount),0)-1,MATCH(Decimals,Items[#Headers],0)-1,1,1)),""))),"")</f>
        <v/>
      </c>
      <c r="D40" s="170" t="str">
        <f ca="1">IFERROR(INDEX(INDIRECT(RangeUnit),MATCH($A40,INDIRECT(RangeCount),0)),"")</f>
        <v/>
      </c>
      <c r="E40" s="170" t="str">
        <f ca="1">IFERROR(IF(INDEX(INDIRECT(RangeContrQty),MATCH($A40,INDIRECT(RangeCount),0)),"(CQ)",""),"")</f>
        <v/>
      </c>
      <c r="F40" s="171" t="str">
        <f ca="1">IFERROR(INDEX(INDIRECT(RangeUnitPrice),MATCH($A40,INDIRECT(RangeCount),0)),"")</f>
        <v/>
      </c>
      <c r="G40" s="171" t="str">
        <f ca="1">IFERROR(VALUE(C40)*F40,F40)</f>
        <v/>
      </c>
      <c r="H40" s="388"/>
      <c r="I40" s="178" t="str">
        <f ca="1">IF($C40="","",IF($D40="LPSM",H39,VALUE($C40)*H39))</f>
        <v/>
      </c>
      <c r="J40" s="388"/>
      <c r="K40" s="178" t="str">
        <f ca="1">IF($C40="","",IF($D40="LPSM",J39,VALUE($C40)*J39))</f>
        <v/>
      </c>
      <c r="L40" s="388"/>
      <c r="M40" s="178" t="str">
        <f ca="1">IF($C40="","",IF($D40="LPSM",L39,VALUE($C40)*L39))</f>
        <v/>
      </c>
      <c r="N40" s="388"/>
      <c r="O40" s="178" t="str">
        <f ca="1">IF($C40="","",IF($D40="LPSM",N39,VALUE($C40)*N39))</f>
        <v/>
      </c>
      <c r="P40" s="388"/>
      <c r="Q40" s="178" t="str">
        <f ca="1">IF($C40="","",IF($D40="LPSM",P39,VALUE($C40)*P39))</f>
        <v/>
      </c>
      <c r="R40" s="388"/>
      <c r="S40" s="178" t="str">
        <f ca="1">IF($C40="","",IF($D40="LPSM",R39,VALUE($C40)*R39))</f>
        <v/>
      </c>
      <c r="T40" s="388"/>
      <c r="U40" s="178" t="str">
        <f ca="1">IF($C40="","",IF($D40="LPSM",T39,VALUE($C40)*T39))</f>
        <v/>
      </c>
      <c r="V40" s="388"/>
      <c r="W40" s="178" t="str">
        <f ca="1">IF($C40="","",IF($D40="LPSM",V39,VALUE($C40)*V39))</f>
        <v/>
      </c>
      <c r="X40" s="388"/>
      <c r="Y40" s="178" t="str">
        <f ca="1">IF($C40="","",IF($D40="LPSM",X39,VALUE($C40)*X39))</f>
        <v/>
      </c>
      <c r="Z40" s="388"/>
      <c r="AA40" s="178" t="str">
        <f ca="1">IF($C40="","",IF($D40="LPSM",Z39,VALUE($C40)*Z39))</f>
        <v/>
      </c>
      <c r="AB40" s="388"/>
      <c r="AC40" s="178" t="str">
        <f ca="1">IF($C40="","",IF($D40="LPSM",AB39,VALUE($C40)*AB39))</f>
        <v/>
      </c>
      <c r="AD40" s="388"/>
      <c r="AE40" s="178" t="str">
        <f ca="1">IF($C40="","",IF($D40="LPSM",AD39,VALUE($C40)*AD39))</f>
        <v/>
      </c>
      <c r="AF40" s="388"/>
      <c r="AG40" s="178" t="str">
        <f ca="1">IF($C40="","",IF($D40="LPSM",AF39,VALUE($C40)*AF39))</f>
        <v/>
      </c>
      <c r="AH40" s="388"/>
      <c r="AI40" s="178" t="str">
        <f ca="1">IF($C40="","",IF($D40="LPSM",AH39,VALUE($C40)*AH39))</f>
        <v/>
      </c>
      <c r="AJ40" s="388"/>
      <c r="AK40" s="178" t="str">
        <f ca="1">IF($C40="","",IF($D40="LPSM",AJ39,VALUE($C40)*AJ39))</f>
        <v/>
      </c>
      <c r="AL40" s="388"/>
      <c r="AM40" s="178" t="str">
        <f ca="1">IF($C40="","",IF($D40="LPSM",AL39,VALUE($C40)*AL39))</f>
        <v/>
      </c>
      <c r="AN40" s="388"/>
      <c r="AO40" s="178" t="str">
        <f ca="1">IF($C40="","",IF($D40="LPSM",AN39,VALUE($C40)*AN39))</f>
        <v/>
      </c>
      <c r="AP40" s="388"/>
      <c r="AQ40" s="178" t="str">
        <f ca="1">IF($C40="","",IF($D40="LPSM",AP39,VALUE($C40)*AP39))</f>
        <v/>
      </c>
      <c r="AR40" s="209" t="str">
        <f ca="1">IF(LEN(B40)&gt;0,ISNUMBER(MATCH(B40,Proposed[Item],0)),"")</f>
        <v/>
      </c>
    </row>
    <row r="41" spans="1:44" ht="15" x14ac:dyDescent="0.2">
      <c r="A41" s="276">
        <f t="shared" ca="1" si="0"/>
        <v>17</v>
      </c>
      <c r="B41" s="168" t="str">
        <f ca="1">IFERROR(INDEX(INDIRECT(RangeItems),MATCH($A41,INDIRECT(RangeCount),0)),"")</f>
        <v/>
      </c>
      <c r="C41" s="365" t="str">
        <f ca="1">INDEX(Calcs[Description],$A41)</f>
        <v/>
      </c>
      <c r="D41" s="365"/>
      <c r="E41" s="365"/>
      <c r="F41" s="365"/>
      <c r="G41" s="365"/>
      <c r="H41" s="388"/>
      <c r="I41" s="177"/>
      <c r="J41" s="388"/>
      <c r="K41" s="177"/>
      <c r="L41" s="388"/>
      <c r="M41" s="177"/>
      <c r="N41" s="388"/>
      <c r="O41" s="177"/>
      <c r="P41" s="388"/>
      <c r="Q41" s="177"/>
      <c r="R41" s="388"/>
      <c r="S41" s="177"/>
      <c r="T41" s="388"/>
      <c r="U41" s="177"/>
      <c r="V41" s="388"/>
      <c r="W41" s="177"/>
      <c r="X41" s="388"/>
      <c r="Y41" s="177"/>
      <c r="Z41" s="388"/>
      <c r="AA41" s="177"/>
      <c r="AB41" s="388"/>
      <c r="AC41" s="177"/>
      <c r="AD41" s="388"/>
      <c r="AE41" s="177"/>
      <c r="AF41" s="388"/>
      <c r="AG41" s="177"/>
      <c r="AH41" s="388"/>
      <c r="AI41" s="177"/>
      <c r="AJ41" s="388"/>
      <c r="AK41" s="177"/>
      <c r="AL41" s="388"/>
      <c r="AM41" s="177"/>
      <c r="AN41" s="388"/>
      <c r="AO41" s="177"/>
      <c r="AP41" s="388"/>
      <c r="AQ41" s="177"/>
      <c r="AR41" s="209" t="str">
        <f ca="1">IF(LEN(B41)&gt;0,ISNUMBER(MATCH(B41,Proposed[Item],0)),"")</f>
        <v/>
      </c>
    </row>
    <row r="42" spans="1:44" ht="15" x14ac:dyDescent="0.2">
      <c r="A42" s="276">
        <f t="shared" ca="1" si="0"/>
        <v>17</v>
      </c>
      <c r="B42" s="111" t="str">
        <f ca="1">IF($A42&lt;=NumPayItems,"Line "&amp;INDEX(Calcs[Line],$A42),"")</f>
        <v/>
      </c>
      <c r="C42" s="169" t="str">
        <f ca="1">IFERROR(IF($D42="LPSM","ALL",TEXT(INDEX(INDIRECT(RangeQuantity),MATCH($A42,INDIRECT(RangeCount),0)),"#,##0"&amp;IF(OFFSET(Items[],MATCH($A42,INDIRECT(RangeCount),0)-1,MATCH(Decimals,Items[#Headers],0)-1,1,1)&gt;0,"."&amp;REPT("0",OFFSET(Items[],MATCH($A42,INDIRECT(RangeCount),0)-1,MATCH(Decimals,Items[#Headers],0)-1,1,1)),""))),"")</f>
        <v/>
      </c>
      <c r="D42" s="170" t="str">
        <f ca="1">IFERROR(INDEX(INDIRECT(RangeUnit),MATCH($A42,INDIRECT(RangeCount),0)),"")</f>
        <v/>
      </c>
      <c r="E42" s="170" t="str">
        <f ca="1">IFERROR(IF(INDEX(INDIRECT(RangeContrQty),MATCH($A42,INDIRECT(RangeCount),0)),"(CQ)",""),"")</f>
        <v/>
      </c>
      <c r="F42" s="171" t="str">
        <f ca="1">IFERROR(INDEX(INDIRECT(RangeUnitPrice),MATCH($A42,INDIRECT(RangeCount),0)),"")</f>
        <v/>
      </c>
      <c r="G42" s="171" t="str">
        <f ca="1">IFERROR(VALUE(C42)*F42,F42)</f>
        <v/>
      </c>
      <c r="H42" s="388"/>
      <c r="I42" s="178" t="str">
        <f ca="1">IF($C42="","",IF($D42="LPSM",H41,VALUE($C42)*H41))</f>
        <v/>
      </c>
      <c r="J42" s="388"/>
      <c r="K42" s="178" t="str">
        <f ca="1">IF($C42="","",IF($D42="LPSM",J41,VALUE($C42)*J41))</f>
        <v/>
      </c>
      <c r="L42" s="388"/>
      <c r="M42" s="178" t="str">
        <f ca="1">IF($C42="","",IF($D42="LPSM",L41,VALUE($C42)*L41))</f>
        <v/>
      </c>
      <c r="N42" s="388"/>
      <c r="O42" s="178" t="str">
        <f ca="1">IF($C42="","",IF($D42="LPSM",N41,VALUE($C42)*N41))</f>
        <v/>
      </c>
      <c r="P42" s="388"/>
      <c r="Q42" s="178" t="str">
        <f ca="1">IF($C42="","",IF($D42="LPSM",P41,VALUE($C42)*P41))</f>
        <v/>
      </c>
      <c r="R42" s="388"/>
      <c r="S42" s="178" t="str">
        <f ca="1">IF($C42="","",IF($D42="LPSM",R41,VALUE($C42)*R41))</f>
        <v/>
      </c>
      <c r="T42" s="388"/>
      <c r="U42" s="178" t="str">
        <f ca="1">IF($C42="","",IF($D42="LPSM",T41,VALUE($C42)*T41))</f>
        <v/>
      </c>
      <c r="V42" s="388"/>
      <c r="W42" s="178" t="str">
        <f ca="1">IF($C42="","",IF($D42="LPSM",V41,VALUE($C42)*V41))</f>
        <v/>
      </c>
      <c r="X42" s="388"/>
      <c r="Y42" s="178" t="str">
        <f ca="1">IF($C42="","",IF($D42="LPSM",X41,VALUE($C42)*X41))</f>
        <v/>
      </c>
      <c r="Z42" s="388"/>
      <c r="AA42" s="178" t="str">
        <f ca="1">IF($C42="","",IF($D42="LPSM",Z41,VALUE($C42)*Z41))</f>
        <v/>
      </c>
      <c r="AB42" s="388"/>
      <c r="AC42" s="178" t="str">
        <f ca="1">IF($C42="","",IF($D42="LPSM",AB41,VALUE($C42)*AB41))</f>
        <v/>
      </c>
      <c r="AD42" s="388"/>
      <c r="AE42" s="178" t="str">
        <f ca="1">IF($C42="","",IF($D42="LPSM",AD41,VALUE($C42)*AD41))</f>
        <v/>
      </c>
      <c r="AF42" s="388"/>
      <c r="AG42" s="178" t="str">
        <f ca="1">IF($C42="","",IF($D42="LPSM",AF41,VALUE($C42)*AF41))</f>
        <v/>
      </c>
      <c r="AH42" s="388"/>
      <c r="AI42" s="178" t="str">
        <f ca="1">IF($C42="","",IF($D42="LPSM",AH41,VALUE($C42)*AH41))</f>
        <v/>
      </c>
      <c r="AJ42" s="388"/>
      <c r="AK42" s="178" t="str">
        <f ca="1">IF($C42="","",IF($D42="LPSM",AJ41,VALUE($C42)*AJ41))</f>
        <v/>
      </c>
      <c r="AL42" s="388"/>
      <c r="AM42" s="178" t="str">
        <f ca="1">IF($C42="","",IF($D42="LPSM",AL41,VALUE($C42)*AL41))</f>
        <v/>
      </c>
      <c r="AN42" s="388"/>
      <c r="AO42" s="178" t="str">
        <f ca="1">IF($C42="","",IF($D42="LPSM",AN41,VALUE($C42)*AN41))</f>
        <v/>
      </c>
      <c r="AP42" s="388"/>
      <c r="AQ42" s="178" t="str">
        <f ca="1">IF($C42="","",IF($D42="LPSM",AP41,VALUE($C42)*AP41))</f>
        <v/>
      </c>
      <c r="AR42" s="209" t="str">
        <f ca="1">IF(LEN(B42)&gt;0,ISNUMBER(MATCH(B42,Proposed[Item],0)),"")</f>
        <v/>
      </c>
    </row>
    <row r="43" spans="1:44" ht="15" x14ac:dyDescent="0.2">
      <c r="A43" s="276">
        <f t="shared" ca="1" si="0"/>
        <v>18</v>
      </c>
      <c r="B43" s="168" t="str">
        <f ca="1">IFERROR(INDEX(INDIRECT(RangeItems),MATCH($A43,INDIRECT(RangeCount),0)),"")</f>
        <v/>
      </c>
      <c r="C43" s="365" t="str">
        <f ca="1">INDEX(Calcs[Description],$A43)</f>
        <v/>
      </c>
      <c r="D43" s="365"/>
      <c r="E43" s="365"/>
      <c r="F43" s="365"/>
      <c r="G43" s="365"/>
      <c r="H43" s="388"/>
      <c r="I43" s="177"/>
      <c r="J43" s="388"/>
      <c r="K43" s="177"/>
      <c r="L43" s="388"/>
      <c r="M43" s="177"/>
      <c r="N43" s="388"/>
      <c r="O43" s="177"/>
      <c r="P43" s="388"/>
      <c r="Q43" s="177"/>
      <c r="R43" s="388"/>
      <c r="S43" s="177"/>
      <c r="T43" s="388"/>
      <c r="U43" s="177"/>
      <c r="V43" s="388"/>
      <c r="W43" s="177"/>
      <c r="X43" s="388"/>
      <c r="Y43" s="177"/>
      <c r="Z43" s="388"/>
      <c r="AA43" s="177"/>
      <c r="AB43" s="388"/>
      <c r="AC43" s="177"/>
      <c r="AD43" s="388"/>
      <c r="AE43" s="177"/>
      <c r="AF43" s="388"/>
      <c r="AG43" s="177"/>
      <c r="AH43" s="388"/>
      <c r="AI43" s="177"/>
      <c r="AJ43" s="388"/>
      <c r="AK43" s="177"/>
      <c r="AL43" s="388"/>
      <c r="AM43" s="177"/>
      <c r="AN43" s="388"/>
      <c r="AO43" s="177"/>
      <c r="AP43" s="388"/>
      <c r="AQ43" s="177"/>
      <c r="AR43" s="209" t="str">
        <f ca="1">IF(LEN(B43)&gt;0,ISNUMBER(MATCH(B43,Proposed[Item],0)),"")</f>
        <v/>
      </c>
    </row>
    <row r="44" spans="1:44" ht="15" x14ac:dyDescent="0.2">
      <c r="A44" s="276">
        <f t="shared" ca="1" si="0"/>
        <v>18</v>
      </c>
      <c r="B44" s="111" t="str">
        <f ca="1">IF($A44&lt;=NumPayItems,"Line "&amp;INDEX(Calcs[Line],$A44),"")</f>
        <v/>
      </c>
      <c r="C44" s="169" t="str">
        <f ca="1">IFERROR(IF($D44="LPSM","ALL",TEXT(INDEX(INDIRECT(RangeQuantity),MATCH($A44,INDIRECT(RangeCount),0)),"#,##0"&amp;IF(OFFSET(Items[],MATCH($A44,INDIRECT(RangeCount),0)-1,MATCH(Decimals,Items[#Headers],0)-1,1,1)&gt;0,"."&amp;REPT("0",OFFSET(Items[],MATCH($A44,INDIRECT(RangeCount),0)-1,MATCH(Decimals,Items[#Headers],0)-1,1,1)),""))),"")</f>
        <v/>
      </c>
      <c r="D44" s="170" t="str">
        <f ca="1">IFERROR(INDEX(INDIRECT(RangeUnit),MATCH($A44,INDIRECT(RangeCount),0)),"")</f>
        <v/>
      </c>
      <c r="E44" s="170" t="str">
        <f ca="1">IFERROR(IF(INDEX(INDIRECT(RangeContrQty),MATCH($A44,INDIRECT(RangeCount),0)),"(CQ)",""),"")</f>
        <v/>
      </c>
      <c r="F44" s="171" t="str">
        <f ca="1">IFERROR(INDEX(INDIRECT(RangeUnitPrice),MATCH($A44,INDIRECT(RangeCount),0)),"")</f>
        <v/>
      </c>
      <c r="G44" s="171" t="str">
        <f ca="1">IFERROR(VALUE(C44)*F44,F44)</f>
        <v/>
      </c>
      <c r="H44" s="388"/>
      <c r="I44" s="178" t="str">
        <f ca="1">IF($C44="","",IF($D44="LPSM",H43,VALUE($C44)*H43))</f>
        <v/>
      </c>
      <c r="J44" s="388"/>
      <c r="K44" s="178" t="str">
        <f ca="1">IF($C44="","",IF($D44="LPSM",J43,VALUE($C44)*J43))</f>
        <v/>
      </c>
      <c r="L44" s="388"/>
      <c r="M44" s="178" t="str">
        <f ca="1">IF($C44="","",IF($D44="LPSM",L43,VALUE($C44)*L43))</f>
        <v/>
      </c>
      <c r="N44" s="388"/>
      <c r="O44" s="178" t="str">
        <f ca="1">IF($C44="","",IF($D44="LPSM",N43,VALUE($C44)*N43))</f>
        <v/>
      </c>
      <c r="P44" s="388"/>
      <c r="Q44" s="178" t="str">
        <f ca="1">IF($C44="","",IF($D44="LPSM",P43,VALUE($C44)*P43))</f>
        <v/>
      </c>
      <c r="R44" s="388"/>
      <c r="S44" s="178" t="str">
        <f ca="1">IF($C44="","",IF($D44="LPSM",R43,VALUE($C44)*R43))</f>
        <v/>
      </c>
      <c r="T44" s="388"/>
      <c r="U44" s="178" t="str">
        <f ca="1">IF($C44="","",IF($D44="LPSM",T43,VALUE($C44)*T43))</f>
        <v/>
      </c>
      <c r="V44" s="388"/>
      <c r="W44" s="178" t="str">
        <f ca="1">IF($C44="","",IF($D44="LPSM",V43,VALUE($C44)*V43))</f>
        <v/>
      </c>
      <c r="X44" s="388"/>
      <c r="Y44" s="178" t="str">
        <f ca="1">IF($C44="","",IF($D44="LPSM",X43,VALUE($C44)*X43))</f>
        <v/>
      </c>
      <c r="Z44" s="388"/>
      <c r="AA44" s="178" t="str">
        <f ca="1">IF($C44="","",IF($D44="LPSM",Z43,VALUE($C44)*Z43))</f>
        <v/>
      </c>
      <c r="AB44" s="388"/>
      <c r="AC44" s="178" t="str">
        <f ca="1">IF($C44="","",IF($D44="LPSM",AB43,VALUE($C44)*AB43))</f>
        <v/>
      </c>
      <c r="AD44" s="388"/>
      <c r="AE44" s="178" t="str">
        <f ca="1">IF($C44="","",IF($D44="LPSM",AD43,VALUE($C44)*AD43))</f>
        <v/>
      </c>
      <c r="AF44" s="388"/>
      <c r="AG44" s="178" t="str">
        <f ca="1">IF($C44="","",IF($D44="LPSM",AF43,VALUE($C44)*AF43))</f>
        <v/>
      </c>
      <c r="AH44" s="388"/>
      <c r="AI44" s="178" t="str">
        <f ca="1">IF($C44="","",IF($D44="LPSM",AH43,VALUE($C44)*AH43))</f>
        <v/>
      </c>
      <c r="AJ44" s="388"/>
      <c r="AK44" s="178" t="str">
        <f ca="1">IF($C44="","",IF($D44="LPSM",AJ43,VALUE($C44)*AJ43))</f>
        <v/>
      </c>
      <c r="AL44" s="388"/>
      <c r="AM44" s="178" t="str">
        <f ca="1">IF($C44="","",IF($D44="LPSM",AL43,VALUE($C44)*AL43))</f>
        <v/>
      </c>
      <c r="AN44" s="388"/>
      <c r="AO44" s="178" t="str">
        <f ca="1">IF($C44="","",IF($D44="LPSM",AN43,VALUE($C44)*AN43))</f>
        <v/>
      </c>
      <c r="AP44" s="388"/>
      <c r="AQ44" s="178" t="str">
        <f ca="1">IF($C44="","",IF($D44="LPSM",AP43,VALUE($C44)*AP43))</f>
        <v/>
      </c>
      <c r="AR44" s="209" t="str">
        <f ca="1">IF(LEN(B44)&gt;0,ISNUMBER(MATCH(B44,Proposed[Item],0)),"")</f>
        <v/>
      </c>
    </row>
    <row r="45" spans="1:44" ht="15" x14ac:dyDescent="0.2">
      <c r="A45" s="276">
        <f t="shared" ca="1" si="0"/>
        <v>19</v>
      </c>
      <c r="B45" s="168" t="str">
        <f ca="1">IFERROR(INDEX(INDIRECT(RangeItems),MATCH($A45,INDIRECT(RangeCount),0)),"")</f>
        <v/>
      </c>
      <c r="C45" s="365" t="str">
        <f ca="1">INDEX(Calcs[Description],$A45)</f>
        <v/>
      </c>
      <c r="D45" s="365"/>
      <c r="E45" s="365"/>
      <c r="F45" s="365"/>
      <c r="G45" s="365"/>
      <c r="H45" s="388"/>
      <c r="I45" s="177"/>
      <c r="J45" s="388"/>
      <c r="K45" s="177"/>
      <c r="L45" s="388"/>
      <c r="M45" s="177"/>
      <c r="N45" s="388"/>
      <c r="O45" s="177"/>
      <c r="P45" s="388"/>
      <c r="Q45" s="177"/>
      <c r="R45" s="388"/>
      <c r="S45" s="177"/>
      <c r="T45" s="388"/>
      <c r="U45" s="177"/>
      <c r="V45" s="388"/>
      <c r="W45" s="177"/>
      <c r="X45" s="388"/>
      <c r="Y45" s="177"/>
      <c r="Z45" s="388"/>
      <c r="AA45" s="177"/>
      <c r="AB45" s="388"/>
      <c r="AC45" s="177"/>
      <c r="AD45" s="388"/>
      <c r="AE45" s="177"/>
      <c r="AF45" s="388"/>
      <c r="AG45" s="177"/>
      <c r="AH45" s="388"/>
      <c r="AI45" s="177"/>
      <c r="AJ45" s="388"/>
      <c r="AK45" s="177"/>
      <c r="AL45" s="388"/>
      <c r="AM45" s="177"/>
      <c r="AN45" s="388"/>
      <c r="AO45" s="177"/>
      <c r="AP45" s="388"/>
      <c r="AQ45" s="177"/>
      <c r="AR45" s="209" t="str">
        <f ca="1">IF(LEN(B45)&gt;0,ISNUMBER(MATCH(B45,Proposed[Item],0)),"")</f>
        <v/>
      </c>
    </row>
    <row r="46" spans="1:44" ht="15" x14ac:dyDescent="0.2">
      <c r="A46" s="276">
        <f t="shared" ca="1" si="0"/>
        <v>19</v>
      </c>
      <c r="B46" s="111" t="str">
        <f ca="1">IF($A46&lt;=NumPayItems,"Line "&amp;INDEX(Calcs[Line],$A46),"")</f>
        <v/>
      </c>
      <c r="C46" s="169" t="str">
        <f ca="1">IFERROR(IF($D46="LPSM","ALL",TEXT(INDEX(INDIRECT(RangeQuantity),MATCH($A46,INDIRECT(RangeCount),0)),"#,##0"&amp;IF(OFFSET(Items[],MATCH($A46,INDIRECT(RangeCount),0)-1,MATCH(Decimals,Items[#Headers],0)-1,1,1)&gt;0,"."&amp;REPT("0",OFFSET(Items[],MATCH($A46,INDIRECT(RangeCount),0)-1,MATCH(Decimals,Items[#Headers],0)-1,1,1)),""))),"")</f>
        <v/>
      </c>
      <c r="D46" s="170" t="str">
        <f ca="1">IFERROR(INDEX(INDIRECT(RangeUnit),MATCH($A46,INDIRECT(RangeCount),0)),"")</f>
        <v/>
      </c>
      <c r="E46" s="170" t="str">
        <f ca="1">IFERROR(IF(INDEX(INDIRECT(RangeContrQty),MATCH($A46,INDIRECT(RangeCount),0)),"(CQ)",""),"")</f>
        <v/>
      </c>
      <c r="F46" s="171" t="str">
        <f ca="1">IFERROR(INDEX(INDIRECT(RangeUnitPrice),MATCH($A46,INDIRECT(RangeCount),0)),"")</f>
        <v/>
      </c>
      <c r="G46" s="171" t="str">
        <f ca="1">IFERROR(VALUE(C46)*F46,F46)</f>
        <v/>
      </c>
      <c r="H46" s="388"/>
      <c r="I46" s="178" t="str">
        <f ca="1">IF($C46="","",IF($D46="LPSM",H45,VALUE($C46)*H45))</f>
        <v/>
      </c>
      <c r="J46" s="388"/>
      <c r="K46" s="178" t="str">
        <f ca="1">IF($C46="","",IF($D46="LPSM",J45,VALUE($C46)*J45))</f>
        <v/>
      </c>
      <c r="L46" s="388"/>
      <c r="M46" s="178" t="str">
        <f ca="1">IF($C46="","",IF($D46="LPSM",L45,VALUE($C46)*L45))</f>
        <v/>
      </c>
      <c r="N46" s="388"/>
      <c r="O46" s="178" t="str">
        <f ca="1">IF($C46="","",IF($D46="LPSM",N45,VALUE($C46)*N45))</f>
        <v/>
      </c>
      <c r="P46" s="388"/>
      <c r="Q46" s="178" t="str">
        <f ca="1">IF($C46="","",IF($D46="LPSM",P45,VALUE($C46)*P45))</f>
        <v/>
      </c>
      <c r="R46" s="388"/>
      <c r="S46" s="178" t="str">
        <f ca="1">IF($C46="","",IF($D46="LPSM",R45,VALUE($C46)*R45))</f>
        <v/>
      </c>
      <c r="T46" s="388"/>
      <c r="U46" s="178" t="str">
        <f ca="1">IF($C46="","",IF($D46="LPSM",T45,VALUE($C46)*T45))</f>
        <v/>
      </c>
      <c r="V46" s="388"/>
      <c r="W46" s="178" t="str">
        <f ca="1">IF($C46="","",IF($D46="LPSM",V45,VALUE($C46)*V45))</f>
        <v/>
      </c>
      <c r="X46" s="388"/>
      <c r="Y46" s="178" t="str">
        <f ca="1">IF($C46="","",IF($D46="LPSM",X45,VALUE($C46)*X45))</f>
        <v/>
      </c>
      <c r="Z46" s="388"/>
      <c r="AA46" s="178" t="str">
        <f ca="1">IF($C46="","",IF($D46="LPSM",Z45,VALUE($C46)*Z45))</f>
        <v/>
      </c>
      <c r="AB46" s="388"/>
      <c r="AC46" s="178" t="str">
        <f ca="1">IF($C46="","",IF($D46="LPSM",AB45,VALUE($C46)*AB45))</f>
        <v/>
      </c>
      <c r="AD46" s="388"/>
      <c r="AE46" s="178" t="str">
        <f ca="1">IF($C46="","",IF($D46="LPSM",AD45,VALUE($C46)*AD45))</f>
        <v/>
      </c>
      <c r="AF46" s="388"/>
      <c r="AG46" s="178" t="str">
        <f ca="1">IF($C46="","",IF($D46="LPSM",AF45,VALUE($C46)*AF45))</f>
        <v/>
      </c>
      <c r="AH46" s="388"/>
      <c r="AI46" s="178" t="str">
        <f ca="1">IF($C46="","",IF($D46="LPSM",AH45,VALUE($C46)*AH45))</f>
        <v/>
      </c>
      <c r="AJ46" s="388"/>
      <c r="AK46" s="178" t="str">
        <f ca="1">IF($C46="","",IF($D46="LPSM",AJ45,VALUE($C46)*AJ45))</f>
        <v/>
      </c>
      <c r="AL46" s="388"/>
      <c r="AM46" s="178" t="str">
        <f ca="1">IF($C46="","",IF($D46="LPSM",AL45,VALUE($C46)*AL45))</f>
        <v/>
      </c>
      <c r="AN46" s="388"/>
      <c r="AO46" s="178" t="str">
        <f ca="1">IF($C46="","",IF($D46="LPSM",AN45,VALUE($C46)*AN45))</f>
        <v/>
      </c>
      <c r="AP46" s="388"/>
      <c r="AQ46" s="178" t="str">
        <f ca="1">IF($C46="","",IF($D46="LPSM",AP45,VALUE($C46)*AP45))</f>
        <v/>
      </c>
      <c r="AR46" s="209" t="str">
        <f ca="1">IF(LEN(B46)&gt;0,ISNUMBER(MATCH(B46,Proposed[Item],0)),"")</f>
        <v/>
      </c>
    </row>
    <row r="47" spans="1:44" ht="15" x14ac:dyDescent="0.2">
      <c r="A47" s="276">
        <f t="shared" ca="1" si="0"/>
        <v>20</v>
      </c>
      <c r="B47" s="168" t="str">
        <f ca="1">IFERROR(INDEX(INDIRECT(RangeItems),MATCH($A47,INDIRECT(RangeCount),0)),"")</f>
        <v/>
      </c>
      <c r="C47" s="365" t="str">
        <f ca="1">INDEX(Calcs[Description],$A47)</f>
        <v/>
      </c>
      <c r="D47" s="365"/>
      <c r="E47" s="365"/>
      <c r="F47" s="365"/>
      <c r="G47" s="365"/>
      <c r="H47" s="388"/>
      <c r="I47" s="177"/>
      <c r="J47" s="388"/>
      <c r="K47" s="177"/>
      <c r="L47" s="388"/>
      <c r="M47" s="177"/>
      <c r="N47" s="388"/>
      <c r="O47" s="177"/>
      <c r="P47" s="388"/>
      <c r="Q47" s="177"/>
      <c r="R47" s="388"/>
      <c r="S47" s="177"/>
      <c r="T47" s="388"/>
      <c r="U47" s="177"/>
      <c r="V47" s="388"/>
      <c r="W47" s="177"/>
      <c r="X47" s="388"/>
      <c r="Y47" s="177"/>
      <c r="Z47" s="388"/>
      <c r="AA47" s="177"/>
      <c r="AB47" s="388"/>
      <c r="AC47" s="177"/>
      <c r="AD47" s="388"/>
      <c r="AE47" s="177"/>
      <c r="AF47" s="388"/>
      <c r="AG47" s="177"/>
      <c r="AH47" s="388"/>
      <c r="AI47" s="177"/>
      <c r="AJ47" s="388"/>
      <c r="AK47" s="177"/>
      <c r="AL47" s="388"/>
      <c r="AM47" s="177"/>
      <c r="AN47" s="388"/>
      <c r="AO47" s="177"/>
      <c r="AP47" s="388"/>
      <c r="AQ47" s="177"/>
      <c r="AR47" s="209" t="str">
        <f ca="1">IF(LEN(B47)&gt;0,ISNUMBER(MATCH(B47,Proposed[Item],0)),"")</f>
        <v/>
      </c>
    </row>
    <row r="48" spans="1:44" ht="15" x14ac:dyDescent="0.2">
      <c r="A48" s="276">
        <f t="shared" ca="1" si="0"/>
        <v>20</v>
      </c>
      <c r="B48" s="111" t="str">
        <f ca="1">IF($A48&lt;=NumPayItems,"Line "&amp;INDEX(Calcs[Line],$A48),"")</f>
        <v/>
      </c>
      <c r="C48" s="169" t="str">
        <f ca="1">IFERROR(IF($D48="LPSM","ALL",TEXT(INDEX(INDIRECT(RangeQuantity),MATCH($A48,INDIRECT(RangeCount),0)),"#,##0"&amp;IF(OFFSET(Items[],MATCH($A48,INDIRECT(RangeCount),0)-1,MATCH(Decimals,Items[#Headers],0)-1,1,1)&gt;0,"."&amp;REPT("0",OFFSET(Items[],MATCH($A48,INDIRECT(RangeCount),0)-1,MATCH(Decimals,Items[#Headers],0)-1,1,1)),""))),"")</f>
        <v/>
      </c>
      <c r="D48" s="170" t="str">
        <f ca="1">IFERROR(INDEX(INDIRECT(RangeUnit),MATCH($A48,INDIRECT(RangeCount),0)),"")</f>
        <v/>
      </c>
      <c r="E48" s="170" t="str">
        <f ca="1">IFERROR(IF(INDEX(INDIRECT(RangeContrQty),MATCH($A48,INDIRECT(RangeCount),0)),"(CQ)",""),"")</f>
        <v/>
      </c>
      <c r="F48" s="171" t="str">
        <f ca="1">IFERROR(INDEX(INDIRECT(RangeUnitPrice),MATCH($A48,INDIRECT(RangeCount),0)),"")</f>
        <v/>
      </c>
      <c r="G48" s="171" t="str">
        <f ca="1">IFERROR(VALUE(C48)*F48,F48)</f>
        <v/>
      </c>
      <c r="H48" s="388"/>
      <c r="I48" s="178" t="str">
        <f ca="1">IF($C48="","",IF($D48="LPSM",H47,VALUE($C48)*H47))</f>
        <v/>
      </c>
      <c r="J48" s="388"/>
      <c r="K48" s="178" t="str">
        <f ca="1">IF($C48="","",IF($D48="LPSM",J47,VALUE($C48)*J47))</f>
        <v/>
      </c>
      <c r="L48" s="388"/>
      <c r="M48" s="178" t="str">
        <f ca="1">IF($C48="","",IF($D48="LPSM",L47,VALUE($C48)*L47))</f>
        <v/>
      </c>
      <c r="N48" s="388"/>
      <c r="O48" s="178" t="str">
        <f ca="1">IF($C48="","",IF($D48="LPSM",N47,VALUE($C48)*N47))</f>
        <v/>
      </c>
      <c r="P48" s="388"/>
      <c r="Q48" s="178" t="str">
        <f ca="1">IF($C48="","",IF($D48="LPSM",P47,VALUE($C48)*P47))</f>
        <v/>
      </c>
      <c r="R48" s="388"/>
      <c r="S48" s="178" t="str">
        <f ca="1">IF($C48="","",IF($D48="LPSM",R47,VALUE($C48)*R47))</f>
        <v/>
      </c>
      <c r="T48" s="388"/>
      <c r="U48" s="178" t="str">
        <f ca="1">IF($C48="","",IF($D48="LPSM",T47,VALUE($C48)*T47))</f>
        <v/>
      </c>
      <c r="V48" s="388"/>
      <c r="W48" s="178" t="str">
        <f ca="1">IF($C48="","",IF($D48="LPSM",V47,VALUE($C48)*V47))</f>
        <v/>
      </c>
      <c r="X48" s="388"/>
      <c r="Y48" s="178" t="str">
        <f ca="1">IF($C48="","",IF($D48="LPSM",X47,VALUE($C48)*X47))</f>
        <v/>
      </c>
      <c r="Z48" s="388"/>
      <c r="AA48" s="178" t="str">
        <f ca="1">IF($C48="","",IF($D48="LPSM",Z47,VALUE($C48)*Z47))</f>
        <v/>
      </c>
      <c r="AB48" s="388"/>
      <c r="AC48" s="178" t="str">
        <f ca="1">IF($C48="","",IF($D48="LPSM",AB47,VALUE($C48)*AB47))</f>
        <v/>
      </c>
      <c r="AD48" s="388"/>
      <c r="AE48" s="178" t="str">
        <f ca="1">IF($C48="","",IF($D48="LPSM",AD47,VALUE($C48)*AD47))</f>
        <v/>
      </c>
      <c r="AF48" s="388"/>
      <c r="AG48" s="178" t="str">
        <f ca="1">IF($C48="","",IF($D48="LPSM",AF47,VALUE($C48)*AF47))</f>
        <v/>
      </c>
      <c r="AH48" s="388"/>
      <c r="AI48" s="178" t="str">
        <f ca="1">IF($C48="","",IF($D48="LPSM",AH47,VALUE($C48)*AH47))</f>
        <v/>
      </c>
      <c r="AJ48" s="388"/>
      <c r="AK48" s="178" t="str">
        <f ca="1">IF($C48="","",IF($D48="LPSM",AJ47,VALUE($C48)*AJ47))</f>
        <v/>
      </c>
      <c r="AL48" s="388"/>
      <c r="AM48" s="178" t="str">
        <f ca="1">IF($C48="","",IF($D48="LPSM",AL47,VALUE($C48)*AL47))</f>
        <v/>
      </c>
      <c r="AN48" s="388"/>
      <c r="AO48" s="178" t="str">
        <f ca="1">IF($C48="","",IF($D48="LPSM",AN47,VALUE($C48)*AN47))</f>
        <v/>
      </c>
      <c r="AP48" s="388"/>
      <c r="AQ48" s="178" t="str">
        <f ca="1">IF($C48="","",IF($D48="LPSM",AP47,VALUE($C48)*AP47))</f>
        <v/>
      </c>
      <c r="AR48" s="209" t="str">
        <f ca="1">IF(LEN(B48)&gt;0,ISNUMBER(MATCH(B48,Proposed[Item],0)),"")</f>
        <v/>
      </c>
    </row>
    <row r="49" spans="1:44" ht="15" x14ac:dyDescent="0.2">
      <c r="A49" s="276">
        <f t="shared" ca="1" si="0"/>
        <v>21</v>
      </c>
      <c r="B49" s="168" t="str">
        <f ca="1">IFERROR(INDEX(INDIRECT(RangeItems),MATCH($A49,INDIRECT(RangeCount),0)),"")</f>
        <v/>
      </c>
      <c r="C49" s="365" t="str">
        <f ca="1">INDEX(Calcs[Description],$A49)</f>
        <v/>
      </c>
      <c r="D49" s="365"/>
      <c r="E49" s="365"/>
      <c r="F49" s="365"/>
      <c r="G49" s="365"/>
      <c r="H49" s="388"/>
      <c r="I49" s="177"/>
      <c r="J49" s="388"/>
      <c r="K49" s="177"/>
      <c r="L49" s="388"/>
      <c r="M49" s="177"/>
      <c r="N49" s="388"/>
      <c r="O49" s="177"/>
      <c r="P49" s="388"/>
      <c r="Q49" s="177"/>
      <c r="R49" s="388"/>
      <c r="S49" s="177"/>
      <c r="T49" s="388"/>
      <c r="U49" s="177"/>
      <c r="V49" s="388"/>
      <c r="W49" s="177"/>
      <c r="X49" s="388"/>
      <c r="Y49" s="177"/>
      <c r="Z49" s="388"/>
      <c r="AA49" s="177"/>
      <c r="AB49" s="388"/>
      <c r="AC49" s="177"/>
      <c r="AD49" s="388"/>
      <c r="AE49" s="177"/>
      <c r="AF49" s="388"/>
      <c r="AG49" s="177"/>
      <c r="AH49" s="388"/>
      <c r="AI49" s="177"/>
      <c r="AJ49" s="388"/>
      <c r="AK49" s="177"/>
      <c r="AL49" s="388"/>
      <c r="AM49" s="177"/>
      <c r="AN49" s="388"/>
      <c r="AO49" s="177"/>
      <c r="AP49" s="388"/>
      <c r="AQ49" s="177"/>
      <c r="AR49" s="209" t="str">
        <f ca="1">IF(LEN(B49)&gt;0,ISNUMBER(MATCH(B49,Proposed[Item],0)),"")</f>
        <v/>
      </c>
    </row>
    <row r="50" spans="1:44" ht="15" x14ac:dyDescent="0.2">
      <c r="A50" s="276">
        <f t="shared" ca="1" si="0"/>
        <v>21</v>
      </c>
      <c r="B50" s="111" t="str">
        <f ca="1">IF($A50&lt;=NumPayItems,"Line "&amp;INDEX(Calcs[Line],$A50),"")</f>
        <v/>
      </c>
      <c r="C50" s="169" t="str">
        <f ca="1">IFERROR(IF($D50="LPSM","ALL",TEXT(INDEX(INDIRECT(RangeQuantity),MATCH($A50,INDIRECT(RangeCount),0)),"#,##0"&amp;IF(OFFSET(Items[],MATCH($A50,INDIRECT(RangeCount),0)-1,MATCH(Decimals,Items[#Headers],0)-1,1,1)&gt;0,"."&amp;REPT("0",OFFSET(Items[],MATCH($A50,INDIRECT(RangeCount),0)-1,MATCH(Decimals,Items[#Headers],0)-1,1,1)),""))),"")</f>
        <v/>
      </c>
      <c r="D50" s="170" t="str">
        <f ca="1">IFERROR(INDEX(INDIRECT(RangeUnit),MATCH($A50,INDIRECT(RangeCount),0)),"")</f>
        <v/>
      </c>
      <c r="E50" s="170" t="str">
        <f ca="1">IFERROR(IF(INDEX(INDIRECT(RangeContrQty),MATCH($A50,INDIRECT(RangeCount),0)),"(CQ)",""),"")</f>
        <v/>
      </c>
      <c r="F50" s="171" t="str">
        <f ca="1">IFERROR(INDEX(INDIRECT(RangeUnitPrice),MATCH($A50,INDIRECT(RangeCount),0)),"")</f>
        <v/>
      </c>
      <c r="G50" s="171" t="str">
        <f ca="1">IFERROR(VALUE(C50)*F50,F50)</f>
        <v/>
      </c>
      <c r="H50" s="388"/>
      <c r="I50" s="178" t="str">
        <f ca="1">IF($C50="","",IF($D50="LPSM",H49,VALUE($C50)*H49))</f>
        <v/>
      </c>
      <c r="J50" s="388"/>
      <c r="K50" s="178" t="str">
        <f ca="1">IF($C50="","",IF($D50="LPSM",J49,VALUE($C50)*J49))</f>
        <v/>
      </c>
      <c r="L50" s="388"/>
      <c r="M50" s="178" t="str">
        <f ca="1">IF($C50="","",IF($D50="LPSM",L49,VALUE($C50)*L49))</f>
        <v/>
      </c>
      <c r="N50" s="388"/>
      <c r="O50" s="178" t="str">
        <f ca="1">IF($C50="","",IF($D50="LPSM",N49,VALUE($C50)*N49))</f>
        <v/>
      </c>
      <c r="P50" s="388"/>
      <c r="Q50" s="178" t="str">
        <f ca="1">IF($C50="","",IF($D50="LPSM",P49,VALUE($C50)*P49))</f>
        <v/>
      </c>
      <c r="R50" s="388"/>
      <c r="S50" s="178" t="str">
        <f ca="1">IF($C50="","",IF($D50="LPSM",R49,VALUE($C50)*R49))</f>
        <v/>
      </c>
      <c r="T50" s="388"/>
      <c r="U50" s="178" t="str">
        <f ca="1">IF($C50="","",IF($D50="LPSM",T49,VALUE($C50)*T49))</f>
        <v/>
      </c>
      <c r="V50" s="388"/>
      <c r="W50" s="178" t="str">
        <f ca="1">IF($C50="","",IF($D50="LPSM",V49,VALUE($C50)*V49))</f>
        <v/>
      </c>
      <c r="X50" s="388"/>
      <c r="Y50" s="178" t="str">
        <f ca="1">IF($C50="","",IF($D50="LPSM",X49,VALUE($C50)*X49))</f>
        <v/>
      </c>
      <c r="Z50" s="388"/>
      <c r="AA50" s="178" t="str">
        <f ca="1">IF($C50="","",IF($D50="LPSM",Z49,VALUE($C50)*Z49))</f>
        <v/>
      </c>
      <c r="AB50" s="388"/>
      <c r="AC50" s="178" t="str">
        <f ca="1">IF($C50="","",IF($D50="LPSM",AB49,VALUE($C50)*AB49))</f>
        <v/>
      </c>
      <c r="AD50" s="388"/>
      <c r="AE50" s="178" t="str">
        <f ca="1">IF($C50="","",IF($D50="LPSM",AD49,VALUE($C50)*AD49))</f>
        <v/>
      </c>
      <c r="AF50" s="388"/>
      <c r="AG50" s="178" t="str">
        <f ca="1">IF($C50="","",IF($D50="LPSM",AF49,VALUE($C50)*AF49))</f>
        <v/>
      </c>
      <c r="AH50" s="388"/>
      <c r="AI50" s="178" t="str">
        <f ca="1">IF($C50="","",IF($D50="LPSM",AH49,VALUE($C50)*AH49))</f>
        <v/>
      </c>
      <c r="AJ50" s="388"/>
      <c r="AK50" s="178" t="str">
        <f ca="1">IF($C50="","",IF($D50="LPSM",AJ49,VALUE($C50)*AJ49))</f>
        <v/>
      </c>
      <c r="AL50" s="388"/>
      <c r="AM50" s="178" t="str">
        <f ca="1">IF($C50="","",IF($D50="LPSM",AL49,VALUE($C50)*AL49))</f>
        <v/>
      </c>
      <c r="AN50" s="388"/>
      <c r="AO50" s="178" t="str">
        <f ca="1">IF($C50="","",IF($D50="LPSM",AN49,VALUE($C50)*AN49))</f>
        <v/>
      </c>
      <c r="AP50" s="388"/>
      <c r="AQ50" s="178" t="str">
        <f ca="1">IF($C50="","",IF($D50="LPSM",AP49,VALUE($C50)*AP49))</f>
        <v/>
      </c>
      <c r="AR50" s="209" t="str">
        <f ca="1">IF(LEN(B50)&gt;0,ISNUMBER(MATCH(B50,Proposed[Item],0)),"")</f>
        <v/>
      </c>
    </row>
    <row r="51" spans="1:44" ht="15" x14ac:dyDescent="0.2">
      <c r="A51" s="276">
        <f t="shared" ca="1" si="0"/>
        <v>22</v>
      </c>
      <c r="B51" s="168" t="str">
        <f ca="1">IFERROR(INDEX(INDIRECT(RangeItems),MATCH($A51,INDIRECT(RangeCount),0)),"")</f>
        <v/>
      </c>
      <c r="C51" s="365" t="str">
        <f ca="1">INDEX(Calcs[Description],$A51)</f>
        <v/>
      </c>
      <c r="D51" s="365"/>
      <c r="E51" s="365"/>
      <c r="F51" s="365"/>
      <c r="G51" s="365"/>
      <c r="H51" s="388"/>
      <c r="I51" s="177"/>
      <c r="J51" s="388"/>
      <c r="K51" s="177"/>
      <c r="L51" s="388"/>
      <c r="M51" s="177"/>
      <c r="N51" s="388"/>
      <c r="O51" s="177"/>
      <c r="P51" s="388"/>
      <c r="Q51" s="177"/>
      <c r="R51" s="388"/>
      <c r="S51" s="177"/>
      <c r="T51" s="388"/>
      <c r="U51" s="177"/>
      <c r="V51" s="388"/>
      <c r="W51" s="177"/>
      <c r="X51" s="388"/>
      <c r="Y51" s="177"/>
      <c r="Z51" s="388"/>
      <c r="AA51" s="177"/>
      <c r="AB51" s="388"/>
      <c r="AC51" s="177"/>
      <c r="AD51" s="388"/>
      <c r="AE51" s="177"/>
      <c r="AF51" s="388"/>
      <c r="AG51" s="177"/>
      <c r="AH51" s="388"/>
      <c r="AI51" s="177"/>
      <c r="AJ51" s="388"/>
      <c r="AK51" s="177"/>
      <c r="AL51" s="388"/>
      <c r="AM51" s="177"/>
      <c r="AN51" s="388"/>
      <c r="AO51" s="177"/>
      <c r="AP51" s="388"/>
      <c r="AQ51" s="177"/>
      <c r="AR51" s="209" t="str">
        <f ca="1">IF(LEN(B51)&gt;0,ISNUMBER(MATCH(B51,Proposed[Item],0)),"")</f>
        <v/>
      </c>
    </row>
    <row r="52" spans="1:44" ht="15" x14ac:dyDescent="0.2">
      <c r="A52" s="276">
        <f t="shared" ca="1" si="0"/>
        <v>22</v>
      </c>
      <c r="B52" s="111" t="str">
        <f ca="1">IF($A52&lt;=NumPayItems,"Line "&amp;INDEX(Calcs[Line],$A52),"")</f>
        <v/>
      </c>
      <c r="C52" s="169" t="str">
        <f ca="1">IFERROR(IF($D52="LPSM","ALL",TEXT(INDEX(INDIRECT(RangeQuantity),MATCH($A52,INDIRECT(RangeCount),0)),"#,##0"&amp;IF(OFFSET(Items[],MATCH($A52,INDIRECT(RangeCount),0)-1,MATCH(Decimals,Items[#Headers],0)-1,1,1)&gt;0,"."&amp;REPT("0",OFFSET(Items[],MATCH($A52,INDIRECT(RangeCount),0)-1,MATCH(Decimals,Items[#Headers],0)-1,1,1)),""))),"")</f>
        <v/>
      </c>
      <c r="D52" s="170" t="str">
        <f ca="1">IFERROR(INDEX(INDIRECT(RangeUnit),MATCH($A52,INDIRECT(RangeCount),0)),"")</f>
        <v/>
      </c>
      <c r="E52" s="170" t="str">
        <f ca="1">IFERROR(IF(INDEX(INDIRECT(RangeContrQty),MATCH($A52,INDIRECT(RangeCount),0)),"(CQ)",""),"")</f>
        <v/>
      </c>
      <c r="F52" s="171" t="str">
        <f ca="1">IFERROR(INDEX(INDIRECT(RangeUnitPrice),MATCH($A52,INDIRECT(RangeCount),0)),"")</f>
        <v/>
      </c>
      <c r="G52" s="171" t="str">
        <f ca="1">IFERROR(VALUE(C52)*F52,F52)</f>
        <v/>
      </c>
      <c r="H52" s="388"/>
      <c r="I52" s="178" t="str">
        <f ca="1">IF($C52="","",IF($D52="LPSM",H51,VALUE($C52)*H51))</f>
        <v/>
      </c>
      <c r="J52" s="388"/>
      <c r="K52" s="178" t="str">
        <f ca="1">IF($C52="","",IF($D52="LPSM",J51,VALUE($C52)*J51))</f>
        <v/>
      </c>
      <c r="L52" s="388"/>
      <c r="M52" s="178" t="str">
        <f ca="1">IF($C52="","",IF($D52="LPSM",L51,VALUE($C52)*L51))</f>
        <v/>
      </c>
      <c r="N52" s="388"/>
      <c r="O52" s="178" t="str">
        <f ca="1">IF($C52="","",IF($D52="LPSM",N51,VALUE($C52)*N51))</f>
        <v/>
      </c>
      <c r="P52" s="388"/>
      <c r="Q52" s="178" t="str">
        <f ca="1">IF($C52="","",IF($D52="LPSM",P51,VALUE($C52)*P51))</f>
        <v/>
      </c>
      <c r="R52" s="388"/>
      <c r="S52" s="178" t="str">
        <f ca="1">IF($C52="","",IF($D52="LPSM",R51,VALUE($C52)*R51))</f>
        <v/>
      </c>
      <c r="T52" s="388"/>
      <c r="U52" s="178" t="str">
        <f ca="1">IF($C52="","",IF($D52="LPSM",T51,VALUE($C52)*T51))</f>
        <v/>
      </c>
      <c r="V52" s="388"/>
      <c r="W52" s="178" t="str">
        <f ca="1">IF($C52="","",IF($D52="LPSM",V51,VALUE($C52)*V51))</f>
        <v/>
      </c>
      <c r="X52" s="388"/>
      <c r="Y52" s="178" t="str">
        <f ca="1">IF($C52="","",IF($D52="LPSM",X51,VALUE($C52)*X51))</f>
        <v/>
      </c>
      <c r="Z52" s="388"/>
      <c r="AA52" s="178" t="str">
        <f ca="1">IF($C52="","",IF($D52="LPSM",Z51,VALUE($C52)*Z51))</f>
        <v/>
      </c>
      <c r="AB52" s="388"/>
      <c r="AC52" s="178" t="str">
        <f ca="1">IF($C52="","",IF($D52="LPSM",AB51,VALUE($C52)*AB51))</f>
        <v/>
      </c>
      <c r="AD52" s="388"/>
      <c r="AE52" s="178" t="str">
        <f ca="1">IF($C52="","",IF($D52="LPSM",AD51,VALUE($C52)*AD51))</f>
        <v/>
      </c>
      <c r="AF52" s="388"/>
      <c r="AG52" s="178" t="str">
        <f ca="1">IF($C52="","",IF($D52="LPSM",AF51,VALUE($C52)*AF51))</f>
        <v/>
      </c>
      <c r="AH52" s="388"/>
      <c r="AI52" s="178" t="str">
        <f ca="1">IF($C52="","",IF($D52="LPSM",AH51,VALUE($C52)*AH51))</f>
        <v/>
      </c>
      <c r="AJ52" s="388"/>
      <c r="AK52" s="178" t="str">
        <f ca="1">IF($C52="","",IF($D52="LPSM",AJ51,VALUE($C52)*AJ51))</f>
        <v/>
      </c>
      <c r="AL52" s="388"/>
      <c r="AM52" s="178" t="str">
        <f ca="1">IF($C52="","",IF($D52="LPSM",AL51,VALUE($C52)*AL51))</f>
        <v/>
      </c>
      <c r="AN52" s="388"/>
      <c r="AO52" s="178" t="str">
        <f ca="1">IF($C52="","",IF($D52="LPSM",AN51,VALUE($C52)*AN51))</f>
        <v/>
      </c>
      <c r="AP52" s="388"/>
      <c r="AQ52" s="178" t="str">
        <f ca="1">IF($C52="","",IF($D52="LPSM",AP51,VALUE($C52)*AP51))</f>
        <v/>
      </c>
      <c r="AR52" s="209" t="str">
        <f ca="1">IF(LEN(B52)&gt;0,ISNUMBER(MATCH(B52,Proposed[Item],0)),"")</f>
        <v/>
      </c>
    </row>
    <row r="53" spans="1:44" ht="15" x14ac:dyDescent="0.2">
      <c r="A53" s="276">
        <f t="shared" ca="1" si="0"/>
        <v>23</v>
      </c>
      <c r="B53" s="168" t="str">
        <f ca="1">IFERROR(INDEX(INDIRECT(RangeItems),MATCH($A53,INDIRECT(RangeCount),0)),"")</f>
        <v/>
      </c>
      <c r="C53" s="365" t="str">
        <f ca="1">INDEX(Calcs[Description],$A53)</f>
        <v/>
      </c>
      <c r="D53" s="365"/>
      <c r="E53" s="365"/>
      <c r="F53" s="365"/>
      <c r="G53" s="365"/>
      <c r="H53" s="388"/>
      <c r="I53" s="177"/>
      <c r="J53" s="388"/>
      <c r="K53" s="177"/>
      <c r="L53" s="388"/>
      <c r="M53" s="177"/>
      <c r="N53" s="388"/>
      <c r="O53" s="177"/>
      <c r="P53" s="388"/>
      <c r="Q53" s="177"/>
      <c r="R53" s="388"/>
      <c r="S53" s="177"/>
      <c r="T53" s="388"/>
      <c r="U53" s="177"/>
      <c r="V53" s="388"/>
      <c r="W53" s="177"/>
      <c r="X53" s="388"/>
      <c r="Y53" s="177"/>
      <c r="Z53" s="388"/>
      <c r="AA53" s="177"/>
      <c r="AB53" s="388"/>
      <c r="AC53" s="177"/>
      <c r="AD53" s="388"/>
      <c r="AE53" s="177"/>
      <c r="AF53" s="388"/>
      <c r="AG53" s="177"/>
      <c r="AH53" s="388"/>
      <c r="AI53" s="177"/>
      <c r="AJ53" s="388"/>
      <c r="AK53" s="177"/>
      <c r="AL53" s="388"/>
      <c r="AM53" s="177"/>
      <c r="AN53" s="388"/>
      <c r="AO53" s="177"/>
      <c r="AP53" s="388"/>
      <c r="AQ53" s="177"/>
      <c r="AR53" s="209" t="str">
        <f ca="1">IF(LEN(B53)&gt;0,ISNUMBER(MATCH(B53,Proposed[Item],0)),"")</f>
        <v/>
      </c>
    </row>
    <row r="54" spans="1:44" ht="15" x14ac:dyDescent="0.2">
      <c r="A54" s="276">
        <f t="shared" ca="1" si="0"/>
        <v>23</v>
      </c>
      <c r="B54" s="111" t="str">
        <f ca="1">IF($A54&lt;=NumPayItems,"Line "&amp;INDEX(Calcs[Line],$A54),"")</f>
        <v/>
      </c>
      <c r="C54" s="169" t="str">
        <f ca="1">IFERROR(IF($D54="LPSM","ALL",TEXT(INDEX(INDIRECT(RangeQuantity),MATCH($A54,INDIRECT(RangeCount),0)),"#,##0"&amp;IF(OFFSET(Items[],MATCH($A54,INDIRECT(RangeCount),0)-1,MATCH(Decimals,Items[#Headers],0)-1,1,1)&gt;0,"."&amp;REPT("0",OFFSET(Items[],MATCH($A54,INDIRECT(RangeCount),0)-1,MATCH(Decimals,Items[#Headers],0)-1,1,1)),""))),"")</f>
        <v/>
      </c>
      <c r="D54" s="170" t="str">
        <f ca="1">IFERROR(INDEX(INDIRECT(RangeUnit),MATCH($A54,INDIRECT(RangeCount),0)),"")</f>
        <v/>
      </c>
      <c r="E54" s="170" t="str">
        <f ca="1">IFERROR(IF(INDEX(INDIRECT(RangeContrQty),MATCH($A54,INDIRECT(RangeCount),0)),"(CQ)",""),"")</f>
        <v/>
      </c>
      <c r="F54" s="171" t="str">
        <f ca="1">IFERROR(INDEX(INDIRECT(RangeUnitPrice),MATCH($A54,INDIRECT(RangeCount),0)),"")</f>
        <v/>
      </c>
      <c r="G54" s="171" t="str">
        <f ca="1">IFERROR(VALUE(C54)*F54,F54)</f>
        <v/>
      </c>
      <c r="H54" s="388"/>
      <c r="I54" s="178" t="str">
        <f ca="1">IF($C54="","",IF($D54="LPSM",H53,VALUE($C54)*H53))</f>
        <v/>
      </c>
      <c r="J54" s="388"/>
      <c r="K54" s="178" t="str">
        <f ca="1">IF($C54="","",IF($D54="LPSM",J53,VALUE($C54)*J53))</f>
        <v/>
      </c>
      <c r="L54" s="388"/>
      <c r="M54" s="178" t="str">
        <f ca="1">IF($C54="","",IF($D54="LPSM",L53,VALUE($C54)*L53))</f>
        <v/>
      </c>
      <c r="N54" s="388"/>
      <c r="O54" s="178" t="str">
        <f ca="1">IF($C54="","",IF($D54="LPSM",N53,VALUE($C54)*N53))</f>
        <v/>
      </c>
      <c r="P54" s="388"/>
      <c r="Q54" s="178" t="str">
        <f ca="1">IF($C54="","",IF($D54="LPSM",P53,VALUE($C54)*P53))</f>
        <v/>
      </c>
      <c r="R54" s="388"/>
      <c r="S54" s="178" t="str">
        <f ca="1">IF($C54="","",IF($D54="LPSM",R53,VALUE($C54)*R53))</f>
        <v/>
      </c>
      <c r="T54" s="388"/>
      <c r="U54" s="178" t="str">
        <f ca="1">IF($C54="","",IF($D54="LPSM",T53,VALUE($C54)*T53))</f>
        <v/>
      </c>
      <c r="V54" s="388"/>
      <c r="W54" s="178" t="str">
        <f ca="1">IF($C54="","",IF($D54="LPSM",V53,VALUE($C54)*V53))</f>
        <v/>
      </c>
      <c r="X54" s="388"/>
      <c r="Y54" s="178" t="str">
        <f ca="1">IF($C54="","",IF($D54="LPSM",X53,VALUE($C54)*X53))</f>
        <v/>
      </c>
      <c r="Z54" s="388"/>
      <c r="AA54" s="178" t="str">
        <f ca="1">IF($C54="","",IF($D54="LPSM",Z53,VALUE($C54)*Z53))</f>
        <v/>
      </c>
      <c r="AB54" s="388"/>
      <c r="AC54" s="178" t="str">
        <f ca="1">IF($C54="","",IF($D54="LPSM",AB53,VALUE($C54)*AB53))</f>
        <v/>
      </c>
      <c r="AD54" s="388"/>
      <c r="AE54" s="178" t="str">
        <f ca="1">IF($C54="","",IF($D54="LPSM",AD53,VALUE($C54)*AD53))</f>
        <v/>
      </c>
      <c r="AF54" s="388"/>
      <c r="AG54" s="178" t="str">
        <f ca="1">IF($C54="","",IF($D54="LPSM",AF53,VALUE($C54)*AF53))</f>
        <v/>
      </c>
      <c r="AH54" s="388"/>
      <c r="AI54" s="178" t="str">
        <f ca="1">IF($C54="","",IF($D54="LPSM",AH53,VALUE($C54)*AH53))</f>
        <v/>
      </c>
      <c r="AJ54" s="388"/>
      <c r="AK54" s="178" t="str">
        <f ca="1">IF($C54="","",IF($D54="LPSM",AJ53,VALUE($C54)*AJ53))</f>
        <v/>
      </c>
      <c r="AL54" s="388"/>
      <c r="AM54" s="178" t="str">
        <f ca="1">IF($C54="","",IF($D54="LPSM",AL53,VALUE($C54)*AL53))</f>
        <v/>
      </c>
      <c r="AN54" s="388"/>
      <c r="AO54" s="178" t="str">
        <f ca="1">IF($C54="","",IF($D54="LPSM",AN53,VALUE($C54)*AN53))</f>
        <v/>
      </c>
      <c r="AP54" s="388"/>
      <c r="AQ54" s="178" t="str">
        <f ca="1">IF($C54="","",IF($D54="LPSM",AP53,VALUE($C54)*AP53))</f>
        <v/>
      </c>
      <c r="AR54" s="209" t="str">
        <f ca="1">IF(LEN(B54)&gt;0,ISNUMBER(MATCH(B54,Proposed[Item],0)),"")</f>
        <v/>
      </c>
    </row>
    <row r="55" spans="1:44" ht="15" x14ac:dyDescent="0.2">
      <c r="A55" s="276">
        <f t="shared" ca="1" si="0"/>
        <v>24</v>
      </c>
      <c r="B55" s="168" t="str">
        <f ca="1">IFERROR(INDEX(INDIRECT(RangeItems),MATCH($A55,INDIRECT(RangeCount),0)),"")</f>
        <v/>
      </c>
      <c r="C55" s="365" t="str">
        <f ca="1">INDEX(Calcs[Description],$A55)</f>
        <v/>
      </c>
      <c r="D55" s="365"/>
      <c r="E55" s="365"/>
      <c r="F55" s="365"/>
      <c r="G55" s="365"/>
      <c r="H55" s="388"/>
      <c r="I55" s="177"/>
      <c r="J55" s="388"/>
      <c r="K55" s="177"/>
      <c r="L55" s="388"/>
      <c r="M55" s="177"/>
      <c r="N55" s="388"/>
      <c r="O55" s="177"/>
      <c r="P55" s="388"/>
      <c r="Q55" s="177"/>
      <c r="R55" s="388"/>
      <c r="S55" s="177"/>
      <c r="T55" s="388"/>
      <c r="U55" s="177"/>
      <c r="V55" s="388"/>
      <c r="W55" s="177"/>
      <c r="X55" s="388"/>
      <c r="Y55" s="177"/>
      <c r="Z55" s="388"/>
      <c r="AA55" s="177"/>
      <c r="AB55" s="388"/>
      <c r="AC55" s="177"/>
      <c r="AD55" s="388"/>
      <c r="AE55" s="177"/>
      <c r="AF55" s="388"/>
      <c r="AG55" s="177"/>
      <c r="AH55" s="388"/>
      <c r="AI55" s="177"/>
      <c r="AJ55" s="388"/>
      <c r="AK55" s="177"/>
      <c r="AL55" s="388"/>
      <c r="AM55" s="177"/>
      <c r="AN55" s="388"/>
      <c r="AO55" s="177"/>
      <c r="AP55" s="388"/>
      <c r="AQ55" s="177"/>
      <c r="AR55" s="209" t="str">
        <f ca="1">IF(LEN(B55)&gt;0,ISNUMBER(MATCH(B55,Proposed[Item],0)),"")</f>
        <v/>
      </c>
    </row>
    <row r="56" spans="1:44" ht="15" x14ac:dyDescent="0.2">
      <c r="A56" s="276">
        <f t="shared" ca="1" si="0"/>
        <v>24</v>
      </c>
      <c r="B56" s="111" t="str">
        <f ca="1">IF($A56&lt;=NumPayItems,"Line "&amp;INDEX(Calcs[Line],$A56),"")</f>
        <v/>
      </c>
      <c r="C56" s="169" t="str">
        <f ca="1">IFERROR(IF($D56="LPSM","ALL",TEXT(INDEX(INDIRECT(RangeQuantity),MATCH($A56,INDIRECT(RangeCount),0)),"#,##0"&amp;IF(OFFSET(Items[],MATCH($A56,INDIRECT(RangeCount),0)-1,MATCH(Decimals,Items[#Headers],0)-1,1,1)&gt;0,"."&amp;REPT("0",OFFSET(Items[],MATCH($A56,INDIRECT(RangeCount),0)-1,MATCH(Decimals,Items[#Headers],0)-1,1,1)),""))),"")</f>
        <v/>
      </c>
      <c r="D56" s="170" t="str">
        <f ca="1">IFERROR(INDEX(INDIRECT(RangeUnit),MATCH($A56,INDIRECT(RangeCount),0)),"")</f>
        <v/>
      </c>
      <c r="E56" s="170" t="str">
        <f ca="1">IFERROR(IF(INDEX(INDIRECT(RangeContrQty),MATCH($A56,INDIRECT(RangeCount),0)),"(CQ)",""),"")</f>
        <v/>
      </c>
      <c r="F56" s="171" t="str">
        <f ca="1">IFERROR(INDEX(INDIRECT(RangeUnitPrice),MATCH($A56,INDIRECT(RangeCount),0)),"")</f>
        <v/>
      </c>
      <c r="G56" s="171" t="str">
        <f ca="1">IFERROR(VALUE(C56)*F56,F56)</f>
        <v/>
      </c>
      <c r="H56" s="388"/>
      <c r="I56" s="178" t="str">
        <f ca="1">IF($C56="","",IF($D56="LPSM",H55,VALUE($C56)*H55))</f>
        <v/>
      </c>
      <c r="J56" s="388"/>
      <c r="K56" s="178" t="str">
        <f ca="1">IF($C56="","",IF($D56="LPSM",J55,VALUE($C56)*J55))</f>
        <v/>
      </c>
      <c r="L56" s="388"/>
      <c r="M56" s="178" t="str">
        <f ca="1">IF($C56="","",IF($D56="LPSM",L55,VALUE($C56)*L55))</f>
        <v/>
      </c>
      <c r="N56" s="388"/>
      <c r="O56" s="178" t="str">
        <f ca="1">IF($C56="","",IF($D56="LPSM",N55,VALUE($C56)*N55))</f>
        <v/>
      </c>
      <c r="P56" s="388"/>
      <c r="Q56" s="178" t="str">
        <f ca="1">IF($C56="","",IF($D56="LPSM",P55,VALUE($C56)*P55))</f>
        <v/>
      </c>
      <c r="R56" s="388"/>
      <c r="S56" s="178" t="str">
        <f ca="1">IF($C56="","",IF($D56="LPSM",R55,VALUE($C56)*R55))</f>
        <v/>
      </c>
      <c r="T56" s="388"/>
      <c r="U56" s="178" t="str">
        <f ca="1">IF($C56="","",IF($D56="LPSM",T55,VALUE($C56)*T55))</f>
        <v/>
      </c>
      <c r="V56" s="388"/>
      <c r="W56" s="178" t="str">
        <f ca="1">IF($C56="","",IF($D56="LPSM",V55,VALUE($C56)*V55))</f>
        <v/>
      </c>
      <c r="X56" s="388"/>
      <c r="Y56" s="178" t="str">
        <f ca="1">IF($C56="","",IF($D56="LPSM",X55,VALUE($C56)*X55))</f>
        <v/>
      </c>
      <c r="Z56" s="388"/>
      <c r="AA56" s="178" t="str">
        <f ca="1">IF($C56="","",IF($D56="LPSM",Z55,VALUE($C56)*Z55))</f>
        <v/>
      </c>
      <c r="AB56" s="388"/>
      <c r="AC56" s="178" t="str">
        <f ca="1">IF($C56="","",IF($D56="LPSM",AB55,VALUE($C56)*AB55))</f>
        <v/>
      </c>
      <c r="AD56" s="388"/>
      <c r="AE56" s="178" t="str">
        <f ca="1">IF($C56="","",IF($D56="LPSM",AD55,VALUE($C56)*AD55))</f>
        <v/>
      </c>
      <c r="AF56" s="388"/>
      <c r="AG56" s="178" t="str">
        <f ca="1">IF($C56="","",IF($D56="LPSM",AF55,VALUE($C56)*AF55))</f>
        <v/>
      </c>
      <c r="AH56" s="388"/>
      <c r="AI56" s="178" t="str">
        <f ca="1">IF($C56="","",IF($D56="LPSM",AH55,VALUE($C56)*AH55))</f>
        <v/>
      </c>
      <c r="AJ56" s="388"/>
      <c r="AK56" s="178" t="str">
        <f ca="1">IF($C56="","",IF($D56="LPSM",AJ55,VALUE($C56)*AJ55))</f>
        <v/>
      </c>
      <c r="AL56" s="388"/>
      <c r="AM56" s="178" t="str">
        <f ca="1">IF($C56="","",IF($D56="LPSM",AL55,VALUE($C56)*AL55))</f>
        <v/>
      </c>
      <c r="AN56" s="388"/>
      <c r="AO56" s="178" t="str">
        <f ca="1">IF($C56="","",IF($D56="LPSM",AN55,VALUE($C56)*AN55))</f>
        <v/>
      </c>
      <c r="AP56" s="388"/>
      <c r="AQ56" s="178" t="str">
        <f ca="1">IF($C56="","",IF($D56="LPSM",AP55,VALUE($C56)*AP55))</f>
        <v/>
      </c>
      <c r="AR56" s="209" t="str">
        <f ca="1">IF(LEN(B56)&gt;0,ISNUMBER(MATCH(B56,Proposed[Item],0)),"")</f>
        <v/>
      </c>
    </row>
    <row r="57" spans="1:44" ht="15" x14ac:dyDescent="0.2">
      <c r="A57" s="276">
        <f t="shared" ca="1" si="0"/>
        <v>25</v>
      </c>
      <c r="B57" s="168" t="str">
        <f ca="1">IFERROR(INDEX(INDIRECT(RangeItems),MATCH($A57,INDIRECT(RangeCount),0)),"")</f>
        <v/>
      </c>
      <c r="C57" s="365" t="str">
        <f ca="1">INDEX(Calcs[Description],$A57)</f>
        <v/>
      </c>
      <c r="D57" s="365"/>
      <c r="E57" s="365"/>
      <c r="F57" s="365"/>
      <c r="G57" s="365"/>
      <c r="H57" s="388"/>
      <c r="I57" s="177"/>
      <c r="J57" s="388"/>
      <c r="K57" s="177"/>
      <c r="L57" s="388"/>
      <c r="M57" s="177"/>
      <c r="N57" s="388"/>
      <c r="O57" s="177"/>
      <c r="P57" s="388"/>
      <c r="Q57" s="177"/>
      <c r="R57" s="388"/>
      <c r="S57" s="177"/>
      <c r="T57" s="388"/>
      <c r="U57" s="177"/>
      <c r="V57" s="388"/>
      <c r="W57" s="177"/>
      <c r="X57" s="388"/>
      <c r="Y57" s="177"/>
      <c r="Z57" s="388"/>
      <c r="AA57" s="177"/>
      <c r="AB57" s="388"/>
      <c r="AC57" s="177"/>
      <c r="AD57" s="388"/>
      <c r="AE57" s="177"/>
      <c r="AF57" s="388"/>
      <c r="AG57" s="177"/>
      <c r="AH57" s="388"/>
      <c r="AI57" s="177"/>
      <c r="AJ57" s="388"/>
      <c r="AK57" s="177"/>
      <c r="AL57" s="388"/>
      <c r="AM57" s="177"/>
      <c r="AN57" s="388"/>
      <c r="AO57" s="177"/>
      <c r="AP57" s="388"/>
      <c r="AQ57" s="177"/>
      <c r="AR57" s="209" t="str">
        <f ca="1">IF(LEN(B57)&gt;0,ISNUMBER(MATCH(B57,Proposed[Item],0)),"")</f>
        <v/>
      </c>
    </row>
    <row r="58" spans="1:44" ht="15" x14ac:dyDescent="0.2">
      <c r="A58" s="276">
        <f t="shared" ca="1" si="0"/>
        <v>25</v>
      </c>
      <c r="B58" s="111" t="str">
        <f ca="1">IF($A58&lt;=NumPayItems,"Line "&amp;INDEX(Calcs[Line],$A58),"")</f>
        <v/>
      </c>
      <c r="C58" s="169" t="str">
        <f ca="1">IFERROR(IF($D58="LPSM","ALL",TEXT(INDEX(INDIRECT(RangeQuantity),MATCH($A58,INDIRECT(RangeCount),0)),"#,##0"&amp;IF(OFFSET(Items[],MATCH($A58,INDIRECT(RangeCount),0)-1,MATCH(Decimals,Items[#Headers],0)-1,1,1)&gt;0,"."&amp;REPT("0",OFFSET(Items[],MATCH($A58,INDIRECT(RangeCount),0)-1,MATCH(Decimals,Items[#Headers],0)-1,1,1)),""))),"")</f>
        <v/>
      </c>
      <c r="D58" s="170" t="str">
        <f ca="1">IFERROR(INDEX(INDIRECT(RangeUnit),MATCH($A58,INDIRECT(RangeCount),0)),"")</f>
        <v/>
      </c>
      <c r="E58" s="170" t="str">
        <f ca="1">IFERROR(IF(INDEX(INDIRECT(RangeContrQty),MATCH($A58,INDIRECT(RangeCount),0)),"(CQ)",""),"")</f>
        <v/>
      </c>
      <c r="F58" s="171" t="str">
        <f ca="1">IFERROR(INDEX(INDIRECT(RangeUnitPrice),MATCH($A58,INDIRECT(RangeCount),0)),"")</f>
        <v/>
      </c>
      <c r="G58" s="171" t="str">
        <f ca="1">IFERROR(VALUE(C58)*F58,F58)</f>
        <v/>
      </c>
      <c r="H58" s="388"/>
      <c r="I58" s="178" t="str">
        <f ca="1">IF($C58="","",IF($D58="LPSM",H57,VALUE($C58)*H57))</f>
        <v/>
      </c>
      <c r="J58" s="388"/>
      <c r="K58" s="178" t="str">
        <f ca="1">IF($C58="","",IF($D58="LPSM",J57,VALUE($C58)*J57))</f>
        <v/>
      </c>
      <c r="L58" s="388"/>
      <c r="M58" s="178" t="str">
        <f ca="1">IF($C58="","",IF($D58="LPSM",L57,VALUE($C58)*L57))</f>
        <v/>
      </c>
      <c r="N58" s="388"/>
      <c r="O58" s="178" t="str">
        <f ca="1">IF($C58="","",IF($D58="LPSM",N57,VALUE($C58)*N57))</f>
        <v/>
      </c>
      <c r="P58" s="388"/>
      <c r="Q58" s="178" t="str">
        <f ca="1">IF($C58="","",IF($D58="LPSM",P57,VALUE($C58)*P57))</f>
        <v/>
      </c>
      <c r="R58" s="388"/>
      <c r="S58" s="178" t="str">
        <f ca="1">IF($C58="","",IF($D58="LPSM",R57,VALUE($C58)*R57))</f>
        <v/>
      </c>
      <c r="T58" s="388"/>
      <c r="U58" s="178" t="str">
        <f ca="1">IF($C58="","",IF($D58="LPSM",T57,VALUE($C58)*T57))</f>
        <v/>
      </c>
      <c r="V58" s="388"/>
      <c r="W58" s="178" t="str">
        <f ca="1">IF($C58="","",IF($D58="LPSM",V57,VALUE($C58)*V57))</f>
        <v/>
      </c>
      <c r="X58" s="388"/>
      <c r="Y58" s="178" t="str">
        <f ca="1">IF($C58="","",IF($D58="LPSM",X57,VALUE($C58)*X57))</f>
        <v/>
      </c>
      <c r="Z58" s="388"/>
      <c r="AA58" s="178" t="str">
        <f ca="1">IF($C58="","",IF($D58="LPSM",Z57,VALUE($C58)*Z57))</f>
        <v/>
      </c>
      <c r="AB58" s="388"/>
      <c r="AC58" s="178" t="str">
        <f ca="1">IF($C58="","",IF($D58="LPSM",AB57,VALUE($C58)*AB57))</f>
        <v/>
      </c>
      <c r="AD58" s="388"/>
      <c r="AE58" s="178" t="str">
        <f ca="1">IF($C58="","",IF($D58="LPSM",AD57,VALUE($C58)*AD57))</f>
        <v/>
      </c>
      <c r="AF58" s="388"/>
      <c r="AG58" s="178" t="str">
        <f ca="1">IF($C58="","",IF($D58="LPSM",AF57,VALUE($C58)*AF57))</f>
        <v/>
      </c>
      <c r="AH58" s="388"/>
      <c r="AI58" s="178" t="str">
        <f ca="1">IF($C58="","",IF($D58="LPSM",AH57,VALUE($C58)*AH57))</f>
        <v/>
      </c>
      <c r="AJ58" s="388"/>
      <c r="AK58" s="178" t="str">
        <f ca="1">IF($C58="","",IF($D58="LPSM",AJ57,VALUE($C58)*AJ57))</f>
        <v/>
      </c>
      <c r="AL58" s="388"/>
      <c r="AM58" s="178" t="str">
        <f ca="1">IF($C58="","",IF($D58="LPSM",AL57,VALUE($C58)*AL57))</f>
        <v/>
      </c>
      <c r="AN58" s="388"/>
      <c r="AO58" s="178" t="str">
        <f ca="1">IF($C58="","",IF($D58="LPSM",AN57,VALUE($C58)*AN57))</f>
        <v/>
      </c>
      <c r="AP58" s="388"/>
      <c r="AQ58" s="178" t="str">
        <f ca="1">IF($C58="","",IF($D58="LPSM",AP57,VALUE($C58)*AP57))</f>
        <v/>
      </c>
      <c r="AR58" s="209" t="str">
        <f ca="1">IF(LEN(B58)&gt;0,ISNUMBER(MATCH(B58,Proposed[Item],0)),"")</f>
        <v/>
      </c>
    </row>
    <row r="59" spans="1:44" ht="15" x14ac:dyDescent="0.2">
      <c r="A59" s="276">
        <f t="shared" ca="1" si="0"/>
        <v>26</v>
      </c>
      <c r="B59" s="168" t="str">
        <f ca="1">IFERROR(INDEX(INDIRECT(RangeItems),MATCH($A59,INDIRECT(RangeCount),0)),"")</f>
        <v/>
      </c>
      <c r="C59" s="365" t="str">
        <f ca="1">INDEX(Calcs[Description],$A59)</f>
        <v/>
      </c>
      <c r="D59" s="365"/>
      <c r="E59" s="365"/>
      <c r="F59" s="365"/>
      <c r="G59" s="365"/>
      <c r="H59" s="388"/>
      <c r="I59" s="177"/>
      <c r="J59" s="388"/>
      <c r="K59" s="177"/>
      <c r="L59" s="388"/>
      <c r="M59" s="177"/>
      <c r="N59" s="388"/>
      <c r="O59" s="177"/>
      <c r="P59" s="388"/>
      <c r="Q59" s="177"/>
      <c r="R59" s="388"/>
      <c r="S59" s="177"/>
      <c r="T59" s="388"/>
      <c r="U59" s="177"/>
      <c r="V59" s="388"/>
      <c r="W59" s="177"/>
      <c r="X59" s="388"/>
      <c r="Y59" s="177"/>
      <c r="Z59" s="388"/>
      <c r="AA59" s="177"/>
      <c r="AB59" s="388"/>
      <c r="AC59" s="177"/>
      <c r="AD59" s="388"/>
      <c r="AE59" s="177"/>
      <c r="AF59" s="388"/>
      <c r="AG59" s="177"/>
      <c r="AH59" s="388"/>
      <c r="AI59" s="177"/>
      <c r="AJ59" s="388"/>
      <c r="AK59" s="177"/>
      <c r="AL59" s="388"/>
      <c r="AM59" s="177"/>
      <c r="AN59" s="388"/>
      <c r="AO59" s="177"/>
      <c r="AP59" s="388"/>
      <c r="AQ59" s="177"/>
      <c r="AR59" s="209" t="str">
        <f ca="1">IF(LEN(B59)&gt;0,ISNUMBER(MATCH(B59,Proposed[Item],0)),"")</f>
        <v/>
      </c>
    </row>
    <row r="60" spans="1:44" ht="15" x14ac:dyDescent="0.2">
      <c r="A60" s="276">
        <f t="shared" ca="1" si="0"/>
        <v>26</v>
      </c>
      <c r="B60" s="111" t="str">
        <f ca="1">IF($A60&lt;=NumPayItems,"Line "&amp;INDEX(Calcs[Line],$A60),"")</f>
        <v/>
      </c>
      <c r="C60" s="169" t="str">
        <f ca="1">IFERROR(IF($D60="LPSM","ALL",TEXT(INDEX(INDIRECT(RangeQuantity),MATCH($A60,INDIRECT(RangeCount),0)),"#,##0"&amp;IF(OFFSET(Items[],MATCH($A60,INDIRECT(RangeCount),0)-1,MATCH(Decimals,Items[#Headers],0)-1,1,1)&gt;0,"."&amp;REPT("0",OFFSET(Items[],MATCH($A60,INDIRECT(RangeCount),0)-1,MATCH(Decimals,Items[#Headers],0)-1,1,1)),""))),"")</f>
        <v/>
      </c>
      <c r="D60" s="170" t="str">
        <f ca="1">IFERROR(INDEX(INDIRECT(RangeUnit),MATCH($A60,INDIRECT(RangeCount),0)),"")</f>
        <v/>
      </c>
      <c r="E60" s="170" t="str">
        <f ca="1">IFERROR(IF(INDEX(INDIRECT(RangeContrQty),MATCH($A60,INDIRECT(RangeCount),0)),"(CQ)",""),"")</f>
        <v/>
      </c>
      <c r="F60" s="171" t="str">
        <f ca="1">IFERROR(INDEX(INDIRECT(RangeUnitPrice),MATCH($A60,INDIRECT(RangeCount),0)),"")</f>
        <v/>
      </c>
      <c r="G60" s="171" t="str">
        <f ca="1">IFERROR(VALUE(C60)*F60,F60)</f>
        <v/>
      </c>
      <c r="H60" s="388"/>
      <c r="I60" s="178" t="str">
        <f ca="1">IF($C60="","",IF($D60="LPSM",H59,VALUE($C60)*H59))</f>
        <v/>
      </c>
      <c r="J60" s="388"/>
      <c r="K60" s="178" t="str">
        <f ca="1">IF($C60="","",IF($D60="LPSM",J59,VALUE($C60)*J59))</f>
        <v/>
      </c>
      <c r="L60" s="388"/>
      <c r="M60" s="178" t="str">
        <f ca="1">IF($C60="","",IF($D60="LPSM",L59,VALUE($C60)*L59))</f>
        <v/>
      </c>
      <c r="N60" s="388"/>
      <c r="O60" s="178" t="str">
        <f ca="1">IF($C60="","",IF($D60="LPSM",N59,VALUE($C60)*N59))</f>
        <v/>
      </c>
      <c r="P60" s="388"/>
      <c r="Q60" s="178" t="str">
        <f ca="1">IF($C60="","",IF($D60="LPSM",P59,VALUE($C60)*P59))</f>
        <v/>
      </c>
      <c r="R60" s="388"/>
      <c r="S60" s="178" t="str">
        <f ca="1">IF($C60="","",IF($D60="LPSM",R59,VALUE($C60)*R59))</f>
        <v/>
      </c>
      <c r="T60" s="388"/>
      <c r="U60" s="178" t="str">
        <f ca="1">IF($C60="","",IF($D60="LPSM",T59,VALUE($C60)*T59))</f>
        <v/>
      </c>
      <c r="V60" s="388"/>
      <c r="W60" s="178" t="str">
        <f ca="1">IF($C60="","",IF($D60="LPSM",V59,VALUE($C60)*V59))</f>
        <v/>
      </c>
      <c r="X60" s="388"/>
      <c r="Y60" s="178" t="str">
        <f ca="1">IF($C60="","",IF($D60="LPSM",X59,VALUE($C60)*X59))</f>
        <v/>
      </c>
      <c r="Z60" s="388"/>
      <c r="AA60" s="178" t="str">
        <f ca="1">IF($C60="","",IF($D60="LPSM",Z59,VALUE($C60)*Z59))</f>
        <v/>
      </c>
      <c r="AB60" s="388"/>
      <c r="AC60" s="178" t="str">
        <f ca="1">IF($C60="","",IF($D60="LPSM",AB59,VALUE($C60)*AB59))</f>
        <v/>
      </c>
      <c r="AD60" s="388"/>
      <c r="AE60" s="178" t="str">
        <f ca="1">IF($C60="","",IF($D60="LPSM",AD59,VALUE($C60)*AD59))</f>
        <v/>
      </c>
      <c r="AF60" s="388"/>
      <c r="AG60" s="178" t="str">
        <f ca="1">IF($C60="","",IF($D60="LPSM",AF59,VALUE($C60)*AF59))</f>
        <v/>
      </c>
      <c r="AH60" s="388"/>
      <c r="AI60" s="178" t="str">
        <f ca="1">IF($C60="","",IF($D60="LPSM",AH59,VALUE($C60)*AH59))</f>
        <v/>
      </c>
      <c r="AJ60" s="388"/>
      <c r="AK60" s="178" t="str">
        <f ca="1">IF($C60="","",IF($D60="LPSM",AJ59,VALUE($C60)*AJ59))</f>
        <v/>
      </c>
      <c r="AL60" s="388"/>
      <c r="AM60" s="178" t="str">
        <f ca="1">IF($C60="","",IF($D60="LPSM",AL59,VALUE($C60)*AL59))</f>
        <v/>
      </c>
      <c r="AN60" s="388"/>
      <c r="AO60" s="178" t="str">
        <f ca="1">IF($C60="","",IF($D60="LPSM",AN59,VALUE($C60)*AN59))</f>
        <v/>
      </c>
      <c r="AP60" s="388"/>
      <c r="AQ60" s="178" t="str">
        <f ca="1">IF($C60="","",IF($D60="LPSM",AP59,VALUE($C60)*AP59))</f>
        <v/>
      </c>
      <c r="AR60" s="209" t="str">
        <f ca="1">IF(LEN(B60)&gt;0,ISNUMBER(MATCH(B60,Proposed[Item],0)),"")</f>
        <v/>
      </c>
    </row>
    <row r="61" spans="1:44" ht="15" x14ac:dyDescent="0.2">
      <c r="A61" s="276">
        <f t="shared" ca="1" si="0"/>
        <v>27</v>
      </c>
      <c r="B61" s="168" t="str">
        <f ca="1">IFERROR(INDEX(INDIRECT(RangeItems),MATCH($A61,INDIRECT(RangeCount),0)),"")</f>
        <v/>
      </c>
      <c r="C61" s="365" t="str">
        <f ca="1">INDEX(Calcs[Description],$A61)</f>
        <v/>
      </c>
      <c r="D61" s="365"/>
      <c r="E61" s="365"/>
      <c r="F61" s="365"/>
      <c r="G61" s="365"/>
      <c r="H61" s="388"/>
      <c r="I61" s="177"/>
      <c r="J61" s="388"/>
      <c r="K61" s="177"/>
      <c r="L61" s="388"/>
      <c r="M61" s="177"/>
      <c r="N61" s="388"/>
      <c r="O61" s="177"/>
      <c r="P61" s="388"/>
      <c r="Q61" s="177"/>
      <c r="R61" s="388"/>
      <c r="S61" s="177"/>
      <c r="T61" s="388"/>
      <c r="U61" s="177"/>
      <c r="V61" s="388"/>
      <c r="W61" s="177"/>
      <c r="X61" s="388"/>
      <c r="Y61" s="177"/>
      <c r="Z61" s="388"/>
      <c r="AA61" s="177"/>
      <c r="AB61" s="388"/>
      <c r="AC61" s="177"/>
      <c r="AD61" s="388"/>
      <c r="AE61" s="177"/>
      <c r="AF61" s="388"/>
      <c r="AG61" s="177"/>
      <c r="AH61" s="388"/>
      <c r="AI61" s="177"/>
      <c r="AJ61" s="388"/>
      <c r="AK61" s="177"/>
      <c r="AL61" s="388"/>
      <c r="AM61" s="177"/>
      <c r="AN61" s="388"/>
      <c r="AO61" s="177"/>
      <c r="AP61" s="388"/>
      <c r="AQ61" s="177"/>
      <c r="AR61" s="209" t="str">
        <f ca="1">IF(LEN(B61)&gt;0,ISNUMBER(MATCH(B61,Proposed[Item],0)),"")</f>
        <v/>
      </c>
    </row>
    <row r="62" spans="1:44" ht="15" x14ac:dyDescent="0.2">
      <c r="A62" s="276">
        <f t="shared" ca="1" si="0"/>
        <v>27</v>
      </c>
      <c r="B62" s="111" t="str">
        <f ca="1">IF($A62&lt;=NumPayItems,"Line "&amp;INDEX(Calcs[Line],$A62),"")</f>
        <v/>
      </c>
      <c r="C62" s="169" t="str">
        <f ca="1">IFERROR(IF($D62="LPSM","ALL",TEXT(INDEX(INDIRECT(RangeQuantity),MATCH($A62,INDIRECT(RangeCount),0)),"#,##0"&amp;IF(OFFSET(Items[],MATCH($A62,INDIRECT(RangeCount),0)-1,MATCH(Decimals,Items[#Headers],0)-1,1,1)&gt;0,"."&amp;REPT("0",OFFSET(Items[],MATCH($A62,INDIRECT(RangeCount),0)-1,MATCH(Decimals,Items[#Headers],0)-1,1,1)),""))),"")</f>
        <v/>
      </c>
      <c r="D62" s="170" t="str">
        <f ca="1">IFERROR(INDEX(INDIRECT(RangeUnit),MATCH($A62,INDIRECT(RangeCount),0)),"")</f>
        <v/>
      </c>
      <c r="E62" s="170" t="str">
        <f ca="1">IFERROR(IF(INDEX(INDIRECT(RangeContrQty),MATCH($A62,INDIRECT(RangeCount),0)),"(CQ)",""),"")</f>
        <v/>
      </c>
      <c r="F62" s="171" t="str">
        <f ca="1">IFERROR(INDEX(INDIRECT(RangeUnitPrice),MATCH($A62,INDIRECT(RangeCount),0)),"")</f>
        <v/>
      </c>
      <c r="G62" s="171" t="str">
        <f ca="1">IFERROR(VALUE(C62)*F62,F62)</f>
        <v/>
      </c>
      <c r="H62" s="388"/>
      <c r="I62" s="178" t="str">
        <f ca="1">IF($C62="","",IF($D62="LPSM",H61,VALUE($C62)*H61))</f>
        <v/>
      </c>
      <c r="J62" s="388"/>
      <c r="K62" s="178" t="str">
        <f ca="1">IF($C62="","",IF($D62="LPSM",J61,VALUE($C62)*J61))</f>
        <v/>
      </c>
      <c r="L62" s="388"/>
      <c r="M62" s="178" t="str">
        <f ca="1">IF($C62="","",IF($D62="LPSM",L61,VALUE($C62)*L61))</f>
        <v/>
      </c>
      <c r="N62" s="388"/>
      <c r="O62" s="178" t="str">
        <f ca="1">IF($C62="","",IF($D62="LPSM",N61,VALUE($C62)*N61))</f>
        <v/>
      </c>
      <c r="P62" s="388"/>
      <c r="Q62" s="178" t="str">
        <f ca="1">IF($C62="","",IF($D62="LPSM",P61,VALUE($C62)*P61))</f>
        <v/>
      </c>
      <c r="R62" s="388"/>
      <c r="S62" s="178" t="str">
        <f ca="1">IF($C62="","",IF($D62="LPSM",R61,VALUE($C62)*R61))</f>
        <v/>
      </c>
      <c r="T62" s="388"/>
      <c r="U62" s="178" t="str">
        <f ca="1">IF($C62="","",IF($D62="LPSM",T61,VALUE($C62)*T61))</f>
        <v/>
      </c>
      <c r="V62" s="388"/>
      <c r="W62" s="178" t="str">
        <f ca="1">IF($C62="","",IF($D62="LPSM",V61,VALUE($C62)*V61))</f>
        <v/>
      </c>
      <c r="X62" s="388"/>
      <c r="Y62" s="178" t="str">
        <f ca="1">IF($C62="","",IF($D62="LPSM",X61,VALUE($C62)*X61))</f>
        <v/>
      </c>
      <c r="Z62" s="388"/>
      <c r="AA62" s="178" t="str">
        <f ca="1">IF($C62="","",IF($D62="LPSM",Z61,VALUE($C62)*Z61))</f>
        <v/>
      </c>
      <c r="AB62" s="388"/>
      <c r="AC62" s="178" t="str">
        <f ca="1">IF($C62="","",IF($D62="LPSM",AB61,VALUE($C62)*AB61))</f>
        <v/>
      </c>
      <c r="AD62" s="388"/>
      <c r="AE62" s="178" t="str">
        <f ca="1">IF($C62="","",IF($D62="LPSM",AD61,VALUE($C62)*AD61))</f>
        <v/>
      </c>
      <c r="AF62" s="388"/>
      <c r="AG62" s="178" t="str">
        <f ca="1">IF($C62="","",IF($D62="LPSM",AF61,VALUE($C62)*AF61))</f>
        <v/>
      </c>
      <c r="AH62" s="388"/>
      <c r="AI62" s="178" t="str">
        <f ca="1">IF($C62="","",IF($D62="LPSM",AH61,VALUE($C62)*AH61))</f>
        <v/>
      </c>
      <c r="AJ62" s="388"/>
      <c r="AK62" s="178" t="str">
        <f ca="1">IF($C62="","",IF($D62="LPSM",AJ61,VALUE($C62)*AJ61))</f>
        <v/>
      </c>
      <c r="AL62" s="388"/>
      <c r="AM62" s="178" t="str">
        <f ca="1">IF($C62="","",IF($D62="LPSM",AL61,VALUE($C62)*AL61))</f>
        <v/>
      </c>
      <c r="AN62" s="388"/>
      <c r="AO62" s="178" t="str">
        <f ca="1">IF($C62="","",IF($D62="LPSM",AN61,VALUE($C62)*AN61))</f>
        <v/>
      </c>
      <c r="AP62" s="388"/>
      <c r="AQ62" s="178" t="str">
        <f ca="1">IF($C62="","",IF($D62="LPSM",AP61,VALUE($C62)*AP61))</f>
        <v/>
      </c>
      <c r="AR62" s="209" t="str">
        <f ca="1">IF(LEN(B62)&gt;0,ISNUMBER(MATCH(B62,Proposed[Item],0)),"")</f>
        <v/>
      </c>
    </row>
    <row r="63" spans="1:44" ht="15" x14ac:dyDescent="0.2">
      <c r="A63" s="276">
        <f t="shared" ca="1" si="0"/>
        <v>28</v>
      </c>
      <c r="B63" s="168" t="str">
        <f ca="1">IFERROR(INDEX(INDIRECT(RangeItems),MATCH($A63,INDIRECT(RangeCount),0)),"")</f>
        <v/>
      </c>
      <c r="C63" s="365" t="str">
        <f ca="1">INDEX(Calcs[Description],$A63)</f>
        <v/>
      </c>
      <c r="D63" s="365"/>
      <c r="E63" s="365"/>
      <c r="F63" s="365"/>
      <c r="G63" s="365"/>
      <c r="H63" s="388"/>
      <c r="I63" s="177"/>
      <c r="J63" s="388"/>
      <c r="K63" s="177"/>
      <c r="L63" s="388"/>
      <c r="M63" s="177"/>
      <c r="N63" s="388"/>
      <c r="O63" s="177"/>
      <c r="P63" s="388"/>
      <c r="Q63" s="177"/>
      <c r="R63" s="388"/>
      <c r="S63" s="177"/>
      <c r="T63" s="388"/>
      <c r="U63" s="177"/>
      <c r="V63" s="388"/>
      <c r="W63" s="177"/>
      <c r="X63" s="388"/>
      <c r="Y63" s="177"/>
      <c r="Z63" s="388"/>
      <c r="AA63" s="177"/>
      <c r="AB63" s="388"/>
      <c r="AC63" s="177"/>
      <c r="AD63" s="388"/>
      <c r="AE63" s="177"/>
      <c r="AF63" s="388"/>
      <c r="AG63" s="177"/>
      <c r="AH63" s="388"/>
      <c r="AI63" s="177"/>
      <c r="AJ63" s="388"/>
      <c r="AK63" s="177"/>
      <c r="AL63" s="388"/>
      <c r="AM63" s="177"/>
      <c r="AN63" s="388"/>
      <c r="AO63" s="177"/>
      <c r="AP63" s="388"/>
      <c r="AQ63" s="177"/>
      <c r="AR63" s="209" t="str">
        <f ca="1">IF(LEN(B63)&gt;0,ISNUMBER(MATCH(B63,Proposed[Item],0)),"")</f>
        <v/>
      </c>
    </row>
    <row r="64" spans="1:44" ht="15" x14ac:dyDescent="0.2">
      <c r="A64" s="276">
        <f t="shared" ca="1" si="0"/>
        <v>28</v>
      </c>
      <c r="B64" s="111" t="str">
        <f ca="1">IF($A64&lt;=NumPayItems,"Line "&amp;INDEX(Calcs[Line],$A64),"")</f>
        <v/>
      </c>
      <c r="C64" s="169" t="str">
        <f ca="1">IFERROR(IF($D64="LPSM","ALL",TEXT(INDEX(INDIRECT(RangeQuantity),MATCH($A64,INDIRECT(RangeCount),0)),"#,##0"&amp;IF(OFFSET(Items[],MATCH($A64,INDIRECT(RangeCount),0)-1,MATCH(Decimals,Items[#Headers],0)-1,1,1)&gt;0,"."&amp;REPT("0",OFFSET(Items[],MATCH($A64,INDIRECT(RangeCount),0)-1,MATCH(Decimals,Items[#Headers],0)-1,1,1)),""))),"")</f>
        <v/>
      </c>
      <c r="D64" s="170" t="str">
        <f ca="1">IFERROR(INDEX(INDIRECT(RangeUnit),MATCH($A64,INDIRECT(RangeCount),0)),"")</f>
        <v/>
      </c>
      <c r="E64" s="170" t="str">
        <f ca="1">IFERROR(IF(INDEX(INDIRECT(RangeContrQty),MATCH($A64,INDIRECT(RangeCount),0)),"(CQ)",""),"")</f>
        <v/>
      </c>
      <c r="F64" s="171" t="str">
        <f ca="1">IFERROR(INDEX(INDIRECT(RangeUnitPrice),MATCH($A64,INDIRECT(RangeCount),0)),"")</f>
        <v/>
      </c>
      <c r="G64" s="171" t="str">
        <f ca="1">IFERROR(VALUE(C64)*F64,F64)</f>
        <v/>
      </c>
      <c r="H64" s="388"/>
      <c r="I64" s="178" t="str">
        <f ca="1">IF($C64="","",IF($D64="LPSM",H63,VALUE($C64)*H63))</f>
        <v/>
      </c>
      <c r="J64" s="388"/>
      <c r="K64" s="178" t="str">
        <f ca="1">IF($C64="","",IF($D64="LPSM",J63,VALUE($C64)*J63))</f>
        <v/>
      </c>
      <c r="L64" s="388"/>
      <c r="M64" s="178" t="str">
        <f ca="1">IF($C64="","",IF($D64="LPSM",L63,VALUE($C64)*L63))</f>
        <v/>
      </c>
      <c r="N64" s="388"/>
      <c r="O64" s="178" t="str">
        <f ca="1">IF($C64="","",IF($D64="LPSM",N63,VALUE($C64)*N63))</f>
        <v/>
      </c>
      <c r="P64" s="388"/>
      <c r="Q64" s="178" t="str">
        <f ca="1">IF($C64="","",IF($D64="LPSM",P63,VALUE($C64)*P63))</f>
        <v/>
      </c>
      <c r="R64" s="388"/>
      <c r="S64" s="178" t="str">
        <f ca="1">IF($C64="","",IF($D64="LPSM",R63,VALUE($C64)*R63))</f>
        <v/>
      </c>
      <c r="T64" s="388"/>
      <c r="U64" s="178" t="str">
        <f ca="1">IF($C64="","",IF($D64="LPSM",T63,VALUE($C64)*T63))</f>
        <v/>
      </c>
      <c r="V64" s="388"/>
      <c r="W64" s="178" t="str">
        <f ca="1">IF($C64="","",IF($D64="LPSM",V63,VALUE($C64)*V63))</f>
        <v/>
      </c>
      <c r="X64" s="388"/>
      <c r="Y64" s="178" t="str">
        <f ca="1">IF($C64="","",IF($D64="LPSM",X63,VALUE($C64)*X63))</f>
        <v/>
      </c>
      <c r="Z64" s="388"/>
      <c r="AA64" s="178" t="str">
        <f ca="1">IF($C64="","",IF($D64="LPSM",Z63,VALUE($C64)*Z63))</f>
        <v/>
      </c>
      <c r="AB64" s="388"/>
      <c r="AC64" s="178" t="str">
        <f ca="1">IF($C64="","",IF($D64="LPSM",AB63,VALUE($C64)*AB63))</f>
        <v/>
      </c>
      <c r="AD64" s="388"/>
      <c r="AE64" s="178" t="str">
        <f ca="1">IF($C64="","",IF($D64="LPSM",AD63,VALUE($C64)*AD63))</f>
        <v/>
      </c>
      <c r="AF64" s="388"/>
      <c r="AG64" s="178" t="str">
        <f ca="1">IF($C64="","",IF($D64="LPSM",AF63,VALUE($C64)*AF63))</f>
        <v/>
      </c>
      <c r="AH64" s="388"/>
      <c r="AI64" s="178" t="str">
        <f ca="1">IF($C64="","",IF($D64="LPSM",AH63,VALUE($C64)*AH63))</f>
        <v/>
      </c>
      <c r="AJ64" s="388"/>
      <c r="AK64" s="178" t="str">
        <f ca="1">IF($C64="","",IF($D64="LPSM",AJ63,VALUE($C64)*AJ63))</f>
        <v/>
      </c>
      <c r="AL64" s="388"/>
      <c r="AM64" s="178" t="str">
        <f ca="1">IF($C64="","",IF($D64="LPSM",AL63,VALUE($C64)*AL63))</f>
        <v/>
      </c>
      <c r="AN64" s="388"/>
      <c r="AO64" s="178" t="str">
        <f ca="1">IF($C64="","",IF($D64="LPSM",AN63,VALUE($C64)*AN63))</f>
        <v/>
      </c>
      <c r="AP64" s="388"/>
      <c r="AQ64" s="178" t="str">
        <f ca="1">IF($C64="","",IF($D64="LPSM",AP63,VALUE($C64)*AP63))</f>
        <v/>
      </c>
      <c r="AR64" s="209" t="str">
        <f ca="1">IF(LEN(B64)&gt;0,ISNUMBER(MATCH(B64,Proposed[Item],0)),"")</f>
        <v/>
      </c>
    </row>
    <row r="65" spans="1:44" ht="15" x14ac:dyDescent="0.2">
      <c r="A65" s="276">
        <f t="shared" ca="1" si="0"/>
        <v>29</v>
      </c>
      <c r="B65" s="168" t="str">
        <f ca="1">IFERROR(INDEX(INDIRECT(RangeItems),MATCH($A65,INDIRECT(RangeCount),0)),"")</f>
        <v/>
      </c>
      <c r="C65" s="365" t="str">
        <f ca="1">INDEX(Calcs[Description],$A65)</f>
        <v/>
      </c>
      <c r="D65" s="365"/>
      <c r="E65" s="365"/>
      <c r="F65" s="365"/>
      <c r="G65" s="365"/>
      <c r="H65" s="388"/>
      <c r="I65" s="177"/>
      <c r="J65" s="388"/>
      <c r="K65" s="177"/>
      <c r="L65" s="388"/>
      <c r="M65" s="177"/>
      <c r="N65" s="388"/>
      <c r="O65" s="177"/>
      <c r="P65" s="388"/>
      <c r="Q65" s="177"/>
      <c r="R65" s="388"/>
      <c r="S65" s="177"/>
      <c r="T65" s="388"/>
      <c r="U65" s="177"/>
      <c r="V65" s="388"/>
      <c r="W65" s="177"/>
      <c r="X65" s="388"/>
      <c r="Y65" s="177"/>
      <c r="Z65" s="388"/>
      <c r="AA65" s="177"/>
      <c r="AB65" s="388"/>
      <c r="AC65" s="177"/>
      <c r="AD65" s="388"/>
      <c r="AE65" s="177"/>
      <c r="AF65" s="388"/>
      <c r="AG65" s="177"/>
      <c r="AH65" s="388"/>
      <c r="AI65" s="177"/>
      <c r="AJ65" s="388"/>
      <c r="AK65" s="177"/>
      <c r="AL65" s="388"/>
      <c r="AM65" s="177"/>
      <c r="AN65" s="388"/>
      <c r="AO65" s="177"/>
      <c r="AP65" s="388"/>
      <c r="AQ65" s="177"/>
      <c r="AR65" s="209" t="str">
        <f ca="1">IF(LEN(B65)&gt;0,ISNUMBER(MATCH(B65,Proposed[Item],0)),"")</f>
        <v/>
      </c>
    </row>
    <row r="66" spans="1:44" ht="15" x14ac:dyDescent="0.2">
      <c r="A66" s="276">
        <f t="shared" ca="1" si="0"/>
        <v>29</v>
      </c>
      <c r="B66" s="111" t="str">
        <f ca="1">IF($A66&lt;=NumPayItems,"Line "&amp;INDEX(Calcs[Line],$A66),"")</f>
        <v/>
      </c>
      <c r="C66" s="169" t="str">
        <f ca="1">IFERROR(IF($D66="LPSM","ALL",TEXT(INDEX(INDIRECT(RangeQuantity),MATCH($A66,INDIRECT(RangeCount),0)),"#,##0"&amp;IF(OFFSET(Items[],MATCH($A66,INDIRECT(RangeCount),0)-1,MATCH(Decimals,Items[#Headers],0)-1,1,1)&gt;0,"."&amp;REPT("0",OFFSET(Items[],MATCH($A66,INDIRECT(RangeCount),0)-1,MATCH(Decimals,Items[#Headers],0)-1,1,1)),""))),"")</f>
        <v/>
      </c>
      <c r="D66" s="170" t="str">
        <f ca="1">IFERROR(INDEX(INDIRECT(RangeUnit),MATCH($A66,INDIRECT(RangeCount),0)),"")</f>
        <v/>
      </c>
      <c r="E66" s="170" t="str">
        <f ca="1">IFERROR(IF(INDEX(INDIRECT(RangeContrQty),MATCH($A66,INDIRECT(RangeCount),0)),"(CQ)",""),"")</f>
        <v/>
      </c>
      <c r="F66" s="171" t="str">
        <f ca="1">IFERROR(INDEX(INDIRECT(RangeUnitPrice),MATCH($A66,INDIRECT(RangeCount),0)),"")</f>
        <v/>
      </c>
      <c r="G66" s="171" t="str">
        <f ca="1">IFERROR(VALUE(C66)*F66,F66)</f>
        <v/>
      </c>
      <c r="H66" s="388"/>
      <c r="I66" s="178" t="str">
        <f ca="1">IF($C66="","",IF($D66="LPSM",H65,VALUE($C66)*H65))</f>
        <v/>
      </c>
      <c r="J66" s="388"/>
      <c r="K66" s="178" t="str">
        <f ca="1">IF($C66="","",IF($D66="LPSM",J65,VALUE($C66)*J65))</f>
        <v/>
      </c>
      <c r="L66" s="388"/>
      <c r="M66" s="178" t="str">
        <f ca="1">IF($C66="","",IF($D66="LPSM",L65,VALUE($C66)*L65))</f>
        <v/>
      </c>
      <c r="N66" s="388"/>
      <c r="O66" s="178" t="str">
        <f ca="1">IF($C66="","",IF($D66="LPSM",N65,VALUE($C66)*N65))</f>
        <v/>
      </c>
      <c r="P66" s="388"/>
      <c r="Q66" s="178" t="str">
        <f ca="1">IF($C66="","",IF($D66="LPSM",P65,VALUE($C66)*P65))</f>
        <v/>
      </c>
      <c r="R66" s="388"/>
      <c r="S66" s="178" t="str">
        <f ca="1">IF($C66="","",IF($D66="LPSM",R65,VALUE($C66)*R65))</f>
        <v/>
      </c>
      <c r="T66" s="388"/>
      <c r="U66" s="178" t="str">
        <f ca="1">IF($C66="","",IF($D66="LPSM",T65,VALUE($C66)*T65))</f>
        <v/>
      </c>
      <c r="V66" s="388"/>
      <c r="W66" s="178" t="str">
        <f ca="1">IF($C66="","",IF($D66="LPSM",V65,VALUE($C66)*V65))</f>
        <v/>
      </c>
      <c r="X66" s="388"/>
      <c r="Y66" s="178" t="str">
        <f ca="1">IF($C66="","",IF($D66="LPSM",X65,VALUE($C66)*X65))</f>
        <v/>
      </c>
      <c r="Z66" s="388"/>
      <c r="AA66" s="178" t="str">
        <f ca="1">IF($C66="","",IF($D66="LPSM",Z65,VALUE($C66)*Z65))</f>
        <v/>
      </c>
      <c r="AB66" s="388"/>
      <c r="AC66" s="178" t="str">
        <f ca="1">IF($C66="","",IF($D66="LPSM",AB65,VALUE($C66)*AB65))</f>
        <v/>
      </c>
      <c r="AD66" s="388"/>
      <c r="AE66" s="178" t="str">
        <f ca="1">IF($C66="","",IF($D66="LPSM",AD65,VALUE($C66)*AD65))</f>
        <v/>
      </c>
      <c r="AF66" s="388"/>
      <c r="AG66" s="178" t="str">
        <f ca="1">IF($C66="","",IF($D66="LPSM",AF65,VALUE($C66)*AF65))</f>
        <v/>
      </c>
      <c r="AH66" s="388"/>
      <c r="AI66" s="178" t="str">
        <f ca="1">IF($C66="","",IF($D66="LPSM",AH65,VALUE($C66)*AH65))</f>
        <v/>
      </c>
      <c r="AJ66" s="388"/>
      <c r="AK66" s="178" t="str">
        <f ca="1">IF($C66="","",IF($D66="LPSM",AJ65,VALUE($C66)*AJ65))</f>
        <v/>
      </c>
      <c r="AL66" s="388"/>
      <c r="AM66" s="178" t="str">
        <f ca="1">IF($C66="","",IF($D66="LPSM",AL65,VALUE($C66)*AL65))</f>
        <v/>
      </c>
      <c r="AN66" s="388"/>
      <c r="AO66" s="178" t="str">
        <f ca="1">IF($C66="","",IF($D66="LPSM",AN65,VALUE($C66)*AN65))</f>
        <v/>
      </c>
      <c r="AP66" s="388"/>
      <c r="AQ66" s="178" t="str">
        <f ca="1">IF($C66="","",IF($D66="LPSM",AP65,VALUE($C66)*AP65))</f>
        <v/>
      </c>
      <c r="AR66" s="209" t="str">
        <f ca="1">IF(LEN(B66)&gt;0,ISNUMBER(MATCH(B66,Proposed[Item],0)),"")</f>
        <v/>
      </c>
    </row>
    <row r="67" spans="1:44" ht="15" x14ac:dyDescent="0.2">
      <c r="A67" s="276">
        <f t="shared" ca="1" si="0"/>
        <v>30</v>
      </c>
      <c r="B67" s="168" t="str">
        <f ca="1">IFERROR(INDEX(INDIRECT(RangeItems),MATCH($A67,INDIRECT(RangeCount),0)),"")</f>
        <v/>
      </c>
      <c r="C67" s="365" t="str">
        <f ca="1">INDEX(Calcs[Description],$A67)</f>
        <v/>
      </c>
      <c r="D67" s="365"/>
      <c r="E67" s="365"/>
      <c r="F67" s="365"/>
      <c r="G67" s="365"/>
      <c r="H67" s="388"/>
      <c r="I67" s="177"/>
      <c r="J67" s="388"/>
      <c r="K67" s="177"/>
      <c r="L67" s="388"/>
      <c r="M67" s="177"/>
      <c r="N67" s="388"/>
      <c r="O67" s="177"/>
      <c r="P67" s="388"/>
      <c r="Q67" s="177"/>
      <c r="R67" s="388"/>
      <c r="S67" s="177"/>
      <c r="T67" s="388"/>
      <c r="U67" s="177"/>
      <c r="V67" s="388"/>
      <c r="W67" s="177"/>
      <c r="X67" s="388"/>
      <c r="Y67" s="177"/>
      <c r="Z67" s="388"/>
      <c r="AA67" s="177"/>
      <c r="AB67" s="388"/>
      <c r="AC67" s="177"/>
      <c r="AD67" s="388"/>
      <c r="AE67" s="177"/>
      <c r="AF67" s="388"/>
      <c r="AG67" s="177"/>
      <c r="AH67" s="388"/>
      <c r="AI67" s="177"/>
      <c r="AJ67" s="388"/>
      <c r="AK67" s="177"/>
      <c r="AL67" s="388"/>
      <c r="AM67" s="177"/>
      <c r="AN67" s="388"/>
      <c r="AO67" s="177"/>
      <c r="AP67" s="388"/>
      <c r="AQ67" s="177"/>
      <c r="AR67" s="209" t="str">
        <f ca="1">IF(LEN(B67)&gt;0,ISNUMBER(MATCH(B67,Proposed[Item],0)),"")</f>
        <v/>
      </c>
    </row>
    <row r="68" spans="1:44" ht="15" x14ac:dyDescent="0.2">
      <c r="A68" s="276">
        <f t="shared" ca="1" si="0"/>
        <v>30</v>
      </c>
      <c r="B68" s="111" t="str">
        <f ca="1">IF($A68&lt;=NumPayItems,"Line "&amp;INDEX(Calcs[Line],$A68),"")</f>
        <v/>
      </c>
      <c r="C68" s="169" t="str">
        <f ca="1">IFERROR(IF($D68="LPSM","ALL",TEXT(INDEX(INDIRECT(RangeQuantity),MATCH($A68,INDIRECT(RangeCount),0)),"#,##0"&amp;IF(OFFSET(Items[],MATCH($A68,INDIRECT(RangeCount),0)-1,MATCH(Decimals,Items[#Headers],0)-1,1,1)&gt;0,"."&amp;REPT("0",OFFSET(Items[],MATCH($A68,INDIRECT(RangeCount),0)-1,MATCH(Decimals,Items[#Headers],0)-1,1,1)),""))),"")</f>
        <v/>
      </c>
      <c r="D68" s="170" t="str">
        <f ca="1">IFERROR(INDEX(INDIRECT(RangeUnit),MATCH($A68,INDIRECT(RangeCount),0)),"")</f>
        <v/>
      </c>
      <c r="E68" s="170" t="str">
        <f ca="1">IFERROR(IF(INDEX(INDIRECT(RangeContrQty),MATCH($A68,INDIRECT(RangeCount),0)),"(CQ)",""),"")</f>
        <v/>
      </c>
      <c r="F68" s="171" t="str">
        <f ca="1">IFERROR(INDEX(INDIRECT(RangeUnitPrice),MATCH($A68,INDIRECT(RangeCount),0)),"")</f>
        <v/>
      </c>
      <c r="G68" s="171" t="str">
        <f ca="1">IFERROR(VALUE(C68)*F68,F68)</f>
        <v/>
      </c>
      <c r="H68" s="388"/>
      <c r="I68" s="178" t="str">
        <f ca="1">IF($C68="","",IF($D68="LPSM",H67,VALUE($C68)*H67))</f>
        <v/>
      </c>
      <c r="J68" s="388"/>
      <c r="K68" s="178" t="str">
        <f ca="1">IF($C68="","",IF($D68="LPSM",J67,VALUE($C68)*J67))</f>
        <v/>
      </c>
      <c r="L68" s="388"/>
      <c r="M68" s="178" t="str">
        <f ca="1">IF($C68="","",IF($D68="LPSM",L67,VALUE($C68)*L67))</f>
        <v/>
      </c>
      <c r="N68" s="388"/>
      <c r="O68" s="178" t="str">
        <f ca="1">IF($C68="","",IF($D68="LPSM",N67,VALUE($C68)*N67))</f>
        <v/>
      </c>
      <c r="P68" s="388"/>
      <c r="Q68" s="178" t="str">
        <f ca="1">IF($C68="","",IF($D68="LPSM",P67,VALUE($C68)*P67))</f>
        <v/>
      </c>
      <c r="R68" s="388"/>
      <c r="S68" s="178" t="str">
        <f ca="1">IF($C68="","",IF($D68="LPSM",R67,VALUE($C68)*R67))</f>
        <v/>
      </c>
      <c r="T68" s="388"/>
      <c r="U68" s="178" t="str">
        <f ca="1">IF($C68="","",IF($D68="LPSM",T67,VALUE($C68)*T67))</f>
        <v/>
      </c>
      <c r="V68" s="388"/>
      <c r="W68" s="178" t="str">
        <f ca="1">IF($C68="","",IF($D68="LPSM",V67,VALUE($C68)*V67))</f>
        <v/>
      </c>
      <c r="X68" s="388"/>
      <c r="Y68" s="178" t="str">
        <f ca="1">IF($C68="","",IF($D68="LPSM",X67,VALUE($C68)*X67))</f>
        <v/>
      </c>
      <c r="Z68" s="388"/>
      <c r="AA68" s="178" t="str">
        <f ca="1">IF($C68="","",IF($D68="LPSM",Z67,VALUE($C68)*Z67))</f>
        <v/>
      </c>
      <c r="AB68" s="388"/>
      <c r="AC68" s="178" t="str">
        <f ca="1">IF($C68="","",IF($D68="LPSM",AB67,VALUE($C68)*AB67))</f>
        <v/>
      </c>
      <c r="AD68" s="388"/>
      <c r="AE68" s="178" t="str">
        <f ca="1">IF($C68="","",IF($D68="LPSM",AD67,VALUE($C68)*AD67))</f>
        <v/>
      </c>
      <c r="AF68" s="388"/>
      <c r="AG68" s="178" t="str">
        <f ca="1">IF($C68="","",IF($D68="LPSM",AF67,VALUE($C68)*AF67))</f>
        <v/>
      </c>
      <c r="AH68" s="388"/>
      <c r="AI68" s="178" t="str">
        <f ca="1">IF($C68="","",IF($D68="LPSM",AH67,VALUE($C68)*AH67))</f>
        <v/>
      </c>
      <c r="AJ68" s="388"/>
      <c r="AK68" s="178" t="str">
        <f ca="1">IF($C68="","",IF($D68="LPSM",AJ67,VALUE($C68)*AJ67))</f>
        <v/>
      </c>
      <c r="AL68" s="388"/>
      <c r="AM68" s="178" t="str">
        <f ca="1">IF($C68="","",IF($D68="LPSM",AL67,VALUE($C68)*AL67))</f>
        <v/>
      </c>
      <c r="AN68" s="388"/>
      <c r="AO68" s="178" t="str">
        <f ca="1">IF($C68="","",IF($D68="LPSM",AN67,VALUE($C68)*AN67))</f>
        <v/>
      </c>
      <c r="AP68" s="388"/>
      <c r="AQ68" s="178" t="str">
        <f ca="1">IF($C68="","",IF($D68="LPSM",AP67,VALUE($C68)*AP67))</f>
        <v/>
      </c>
      <c r="AR68" s="209" t="str">
        <f ca="1">IF(LEN(B68)&gt;0,ISNUMBER(MATCH(B68,Proposed[Item],0)),"")</f>
        <v/>
      </c>
    </row>
    <row r="69" spans="1:44" ht="15" x14ac:dyDescent="0.2">
      <c r="A69" s="276">
        <f t="shared" ca="1" si="0"/>
        <v>31</v>
      </c>
      <c r="B69" s="168" t="str">
        <f ca="1">IFERROR(INDEX(INDIRECT(RangeItems),MATCH($A69,INDIRECT(RangeCount),0)),"")</f>
        <v/>
      </c>
      <c r="C69" s="365" t="str">
        <f ca="1">INDEX(Calcs[Description],$A69)</f>
        <v/>
      </c>
      <c r="D69" s="365"/>
      <c r="E69" s="365"/>
      <c r="F69" s="365"/>
      <c r="G69" s="365"/>
      <c r="H69" s="388"/>
      <c r="I69" s="177"/>
      <c r="J69" s="388"/>
      <c r="K69" s="177"/>
      <c r="L69" s="388"/>
      <c r="M69" s="177"/>
      <c r="N69" s="388"/>
      <c r="O69" s="177"/>
      <c r="P69" s="388"/>
      <c r="Q69" s="177"/>
      <c r="R69" s="388"/>
      <c r="S69" s="177"/>
      <c r="T69" s="388"/>
      <c r="U69" s="177"/>
      <c r="V69" s="388"/>
      <c r="W69" s="177"/>
      <c r="X69" s="388"/>
      <c r="Y69" s="177"/>
      <c r="Z69" s="388"/>
      <c r="AA69" s="177"/>
      <c r="AB69" s="388"/>
      <c r="AC69" s="177"/>
      <c r="AD69" s="388"/>
      <c r="AE69" s="177"/>
      <c r="AF69" s="388"/>
      <c r="AG69" s="177"/>
      <c r="AH69" s="388"/>
      <c r="AI69" s="177"/>
      <c r="AJ69" s="388"/>
      <c r="AK69" s="177"/>
      <c r="AL69" s="388"/>
      <c r="AM69" s="177"/>
      <c r="AN69" s="388"/>
      <c r="AO69" s="177"/>
      <c r="AP69" s="388"/>
      <c r="AQ69" s="177"/>
      <c r="AR69" s="209" t="str">
        <f ca="1">IF(LEN(B69)&gt;0,ISNUMBER(MATCH(B69,Proposed[Item],0)),"")</f>
        <v/>
      </c>
    </row>
    <row r="70" spans="1:44" ht="15" x14ac:dyDescent="0.2">
      <c r="A70" s="276">
        <f t="shared" ca="1" si="0"/>
        <v>31</v>
      </c>
      <c r="B70" s="111" t="str">
        <f ca="1">IF($A70&lt;=NumPayItems,"Line "&amp;INDEX(Calcs[Line],$A70),"")</f>
        <v/>
      </c>
      <c r="C70" s="169" t="str">
        <f ca="1">IFERROR(IF($D70="LPSM","ALL",TEXT(INDEX(INDIRECT(RangeQuantity),MATCH($A70,INDIRECT(RangeCount),0)),"#,##0"&amp;IF(OFFSET(Items[],MATCH($A70,INDIRECT(RangeCount),0)-1,MATCH(Decimals,Items[#Headers],0)-1,1,1)&gt;0,"."&amp;REPT("0",OFFSET(Items[],MATCH($A70,INDIRECT(RangeCount),0)-1,MATCH(Decimals,Items[#Headers],0)-1,1,1)),""))),"")</f>
        <v/>
      </c>
      <c r="D70" s="170" t="str">
        <f ca="1">IFERROR(INDEX(INDIRECT(RangeUnit),MATCH($A70,INDIRECT(RangeCount),0)),"")</f>
        <v/>
      </c>
      <c r="E70" s="170" t="str">
        <f ca="1">IFERROR(IF(INDEX(INDIRECT(RangeContrQty),MATCH($A70,INDIRECT(RangeCount),0)),"(CQ)",""),"")</f>
        <v/>
      </c>
      <c r="F70" s="171" t="str">
        <f ca="1">IFERROR(INDEX(INDIRECT(RangeUnitPrice),MATCH($A70,INDIRECT(RangeCount),0)),"")</f>
        <v/>
      </c>
      <c r="G70" s="171" t="str">
        <f ca="1">IFERROR(VALUE(C70)*F70,F70)</f>
        <v/>
      </c>
      <c r="H70" s="388"/>
      <c r="I70" s="178" t="str">
        <f ca="1">IF($C70="","",IF($D70="LPSM",H69,VALUE($C70)*H69))</f>
        <v/>
      </c>
      <c r="J70" s="388"/>
      <c r="K70" s="178" t="str">
        <f ca="1">IF($C70="","",IF($D70="LPSM",J69,VALUE($C70)*J69))</f>
        <v/>
      </c>
      <c r="L70" s="388"/>
      <c r="M70" s="178" t="str">
        <f ca="1">IF($C70="","",IF($D70="LPSM",L69,VALUE($C70)*L69))</f>
        <v/>
      </c>
      <c r="N70" s="388"/>
      <c r="O70" s="178" t="str">
        <f ca="1">IF($C70="","",IF($D70="LPSM",N69,VALUE($C70)*N69))</f>
        <v/>
      </c>
      <c r="P70" s="388"/>
      <c r="Q70" s="178" t="str">
        <f ca="1">IF($C70="","",IF($D70="LPSM",P69,VALUE($C70)*P69))</f>
        <v/>
      </c>
      <c r="R70" s="388"/>
      <c r="S70" s="178" t="str">
        <f ca="1">IF($C70="","",IF($D70="LPSM",R69,VALUE($C70)*R69))</f>
        <v/>
      </c>
      <c r="T70" s="388"/>
      <c r="U70" s="178" t="str">
        <f ca="1">IF($C70="","",IF($D70="LPSM",T69,VALUE($C70)*T69))</f>
        <v/>
      </c>
      <c r="V70" s="388"/>
      <c r="W70" s="178" t="str">
        <f ca="1">IF($C70="","",IF($D70="LPSM",V69,VALUE($C70)*V69))</f>
        <v/>
      </c>
      <c r="X70" s="388"/>
      <c r="Y70" s="178" t="str">
        <f ca="1">IF($C70="","",IF($D70="LPSM",X69,VALUE($C70)*X69))</f>
        <v/>
      </c>
      <c r="Z70" s="388"/>
      <c r="AA70" s="178" t="str">
        <f ca="1">IF($C70="","",IF($D70="LPSM",Z69,VALUE($C70)*Z69))</f>
        <v/>
      </c>
      <c r="AB70" s="388"/>
      <c r="AC70" s="178" t="str">
        <f ca="1">IF($C70="","",IF($D70="LPSM",AB69,VALUE($C70)*AB69))</f>
        <v/>
      </c>
      <c r="AD70" s="388"/>
      <c r="AE70" s="178" t="str">
        <f ca="1">IF($C70="","",IF($D70="LPSM",AD69,VALUE($C70)*AD69))</f>
        <v/>
      </c>
      <c r="AF70" s="388"/>
      <c r="AG70" s="178" t="str">
        <f ca="1">IF($C70="","",IF($D70="LPSM",AF69,VALUE($C70)*AF69))</f>
        <v/>
      </c>
      <c r="AH70" s="388"/>
      <c r="AI70" s="178" t="str">
        <f ca="1">IF($C70="","",IF($D70="LPSM",AH69,VALUE($C70)*AH69))</f>
        <v/>
      </c>
      <c r="AJ70" s="388"/>
      <c r="AK70" s="178" t="str">
        <f ca="1">IF($C70="","",IF($D70="LPSM",AJ69,VALUE($C70)*AJ69))</f>
        <v/>
      </c>
      <c r="AL70" s="388"/>
      <c r="AM70" s="178" t="str">
        <f ca="1">IF($C70="","",IF($D70="LPSM",AL69,VALUE($C70)*AL69))</f>
        <v/>
      </c>
      <c r="AN70" s="388"/>
      <c r="AO70" s="178" t="str">
        <f ca="1">IF($C70="","",IF($D70="LPSM",AN69,VALUE($C70)*AN69))</f>
        <v/>
      </c>
      <c r="AP70" s="388"/>
      <c r="AQ70" s="178" t="str">
        <f ca="1">IF($C70="","",IF($D70="LPSM",AP69,VALUE($C70)*AP69))</f>
        <v/>
      </c>
      <c r="AR70" s="209" t="str">
        <f ca="1">IF(LEN(B70)&gt;0,ISNUMBER(MATCH(B70,Proposed[Item],0)),"")</f>
        <v/>
      </c>
    </row>
    <row r="71" spans="1:44" ht="15" x14ac:dyDescent="0.2">
      <c r="A71" s="276">
        <f t="shared" ca="1" si="0"/>
        <v>32</v>
      </c>
      <c r="B71" s="168" t="str">
        <f ca="1">IFERROR(INDEX(INDIRECT(RangeItems),MATCH($A71,INDIRECT(RangeCount),0)),"")</f>
        <v/>
      </c>
      <c r="C71" s="365" t="str">
        <f ca="1">INDEX(Calcs[Description],$A71)</f>
        <v/>
      </c>
      <c r="D71" s="365"/>
      <c r="E71" s="365"/>
      <c r="F71" s="365"/>
      <c r="G71" s="365"/>
      <c r="H71" s="388"/>
      <c r="I71" s="177"/>
      <c r="J71" s="388"/>
      <c r="K71" s="177"/>
      <c r="L71" s="388"/>
      <c r="M71" s="177"/>
      <c r="N71" s="388"/>
      <c r="O71" s="177"/>
      <c r="P71" s="388"/>
      <c r="Q71" s="177"/>
      <c r="R71" s="388"/>
      <c r="S71" s="177"/>
      <c r="T71" s="388"/>
      <c r="U71" s="177"/>
      <c r="V71" s="388"/>
      <c r="W71" s="177"/>
      <c r="X71" s="388"/>
      <c r="Y71" s="177"/>
      <c r="Z71" s="388"/>
      <c r="AA71" s="177"/>
      <c r="AB71" s="388"/>
      <c r="AC71" s="177"/>
      <c r="AD71" s="388"/>
      <c r="AE71" s="177"/>
      <c r="AF71" s="388"/>
      <c r="AG71" s="177"/>
      <c r="AH71" s="388"/>
      <c r="AI71" s="177"/>
      <c r="AJ71" s="388"/>
      <c r="AK71" s="177"/>
      <c r="AL71" s="388"/>
      <c r="AM71" s="177"/>
      <c r="AN71" s="388"/>
      <c r="AO71" s="177"/>
      <c r="AP71" s="388"/>
      <c r="AQ71" s="177"/>
      <c r="AR71" s="209" t="str">
        <f ca="1">IF(LEN(B71)&gt;0,ISNUMBER(MATCH(B71,Proposed[Item],0)),"")</f>
        <v/>
      </c>
    </row>
    <row r="72" spans="1:44" ht="15" x14ac:dyDescent="0.2">
      <c r="A72" s="276">
        <f t="shared" ca="1" si="0"/>
        <v>32</v>
      </c>
      <c r="B72" s="111" t="str">
        <f ca="1">IF($A72&lt;=NumPayItems,"Line "&amp;INDEX(Calcs[Line],$A72),"")</f>
        <v/>
      </c>
      <c r="C72" s="169" t="str">
        <f ca="1">IFERROR(IF($D72="LPSM","ALL",TEXT(INDEX(INDIRECT(RangeQuantity),MATCH($A72,INDIRECT(RangeCount),0)),"#,##0"&amp;IF(OFFSET(Items[],MATCH($A72,INDIRECT(RangeCount),0)-1,MATCH(Decimals,Items[#Headers],0)-1,1,1)&gt;0,"."&amp;REPT("0",OFFSET(Items[],MATCH($A72,INDIRECT(RangeCount),0)-1,MATCH(Decimals,Items[#Headers],0)-1,1,1)),""))),"")</f>
        <v/>
      </c>
      <c r="D72" s="170" t="str">
        <f ca="1">IFERROR(INDEX(INDIRECT(RangeUnit),MATCH($A72,INDIRECT(RangeCount),0)),"")</f>
        <v/>
      </c>
      <c r="E72" s="170" t="str">
        <f ca="1">IFERROR(IF(INDEX(INDIRECT(RangeContrQty),MATCH($A72,INDIRECT(RangeCount),0)),"(CQ)",""),"")</f>
        <v/>
      </c>
      <c r="F72" s="171" t="str">
        <f ca="1">IFERROR(INDEX(INDIRECT(RangeUnitPrice),MATCH($A72,INDIRECT(RangeCount),0)),"")</f>
        <v/>
      </c>
      <c r="G72" s="171" t="str">
        <f ca="1">IFERROR(VALUE(C72)*F72,F72)</f>
        <v/>
      </c>
      <c r="H72" s="388"/>
      <c r="I72" s="178" t="str">
        <f ca="1">IF($C72="","",IF($D72="LPSM",H71,VALUE($C72)*H71))</f>
        <v/>
      </c>
      <c r="J72" s="388"/>
      <c r="K72" s="178" t="str">
        <f ca="1">IF($C72="","",IF($D72="LPSM",J71,VALUE($C72)*J71))</f>
        <v/>
      </c>
      <c r="L72" s="388"/>
      <c r="M72" s="178" t="str">
        <f ca="1">IF($C72="","",IF($D72="LPSM",L71,VALUE($C72)*L71))</f>
        <v/>
      </c>
      <c r="N72" s="388"/>
      <c r="O72" s="178" t="str">
        <f ca="1">IF($C72="","",IF($D72="LPSM",N71,VALUE($C72)*N71))</f>
        <v/>
      </c>
      <c r="P72" s="388"/>
      <c r="Q72" s="178" t="str">
        <f ca="1">IF($C72="","",IF($D72="LPSM",P71,VALUE($C72)*P71))</f>
        <v/>
      </c>
      <c r="R72" s="388"/>
      <c r="S72" s="178" t="str">
        <f ca="1">IF($C72="","",IF($D72="LPSM",R71,VALUE($C72)*R71))</f>
        <v/>
      </c>
      <c r="T72" s="388"/>
      <c r="U72" s="178" t="str">
        <f ca="1">IF($C72="","",IF($D72="LPSM",T71,VALUE($C72)*T71))</f>
        <v/>
      </c>
      <c r="V72" s="388"/>
      <c r="W72" s="178" t="str">
        <f ca="1">IF($C72="","",IF($D72="LPSM",V71,VALUE($C72)*V71))</f>
        <v/>
      </c>
      <c r="X72" s="388"/>
      <c r="Y72" s="178" t="str">
        <f ca="1">IF($C72="","",IF($D72="LPSM",X71,VALUE($C72)*X71))</f>
        <v/>
      </c>
      <c r="Z72" s="388"/>
      <c r="AA72" s="178" t="str">
        <f ca="1">IF($C72="","",IF($D72="LPSM",Z71,VALUE($C72)*Z71))</f>
        <v/>
      </c>
      <c r="AB72" s="388"/>
      <c r="AC72" s="178" t="str">
        <f ca="1">IF($C72="","",IF($D72="LPSM",AB71,VALUE($C72)*AB71))</f>
        <v/>
      </c>
      <c r="AD72" s="388"/>
      <c r="AE72" s="178" t="str">
        <f ca="1">IF($C72="","",IF($D72="LPSM",AD71,VALUE($C72)*AD71))</f>
        <v/>
      </c>
      <c r="AF72" s="388"/>
      <c r="AG72" s="178" t="str">
        <f ca="1">IF($C72="","",IF($D72="LPSM",AF71,VALUE($C72)*AF71))</f>
        <v/>
      </c>
      <c r="AH72" s="388"/>
      <c r="AI72" s="178" t="str">
        <f ca="1">IF($C72="","",IF($D72="LPSM",AH71,VALUE($C72)*AH71))</f>
        <v/>
      </c>
      <c r="AJ72" s="388"/>
      <c r="AK72" s="178" t="str">
        <f ca="1">IF($C72="","",IF($D72="LPSM",AJ71,VALUE($C72)*AJ71))</f>
        <v/>
      </c>
      <c r="AL72" s="388"/>
      <c r="AM72" s="178" t="str">
        <f ca="1">IF($C72="","",IF($D72="LPSM",AL71,VALUE($C72)*AL71))</f>
        <v/>
      </c>
      <c r="AN72" s="388"/>
      <c r="AO72" s="178" t="str">
        <f ca="1">IF($C72="","",IF($D72="LPSM",AN71,VALUE($C72)*AN71))</f>
        <v/>
      </c>
      <c r="AP72" s="388"/>
      <c r="AQ72" s="178" t="str">
        <f ca="1">IF($C72="","",IF($D72="LPSM",AP71,VALUE($C72)*AP71))</f>
        <v/>
      </c>
      <c r="AR72" s="209" t="str">
        <f ca="1">IF(LEN(B72)&gt;0,ISNUMBER(MATCH(B72,Proposed[Item],0)),"")</f>
        <v/>
      </c>
    </row>
    <row r="73" spans="1:44" ht="15" x14ac:dyDescent="0.2">
      <c r="A73" s="276">
        <f t="shared" ref="A73:A136" ca="1" si="1">OFFSET(A73,-2,0)+1</f>
        <v>33</v>
      </c>
      <c r="B73" s="168" t="str">
        <f ca="1">IFERROR(INDEX(INDIRECT(RangeItems),MATCH($A73,INDIRECT(RangeCount),0)),"")</f>
        <v/>
      </c>
      <c r="C73" s="365" t="str">
        <f ca="1">INDEX(Calcs[Description],$A73)</f>
        <v/>
      </c>
      <c r="D73" s="365"/>
      <c r="E73" s="365"/>
      <c r="F73" s="365"/>
      <c r="G73" s="365"/>
      <c r="H73" s="388"/>
      <c r="I73" s="177"/>
      <c r="J73" s="388"/>
      <c r="K73" s="177"/>
      <c r="L73" s="388"/>
      <c r="M73" s="177"/>
      <c r="N73" s="388"/>
      <c r="O73" s="177"/>
      <c r="P73" s="388"/>
      <c r="Q73" s="177"/>
      <c r="R73" s="388"/>
      <c r="S73" s="177"/>
      <c r="T73" s="388"/>
      <c r="U73" s="177"/>
      <c r="V73" s="388"/>
      <c r="W73" s="177"/>
      <c r="X73" s="388"/>
      <c r="Y73" s="177"/>
      <c r="Z73" s="388"/>
      <c r="AA73" s="177"/>
      <c r="AB73" s="388"/>
      <c r="AC73" s="177"/>
      <c r="AD73" s="388"/>
      <c r="AE73" s="177"/>
      <c r="AF73" s="388"/>
      <c r="AG73" s="177"/>
      <c r="AH73" s="388"/>
      <c r="AI73" s="177"/>
      <c r="AJ73" s="388"/>
      <c r="AK73" s="177"/>
      <c r="AL73" s="388"/>
      <c r="AM73" s="177"/>
      <c r="AN73" s="388"/>
      <c r="AO73" s="177"/>
      <c r="AP73" s="388"/>
      <c r="AQ73" s="177"/>
      <c r="AR73" s="209" t="str">
        <f ca="1">IF(LEN(B73)&gt;0,ISNUMBER(MATCH(B73,Proposed[Item],0)),"")</f>
        <v/>
      </c>
    </row>
    <row r="74" spans="1:44" ht="15" x14ac:dyDescent="0.2">
      <c r="A74" s="276">
        <f t="shared" ca="1" si="1"/>
        <v>33</v>
      </c>
      <c r="B74" s="111" t="str">
        <f ca="1">IF($A74&lt;=NumPayItems,"Line "&amp;INDEX(Calcs[Line],$A74),"")</f>
        <v/>
      </c>
      <c r="C74" s="169" t="str">
        <f ca="1">IFERROR(IF($D74="LPSM","ALL",TEXT(INDEX(INDIRECT(RangeQuantity),MATCH($A74,INDIRECT(RangeCount),0)),"#,##0"&amp;IF(OFFSET(Items[],MATCH($A74,INDIRECT(RangeCount),0)-1,MATCH(Decimals,Items[#Headers],0)-1,1,1)&gt;0,"."&amp;REPT("0",OFFSET(Items[],MATCH($A74,INDIRECT(RangeCount),0)-1,MATCH(Decimals,Items[#Headers],0)-1,1,1)),""))),"")</f>
        <v/>
      </c>
      <c r="D74" s="170" t="str">
        <f ca="1">IFERROR(INDEX(INDIRECT(RangeUnit),MATCH($A74,INDIRECT(RangeCount),0)),"")</f>
        <v/>
      </c>
      <c r="E74" s="170" t="str">
        <f ca="1">IFERROR(IF(INDEX(INDIRECT(RangeContrQty),MATCH($A74,INDIRECT(RangeCount),0)),"(CQ)",""),"")</f>
        <v/>
      </c>
      <c r="F74" s="171" t="str">
        <f ca="1">IFERROR(INDEX(INDIRECT(RangeUnitPrice),MATCH($A74,INDIRECT(RangeCount),0)),"")</f>
        <v/>
      </c>
      <c r="G74" s="171" t="str">
        <f ca="1">IFERROR(VALUE(C74)*F74,F74)</f>
        <v/>
      </c>
      <c r="H74" s="388"/>
      <c r="I74" s="178" t="str">
        <f ca="1">IF($C74="","",IF($D74="LPSM",H73,VALUE($C74)*H73))</f>
        <v/>
      </c>
      <c r="J74" s="388"/>
      <c r="K74" s="178" t="str">
        <f ca="1">IF($C74="","",IF($D74="LPSM",J73,VALUE($C74)*J73))</f>
        <v/>
      </c>
      <c r="L74" s="388"/>
      <c r="M74" s="178" t="str">
        <f ca="1">IF($C74="","",IF($D74="LPSM",L73,VALUE($C74)*L73))</f>
        <v/>
      </c>
      <c r="N74" s="388"/>
      <c r="O74" s="178" t="str">
        <f ca="1">IF($C74="","",IF($D74="LPSM",N73,VALUE($C74)*N73))</f>
        <v/>
      </c>
      <c r="P74" s="388"/>
      <c r="Q74" s="178" t="str">
        <f ca="1">IF($C74="","",IF($D74="LPSM",P73,VALUE($C74)*P73))</f>
        <v/>
      </c>
      <c r="R74" s="388"/>
      <c r="S74" s="178" t="str">
        <f ca="1">IF($C74="","",IF($D74="LPSM",R73,VALUE($C74)*R73))</f>
        <v/>
      </c>
      <c r="T74" s="388"/>
      <c r="U74" s="178" t="str">
        <f ca="1">IF($C74="","",IF($D74="LPSM",T73,VALUE($C74)*T73))</f>
        <v/>
      </c>
      <c r="V74" s="388"/>
      <c r="W74" s="178" t="str">
        <f ca="1">IF($C74="","",IF($D74="LPSM",V73,VALUE($C74)*V73))</f>
        <v/>
      </c>
      <c r="X74" s="388"/>
      <c r="Y74" s="178" t="str">
        <f ca="1">IF($C74="","",IF($D74="LPSM",X73,VALUE($C74)*X73))</f>
        <v/>
      </c>
      <c r="Z74" s="388"/>
      <c r="AA74" s="178" t="str">
        <f ca="1">IF($C74="","",IF($D74="LPSM",Z73,VALUE($C74)*Z73))</f>
        <v/>
      </c>
      <c r="AB74" s="388"/>
      <c r="AC74" s="178" t="str">
        <f ca="1">IF($C74="","",IF($D74="LPSM",AB73,VALUE($C74)*AB73))</f>
        <v/>
      </c>
      <c r="AD74" s="388"/>
      <c r="AE74" s="178" t="str">
        <f ca="1">IF($C74="","",IF($D74="LPSM",AD73,VALUE($C74)*AD73))</f>
        <v/>
      </c>
      <c r="AF74" s="388"/>
      <c r="AG74" s="178" t="str">
        <f ca="1">IF($C74="","",IF($D74="LPSM",AF73,VALUE($C74)*AF73))</f>
        <v/>
      </c>
      <c r="AH74" s="388"/>
      <c r="AI74" s="178" t="str">
        <f ca="1">IF($C74="","",IF($D74="LPSM",AH73,VALUE($C74)*AH73))</f>
        <v/>
      </c>
      <c r="AJ74" s="388"/>
      <c r="AK74" s="178" t="str">
        <f ca="1">IF($C74="","",IF($D74="LPSM",AJ73,VALUE($C74)*AJ73))</f>
        <v/>
      </c>
      <c r="AL74" s="388"/>
      <c r="AM74" s="178" t="str">
        <f ca="1">IF($C74="","",IF($D74="LPSM",AL73,VALUE($C74)*AL73))</f>
        <v/>
      </c>
      <c r="AN74" s="388"/>
      <c r="AO74" s="178" t="str">
        <f ca="1">IF($C74="","",IF($D74="LPSM",AN73,VALUE($C74)*AN73))</f>
        <v/>
      </c>
      <c r="AP74" s="388"/>
      <c r="AQ74" s="178" t="str">
        <f ca="1">IF($C74="","",IF($D74="LPSM",AP73,VALUE($C74)*AP73))</f>
        <v/>
      </c>
      <c r="AR74" s="209" t="str">
        <f ca="1">IF(LEN(B74)&gt;0,ISNUMBER(MATCH(B74,Proposed[Item],0)),"")</f>
        <v/>
      </c>
    </row>
    <row r="75" spans="1:44" ht="15" x14ac:dyDescent="0.2">
      <c r="A75" s="276">
        <f t="shared" ca="1" si="1"/>
        <v>34</v>
      </c>
      <c r="B75" s="168" t="str">
        <f ca="1">IFERROR(INDEX(INDIRECT(RangeItems),MATCH($A75,INDIRECT(RangeCount),0)),"")</f>
        <v/>
      </c>
      <c r="C75" s="365" t="str">
        <f ca="1">INDEX(Calcs[Description],$A75)</f>
        <v/>
      </c>
      <c r="D75" s="365"/>
      <c r="E75" s="365"/>
      <c r="F75" s="365"/>
      <c r="G75" s="365"/>
      <c r="H75" s="388"/>
      <c r="I75" s="177"/>
      <c r="J75" s="388"/>
      <c r="K75" s="177"/>
      <c r="L75" s="388"/>
      <c r="M75" s="177"/>
      <c r="N75" s="388"/>
      <c r="O75" s="177"/>
      <c r="P75" s="388"/>
      <c r="Q75" s="177"/>
      <c r="R75" s="388"/>
      <c r="S75" s="177"/>
      <c r="T75" s="388"/>
      <c r="U75" s="177"/>
      <c r="V75" s="388"/>
      <c r="W75" s="177"/>
      <c r="X75" s="388"/>
      <c r="Y75" s="177"/>
      <c r="Z75" s="388"/>
      <c r="AA75" s="177"/>
      <c r="AB75" s="388"/>
      <c r="AC75" s="177"/>
      <c r="AD75" s="388"/>
      <c r="AE75" s="177"/>
      <c r="AF75" s="388"/>
      <c r="AG75" s="177"/>
      <c r="AH75" s="388"/>
      <c r="AI75" s="177"/>
      <c r="AJ75" s="388"/>
      <c r="AK75" s="177"/>
      <c r="AL75" s="388"/>
      <c r="AM75" s="177"/>
      <c r="AN75" s="388"/>
      <c r="AO75" s="177"/>
      <c r="AP75" s="388"/>
      <c r="AQ75" s="177"/>
      <c r="AR75" s="209" t="str">
        <f ca="1">IF(LEN(B75)&gt;0,ISNUMBER(MATCH(B75,Proposed[Item],0)),"")</f>
        <v/>
      </c>
    </row>
    <row r="76" spans="1:44" ht="15" x14ac:dyDescent="0.2">
      <c r="A76" s="276">
        <f t="shared" ca="1" si="1"/>
        <v>34</v>
      </c>
      <c r="B76" s="111" t="str">
        <f ca="1">IF($A76&lt;=NumPayItems,"Line "&amp;INDEX(Calcs[Line],$A76),"")</f>
        <v/>
      </c>
      <c r="C76" s="169" t="str">
        <f ca="1">IFERROR(IF($D76="LPSM","ALL",TEXT(INDEX(INDIRECT(RangeQuantity),MATCH($A76,INDIRECT(RangeCount),0)),"#,##0"&amp;IF(OFFSET(Items[],MATCH($A76,INDIRECT(RangeCount),0)-1,MATCH(Decimals,Items[#Headers],0)-1,1,1)&gt;0,"."&amp;REPT("0",OFFSET(Items[],MATCH($A76,INDIRECT(RangeCount),0)-1,MATCH(Decimals,Items[#Headers],0)-1,1,1)),""))),"")</f>
        <v/>
      </c>
      <c r="D76" s="170" t="str">
        <f ca="1">IFERROR(INDEX(INDIRECT(RangeUnit),MATCH($A76,INDIRECT(RangeCount),0)),"")</f>
        <v/>
      </c>
      <c r="E76" s="170" t="str">
        <f ca="1">IFERROR(IF(INDEX(INDIRECT(RangeContrQty),MATCH($A76,INDIRECT(RangeCount),0)),"(CQ)",""),"")</f>
        <v/>
      </c>
      <c r="F76" s="171" t="str">
        <f ca="1">IFERROR(INDEX(INDIRECT(RangeUnitPrice),MATCH($A76,INDIRECT(RangeCount),0)),"")</f>
        <v/>
      </c>
      <c r="G76" s="171" t="str">
        <f ca="1">IFERROR(VALUE(C76)*F76,F76)</f>
        <v/>
      </c>
      <c r="H76" s="388"/>
      <c r="I76" s="178" t="str">
        <f ca="1">IF($C76="","",IF($D76="LPSM",H75,VALUE($C76)*H75))</f>
        <v/>
      </c>
      <c r="J76" s="388"/>
      <c r="K76" s="178" t="str">
        <f ca="1">IF($C76="","",IF($D76="LPSM",J75,VALUE($C76)*J75))</f>
        <v/>
      </c>
      <c r="L76" s="388"/>
      <c r="M76" s="178" t="str">
        <f ca="1">IF($C76="","",IF($D76="LPSM",L75,VALUE($C76)*L75))</f>
        <v/>
      </c>
      <c r="N76" s="388"/>
      <c r="O76" s="178" t="str">
        <f ca="1">IF($C76="","",IF($D76="LPSM",N75,VALUE($C76)*N75))</f>
        <v/>
      </c>
      <c r="P76" s="388"/>
      <c r="Q76" s="178" t="str">
        <f ca="1">IF($C76="","",IF($D76="LPSM",P75,VALUE($C76)*P75))</f>
        <v/>
      </c>
      <c r="R76" s="388"/>
      <c r="S76" s="178" t="str">
        <f ca="1">IF($C76="","",IF($D76="LPSM",R75,VALUE($C76)*R75))</f>
        <v/>
      </c>
      <c r="T76" s="388"/>
      <c r="U76" s="178" t="str">
        <f ca="1">IF($C76="","",IF($D76="LPSM",T75,VALUE($C76)*T75))</f>
        <v/>
      </c>
      <c r="V76" s="388"/>
      <c r="W76" s="178" t="str">
        <f ca="1">IF($C76="","",IF($D76="LPSM",V75,VALUE($C76)*V75))</f>
        <v/>
      </c>
      <c r="X76" s="388"/>
      <c r="Y76" s="178" t="str">
        <f ca="1">IF($C76="","",IF($D76="LPSM",X75,VALUE($C76)*X75))</f>
        <v/>
      </c>
      <c r="Z76" s="388"/>
      <c r="AA76" s="178" t="str">
        <f ca="1">IF($C76="","",IF($D76="LPSM",Z75,VALUE($C76)*Z75))</f>
        <v/>
      </c>
      <c r="AB76" s="388"/>
      <c r="AC76" s="178" t="str">
        <f ca="1">IF($C76="","",IF($D76="LPSM",AB75,VALUE($C76)*AB75))</f>
        <v/>
      </c>
      <c r="AD76" s="388"/>
      <c r="AE76" s="178" t="str">
        <f ca="1">IF($C76="","",IF($D76="LPSM",AD75,VALUE($C76)*AD75))</f>
        <v/>
      </c>
      <c r="AF76" s="388"/>
      <c r="AG76" s="178" t="str">
        <f ca="1">IF($C76="","",IF($D76="LPSM",AF75,VALUE($C76)*AF75))</f>
        <v/>
      </c>
      <c r="AH76" s="388"/>
      <c r="AI76" s="178" t="str">
        <f ca="1">IF($C76="","",IF($D76="LPSM",AH75,VALUE($C76)*AH75))</f>
        <v/>
      </c>
      <c r="AJ76" s="388"/>
      <c r="AK76" s="178" t="str">
        <f ca="1">IF($C76="","",IF($D76="LPSM",AJ75,VALUE($C76)*AJ75))</f>
        <v/>
      </c>
      <c r="AL76" s="388"/>
      <c r="AM76" s="178" t="str">
        <f ca="1">IF($C76="","",IF($D76="LPSM",AL75,VALUE($C76)*AL75))</f>
        <v/>
      </c>
      <c r="AN76" s="388"/>
      <c r="AO76" s="178" t="str">
        <f ca="1">IF($C76="","",IF($D76="LPSM",AN75,VALUE($C76)*AN75))</f>
        <v/>
      </c>
      <c r="AP76" s="388"/>
      <c r="AQ76" s="178" t="str">
        <f ca="1">IF($C76="","",IF($D76="LPSM",AP75,VALUE($C76)*AP75))</f>
        <v/>
      </c>
      <c r="AR76" s="209" t="str">
        <f ca="1">IF(LEN(B76)&gt;0,ISNUMBER(MATCH(B76,Proposed[Item],0)),"")</f>
        <v/>
      </c>
    </row>
    <row r="77" spans="1:44" ht="15" x14ac:dyDescent="0.2">
      <c r="A77" s="276">
        <f t="shared" ca="1" si="1"/>
        <v>35</v>
      </c>
      <c r="B77" s="168" t="str">
        <f ca="1">IFERROR(INDEX(INDIRECT(RangeItems),MATCH($A77,INDIRECT(RangeCount),0)),"")</f>
        <v/>
      </c>
      <c r="C77" s="365" t="str">
        <f ca="1">INDEX(Calcs[Description],$A77)</f>
        <v/>
      </c>
      <c r="D77" s="365"/>
      <c r="E77" s="365"/>
      <c r="F77" s="365"/>
      <c r="G77" s="365"/>
      <c r="H77" s="388"/>
      <c r="I77" s="177"/>
      <c r="J77" s="388"/>
      <c r="K77" s="177"/>
      <c r="L77" s="388"/>
      <c r="M77" s="177"/>
      <c r="N77" s="388"/>
      <c r="O77" s="177"/>
      <c r="P77" s="388"/>
      <c r="Q77" s="177"/>
      <c r="R77" s="388"/>
      <c r="S77" s="177"/>
      <c r="T77" s="388"/>
      <c r="U77" s="177"/>
      <c r="V77" s="388"/>
      <c r="W77" s="177"/>
      <c r="X77" s="388"/>
      <c r="Y77" s="177"/>
      <c r="Z77" s="388"/>
      <c r="AA77" s="177"/>
      <c r="AB77" s="388"/>
      <c r="AC77" s="177"/>
      <c r="AD77" s="388"/>
      <c r="AE77" s="177"/>
      <c r="AF77" s="388"/>
      <c r="AG77" s="177"/>
      <c r="AH77" s="388"/>
      <c r="AI77" s="177"/>
      <c r="AJ77" s="388"/>
      <c r="AK77" s="177"/>
      <c r="AL77" s="388"/>
      <c r="AM77" s="177"/>
      <c r="AN77" s="388"/>
      <c r="AO77" s="177"/>
      <c r="AP77" s="388"/>
      <c r="AQ77" s="177"/>
      <c r="AR77" s="209" t="str">
        <f ca="1">IF(LEN(B77)&gt;0,ISNUMBER(MATCH(B77,Proposed[Item],0)),"")</f>
        <v/>
      </c>
    </row>
    <row r="78" spans="1:44" ht="15" x14ac:dyDescent="0.2">
      <c r="A78" s="276">
        <f t="shared" ca="1" si="1"/>
        <v>35</v>
      </c>
      <c r="B78" s="111" t="str">
        <f ca="1">IF($A78&lt;=NumPayItems,"Line "&amp;INDEX(Calcs[Line],$A78),"")</f>
        <v/>
      </c>
      <c r="C78" s="169" t="str">
        <f ca="1">IFERROR(IF($D78="LPSM","ALL",TEXT(INDEX(INDIRECT(RangeQuantity),MATCH($A78,INDIRECT(RangeCount),0)),"#,##0"&amp;IF(OFFSET(Items[],MATCH($A78,INDIRECT(RangeCount),0)-1,MATCH(Decimals,Items[#Headers],0)-1,1,1)&gt;0,"."&amp;REPT("0",OFFSET(Items[],MATCH($A78,INDIRECT(RangeCount),0)-1,MATCH(Decimals,Items[#Headers],0)-1,1,1)),""))),"")</f>
        <v/>
      </c>
      <c r="D78" s="170" t="str">
        <f ca="1">IFERROR(INDEX(INDIRECT(RangeUnit),MATCH($A78,INDIRECT(RangeCount),0)),"")</f>
        <v/>
      </c>
      <c r="E78" s="170" t="str">
        <f ca="1">IFERROR(IF(INDEX(INDIRECT(RangeContrQty),MATCH($A78,INDIRECT(RangeCount),0)),"(CQ)",""),"")</f>
        <v/>
      </c>
      <c r="F78" s="171" t="str">
        <f ca="1">IFERROR(INDEX(INDIRECT(RangeUnitPrice),MATCH($A78,INDIRECT(RangeCount),0)),"")</f>
        <v/>
      </c>
      <c r="G78" s="171" t="str">
        <f ca="1">IFERROR(VALUE(C78)*F78,F78)</f>
        <v/>
      </c>
      <c r="H78" s="388"/>
      <c r="I78" s="178" t="str">
        <f ca="1">IF($C78="","",IF($D78="LPSM",H77,VALUE($C78)*H77))</f>
        <v/>
      </c>
      <c r="J78" s="388"/>
      <c r="K78" s="178" t="str">
        <f ca="1">IF($C78="","",IF($D78="LPSM",J77,VALUE($C78)*J77))</f>
        <v/>
      </c>
      <c r="L78" s="388"/>
      <c r="M78" s="178" t="str">
        <f ca="1">IF($C78="","",IF($D78="LPSM",L77,VALUE($C78)*L77))</f>
        <v/>
      </c>
      <c r="N78" s="388"/>
      <c r="O78" s="178" t="str">
        <f ca="1">IF($C78="","",IF($D78="LPSM",N77,VALUE($C78)*N77))</f>
        <v/>
      </c>
      <c r="P78" s="388"/>
      <c r="Q78" s="178" t="str">
        <f ca="1">IF($C78="","",IF($D78="LPSM",P77,VALUE($C78)*P77))</f>
        <v/>
      </c>
      <c r="R78" s="388"/>
      <c r="S78" s="178" t="str">
        <f ca="1">IF($C78="","",IF($D78="LPSM",R77,VALUE($C78)*R77))</f>
        <v/>
      </c>
      <c r="T78" s="388"/>
      <c r="U78" s="178" t="str">
        <f ca="1">IF($C78="","",IF($D78="LPSM",T77,VALUE($C78)*T77))</f>
        <v/>
      </c>
      <c r="V78" s="388"/>
      <c r="W78" s="178" t="str">
        <f ca="1">IF($C78="","",IF($D78="LPSM",V77,VALUE($C78)*V77))</f>
        <v/>
      </c>
      <c r="X78" s="388"/>
      <c r="Y78" s="178" t="str">
        <f ca="1">IF($C78="","",IF($D78="LPSM",X77,VALUE($C78)*X77))</f>
        <v/>
      </c>
      <c r="Z78" s="388"/>
      <c r="AA78" s="178" t="str">
        <f ca="1">IF($C78="","",IF($D78="LPSM",Z77,VALUE($C78)*Z77))</f>
        <v/>
      </c>
      <c r="AB78" s="388"/>
      <c r="AC78" s="178" t="str">
        <f ca="1">IF($C78="","",IF($D78="LPSM",AB77,VALUE($C78)*AB77))</f>
        <v/>
      </c>
      <c r="AD78" s="388"/>
      <c r="AE78" s="178" t="str">
        <f ca="1">IF($C78="","",IF($D78="LPSM",AD77,VALUE($C78)*AD77))</f>
        <v/>
      </c>
      <c r="AF78" s="388"/>
      <c r="AG78" s="178" t="str">
        <f ca="1">IF($C78="","",IF($D78="LPSM",AF77,VALUE($C78)*AF77))</f>
        <v/>
      </c>
      <c r="AH78" s="388"/>
      <c r="AI78" s="178" t="str">
        <f ca="1">IF($C78="","",IF($D78="LPSM",AH77,VALUE($C78)*AH77))</f>
        <v/>
      </c>
      <c r="AJ78" s="388"/>
      <c r="AK78" s="178" t="str">
        <f ca="1">IF($C78="","",IF($D78="LPSM",AJ77,VALUE($C78)*AJ77))</f>
        <v/>
      </c>
      <c r="AL78" s="388"/>
      <c r="AM78" s="178" t="str">
        <f ca="1">IF($C78="","",IF($D78="LPSM",AL77,VALUE($C78)*AL77))</f>
        <v/>
      </c>
      <c r="AN78" s="388"/>
      <c r="AO78" s="178" t="str">
        <f ca="1">IF($C78="","",IF($D78="LPSM",AN77,VALUE($C78)*AN77))</f>
        <v/>
      </c>
      <c r="AP78" s="388"/>
      <c r="AQ78" s="178" t="str">
        <f ca="1">IF($C78="","",IF($D78="LPSM",AP77,VALUE($C78)*AP77))</f>
        <v/>
      </c>
      <c r="AR78" s="209" t="str">
        <f ca="1">IF(LEN(B78)&gt;0,ISNUMBER(MATCH(B78,Proposed[Item],0)),"")</f>
        <v/>
      </c>
    </row>
    <row r="79" spans="1:44" ht="15" x14ac:dyDescent="0.2">
      <c r="A79" s="276">
        <f t="shared" ca="1" si="1"/>
        <v>36</v>
      </c>
      <c r="B79" s="168" t="str">
        <f ca="1">IFERROR(INDEX(INDIRECT(RangeItems),MATCH($A79,INDIRECT(RangeCount),0)),"")</f>
        <v/>
      </c>
      <c r="C79" s="365" t="str">
        <f ca="1">INDEX(Calcs[Description],$A79)</f>
        <v/>
      </c>
      <c r="D79" s="365"/>
      <c r="E79" s="365"/>
      <c r="F79" s="365"/>
      <c r="G79" s="365"/>
      <c r="H79" s="388"/>
      <c r="I79" s="177"/>
      <c r="J79" s="388"/>
      <c r="K79" s="177"/>
      <c r="L79" s="388"/>
      <c r="M79" s="177"/>
      <c r="N79" s="388"/>
      <c r="O79" s="177"/>
      <c r="P79" s="388"/>
      <c r="Q79" s="177"/>
      <c r="R79" s="388"/>
      <c r="S79" s="177"/>
      <c r="T79" s="388"/>
      <c r="U79" s="177"/>
      <c r="V79" s="388"/>
      <c r="W79" s="177"/>
      <c r="X79" s="388"/>
      <c r="Y79" s="177"/>
      <c r="Z79" s="388"/>
      <c r="AA79" s="177"/>
      <c r="AB79" s="388"/>
      <c r="AC79" s="177"/>
      <c r="AD79" s="388"/>
      <c r="AE79" s="177"/>
      <c r="AF79" s="388"/>
      <c r="AG79" s="177"/>
      <c r="AH79" s="388"/>
      <c r="AI79" s="177"/>
      <c r="AJ79" s="388"/>
      <c r="AK79" s="177"/>
      <c r="AL79" s="388"/>
      <c r="AM79" s="177"/>
      <c r="AN79" s="388"/>
      <c r="AO79" s="177"/>
      <c r="AP79" s="388"/>
      <c r="AQ79" s="177"/>
      <c r="AR79" s="209" t="str">
        <f ca="1">IF(LEN(B79)&gt;0,ISNUMBER(MATCH(B79,Proposed[Item],0)),"")</f>
        <v/>
      </c>
    </row>
    <row r="80" spans="1:44" ht="15" x14ac:dyDescent="0.2">
      <c r="A80" s="276">
        <f t="shared" ca="1" si="1"/>
        <v>36</v>
      </c>
      <c r="B80" s="111" t="str">
        <f ca="1">IF($A80&lt;=NumPayItems,"Line "&amp;INDEX(Calcs[Line],$A80),"")</f>
        <v/>
      </c>
      <c r="C80" s="169" t="str">
        <f ca="1">IFERROR(IF($D80="LPSM","ALL",TEXT(INDEX(INDIRECT(RangeQuantity),MATCH($A80,INDIRECT(RangeCount),0)),"#,##0"&amp;IF(OFFSET(Items[],MATCH($A80,INDIRECT(RangeCount),0)-1,MATCH(Decimals,Items[#Headers],0)-1,1,1)&gt;0,"."&amp;REPT("0",OFFSET(Items[],MATCH($A80,INDIRECT(RangeCount),0)-1,MATCH(Decimals,Items[#Headers],0)-1,1,1)),""))),"")</f>
        <v/>
      </c>
      <c r="D80" s="170" t="str">
        <f ca="1">IFERROR(INDEX(INDIRECT(RangeUnit),MATCH($A80,INDIRECT(RangeCount),0)),"")</f>
        <v/>
      </c>
      <c r="E80" s="170" t="str">
        <f ca="1">IFERROR(IF(INDEX(INDIRECT(RangeContrQty),MATCH($A80,INDIRECT(RangeCount),0)),"(CQ)",""),"")</f>
        <v/>
      </c>
      <c r="F80" s="171" t="str">
        <f ca="1">IFERROR(INDEX(INDIRECT(RangeUnitPrice),MATCH($A80,INDIRECT(RangeCount),0)),"")</f>
        <v/>
      </c>
      <c r="G80" s="171" t="str">
        <f ca="1">IFERROR(VALUE(C80)*F80,F80)</f>
        <v/>
      </c>
      <c r="H80" s="388"/>
      <c r="I80" s="178" t="str">
        <f ca="1">IF($C80="","",IF($D80="LPSM",H79,VALUE($C80)*H79))</f>
        <v/>
      </c>
      <c r="J80" s="388"/>
      <c r="K80" s="178" t="str">
        <f ca="1">IF($C80="","",IF($D80="LPSM",J79,VALUE($C80)*J79))</f>
        <v/>
      </c>
      <c r="L80" s="388"/>
      <c r="M80" s="178" t="str">
        <f ca="1">IF($C80="","",IF($D80="LPSM",L79,VALUE($C80)*L79))</f>
        <v/>
      </c>
      <c r="N80" s="388"/>
      <c r="O80" s="178" t="str">
        <f ca="1">IF($C80="","",IF($D80="LPSM",N79,VALUE($C80)*N79))</f>
        <v/>
      </c>
      <c r="P80" s="388"/>
      <c r="Q80" s="178" t="str">
        <f ca="1">IF($C80="","",IF($D80="LPSM",P79,VALUE($C80)*P79))</f>
        <v/>
      </c>
      <c r="R80" s="388"/>
      <c r="S80" s="178" t="str">
        <f ca="1">IF($C80="","",IF($D80="LPSM",R79,VALUE($C80)*R79))</f>
        <v/>
      </c>
      <c r="T80" s="388"/>
      <c r="U80" s="178" t="str">
        <f ca="1">IF($C80="","",IF($D80="LPSM",T79,VALUE($C80)*T79))</f>
        <v/>
      </c>
      <c r="V80" s="388"/>
      <c r="W80" s="178" t="str">
        <f ca="1">IF($C80="","",IF($D80="LPSM",V79,VALUE($C80)*V79))</f>
        <v/>
      </c>
      <c r="X80" s="388"/>
      <c r="Y80" s="178" t="str">
        <f ca="1">IF($C80="","",IF($D80="LPSM",X79,VALUE($C80)*X79))</f>
        <v/>
      </c>
      <c r="Z80" s="388"/>
      <c r="AA80" s="178" t="str">
        <f ca="1">IF($C80="","",IF($D80="LPSM",Z79,VALUE($C80)*Z79))</f>
        <v/>
      </c>
      <c r="AB80" s="388"/>
      <c r="AC80" s="178" t="str">
        <f ca="1">IF($C80="","",IF($D80="LPSM",AB79,VALUE($C80)*AB79))</f>
        <v/>
      </c>
      <c r="AD80" s="388"/>
      <c r="AE80" s="178" t="str">
        <f ca="1">IF($C80="","",IF($D80="LPSM",AD79,VALUE($C80)*AD79))</f>
        <v/>
      </c>
      <c r="AF80" s="388"/>
      <c r="AG80" s="178" t="str">
        <f ca="1">IF($C80="","",IF($D80="LPSM",AF79,VALUE($C80)*AF79))</f>
        <v/>
      </c>
      <c r="AH80" s="388"/>
      <c r="AI80" s="178" t="str">
        <f ca="1">IF($C80="","",IF($D80="LPSM",AH79,VALUE($C80)*AH79))</f>
        <v/>
      </c>
      <c r="AJ80" s="388"/>
      <c r="AK80" s="178" t="str">
        <f ca="1">IF($C80="","",IF($D80="LPSM",AJ79,VALUE($C80)*AJ79))</f>
        <v/>
      </c>
      <c r="AL80" s="388"/>
      <c r="AM80" s="178" t="str">
        <f ca="1">IF($C80="","",IF($D80="LPSM",AL79,VALUE($C80)*AL79))</f>
        <v/>
      </c>
      <c r="AN80" s="388"/>
      <c r="AO80" s="178" t="str">
        <f ca="1">IF($C80="","",IF($D80="LPSM",AN79,VALUE($C80)*AN79))</f>
        <v/>
      </c>
      <c r="AP80" s="388"/>
      <c r="AQ80" s="178" t="str">
        <f ca="1">IF($C80="","",IF($D80="LPSM",AP79,VALUE($C80)*AP79))</f>
        <v/>
      </c>
      <c r="AR80" s="209" t="str">
        <f ca="1">IF(LEN(B80)&gt;0,ISNUMBER(MATCH(B80,Proposed[Item],0)),"")</f>
        <v/>
      </c>
    </row>
    <row r="81" spans="1:44" ht="15" x14ac:dyDescent="0.2">
      <c r="A81" s="276">
        <f t="shared" ca="1" si="1"/>
        <v>37</v>
      </c>
      <c r="B81" s="168" t="str">
        <f ca="1">IFERROR(INDEX(INDIRECT(RangeItems),MATCH($A81,INDIRECT(RangeCount),0)),"")</f>
        <v/>
      </c>
      <c r="C81" s="365" t="str">
        <f ca="1">INDEX(Calcs[Description],$A81)</f>
        <v/>
      </c>
      <c r="D81" s="365"/>
      <c r="E81" s="365"/>
      <c r="F81" s="365"/>
      <c r="G81" s="365"/>
      <c r="H81" s="388"/>
      <c r="I81" s="177"/>
      <c r="J81" s="388"/>
      <c r="K81" s="177"/>
      <c r="L81" s="388"/>
      <c r="M81" s="177"/>
      <c r="N81" s="388"/>
      <c r="O81" s="177"/>
      <c r="P81" s="388"/>
      <c r="Q81" s="177"/>
      <c r="R81" s="388"/>
      <c r="S81" s="177"/>
      <c r="T81" s="388"/>
      <c r="U81" s="177"/>
      <c r="V81" s="388"/>
      <c r="W81" s="177"/>
      <c r="X81" s="388"/>
      <c r="Y81" s="177"/>
      <c r="Z81" s="388"/>
      <c r="AA81" s="177"/>
      <c r="AB81" s="388"/>
      <c r="AC81" s="177"/>
      <c r="AD81" s="388"/>
      <c r="AE81" s="177"/>
      <c r="AF81" s="388"/>
      <c r="AG81" s="177"/>
      <c r="AH81" s="388"/>
      <c r="AI81" s="177"/>
      <c r="AJ81" s="388"/>
      <c r="AK81" s="177"/>
      <c r="AL81" s="388"/>
      <c r="AM81" s="177"/>
      <c r="AN81" s="388"/>
      <c r="AO81" s="177"/>
      <c r="AP81" s="388"/>
      <c r="AQ81" s="177"/>
      <c r="AR81" s="209" t="str">
        <f ca="1">IF(LEN(B81)&gt;0,ISNUMBER(MATCH(B81,Proposed[Item],0)),"")</f>
        <v/>
      </c>
    </row>
    <row r="82" spans="1:44" ht="15" x14ac:dyDescent="0.2">
      <c r="A82" s="276">
        <f t="shared" ca="1" si="1"/>
        <v>37</v>
      </c>
      <c r="B82" s="111" t="str">
        <f ca="1">IF($A82&lt;=NumPayItems,"Line "&amp;INDEX(Calcs[Line],$A82),"")</f>
        <v/>
      </c>
      <c r="C82" s="169" t="str">
        <f ca="1">IFERROR(IF($D82="LPSM","ALL",TEXT(INDEX(INDIRECT(RangeQuantity),MATCH($A82,INDIRECT(RangeCount),0)),"#,##0"&amp;IF(OFFSET(Items[],MATCH($A82,INDIRECT(RangeCount),0)-1,MATCH(Decimals,Items[#Headers],0)-1,1,1)&gt;0,"."&amp;REPT("0",OFFSET(Items[],MATCH($A82,INDIRECT(RangeCount),0)-1,MATCH(Decimals,Items[#Headers],0)-1,1,1)),""))),"")</f>
        <v/>
      </c>
      <c r="D82" s="170" t="str">
        <f ca="1">IFERROR(INDEX(INDIRECT(RangeUnit),MATCH($A82,INDIRECT(RangeCount),0)),"")</f>
        <v/>
      </c>
      <c r="E82" s="170" t="str">
        <f ca="1">IFERROR(IF(INDEX(INDIRECT(RangeContrQty),MATCH($A82,INDIRECT(RangeCount),0)),"(CQ)",""),"")</f>
        <v/>
      </c>
      <c r="F82" s="171" t="str">
        <f ca="1">IFERROR(INDEX(INDIRECT(RangeUnitPrice),MATCH($A82,INDIRECT(RangeCount),0)),"")</f>
        <v/>
      </c>
      <c r="G82" s="171" t="str">
        <f ca="1">IFERROR(VALUE(C82)*F82,F82)</f>
        <v/>
      </c>
      <c r="H82" s="388"/>
      <c r="I82" s="178" t="str">
        <f ca="1">IF($C82="","",IF($D82="LPSM",H81,VALUE($C82)*H81))</f>
        <v/>
      </c>
      <c r="J82" s="388"/>
      <c r="K82" s="178" t="str">
        <f ca="1">IF($C82="","",IF($D82="LPSM",J81,VALUE($C82)*J81))</f>
        <v/>
      </c>
      <c r="L82" s="388"/>
      <c r="M82" s="178" t="str">
        <f ca="1">IF($C82="","",IF($D82="LPSM",L81,VALUE($C82)*L81))</f>
        <v/>
      </c>
      <c r="N82" s="388"/>
      <c r="O82" s="178" t="str">
        <f ca="1">IF($C82="","",IF($D82="LPSM",N81,VALUE($C82)*N81))</f>
        <v/>
      </c>
      <c r="P82" s="388"/>
      <c r="Q82" s="178" t="str">
        <f ca="1">IF($C82="","",IF($D82="LPSM",P81,VALUE($C82)*P81))</f>
        <v/>
      </c>
      <c r="R82" s="388"/>
      <c r="S82" s="178" t="str">
        <f ca="1">IF($C82="","",IF($D82="LPSM",R81,VALUE($C82)*R81))</f>
        <v/>
      </c>
      <c r="T82" s="388"/>
      <c r="U82" s="178" t="str">
        <f ca="1">IF($C82="","",IF($D82="LPSM",T81,VALUE($C82)*T81))</f>
        <v/>
      </c>
      <c r="V82" s="388"/>
      <c r="W82" s="178" t="str">
        <f ca="1">IF($C82="","",IF($D82="LPSM",V81,VALUE($C82)*V81))</f>
        <v/>
      </c>
      <c r="X82" s="388"/>
      <c r="Y82" s="178" t="str">
        <f ca="1">IF($C82="","",IF($D82="LPSM",X81,VALUE($C82)*X81))</f>
        <v/>
      </c>
      <c r="Z82" s="388"/>
      <c r="AA82" s="178" t="str">
        <f ca="1">IF($C82="","",IF($D82="LPSM",Z81,VALUE($C82)*Z81))</f>
        <v/>
      </c>
      <c r="AB82" s="388"/>
      <c r="AC82" s="178" t="str">
        <f ca="1">IF($C82="","",IF($D82="LPSM",AB81,VALUE($C82)*AB81))</f>
        <v/>
      </c>
      <c r="AD82" s="388"/>
      <c r="AE82" s="178" t="str">
        <f ca="1">IF($C82="","",IF($D82="LPSM",AD81,VALUE($C82)*AD81))</f>
        <v/>
      </c>
      <c r="AF82" s="388"/>
      <c r="AG82" s="178" t="str">
        <f ca="1">IF($C82="","",IF($D82="LPSM",AF81,VALUE($C82)*AF81))</f>
        <v/>
      </c>
      <c r="AH82" s="388"/>
      <c r="AI82" s="178" t="str">
        <f ca="1">IF($C82="","",IF($D82="LPSM",AH81,VALUE($C82)*AH81))</f>
        <v/>
      </c>
      <c r="AJ82" s="388"/>
      <c r="AK82" s="178" t="str">
        <f ca="1">IF($C82="","",IF($D82="LPSM",AJ81,VALUE($C82)*AJ81))</f>
        <v/>
      </c>
      <c r="AL82" s="388"/>
      <c r="AM82" s="178" t="str">
        <f ca="1">IF($C82="","",IF($D82="LPSM",AL81,VALUE($C82)*AL81))</f>
        <v/>
      </c>
      <c r="AN82" s="388"/>
      <c r="AO82" s="178" t="str">
        <f ca="1">IF($C82="","",IF($D82="LPSM",AN81,VALUE($C82)*AN81))</f>
        <v/>
      </c>
      <c r="AP82" s="388"/>
      <c r="AQ82" s="178" t="str">
        <f ca="1">IF($C82="","",IF($D82="LPSM",AP81,VALUE($C82)*AP81))</f>
        <v/>
      </c>
      <c r="AR82" s="209" t="str">
        <f ca="1">IF(LEN(B82)&gt;0,ISNUMBER(MATCH(B82,Proposed[Item],0)),"")</f>
        <v/>
      </c>
    </row>
    <row r="83" spans="1:44" ht="15" x14ac:dyDescent="0.2">
      <c r="A83" s="276">
        <f t="shared" ca="1" si="1"/>
        <v>38</v>
      </c>
      <c r="B83" s="168" t="str">
        <f ca="1">IFERROR(INDEX(INDIRECT(RangeItems),MATCH($A83,INDIRECT(RangeCount),0)),"")</f>
        <v/>
      </c>
      <c r="C83" s="365" t="str">
        <f ca="1">INDEX(Calcs[Description],$A83)</f>
        <v/>
      </c>
      <c r="D83" s="365"/>
      <c r="E83" s="365"/>
      <c r="F83" s="365"/>
      <c r="G83" s="365"/>
      <c r="H83" s="388"/>
      <c r="I83" s="177"/>
      <c r="J83" s="388"/>
      <c r="K83" s="177"/>
      <c r="L83" s="388"/>
      <c r="M83" s="177"/>
      <c r="N83" s="388"/>
      <c r="O83" s="177"/>
      <c r="P83" s="388"/>
      <c r="Q83" s="177"/>
      <c r="R83" s="388"/>
      <c r="S83" s="177"/>
      <c r="T83" s="388"/>
      <c r="U83" s="177"/>
      <c r="V83" s="388"/>
      <c r="W83" s="177"/>
      <c r="X83" s="388"/>
      <c r="Y83" s="177"/>
      <c r="Z83" s="388"/>
      <c r="AA83" s="177"/>
      <c r="AB83" s="388"/>
      <c r="AC83" s="177"/>
      <c r="AD83" s="388"/>
      <c r="AE83" s="177"/>
      <c r="AF83" s="388"/>
      <c r="AG83" s="177"/>
      <c r="AH83" s="388"/>
      <c r="AI83" s="177"/>
      <c r="AJ83" s="388"/>
      <c r="AK83" s="177"/>
      <c r="AL83" s="388"/>
      <c r="AM83" s="177"/>
      <c r="AN83" s="388"/>
      <c r="AO83" s="177"/>
      <c r="AP83" s="388"/>
      <c r="AQ83" s="177"/>
      <c r="AR83" s="209" t="str">
        <f ca="1">IF(LEN(B83)&gt;0,ISNUMBER(MATCH(B83,Proposed[Item],0)),"")</f>
        <v/>
      </c>
    </row>
    <row r="84" spans="1:44" ht="15" x14ac:dyDescent="0.2">
      <c r="A84" s="276">
        <f t="shared" ca="1" si="1"/>
        <v>38</v>
      </c>
      <c r="B84" s="111" t="str">
        <f ca="1">IF($A84&lt;=NumPayItems,"Line "&amp;INDEX(Calcs[Line],$A84),"")</f>
        <v/>
      </c>
      <c r="C84" s="169" t="str">
        <f ca="1">IFERROR(IF($D84="LPSM","ALL",TEXT(INDEX(INDIRECT(RangeQuantity),MATCH($A84,INDIRECT(RangeCount),0)),"#,##0"&amp;IF(OFFSET(Items[],MATCH($A84,INDIRECT(RangeCount),0)-1,MATCH(Decimals,Items[#Headers],0)-1,1,1)&gt;0,"."&amp;REPT("0",OFFSET(Items[],MATCH($A84,INDIRECT(RangeCount),0)-1,MATCH(Decimals,Items[#Headers],0)-1,1,1)),""))),"")</f>
        <v/>
      </c>
      <c r="D84" s="170" t="str">
        <f ca="1">IFERROR(INDEX(INDIRECT(RangeUnit),MATCH($A84,INDIRECT(RangeCount),0)),"")</f>
        <v/>
      </c>
      <c r="E84" s="170" t="str">
        <f ca="1">IFERROR(IF(INDEX(INDIRECT(RangeContrQty),MATCH($A84,INDIRECT(RangeCount),0)),"(CQ)",""),"")</f>
        <v/>
      </c>
      <c r="F84" s="171" t="str">
        <f ca="1">IFERROR(INDEX(INDIRECT(RangeUnitPrice),MATCH($A84,INDIRECT(RangeCount),0)),"")</f>
        <v/>
      </c>
      <c r="G84" s="171" t="str">
        <f ca="1">IFERROR(VALUE(C84)*F84,F84)</f>
        <v/>
      </c>
      <c r="H84" s="388"/>
      <c r="I84" s="178" t="str">
        <f ca="1">IF($C84="","",IF($D84="LPSM",H83,VALUE($C84)*H83))</f>
        <v/>
      </c>
      <c r="J84" s="388"/>
      <c r="K84" s="178" t="str">
        <f ca="1">IF($C84="","",IF($D84="LPSM",J83,VALUE($C84)*J83))</f>
        <v/>
      </c>
      <c r="L84" s="388"/>
      <c r="M84" s="178" t="str">
        <f ca="1">IF($C84="","",IF($D84="LPSM",L83,VALUE($C84)*L83))</f>
        <v/>
      </c>
      <c r="N84" s="388"/>
      <c r="O84" s="178" t="str">
        <f ca="1">IF($C84="","",IF($D84="LPSM",N83,VALUE($C84)*N83))</f>
        <v/>
      </c>
      <c r="P84" s="388"/>
      <c r="Q84" s="178" t="str">
        <f ca="1">IF($C84="","",IF($D84="LPSM",P83,VALUE($C84)*P83))</f>
        <v/>
      </c>
      <c r="R84" s="388"/>
      <c r="S84" s="178" t="str">
        <f ca="1">IF($C84="","",IF($D84="LPSM",R83,VALUE($C84)*R83))</f>
        <v/>
      </c>
      <c r="T84" s="388"/>
      <c r="U84" s="178" t="str">
        <f ca="1">IF($C84="","",IF($D84="LPSM",T83,VALUE($C84)*T83))</f>
        <v/>
      </c>
      <c r="V84" s="388"/>
      <c r="W84" s="178" t="str">
        <f ca="1">IF($C84="","",IF($D84="LPSM",V83,VALUE($C84)*V83))</f>
        <v/>
      </c>
      <c r="X84" s="388"/>
      <c r="Y84" s="178" t="str">
        <f ca="1">IF($C84="","",IF($D84="LPSM",X83,VALUE($C84)*X83))</f>
        <v/>
      </c>
      <c r="Z84" s="388"/>
      <c r="AA84" s="178" t="str">
        <f ca="1">IF($C84="","",IF($D84="LPSM",Z83,VALUE($C84)*Z83))</f>
        <v/>
      </c>
      <c r="AB84" s="388"/>
      <c r="AC84" s="178" t="str">
        <f ca="1">IF($C84="","",IF($D84="LPSM",AB83,VALUE($C84)*AB83))</f>
        <v/>
      </c>
      <c r="AD84" s="388"/>
      <c r="AE84" s="178" t="str">
        <f ca="1">IF($C84="","",IF($D84="LPSM",AD83,VALUE($C84)*AD83))</f>
        <v/>
      </c>
      <c r="AF84" s="388"/>
      <c r="AG84" s="178" t="str">
        <f ca="1">IF($C84="","",IF($D84="LPSM",AF83,VALUE($C84)*AF83))</f>
        <v/>
      </c>
      <c r="AH84" s="388"/>
      <c r="AI84" s="178" t="str">
        <f ca="1">IF($C84="","",IF($D84="LPSM",AH83,VALUE($C84)*AH83))</f>
        <v/>
      </c>
      <c r="AJ84" s="388"/>
      <c r="AK84" s="178" t="str">
        <f ca="1">IF($C84="","",IF($D84="LPSM",AJ83,VALUE($C84)*AJ83))</f>
        <v/>
      </c>
      <c r="AL84" s="388"/>
      <c r="AM84" s="178" t="str">
        <f ca="1">IF($C84="","",IF($D84="LPSM",AL83,VALUE($C84)*AL83))</f>
        <v/>
      </c>
      <c r="AN84" s="388"/>
      <c r="AO84" s="178" t="str">
        <f ca="1">IF($C84="","",IF($D84="LPSM",AN83,VALUE($C84)*AN83))</f>
        <v/>
      </c>
      <c r="AP84" s="388"/>
      <c r="AQ84" s="178" t="str">
        <f ca="1">IF($C84="","",IF($D84="LPSM",AP83,VALUE($C84)*AP83))</f>
        <v/>
      </c>
      <c r="AR84" s="209" t="str">
        <f ca="1">IF(LEN(B84)&gt;0,ISNUMBER(MATCH(B84,Proposed[Item],0)),"")</f>
        <v/>
      </c>
    </row>
    <row r="85" spans="1:44" ht="15" x14ac:dyDescent="0.2">
      <c r="A85" s="276">
        <f t="shared" ca="1" si="1"/>
        <v>39</v>
      </c>
      <c r="B85" s="168" t="str">
        <f ca="1">IFERROR(INDEX(INDIRECT(RangeItems),MATCH($A85,INDIRECT(RangeCount),0)),"")</f>
        <v/>
      </c>
      <c r="C85" s="365" t="str">
        <f ca="1">INDEX(Calcs[Description],$A85)</f>
        <v/>
      </c>
      <c r="D85" s="365"/>
      <c r="E85" s="365"/>
      <c r="F85" s="365"/>
      <c r="G85" s="365"/>
      <c r="H85" s="388"/>
      <c r="I85" s="177"/>
      <c r="J85" s="388"/>
      <c r="K85" s="177"/>
      <c r="L85" s="388"/>
      <c r="M85" s="177"/>
      <c r="N85" s="388"/>
      <c r="O85" s="177"/>
      <c r="P85" s="388"/>
      <c r="Q85" s="177"/>
      <c r="R85" s="388"/>
      <c r="S85" s="177"/>
      <c r="T85" s="388"/>
      <c r="U85" s="177"/>
      <c r="V85" s="388"/>
      <c r="W85" s="177"/>
      <c r="X85" s="388"/>
      <c r="Y85" s="177"/>
      <c r="Z85" s="388"/>
      <c r="AA85" s="177"/>
      <c r="AB85" s="388"/>
      <c r="AC85" s="177"/>
      <c r="AD85" s="388"/>
      <c r="AE85" s="177"/>
      <c r="AF85" s="388"/>
      <c r="AG85" s="177"/>
      <c r="AH85" s="388"/>
      <c r="AI85" s="177"/>
      <c r="AJ85" s="388"/>
      <c r="AK85" s="177"/>
      <c r="AL85" s="388"/>
      <c r="AM85" s="177"/>
      <c r="AN85" s="388"/>
      <c r="AO85" s="177"/>
      <c r="AP85" s="388"/>
      <c r="AQ85" s="177"/>
      <c r="AR85" s="209" t="str">
        <f ca="1">IF(LEN(B85)&gt;0,ISNUMBER(MATCH(B85,Proposed[Item],0)),"")</f>
        <v/>
      </c>
    </row>
    <row r="86" spans="1:44" ht="15" x14ac:dyDescent="0.2">
      <c r="A86" s="276">
        <f t="shared" ca="1" si="1"/>
        <v>39</v>
      </c>
      <c r="B86" s="111" t="str">
        <f ca="1">IF($A86&lt;=NumPayItems,"Line "&amp;INDEX(Calcs[Line],$A86),"")</f>
        <v/>
      </c>
      <c r="C86" s="169" t="str">
        <f ca="1">IFERROR(IF($D86="LPSM","ALL",TEXT(INDEX(INDIRECT(RangeQuantity),MATCH($A86,INDIRECT(RangeCount),0)),"#,##0"&amp;IF(OFFSET(Items[],MATCH($A86,INDIRECT(RangeCount),0)-1,MATCH(Decimals,Items[#Headers],0)-1,1,1)&gt;0,"."&amp;REPT("0",OFFSET(Items[],MATCH($A86,INDIRECT(RangeCount),0)-1,MATCH(Decimals,Items[#Headers],0)-1,1,1)),""))),"")</f>
        <v/>
      </c>
      <c r="D86" s="170" t="str">
        <f ca="1">IFERROR(INDEX(INDIRECT(RangeUnit),MATCH($A86,INDIRECT(RangeCount),0)),"")</f>
        <v/>
      </c>
      <c r="E86" s="170" t="str">
        <f ca="1">IFERROR(IF(INDEX(INDIRECT(RangeContrQty),MATCH($A86,INDIRECT(RangeCount),0)),"(CQ)",""),"")</f>
        <v/>
      </c>
      <c r="F86" s="171" t="str">
        <f ca="1">IFERROR(INDEX(INDIRECT(RangeUnitPrice),MATCH($A86,INDIRECT(RangeCount),0)),"")</f>
        <v/>
      </c>
      <c r="G86" s="171" t="str">
        <f ca="1">IFERROR(VALUE(C86)*F86,F86)</f>
        <v/>
      </c>
      <c r="H86" s="388"/>
      <c r="I86" s="178" t="str">
        <f ca="1">IF($C86="","",IF($D86="LPSM",H85,VALUE($C86)*H85))</f>
        <v/>
      </c>
      <c r="J86" s="388"/>
      <c r="K86" s="178" t="str">
        <f ca="1">IF($C86="","",IF($D86="LPSM",J85,VALUE($C86)*J85))</f>
        <v/>
      </c>
      <c r="L86" s="388"/>
      <c r="M86" s="178" t="str">
        <f ca="1">IF($C86="","",IF($D86="LPSM",L85,VALUE($C86)*L85))</f>
        <v/>
      </c>
      <c r="N86" s="388"/>
      <c r="O86" s="178" t="str">
        <f ca="1">IF($C86="","",IF($D86="LPSM",N85,VALUE($C86)*N85))</f>
        <v/>
      </c>
      <c r="P86" s="388"/>
      <c r="Q86" s="178" t="str">
        <f ca="1">IF($C86="","",IF($D86="LPSM",P85,VALUE($C86)*P85))</f>
        <v/>
      </c>
      <c r="R86" s="388"/>
      <c r="S86" s="178" t="str">
        <f ca="1">IF($C86="","",IF($D86="LPSM",R85,VALUE($C86)*R85))</f>
        <v/>
      </c>
      <c r="T86" s="388"/>
      <c r="U86" s="178" t="str">
        <f ca="1">IF($C86="","",IF($D86="LPSM",T85,VALUE($C86)*T85))</f>
        <v/>
      </c>
      <c r="V86" s="388"/>
      <c r="W86" s="178" t="str">
        <f ca="1">IF($C86="","",IF($D86="LPSM",V85,VALUE($C86)*V85))</f>
        <v/>
      </c>
      <c r="X86" s="388"/>
      <c r="Y86" s="178" t="str">
        <f ca="1">IF($C86="","",IF($D86="LPSM",X85,VALUE($C86)*X85))</f>
        <v/>
      </c>
      <c r="Z86" s="388"/>
      <c r="AA86" s="178" t="str">
        <f ca="1">IF($C86="","",IF($D86="LPSM",Z85,VALUE($C86)*Z85))</f>
        <v/>
      </c>
      <c r="AB86" s="388"/>
      <c r="AC86" s="178" t="str">
        <f ca="1">IF($C86="","",IF($D86="LPSM",AB85,VALUE($C86)*AB85))</f>
        <v/>
      </c>
      <c r="AD86" s="388"/>
      <c r="AE86" s="178" t="str">
        <f ca="1">IF($C86="","",IF($D86="LPSM",AD85,VALUE($C86)*AD85))</f>
        <v/>
      </c>
      <c r="AF86" s="388"/>
      <c r="AG86" s="178" t="str">
        <f ca="1">IF($C86="","",IF($D86="LPSM",AF85,VALUE($C86)*AF85))</f>
        <v/>
      </c>
      <c r="AH86" s="388"/>
      <c r="AI86" s="178" t="str">
        <f ca="1">IF($C86="","",IF($D86="LPSM",AH85,VALUE($C86)*AH85))</f>
        <v/>
      </c>
      <c r="AJ86" s="388"/>
      <c r="AK86" s="178" t="str">
        <f ca="1">IF($C86="","",IF($D86="LPSM",AJ85,VALUE($C86)*AJ85))</f>
        <v/>
      </c>
      <c r="AL86" s="388"/>
      <c r="AM86" s="178" t="str">
        <f ca="1">IF($C86="","",IF($D86="LPSM",AL85,VALUE($C86)*AL85))</f>
        <v/>
      </c>
      <c r="AN86" s="388"/>
      <c r="AO86" s="178" t="str">
        <f ca="1">IF($C86="","",IF($D86="LPSM",AN85,VALUE($C86)*AN85))</f>
        <v/>
      </c>
      <c r="AP86" s="388"/>
      <c r="AQ86" s="178" t="str">
        <f ca="1">IF($C86="","",IF($D86="LPSM",AP85,VALUE($C86)*AP85))</f>
        <v/>
      </c>
      <c r="AR86" s="209" t="str">
        <f ca="1">IF(LEN(B86)&gt;0,ISNUMBER(MATCH(B86,Proposed[Item],0)),"")</f>
        <v/>
      </c>
    </row>
    <row r="87" spans="1:44" ht="15" x14ac:dyDescent="0.2">
      <c r="A87" s="276">
        <f t="shared" ca="1" si="1"/>
        <v>40</v>
      </c>
      <c r="B87" s="168" t="str">
        <f ca="1">IFERROR(INDEX(INDIRECT(RangeItems),MATCH($A87,INDIRECT(RangeCount),0)),"")</f>
        <v/>
      </c>
      <c r="C87" s="365" t="str">
        <f ca="1">INDEX(Calcs[Description],$A87)</f>
        <v/>
      </c>
      <c r="D87" s="365"/>
      <c r="E87" s="365"/>
      <c r="F87" s="365"/>
      <c r="G87" s="365"/>
      <c r="H87" s="388"/>
      <c r="I87" s="177"/>
      <c r="J87" s="388"/>
      <c r="K87" s="177"/>
      <c r="L87" s="388"/>
      <c r="M87" s="177"/>
      <c r="N87" s="388"/>
      <c r="O87" s="177"/>
      <c r="P87" s="388"/>
      <c r="Q87" s="177"/>
      <c r="R87" s="388"/>
      <c r="S87" s="177"/>
      <c r="T87" s="388"/>
      <c r="U87" s="177"/>
      <c r="V87" s="388"/>
      <c r="W87" s="177"/>
      <c r="X87" s="388"/>
      <c r="Y87" s="177"/>
      <c r="Z87" s="388"/>
      <c r="AA87" s="177"/>
      <c r="AB87" s="388"/>
      <c r="AC87" s="177"/>
      <c r="AD87" s="388"/>
      <c r="AE87" s="177"/>
      <c r="AF87" s="388"/>
      <c r="AG87" s="177"/>
      <c r="AH87" s="388"/>
      <c r="AI87" s="177"/>
      <c r="AJ87" s="388"/>
      <c r="AK87" s="177"/>
      <c r="AL87" s="388"/>
      <c r="AM87" s="177"/>
      <c r="AN87" s="388"/>
      <c r="AO87" s="177"/>
      <c r="AP87" s="388"/>
      <c r="AQ87" s="177"/>
      <c r="AR87" s="209" t="str">
        <f ca="1">IF(LEN(B87)&gt;0,ISNUMBER(MATCH(B87,Proposed[Item],0)),"")</f>
        <v/>
      </c>
    </row>
    <row r="88" spans="1:44" ht="15" x14ac:dyDescent="0.2">
      <c r="A88" s="276">
        <f t="shared" ca="1" si="1"/>
        <v>40</v>
      </c>
      <c r="B88" s="111" t="str">
        <f ca="1">IF($A88&lt;=NumPayItems,"Line "&amp;INDEX(Calcs[Line],$A88),"")</f>
        <v/>
      </c>
      <c r="C88" s="169" t="str">
        <f ca="1">IFERROR(IF($D88="LPSM","ALL",TEXT(INDEX(INDIRECT(RangeQuantity),MATCH($A88,INDIRECT(RangeCount),0)),"#,##0"&amp;IF(OFFSET(Items[],MATCH($A88,INDIRECT(RangeCount),0)-1,MATCH(Decimals,Items[#Headers],0)-1,1,1)&gt;0,"."&amp;REPT("0",OFFSET(Items[],MATCH($A88,INDIRECT(RangeCount),0)-1,MATCH(Decimals,Items[#Headers],0)-1,1,1)),""))),"")</f>
        <v/>
      </c>
      <c r="D88" s="170" t="str">
        <f ca="1">IFERROR(INDEX(INDIRECT(RangeUnit),MATCH($A88,INDIRECT(RangeCount),0)),"")</f>
        <v/>
      </c>
      <c r="E88" s="170" t="str">
        <f ca="1">IFERROR(IF(INDEX(INDIRECT(RangeContrQty),MATCH($A88,INDIRECT(RangeCount),0)),"(CQ)",""),"")</f>
        <v/>
      </c>
      <c r="F88" s="171" t="str">
        <f ca="1">IFERROR(INDEX(INDIRECT(RangeUnitPrice),MATCH($A88,INDIRECT(RangeCount),0)),"")</f>
        <v/>
      </c>
      <c r="G88" s="171" t="str">
        <f ca="1">IFERROR(VALUE(C88)*F88,F88)</f>
        <v/>
      </c>
      <c r="H88" s="388"/>
      <c r="I88" s="178" t="str">
        <f ca="1">IF($C88="","",IF($D88="LPSM",H87,VALUE($C88)*H87))</f>
        <v/>
      </c>
      <c r="J88" s="388"/>
      <c r="K88" s="178" t="str">
        <f ca="1">IF($C88="","",IF($D88="LPSM",J87,VALUE($C88)*J87))</f>
        <v/>
      </c>
      <c r="L88" s="388"/>
      <c r="M88" s="178" t="str">
        <f ca="1">IF($C88="","",IF($D88="LPSM",L87,VALUE($C88)*L87))</f>
        <v/>
      </c>
      <c r="N88" s="388"/>
      <c r="O88" s="178" t="str">
        <f ca="1">IF($C88="","",IF($D88="LPSM",N87,VALUE($C88)*N87))</f>
        <v/>
      </c>
      <c r="P88" s="388"/>
      <c r="Q88" s="178" t="str">
        <f ca="1">IF($C88="","",IF($D88="LPSM",P87,VALUE($C88)*P87))</f>
        <v/>
      </c>
      <c r="R88" s="388"/>
      <c r="S88" s="178" t="str">
        <f ca="1">IF($C88="","",IF($D88="LPSM",R87,VALUE($C88)*R87))</f>
        <v/>
      </c>
      <c r="T88" s="388"/>
      <c r="U88" s="178" t="str">
        <f ca="1">IF($C88="","",IF($D88="LPSM",T87,VALUE($C88)*T87))</f>
        <v/>
      </c>
      <c r="V88" s="388"/>
      <c r="W88" s="178" t="str">
        <f ca="1">IF($C88="","",IF($D88="LPSM",V87,VALUE($C88)*V87))</f>
        <v/>
      </c>
      <c r="X88" s="388"/>
      <c r="Y88" s="178" t="str">
        <f ca="1">IF($C88="","",IF($D88="LPSM",X87,VALUE($C88)*X87))</f>
        <v/>
      </c>
      <c r="Z88" s="388"/>
      <c r="AA88" s="178" t="str">
        <f ca="1">IF($C88="","",IF($D88="LPSM",Z87,VALUE($C88)*Z87))</f>
        <v/>
      </c>
      <c r="AB88" s="388"/>
      <c r="AC88" s="178" t="str">
        <f ca="1">IF($C88="","",IF($D88="LPSM",AB87,VALUE($C88)*AB87))</f>
        <v/>
      </c>
      <c r="AD88" s="388"/>
      <c r="AE88" s="178" t="str">
        <f ca="1">IF($C88="","",IF($D88="LPSM",AD87,VALUE($C88)*AD87))</f>
        <v/>
      </c>
      <c r="AF88" s="388"/>
      <c r="AG88" s="178" t="str">
        <f ca="1">IF($C88="","",IF($D88="LPSM",AF87,VALUE($C88)*AF87))</f>
        <v/>
      </c>
      <c r="AH88" s="388"/>
      <c r="AI88" s="178" t="str">
        <f ca="1">IF($C88="","",IF($D88="LPSM",AH87,VALUE($C88)*AH87))</f>
        <v/>
      </c>
      <c r="AJ88" s="388"/>
      <c r="AK88" s="178" t="str">
        <f ca="1">IF($C88="","",IF($D88="LPSM",AJ87,VALUE($C88)*AJ87))</f>
        <v/>
      </c>
      <c r="AL88" s="388"/>
      <c r="AM88" s="178" t="str">
        <f ca="1">IF($C88="","",IF($D88="LPSM",AL87,VALUE($C88)*AL87))</f>
        <v/>
      </c>
      <c r="AN88" s="388"/>
      <c r="AO88" s="178" t="str">
        <f ca="1">IF($C88="","",IF($D88="LPSM",AN87,VALUE($C88)*AN87))</f>
        <v/>
      </c>
      <c r="AP88" s="388"/>
      <c r="AQ88" s="178" t="str">
        <f ca="1">IF($C88="","",IF($D88="LPSM",AP87,VALUE($C88)*AP87))</f>
        <v/>
      </c>
      <c r="AR88" s="209" t="str">
        <f ca="1">IF(LEN(B88)&gt;0,ISNUMBER(MATCH(B88,Proposed[Item],0)),"")</f>
        <v/>
      </c>
    </row>
    <row r="89" spans="1:44" ht="15" x14ac:dyDescent="0.2">
      <c r="A89" s="276">
        <f t="shared" ca="1" si="1"/>
        <v>41</v>
      </c>
      <c r="B89" s="168" t="str">
        <f ca="1">IFERROR(INDEX(INDIRECT(RangeItems),MATCH($A89,INDIRECT(RangeCount),0)),"")</f>
        <v/>
      </c>
      <c r="C89" s="365" t="str">
        <f ca="1">INDEX(Calcs[Description],$A89)</f>
        <v/>
      </c>
      <c r="D89" s="365"/>
      <c r="E89" s="365"/>
      <c r="F89" s="365"/>
      <c r="G89" s="365"/>
      <c r="H89" s="388"/>
      <c r="I89" s="177"/>
      <c r="J89" s="388"/>
      <c r="K89" s="177"/>
      <c r="L89" s="388"/>
      <c r="M89" s="177"/>
      <c r="N89" s="388"/>
      <c r="O89" s="177"/>
      <c r="P89" s="388"/>
      <c r="Q89" s="177"/>
      <c r="R89" s="388"/>
      <c r="S89" s="177"/>
      <c r="T89" s="388"/>
      <c r="U89" s="177"/>
      <c r="V89" s="388"/>
      <c r="W89" s="177"/>
      <c r="X89" s="388"/>
      <c r="Y89" s="177"/>
      <c r="Z89" s="388"/>
      <c r="AA89" s="177"/>
      <c r="AB89" s="388"/>
      <c r="AC89" s="177"/>
      <c r="AD89" s="388"/>
      <c r="AE89" s="177"/>
      <c r="AF89" s="388"/>
      <c r="AG89" s="177"/>
      <c r="AH89" s="388"/>
      <c r="AI89" s="177"/>
      <c r="AJ89" s="388"/>
      <c r="AK89" s="177"/>
      <c r="AL89" s="388"/>
      <c r="AM89" s="177"/>
      <c r="AN89" s="388"/>
      <c r="AO89" s="177"/>
      <c r="AP89" s="388"/>
      <c r="AQ89" s="177"/>
      <c r="AR89" s="209" t="str">
        <f ca="1">IF(LEN(B89)&gt;0,ISNUMBER(MATCH(B89,Proposed[Item],0)),"")</f>
        <v/>
      </c>
    </row>
    <row r="90" spans="1:44" ht="15" x14ac:dyDescent="0.2">
      <c r="A90" s="276">
        <f t="shared" ca="1" si="1"/>
        <v>41</v>
      </c>
      <c r="B90" s="111" t="str">
        <f ca="1">IF($A90&lt;=NumPayItems,"Line "&amp;INDEX(Calcs[Line],$A90),"")</f>
        <v/>
      </c>
      <c r="C90" s="169" t="str">
        <f ca="1">IFERROR(IF($D90="LPSM","ALL",TEXT(INDEX(INDIRECT(RangeQuantity),MATCH($A90,INDIRECT(RangeCount),0)),"#,##0"&amp;IF(OFFSET(Items[],MATCH($A90,INDIRECT(RangeCount),0)-1,MATCH(Decimals,Items[#Headers],0)-1,1,1)&gt;0,"."&amp;REPT("0",OFFSET(Items[],MATCH($A90,INDIRECT(RangeCount),0)-1,MATCH(Decimals,Items[#Headers],0)-1,1,1)),""))),"")</f>
        <v/>
      </c>
      <c r="D90" s="170" t="str">
        <f ca="1">IFERROR(INDEX(INDIRECT(RangeUnit),MATCH($A90,INDIRECT(RangeCount),0)),"")</f>
        <v/>
      </c>
      <c r="E90" s="170" t="str">
        <f ca="1">IFERROR(IF(INDEX(INDIRECT(RangeContrQty),MATCH($A90,INDIRECT(RangeCount),0)),"(CQ)",""),"")</f>
        <v/>
      </c>
      <c r="F90" s="171" t="str">
        <f ca="1">IFERROR(INDEX(INDIRECT(RangeUnitPrice),MATCH($A90,INDIRECT(RangeCount),0)),"")</f>
        <v/>
      </c>
      <c r="G90" s="171" t="str">
        <f ca="1">IFERROR(VALUE(C90)*F90,F90)</f>
        <v/>
      </c>
      <c r="H90" s="388"/>
      <c r="I90" s="178" t="str">
        <f ca="1">IF($C90="","",IF($D90="LPSM",H89,VALUE($C90)*H89))</f>
        <v/>
      </c>
      <c r="J90" s="388"/>
      <c r="K90" s="178" t="str">
        <f ca="1">IF($C90="","",IF($D90="LPSM",J89,VALUE($C90)*J89))</f>
        <v/>
      </c>
      <c r="L90" s="388"/>
      <c r="M90" s="178" t="str">
        <f ca="1">IF($C90="","",IF($D90="LPSM",L89,VALUE($C90)*L89))</f>
        <v/>
      </c>
      <c r="N90" s="388"/>
      <c r="O90" s="178" t="str">
        <f ca="1">IF($C90="","",IF($D90="LPSM",N89,VALUE($C90)*N89))</f>
        <v/>
      </c>
      <c r="P90" s="388"/>
      <c r="Q90" s="178" t="str">
        <f ca="1">IF($C90="","",IF($D90="LPSM",P89,VALUE($C90)*P89))</f>
        <v/>
      </c>
      <c r="R90" s="388"/>
      <c r="S90" s="178" t="str">
        <f ca="1">IF($C90="","",IF($D90="LPSM",R89,VALUE($C90)*R89))</f>
        <v/>
      </c>
      <c r="T90" s="388"/>
      <c r="U90" s="178" t="str">
        <f ca="1">IF($C90="","",IF($D90="LPSM",T89,VALUE($C90)*T89))</f>
        <v/>
      </c>
      <c r="V90" s="388"/>
      <c r="W90" s="178" t="str">
        <f ca="1">IF($C90="","",IF($D90="LPSM",V89,VALUE($C90)*V89))</f>
        <v/>
      </c>
      <c r="X90" s="388"/>
      <c r="Y90" s="178" t="str">
        <f ca="1">IF($C90="","",IF($D90="LPSM",X89,VALUE($C90)*X89))</f>
        <v/>
      </c>
      <c r="Z90" s="388"/>
      <c r="AA90" s="178" t="str">
        <f ca="1">IF($C90="","",IF($D90="LPSM",Z89,VALUE($C90)*Z89))</f>
        <v/>
      </c>
      <c r="AB90" s="388"/>
      <c r="AC90" s="178" t="str">
        <f ca="1">IF($C90="","",IF($D90="LPSM",AB89,VALUE($C90)*AB89))</f>
        <v/>
      </c>
      <c r="AD90" s="388"/>
      <c r="AE90" s="178" t="str">
        <f ca="1">IF($C90="","",IF($D90="LPSM",AD89,VALUE($C90)*AD89))</f>
        <v/>
      </c>
      <c r="AF90" s="388"/>
      <c r="AG90" s="178" t="str">
        <f ca="1">IF($C90="","",IF($D90="LPSM",AF89,VALUE($C90)*AF89))</f>
        <v/>
      </c>
      <c r="AH90" s="388"/>
      <c r="AI90" s="178" t="str">
        <f ca="1">IF($C90="","",IF($D90="LPSM",AH89,VALUE($C90)*AH89))</f>
        <v/>
      </c>
      <c r="AJ90" s="388"/>
      <c r="AK90" s="178" t="str">
        <f ca="1">IF($C90="","",IF($D90="LPSM",AJ89,VALUE($C90)*AJ89))</f>
        <v/>
      </c>
      <c r="AL90" s="388"/>
      <c r="AM90" s="178" t="str">
        <f ca="1">IF($C90="","",IF($D90="LPSM",AL89,VALUE($C90)*AL89))</f>
        <v/>
      </c>
      <c r="AN90" s="388"/>
      <c r="AO90" s="178" t="str">
        <f ca="1">IF($C90="","",IF($D90="LPSM",AN89,VALUE($C90)*AN89))</f>
        <v/>
      </c>
      <c r="AP90" s="388"/>
      <c r="AQ90" s="178" t="str">
        <f ca="1">IF($C90="","",IF($D90="LPSM",AP89,VALUE($C90)*AP89))</f>
        <v/>
      </c>
      <c r="AR90" s="209" t="str">
        <f ca="1">IF(LEN(B90)&gt;0,ISNUMBER(MATCH(B90,Proposed[Item],0)),"")</f>
        <v/>
      </c>
    </row>
    <row r="91" spans="1:44" ht="15" x14ac:dyDescent="0.2">
      <c r="A91" s="276">
        <f t="shared" ca="1" si="1"/>
        <v>42</v>
      </c>
      <c r="B91" s="168" t="str">
        <f ca="1">IFERROR(INDEX(INDIRECT(RangeItems),MATCH($A91,INDIRECT(RangeCount),0)),"")</f>
        <v/>
      </c>
      <c r="C91" s="365" t="str">
        <f ca="1">INDEX(Calcs[Description],$A91)</f>
        <v/>
      </c>
      <c r="D91" s="365"/>
      <c r="E91" s="365"/>
      <c r="F91" s="365"/>
      <c r="G91" s="365"/>
      <c r="H91" s="388"/>
      <c r="I91" s="177"/>
      <c r="J91" s="388"/>
      <c r="K91" s="177"/>
      <c r="L91" s="388"/>
      <c r="M91" s="177"/>
      <c r="N91" s="388"/>
      <c r="O91" s="177"/>
      <c r="P91" s="388"/>
      <c r="Q91" s="177"/>
      <c r="R91" s="388"/>
      <c r="S91" s="177"/>
      <c r="T91" s="388"/>
      <c r="U91" s="177"/>
      <c r="V91" s="388"/>
      <c r="W91" s="177"/>
      <c r="X91" s="388"/>
      <c r="Y91" s="177"/>
      <c r="Z91" s="388"/>
      <c r="AA91" s="177"/>
      <c r="AB91" s="388"/>
      <c r="AC91" s="177"/>
      <c r="AD91" s="388"/>
      <c r="AE91" s="177"/>
      <c r="AF91" s="388"/>
      <c r="AG91" s="177"/>
      <c r="AH91" s="388"/>
      <c r="AI91" s="177"/>
      <c r="AJ91" s="388"/>
      <c r="AK91" s="177"/>
      <c r="AL91" s="388"/>
      <c r="AM91" s="177"/>
      <c r="AN91" s="388"/>
      <c r="AO91" s="177"/>
      <c r="AP91" s="388"/>
      <c r="AQ91" s="177"/>
      <c r="AR91" s="209" t="str">
        <f ca="1">IF(LEN(B91)&gt;0,ISNUMBER(MATCH(B91,Proposed[Item],0)),"")</f>
        <v/>
      </c>
    </row>
    <row r="92" spans="1:44" ht="15" x14ac:dyDescent="0.2">
      <c r="A92" s="276">
        <f t="shared" ca="1" si="1"/>
        <v>42</v>
      </c>
      <c r="B92" s="111" t="str">
        <f ca="1">IF($A92&lt;=NumPayItems,"Line "&amp;INDEX(Calcs[Line],$A92),"")</f>
        <v/>
      </c>
      <c r="C92" s="169" t="str">
        <f ca="1">IFERROR(IF($D92="LPSM","ALL",TEXT(INDEX(INDIRECT(RangeQuantity),MATCH($A92,INDIRECT(RangeCount),0)),"#,##0"&amp;IF(OFFSET(Items[],MATCH($A92,INDIRECT(RangeCount),0)-1,MATCH(Decimals,Items[#Headers],0)-1,1,1)&gt;0,"."&amp;REPT("0",OFFSET(Items[],MATCH($A92,INDIRECT(RangeCount),0)-1,MATCH(Decimals,Items[#Headers],0)-1,1,1)),""))),"")</f>
        <v/>
      </c>
      <c r="D92" s="170" t="str">
        <f ca="1">IFERROR(INDEX(INDIRECT(RangeUnit),MATCH($A92,INDIRECT(RangeCount),0)),"")</f>
        <v/>
      </c>
      <c r="E92" s="170" t="str">
        <f ca="1">IFERROR(IF(INDEX(INDIRECT(RangeContrQty),MATCH($A92,INDIRECT(RangeCount),0)),"(CQ)",""),"")</f>
        <v/>
      </c>
      <c r="F92" s="171" t="str">
        <f ca="1">IFERROR(INDEX(INDIRECT(RangeUnitPrice),MATCH($A92,INDIRECT(RangeCount),0)),"")</f>
        <v/>
      </c>
      <c r="G92" s="171" t="str">
        <f ca="1">IFERROR(VALUE(C92)*F92,F92)</f>
        <v/>
      </c>
      <c r="H92" s="388"/>
      <c r="I92" s="178" t="str">
        <f ca="1">IF($C92="","",IF($D92="LPSM",H91,VALUE($C92)*H91))</f>
        <v/>
      </c>
      <c r="J92" s="388"/>
      <c r="K92" s="178" t="str">
        <f ca="1">IF($C92="","",IF($D92="LPSM",J91,VALUE($C92)*J91))</f>
        <v/>
      </c>
      <c r="L92" s="388"/>
      <c r="M92" s="178" t="str">
        <f ca="1">IF($C92="","",IF($D92="LPSM",L91,VALUE($C92)*L91))</f>
        <v/>
      </c>
      <c r="N92" s="388"/>
      <c r="O92" s="178" t="str">
        <f ca="1">IF($C92="","",IF($D92="LPSM",N91,VALUE($C92)*N91))</f>
        <v/>
      </c>
      <c r="P92" s="388"/>
      <c r="Q92" s="178" t="str">
        <f ca="1">IF($C92="","",IF($D92="LPSM",P91,VALUE($C92)*P91))</f>
        <v/>
      </c>
      <c r="R92" s="388"/>
      <c r="S92" s="178" t="str">
        <f ca="1">IF($C92="","",IF($D92="LPSM",R91,VALUE($C92)*R91))</f>
        <v/>
      </c>
      <c r="T92" s="388"/>
      <c r="U92" s="178" t="str">
        <f ca="1">IF($C92="","",IF($D92="LPSM",T91,VALUE($C92)*T91))</f>
        <v/>
      </c>
      <c r="V92" s="388"/>
      <c r="W92" s="178" t="str">
        <f ca="1">IF($C92="","",IF($D92="LPSM",V91,VALUE($C92)*V91))</f>
        <v/>
      </c>
      <c r="X92" s="388"/>
      <c r="Y92" s="178" t="str">
        <f ca="1">IF($C92="","",IF($D92="LPSM",X91,VALUE($C92)*X91))</f>
        <v/>
      </c>
      <c r="Z92" s="388"/>
      <c r="AA92" s="178" t="str">
        <f ca="1">IF($C92="","",IF($D92="LPSM",Z91,VALUE($C92)*Z91))</f>
        <v/>
      </c>
      <c r="AB92" s="388"/>
      <c r="AC92" s="178" t="str">
        <f ca="1">IF($C92="","",IF($D92="LPSM",AB91,VALUE($C92)*AB91))</f>
        <v/>
      </c>
      <c r="AD92" s="388"/>
      <c r="AE92" s="178" t="str">
        <f ca="1">IF($C92="","",IF($D92="LPSM",AD91,VALUE($C92)*AD91))</f>
        <v/>
      </c>
      <c r="AF92" s="388"/>
      <c r="AG92" s="178" t="str">
        <f ca="1">IF($C92="","",IF($D92="LPSM",AF91,VALUE($C92)*AF91))</f>
        <v/>
      </c>
      <c r="AH92" s="388"/>
      <c r="AI92" s="178" t="str">
        <f ca="1">IF($C92="","",IF($D92="LPSM",AH91,VALUE($C92)*AH91))</f>
        <v/>
      </c>
      <c r="AJ92" s="388"/>
      <c r="AK92" s="178" t="str">
        <f ca="1">IF($C92="","",IF($D92="LPSM",AJ91,VALUE($C92)*AJ91))</f>
        <v/>
      </c>
      <c r="AL92" s="388"/>
      <c r="AM92" s="178" t="str">
        <f ca="1">IF($C92="","",IF($D92="LPSM",AL91,VALUE($C92)*AL91))</f>
        <v/>
      </c>
      <c r="AN92" s="388"/>
      <c r="AO92" s="178" t="str">
        <f ca="1">IF($C92="","",IF($D92="LPSM",AN91,VALUE($C92)*AN91))</f>
        <v/>
      </c>
      <c r="AP92" s="388"/>
      <c r="AQ92" s="178" t="str">
        <f ca="1">IF($C92="","",IF($D92="LPSM",AP91,VALUE($C92)*AP91))</f>
        <v/>
      </c>
      <c r="AR92" s="209" t="str">
        <f ca="1">IF(LEN(B92)&gt;0,ISNUMBER(MATCH(B92,Proposed[Item],0)),"")</f>
        <v/>
      </c>
    </row>
    <row r="93" spans="1:44" ht="15" x14ac:dyDescent="0.2">
      <c r="A93" s="276">
        <f t="shared" ca="1" si="1"/>
        <v>43</v>
      </c>
      <c r="B93" s="168" t="str">
        <f ca="1">IFERROR(INDEX(INDIRECT(RangeItems),MATCH($A93,INDIRECT(RangeCount),0)),"")</f>
        <v/>
      </c>
      <c r="C93" s="365" t="str">
        <f ca="1">INDEX(Calcs[Description],$A93)</f>
        <v/>
      </c>
      <c r="D93" s="365"/>
      <c r="E93" s="365"/>
      <c r="F93" s="365"/>
      <c r="G93" s="365"/>
      <c r="H93" s="388"/>
      <c r="I93" s="177"/>
      <c r="J93" s="388"/>
      <c r="K93" s="177"/>
      <c r="L93" s="388"/>
      <c r="M93" s="177"/>
      <c r="N93" s="388"/>
      <c r="O93" s="177"/>
      <c r="P93" s="388"/>
      <c r="Q93" s="177"/>
      <c r="R93" s="388"/>
      <c r="S93" s="177"/>
      <c r="T93" s="388"/>
      <c r="U93" s="177"/>
      <c r="V93" s="388"/>
      <c r="W93" s="177"/>
      <c r="X93" s="388"/>
      <c r="Y93" s="177"/>
      <c r="Z93" s="388"/>
      <c r="AA93" s="177"/>
      <c r="AB93" s="388"/>
      <c r="AC93" s="177"/>
      <c r="AD93" s="388"/>
      <c r="AE93" s="177"/>
      <c r="AF93" s="388"/>
      <c r="AG93" s="177"/>
      <c r="AH93" s="388"/>
      <c r="AI93" s="177"/>
      <c r="AJ93" s="388"/>
      <c r="AK93" s="177"/>
      <c r="AL93" s="388"/>
      <c r="AM93" s="177"/>
      <c r="AN93" s="388"/>
      <c r="AO93" s="177"/>
      <c r="AP93" s="388"/>
      <c r="AQ93" s="177"/>
      <c r="AR93" s="209" t="str">
        <f ca="1">IF(LEN(B93)&gt;0,ISNUMBER(MATCH(B93,Proposed[Item],0)),"")</f>
        <v/>
      </c>
    </row>
    <row r="94" spans="1:44" ht="15" x14ac:dyDescent="0.2">
      <c r="A94" s="276">
        <f t="shared" ca="1" si="1"/>
        <v>43</v>
      </c>
      <c r="B94" s="111" t="str">
        <f ca="1">IF($A94&lt;=NumPayItems,"Line "&amp;INDEX(Calcs[Line],$A94),"")</f>
        <v/>
      </c>
      <c r="C94" s="169" t="str">
        <f ca="1">IFERROR(IF($D94="LPSM","ALL",TEXT(INDEX(INDIRECT(RangeQuantity),MATCH($A94,INDIRECT(RangeCount),0)),"#,##0"&amp;IF(OFFSET(Items[],MATCH($A94,INDIRECT(RangeCount),0)-1,MATCH(Decimals,Items[#Headers],0)-1,1,1)&gt;0,"."&amp;REPT("0",OFFSET(Items[],MATCH($A94,INDIRECT(RangeCount),0)-1,MATCH(Decimals,Items[#Headers],0)-1,1,1)),""))),"")</f>
        <v/>
      </c>
      <c r="D94" s="170" t="str">
        <f ca="1">IFERROR(INDEX(INDIRECT(RangeUnit),MATCH($A94,INDIRECT(RangeCount),0)),"")</f>
        <v/>
      </c>
      <c r="E94" s="170" t="str">
        <f ca="1">IFERROR(IF(INDEX(INDIRECT(RangeContrQty),MATCH($A94,INDIRECT(RangeCount),0)),"(CQ)",""),"")</f>
        <v/>
      </c>
      <c r="F94" s="171" t="str">
        <f ca="1">IFERROR(INDEX(INDIRECT(RangeUnitPrice),MATCH($A94,INDIRECT(RangeCount),0)),"")</f>
        <v/>
      </c>
      <c r="G94" s="171" t="str">
        <f ca="1">IFERROR(VALUE(C94)*F94,F94)</f>
        <v/>
      </c>
      <c r="H94" s="388"/>
      <c r="I94" s="178" t="str">
        <f ca="1">IF($C94="","",IF($D94="LPSM",H93,VALUE($C94)*H93))</f>
        <v/>
      </c>
      <c r="J94" s="388"/>
      <c r="K94" s="178" t="str">
        <f ca="1">IF($C94="","",IF($D94="LPSM",J93,VALUE($C94)*J93))</f>
        <v/>
      </c>
      <c r="L94" s="388"/>
      <c r="M94" s="178" t="str">
        <f ca="1">IF($C94="","",IF($D94="LPSM",L93,VALUE($C94)*L93))</f>
        <v/>
      </c>
      <c r="N94" s="388"/>
      <c r="O94" s="178" t="str">
        <f ca="1">IF($C94="","",IF($D94="LPSM",N93,VALUE($C94)*N93))</f>
        <v/>
      </c>
      <c r="P94" s="388"/>
      <c r="Q94" s="178" t="str">
        <f ca="1">IF($C94="","",IF($D94="LPSM",P93,VALUE($C94)*P93))</f>
        <v/>
      </c>
      <c r="R94" s="388"/>
      <c r="S94" s="178" t="str">
        <f ca="1">IF($C94="","",IF($D94="LPSM",R93,VALUE($C94)*R93))</f>
        <v/>
      </c>
      <c r="T94" s="388"/>
      <c r="U94" s="178" t="str">
        <f ca="1">IF($C94="","",IF($D94="LPSM",T93,VALUE($C94)*T93))</f>
        <v/>
      </c>
      <c r="V94" s="388"/>
      <c r="W94" s="178" t="str">
        <f ca="1">IF($C94="","",IF($D94="LPSM",V93,VALUE($C94)*V93))</f>
        <v/>
      </c>
      <c r="X94" s="388"/>
      <c r="Y94" s="178" t="str">
        <f ca="1">IF($C94="","",IF($D94="LPSM",X93,VALUE($C94)*X93))</f>
        <v/>
      </c>
      <c r="Z94" s="388"/>
      <c r="AA94" s="178" t="str">
        <f ca="1">IF($C94="","",IF($D94="LPSM",Z93,VALUE($C94)*Z93))</f>
        <v/>
      </c>
      <c r="AB94" s="388"/>
      <c r="AC94" s="178" t="str">
        <f ca="1">IF($C94="","",IF($D94="LPSM",AB93,VALUE($C94)*AB93))</f>
        <v/>
      </c>
      <c r="AD94" s="388"/>
      <c r="AE94" s="178" t="str">
        <f ca="1">IF($C94="","",IF($D94="LPSM",AD93,VALUE($C94)*AD93))</f>
        <v/>
      </c>
      <c r="AF94" s="388"/>
      <c r="AG94" s="178" t="str">
        <f ca="1">IF($C94="","",IF($D94="LPSM",AF93,VALUE($C94)*AF93))</f>
        <v/>
      </c>
      <c r="AH94" s="388"/>
      <c r="AI94" s="178" t="str">
        <f ca="1">IF($C94="","",IF($D94="LPSM",AH93,VALUE($C94)*AH93))</f>
        <v/>
      </c>
      <c r="AJ94" s="388"/>
      <c r="AK94" s="178" t="str">
        <f ca="1">IF($C94="","",IF($D94="LPSM",AJ93,VALUE($C94)*AJ93))</f>
        <v/>
      </c>
      <c r="AL94" s="388"/>
      <c r="AM94" s="178" t="str">
        <f ca="1">IF($C94="","",IF($D94="LPSM",AL93,VALUE($C94)*AL93))</f>
        <v/>
      </c>
      <c r="AN94" s="388"/>
      <c r="AO94" s="178" t="str">
        <f ca="1">IF($C94="","",IF($D94="LPSM",AN93,VALUE($C94)*AN93))</f>
        <v/>
      </c>
      <c r="AP94" s="388"/>
      <c r="AQ94" s="178" t="str">
        <f ca="1">IF($C94="","",IF($D94="LPSM",AP93,VALUE($C94)*AP93))</f>
        <v/>
      </c>
      <c r="AR94" s="209" t="str">
        <f ca="1">IF(LEN(B94)&gt;0,ISNUMBER(MATCH(B94,Proposed[Item],0)),"")</f>
        <v/>
      </c>
    </row>
    <row r="95" spans="1:44" ht="15" x14ac:dyDescent="0.2">
      <c r="A95" s="276">
        <f t="shared" ca="1" si="1"/>
        <v>44</v>
      </c>
      <c r="B95" s="168" t="str">
        <f ca="1">IFERROR(INDEX(INDIRECT(RangeItems),MATCH($A95,INDIRECT(RangeCount),0)),"")</f>
        <v/>
      </c>
      <c r="C95" s="365" t="str">
        <f ca="1">INDEX(Calcs[Description],$A95)</f>
        <v/>
      </c>
      <c r="D95" s="365"/>
      <c r="E95" s="365"/>
      <c r="F95" s="365"/>
      <c r="G95" s="365"/>
      <c r="H95" s="388"/>
      <c r="I95" s="177"/>
      <c r="J95" s="388"/>
      <c r="K95" s="177"/>
      <c r="L95" s="388"/>
      <c r="M95" s="177"/>
      <c r="N95" s="388"/>
      <c r="O95" s="177"/>
      <c r="P95" s="388"/>
      <c r="Q95" s="177"/>
      <c r="R95" s="388"/>
      <c r="S95" s="177"/>
      <c r="T95" s="388"/>
      <c r="U95" s="177"/>
      <c r="V95" s="388"/>
      <c r="W95" s="177"/>
      <c r="X95" s="388"/>
      <c r="Y95" s="177"/>
      <c r="Z95" s="388"/>
      <c r="AA95" s="177"/>
      <c r="AB95" s="388"/>
      <c r="AC95" s="177"/>
      <c r="AD95" s="388"/>
      <c r="AE95" s="177"/>
      <c r="AF95" s="388"/>
      <c r="AG95" s="177"/>
      <c r="AH95" s="388"/>
      <c r="AI95" s="177"/>
      <c r="AJ95" s="388"/>
      <c r="AK95" s="177"/>
      <c r="AL95" s="388"/>
      <c r="AM95" s="177"/>
      <c r="AN95" s="388"/>
      <c r="AO95" s="177"/>
      <c r="AP95" s="388"/>
      <c r="AQ95" s="177"/>
      <c r="AR95" s="209" t="str">
        <f ca="1">IF(LEN(B95)&gt;0,ISNUMBER(MATCH(B95,Proposed[Item],0)),"")</f>
        <v/>
      </c>
    </row>
    <row r="96" spans="1:44" ht="15" x14ac:dyDescent="0.2">
      <c r="A96" s="276">
        <f t="shared" ca="1" si="1"/>
        <v>44</v>
      </c>
      <c r="B96" s="111" t="str">
        <f ca="1">IF($A96&lt;=NumPayItems,"Line "&amp;INDEX(Calcs[Line],$A96),"")</f>
        <v/>
      </c>
      <c r="C96" s="169" t="str">
        <f ca="1">IFERROR(IF($D96="LPSM","ALL",TEXT(INDEX(INDIRECT(RangeQuantity),MATCH($A96,INDIRECT(RangeCount),0)),"#,##0"&amp;IF(OFFSET(Items[],MATCH($A96,INDIRECT(RangeCount),0)-1,MATCH(Decimals,Items[#Headers],0)-1,1,1)&gt;0,"."&amp;REPT("0",OFFSET(Items[],MATCH($A96,INDIRECT(RangeCount),0)-1,MATCH(Decimals,Items[#Headers],0)-1,1,1)),""))),"")</f>
        <v/>
      </c>
      <c r="D96" s="170" t="str">
        <f ca="1">IFERROR(INDEX(INDIRECT(RangeUnit),MATCH($A96,INDIRECT(RangeCount),0)),"")</f>
        <v/>
      </c>
      <c r="E96" s="170" t="str">
        <f ca="1">IFERROR(IF(INDEX(INDIRECT(RangeContrQty),MATCH($A96,INDIRECT(RangeCount),0)),"(CQ)",""),"")</f>
        <v/>
      </c>
      <c r="F96" s="171" t="str">
        <f ca="1">IFERROR(INDEX(INDIRECT(RangeUnitPrice),MATCH($A96,INDIRECT(RangeCount),0)),"")</f>
        <v/>
      </c>
      <c r="G96" s="171" t="str">
        <f ca="1">IFERROR(VALUE(C96)*F96,F96)</f>
        <v/>
      </c>
      <c r="H96" s="388"/>
      <c r="I96" s="178" t="str">
        <f ca="1">IF($C96="","",IF($D96="LPSM",H95,VALUE($C96)*H95))</f>
        <v/>
      </c>
      <c r="J96" s="388"/>
      <c r="K96" s="178" t="str">
        <f ca="1">IF($C96="","",IF($D96="LPSM",J95,VALUE($C96)*J95))</f>
        <v/>
      </c>
      <c r="L96" s="388"/>
      <c r="M96" s="178" t="str">
        <f ca="1">IF($C96="","",IF($D96="LPSM",L95,VALUE($C96)*L95))</f>
        <v/>
      </c>
      <c r="N96" s="388"/>
      <c r="O96" s="178" t="str">
        <f ca="1">IF($C96="","",IF($D96="LPSM",N95,VALUE($C96)*N95))</f>
        <v/>
      </c>
      <c r="P96" s="388"/>
      <c r="Q96" s="178" t="str">
        <f ca="1">IF($C96="","",IF($D96="LPSM",P95,VALUE($C96)*P95))</f>
        <v/>
      </c>
      <c r="R96" s="388"/>
      <c r="S96" s="178" t="str">
        <f ca="1">IF($C96="","",IF($D96="LPSM",R95,VALUE($C96)*R95))</f>
        <v/>
      </c>
      <c r="T96" s="388"/>
      <c r="U96" s="178" t="str">
        <f ca="1">IF($C96="","",IF($D96="LPSM",T95,VALUE($C96)*T95))</f>
        <v/>
      </c>
      <c r="V96" s="388"/>
      <c r="W96" s="178" t="str">
        <f ca="1">IF($C96="","",IF($D96="LPSM",V95,VALUE($C96)*V95))</f>
        <v/>
      </c>
      <c r="X96" s="388"/>
      <c r="Y96" s="178" t="str">
        <f ca="1">IF($C96="","",IF($D96="LPSM",X95,VALUE($C96)*X95))</f>
        <v/>
      </c>
      <c r="Z96" s="388"/>
      <c r="AA96" s="178" t="str">
        <f ca="1">IF($C96="","",IF($D96="LPSM",Z95,VALUE($C96)*Z95))</f>
        <v/>
      </c>
      <c r="AB96" s="388"/>
      <c r="AC96" s="178" t="str">
        <f ca="1">IF($C96="","",IF($D96="LPSM",AB95,VALUE($C96)*AB95))</f>
        <v/>
      </c>
      <c r="AD96" s="388"/>
      <c r="AE96" s="178" t="str">
        <f ca="1">IF($C96="","",IF($D96="LPSM",AD95,VALUE($C96)*AD95))</f>
        <v/>
      </c>
      <c r="AF96" s="388"/>
      <c r="AG96" s="178" t="str">
        <f ca="1">IF($C96="","",IF($D96="LPSM",AF95,VALUE($C96)*AF95))</f>
        <v/>
      </c>
      <c r="AH96" s="388"/>
      <c r="AI96" s="178" t="str">
        <f ca="1">IF($C96="","",IF($D96="LPSM",AH95,VALUE($C96)*AH95))</f>
        <v/>
      </c>
      <c r="AJ96" s="388"/>
      <c r="AK96" s="178" t="str">
        <f ca="1">IF($C96="","",IF($D96="LPSM",AJ95,VALUE($C96)*AJ95))</f>
        <v/>
      </c>
      <c r="AL96" s="388"/>
      <c r="AM96" s="178" t="str">
        <f ca="1">IF($C96="","",IF($D96="LPSM",AL95,VALUE($C96)*AL95))</f>
        <v/>
      </c>
      <c r="AN96" s="388"/>
      <c r="AO96" s="178" t="str">
        <f ca="1">IF($C96="","",IF($D96="LPSM",AN95,VALUE($C96)*AN95))</f>
        <v/>
      </c>
      <c r="AP96" s="388"/>
      <c r="AQ96" s="178" t="str">
        <f ca="1">IF($C96="","",IF($D96="LPSM",AP95,VALUE($C96)*AP95))</f>
        <v/>
      </c>
      <c r="AR96" s="209" t="str">
        <f ca="1">IF(LEN(B96)&gt;0,ISNUMBER(MATCH(B96,Proposed[Item],0)),"")</f>
        <v/>
      </c>
    </row>
    <row r="97" spans="1:44" ht="15" x14ac:dyDescent="0.2">
      <c r="A97" s="276">
        <f t="shared" ca="1" si="1"/>
        <v>45</v>
      </c>
      <c r="B97" s="168" t="str">
        <f ca="1">IFERROR(INDEX(INDIRECT(RangeItems),MATCH($A97,INDIRECT(RangeCount),0)),"")</f>
        <v/>
      </c>
      <c r="C97" s="365" t="str">
        <f ca="1">INDEX(Calcs[Description],$A97)</f>
        <v/>
      </c>
      <c r="D97" s="365"/>
      <c r="E97" s="365"/>
      <c r="F97" s="365"/>
      <c r="G97" s="365"/>
      <c r="H97" s="388"/>
      <c r="I97" s="177"/>
      <c r="J97" s="388"/>
      <c r="K97" s="177"/>
      <c r="L97" s="388"/>
      <c r="M97" s="177"/>
      <c r="N97" s="388"/>
      <c r="O97" s="177"/>
      <c r="P97" s="388"/>
      <c r="Q97" s="177"/>
      <c r="R97" s="388"/>
      <c r="S97" s="177"/>
      <c r="T97" s="388"/>
      <c r="U97" s="177"/>
      <c r="V97" s="388"/>
      <c r="W97" s="177"/>
      <c r="X97" s="388"/>
      <c r="Y97" s="177"/>
      <c r="Z97" s="388"/>
      <c r="AA97" s="177"/>
      <c r="AB97" s="388"/>
      <c r="AC97" s="177"/>
      <c r="AD97" s="388"/>
      <c r="AE97" s="177"/>
      <c r="AF97" s="388"/>
      <c r="AG97" s="177"/>
      <c r="AH97" s="388"/>
      <c r="AI97" s="177"/>
      <c r="AJ97" s="388"/>
      <c r="AK97" s="177"/>
      <c r="AL97" s="388"/>
      <c r="AM97" s="177"/>
      <c r="AN97" s="388"/>
      <c r="AO97" s="177"/>
      <c r="AP97" s="388"/>
      <c r="AQ97" s="177"/>
      <c r="AR97" s="209" t="str">
        <f ca="1">IF(LEN(B97)&gt;0,ISNUMBER(MATCH(B97,Proposed[Item],0)),"")</f>
        <v/>
      </c>
    </row>
    <row r="98" spans="1:44" ht="15" x14ac:dyDescent="0.2">
      <c r="A98" s="276">
        <f t="shared" ca="1" si="1"/>
        <v>45</v>
      </c>
      <c r="B98" s="111" t="str">
        <f ca="1">IF($A98&lt;=NumPayItems,"Line "&amp;INDEX(Calcs[Line],$A98),"")</f>
        <v/>
      </c>
      <c r="C98" s="169" t="str">
        <f ca="1">IFERROR(IF($D98="LPSM","ALL",TEXT(INDEX(INDIRECT(RangeQuantity),MATCH($A98,INDIRECT(RangeCount),0)),"#,##0"&amp;IF(OFFSET(Items[],MATCH($A98,INDIRECT(RangeCount),0)-1,MATCH(Decimals,Items[#Headers],0)-1,1,1)&gt;0,"."&amp;REPT("0",OFFSET(Items[],MATCH($A98,INDIRECT(RangeCount),0)-1,MATCH(Decimals,Items[#Headers],0)-1,1,1)),""))),"")</f>
        <v/>
      </c>
      <c r="D98" s="170" t="str">
        <f ca="1">IFERROR(INDEX(INDIRECT(RangeUnit),MATCH($A98,INDIRECT(RangeCount),0)),"")</f>
        <v/>
      </c>
      <c r="E98" s="170" t="str">
        <f ca="1">IFERROR(IF(INDEX(INDIRECT(RangeContrQty),MATCH($A98,INDIRECT(RangeCount),0)),"(CQ)",""),"")</f>
        <v/>
      </c>
      <c r="F98" s="171" t="str">
        <f ca="1">IFERROR(INDEX(INDIRECT(RangeUnitPrice),MATCH($A98,INDIRECT(RangeCount),0)),"")</f>
        <v/>
      </c>
      <c r="G98" s="171" t="str">
        <f ca="1">IFERROR(VALUE(C98)*F98,F98)</f>
        <v/>
      </c>
      <c r="H98" s="388"/>
      <c r="I98" s="178" t="str">
        <f ca="1">IF($C98="","",IF($D98="LPSM",H97,VALUE($C98)*H97))</f>
        <v/>
      </c>
      <c r="J98" s="388"/>
      <c r="K98" s="178" t="str">
        <f ca="1">IF($C98="","",IF($D98="LPSM",J97,VALUE($C98)*J97))</f>
        <v/>
      </c>
      <c r="L98" s="388"/>
      <c r="M98" s="178" t="str">
        <f ca="1">IF($C98="","",IF($D98="LPSM",L97,VALUE($C98)*L97))</f>
        <v/>
      </c>
      <c r="N98" s="388"/>
      <c r="O98" s="178" t="str">
        <f ca="1">IF($C98="","",IF($D98="LPSM",N97,VALUE($C98)*N97))</f>
        <v/>
      </c>
      <c r="P98" s="388"/>
      <c r="Q98" s="178" t="str">
        <f ca="1">IF($C98="","",IF($D98="LPSM",P97,VALUE($C98)*P97))</f>
        <v/>
      </c>
      <c r="R98" s="388"/>
      <c r="S98" s="178" t="str">
        <f ca="1">IF($C98="","",IF($D98="LPSM",R97,VALUE($C98)*R97))</f>
        <v/>
      </c>
      <c r="T98" s="388"/>
      <c r="U98" s="178" t="str">
        <f ca="1">IF($C98="","",IF($D98="LPSM",T97,VALUE($C98)*T97))</f>
        <v/>
      </c>
      <c r="V98" s="388"/>
      <c r="W98" s="178" t="str">
        <f ca="1">IF($C98="","",IF($D98="LPSM",V97,VALUE($C98)*V97))</f>
        <v/>
      </c>
      <c r="X98" s="388"/>
      <c r="Y98" s="178" t="str">
        <f ca="1">IF($C98="","",IF($D98="LPSM",X97,VALUE($C98)*X97))</f>
        <v/>
      </c>
      <c r="Z98" s="388"/>
      <c r="AA98" s="178" t="str">
        <f ca="1">IF($C98="","",IF($D98="LPSM",Z97,VALUE($C98)*Z97))</f>
        <v/>
      </c>
      <c r="AB98" s="388"/>
      <c r="AC98" s="178" t="str">
        <f ca="1">IF($C98="","",IF($D98="LPSM",AB97,VALUE($C98)*AB97))</f>
        <v/>
      </c>
      <c r="AD98" s="388"/>
      <c r="AE98" s="178" t="str">
        <f ca="1">IF($C98="","",IF($D98="LPSM",AD97,VALUE($C98)*AD97))</f>
        <v/>
      </c>
      <c r="AF98" s="388"/>
      <c r="AG98" s="178" t="str">
        <f ca="1">IF($C98="","",IF($D98="LPSM",AF97,VALUE($C98)*AF97))</f>
        <v/>
      </c>
      <c r="AH98" s="388"/>
      <c r="AI98" s="178" t="str">
        <f ca="1">IF($C98="","",IF($D98="LPSM",AH97,VALUE($C98)*AH97))</f>
        <v/>
      </c>
      <c r="AJ98" s="388"/>
      <c r="AK98" s="178" t="str">
        <f ca="1">IF($C98="","",IF($D98="LPSM",AJ97,VALUE($C98)*AJ97))</f>
        <v/>
      </c>
      <c r="AL98" s="388"/>
      <c r="AM98" s="178" t="str">
        <f ca="1">IF($C98="","",IF($D98="LPSM",AL97,VALUE($C98)*AL97))</f>
        <v/>
      </c>
      <c r="AN98" s="388"/>
      <c r="AO98" s="178" t="str">
        <f ca="1">IF($C98="","",IF($D98="LPSM",AN97,VALUE($C98)*AN97))</f>
        <v/>
      </c>
      <c r="AP98" s="388"/>
      <c r="AQ98" s="178" t="str">
        <f ca="1">IF($C98="","",IF($D98="LPSM",AP97,VALUE($C98)*AP97))</f>
        <v/>
      </c>
      <c r="AR98" s="209" t="str">
        <f ca="1">IF(LEN(B98)&gt;0,ISNUMBER(MATCH(B98,Proposed[Item],0)),"")</f>
        <v/>
      </c>
    </row>
    <row r="99" spans="1:44" ht="15" x14ac:dyDescent="0.2">
      <c r="A99" s="276">
        <f t="shared" ca="1" si="1"/>
        <v>46</v>
      </c>
      <c r="B99" s="168" t="str">
        <f ca="1">IFERROR(INDEX(INDIRECT(RangeItems),MATCH($A99,INDIRECT(RangeCount),0)),"")</f>
        <v/>
      </c>
      <c r="C99" s="365" t="str">
        <f ca="1">INDEX(Calcs[Description],$A99)</f>
        <v/>
      </c>
      <c r="D99" s="365"/>
      <c r="E99" s="365"/>
      <c r="F99" s="365"/>
      <c r="G99" s="365"/>
      <c r="H99" s="388"/>
      <c r="I99" s="177"/>
      <c r="J99" s="388"/>
      <c r="K99" s="177"/>
      <c r="L99" s="388"/>
      <c r="M99" s="177"/>
      <c r="N99" s="388"/>
      <c r="O99" s="177"/>
      <c r="P99" s="388"/>
      <c r="Q99" s="177"/>
      <c r="R99" s="388"/>
      <c r="S99" s="177"/>
      <c r="T99" s="388"/>
      <c r="U99" s="177"/>
      <c r="V99" s="388"/>
      <c r="W99" s="177"/>
      <c r="X99" s="388"/>
      <c r="Y99" s="177"/>
      <c r="Z99" s="388"/>
      <c r="AA99" s="177"/>
      <c r="AB99" s="388"/>
      <c r="AC99" s="177"/>
      <c r="AD99" s="388"/>
      <c r="AE99" s="177"/>
      <c r="AF99" s="388"/>
      <c r="AG99" s="177"/>
      <c r="AH99" s="388"/>
      <c r="AI99" s="177"/>
      <c r="AJ99" s="388"/>
      <c r="AK99" s="177"/>
      <c r="AL99" s="388"/>
      <c r="AM99" s="177"/>
      <c r="AN99" s="388"/>
      <c r="AO99" s="177"/>
      <c r="AP99" s="388"/>
      <c r="AQ99" s="177"/>
      <c r="AR99" s="209" t="str">
        <f ca="1">IF(LEN(B99)&gt;0,ISNUMBER(MATCH(B99,Proposed[Item],0)),"")</f>
        <v/>
      </c>
    </row>
    <row r="100" spans="1:44" ht="15" x14ac:dyDescent="0.2">
      <c r="A100" s="276">
        <f t="shared" ca="1" si="1"/>
        <v>46</v>
      </c>
      <c r="B100" s="111" t="str">
        <f ca="1">IF($A100&lt;=NumPayItems,"Line "&amp;INDEX(Calcs[Line],$A100),"")</f>
        <v/>
      </c>
      <c r="C100" s="169" t="str">
        <f ca="1">IFERROR(IF($D100="LPSM","ALL",TEXT(INDEX(INDIRECT(RangeQuantity),MATCH($A100,INDIRECT(RangeCount),0)),"#,##0"&amp;IF(OFFSET(Items[],MATCH($A100,INDIRECT(RangeCount),0)-1,MATCH(Decimals,Items[#Headers],0)-1,1,1)&gt;0,"."&amp;REPT("0",OFFSET(Items[],MATCH($A100,INDIRECT(RangeCount),0)-1,MATCH(Decimals,Items[#Headers],0)-1,1,1)),""))),"")</f>
        <v/>
      </c>
      <c r="D100" s="170" t="str">
        <f ca="1">IFERROR(INDEX(INDIRECT(RangeUnit),MATCH($A100,INDIRECT(RangeCount),0)),"")</f>
        <v/>
      </c>
      <c r="E100" s="170" t="str">
        <f ca="1">IFERROR(IF(INDEX(INDIRECT(RangeContrQty),MATCH($A100,INDIRECT(RangeCount),0)),"(CQ)",""),"")</f>
        <v/>
      </c>
      <c r="F100" s="171" t="str">
        <f ca="1">IFERROR(INDEX(INDIRECT(RangeUnitPrice),MATCH($A100,INDIRECT(RangeCount),0)),"")</f>
        <v/>
      </c>
      <c r="G100" s="171" t="str">
        <f ca="1">IFERROR(VALUE(C100)*F100,F100)</f>
        <v/>
      </c>
      <c r="H100" s="388"/>
      <c r="I100" s="178" t="str">
        <f ca="1">IF($C100="","",IF($D100="LPSM",H99,VALUE($C100)*H99))</f>
        <v/>
      </c>
      <c r="J100" s="388"/>
      <c r="K100" s="178" t="str">
        <f ca="1">IF($C100="","",IF($D100="LPSM",J99,VALUE($C100)*J99))</f>
        <v/>
      </c>
      <c r="L100" s="388"/>
      <c r="M100" s="178" t="str">
        <f ca="1">IF($C100="","",IF($D100="LPSM",L99,VALUE($C100)*L99))</f>
        <v/>
      </c>
      <c r="N100" s="388"/>
      <c r="O100" s="178" t="str">
        <f ca="1">IF($C100="","",IF($D100="LPSM",N99,VALUE($C100)*N99))</f>
        <v/>
      </c>
      <c r="P100" s="388"/>
      <c r="Q100" s="178" t="str">
        <f ca="1">IF($C100="","",IF($D100="LPSM",P99,VALUE($C100)*P99))</f>
        <v/>
      </c>
      <c r="R100" s="388"/>
      <c r="S100" s="178" t="str">
        <f ca="1">IF($C100="","",IF($D100="LPSM",R99,VALUE($C100)*R99))</f>
        <v/>
      </c>
      <c r="T100" s="388"/>
      <c r="U100" s="178" t="str">
        <f ca="1">IF($C100="","",IF($D100="LPSM",T99,VALUE($C100)*T99))</f>
        <v/>
      </c>
      <c r="V100" s="388"/>
      <c r="W100" s="178" t="str">
        <f ca="1">IF($C100="","",IF($D100="LPSM",V99,VALUE($C100)*V99))</f>
        <v/>
      </c>
      <c r="X100" s="388"/>
      <c r="Y100" s="178" t="str">
        <f ca="1">IF($C100="","",IF($D100="LPSM",X99,VALUE($C100)*X99))</f>
        <v/>
      </c>
      <c r="Z100" s="388"/>
      <c r="AA100" s="178" t="str">
        <f ca="1">IF($C100="","",IF($D100="LPSM",Z99,VALUE($C100)*Z99))</f>
        <v/>
      </c>
      <c r="AB100" s="388"/>
      <c r="AC100" s="178" t="str">
        <f ca="1">IF($C100="","",IF($D100="LPSM",AB99,VALUE($C100)*AB99))</f>
        <v/>
      </c>
      <c r="AD100" s="388"/>
      <c r="AE100" s="178" t="str">
        <f ca="1">IF($C100="","",IF($D100="LPSM",AD99,VALUE($C100)*AD99))</f>
        <v/>
      </c>
      <c r="AF100" s="388"/>
      <c r="AG100" s="178" t="str">
        <f ca="1">IF($C100="","",IF($D100="LPSM",AF99,VALUE($C100)*AF99))</f>
        <v/>
      </c>
      <c r="AH100" s="388"/>
      <c r="AI100" s="178" t="str">
        <f ca="1">IF($C100="","",IF($D100="LPSM",AH99,VALUE($C100)*AH99))</f>
        <v/>
      </c>
      <c r="AJ100" s="388"/>
      <c r="AK100" s="178" t="str">
        <f ca="1">IF($C100="","",IF($D100="LPSM",AJ99,VALUE($C100)*AJ99))</f>
        <v/>
      </c>
      <c r="AL100" s="388"/>
      <c r="AM100" s="178" t="str">
        <f ca="1">IF($C100="","",IF($D100="LPSM",AL99,VALUE($C100)*AL99))</f>
        <v/>
      </c>
      <c r="AN100" s="388"/>
      <c r="AO100" s="178" t="str">
        <f ca="1">IF($C100="","",IF($D100="LPSM",AN99,VALUE($C100)*AN99))</f>
        <v/>
      </c>
      <c r="AP100" s="388"/>
      <c r="AQ100" s="178" t="str">
        <f ca="1">IF($C100="","",IF($D100="LPSM",AP99,VALUE($C100)*AP99))</f>
        <v/>
      </c>
      <c r="AR100" s="209" t="str">
        <f ca="1">IF(LEN(B100)&gt;0,ISNUMBER(MATCH(B100,Proposed[Item],0)),"")</f>
        <v/>
      </c>
    </row>
    <row r="101" spans="1:44" ht="15" x14ac:dyDescent="0.2">
      <c r="A101" s="276">
        <f t="shared" ca="1" si="1"/>
        <v>47</v>
      </c>
      <c r="B101" s="168" t="str">
        <f ca="1">IFERROR(INDEX(INDIRECT(RangeItems),MATCH($A101,INDIRECT(RangeCount),0)),"")</f>
        <v/>
      </c>
      <c r="C101" s="365" t="str">
        <f ca="1">INDEX(Calcs[Description],$A101)</f>
        <v/>
      </c>
      <c r="D101" s="365"/>
      <c r="E101" s="365"/>
      <c r="F101" s="365"/>
      <c r="G101" s="365"/>
      <c r="H101" s="388"/>
      <c r="I101" s="177"/>
      <c r="J101" s="388"/>
      <c r="K101" s="177"/>
      <c r="L101" s="388"/>
      <c r="M101" s="177"/>
      <c r="N101" s="388"/>
      <c r="O101" s="177"/>
      <c r="P101" s="388"/>
      <c r="Q101" s="177"/>
      <c r="R101" s="388"/>
      <c r="S101" s="177"/>
      <c r="T101" s="388"/>
      <c r="U101" s="177"/>
      <c r="V101" s="388"/>
      <c r="W101" s="177"/>
      <c r="X101" s="388"/>
      <c r="Y101" s="177"/>
      <c r="Z101" s="388"/>
      <c r="AA101" s="177"/>
      <c r="AB101" s="388"/>
      <c r="AC101" s="177"/>
      <c r="AD101" s="388"/>
      <c r="AE101" s="177"/>
      <c r="AF101" s="388"/>
      <c r="AG101" s="177"/>
      <c r="AH101" s="388"/>
      <c r="AI101" s="177"/>
      <c r="AJ101" s="388"/>
      <c r="AK101" s="177"/>
      <c r="AL101" s="388"/>
      <c r="AM101" s="177"/>
      <c r="AN101" s="388"/>
      <c r="AO101" s="177"/>
      <c r="AP101" s="388"/>
      <c r="AQ101" s="177"/>
      <c r="AR101" s="209" t="str">
        <f ca="1">IF(LEN(B101)&gt;0,ISNUMBER(MATCH(B101,Proposed[Item],0)),"")</f>
        <v/>
      </c>
    </row>
    <row r="102" spans="1:44" ht="15" x14ac:dyDescent="0.2">
      <c r="A102" s="276">
        <f t="shared" ca="1" si="1"/>
        <v>47</v>
      </c>
      <c r="B102" s="111" t="str">
        <f ca="1">IF($A102&lt;=NumPayItems,"Line "&amp;INDEX(Calcs[Line],$A102),"")</f>
        <v/>
      </c>
      <c r="C102" s="169" t="str">
        <f ca="1">IFERROR(IF($D102="LPSM","ALL",TEXT(INDEX(INDIRECT(RangeQuantity),MATCH($A102,INDIRECT(RangeCount),0)),"#,##0"&amp;IF(OFFSET(Items[],MATCH($A102,INDIRECT(RangeCount),0)-1,MATCH(Decimals,Items[#Headers],0)-1,1,1)&gt;0,"."&amp;REPT("0",OFFSET(Items[],MATCH($A102,INDIRECT(RangeCount),0)-1,MATCH(Decimals,Items[#Headers],0)-1,1,1)),""))),"")</f>
        <v/>
      </c>
      <c r="D102" s="170" t="str">
        <f ca="1">IFERROR(INDEX(INDIRECT(RangeUnit),MATCH($A102,INDIRECT(RangeCount),0)),"")</f>
        <v/>
      </c>
      <c r="E102" s="170" t="str">
        <f ca="1">IFERROR(IF(INDEX(INDIRECT(RangeContrQty),MATCH($A102,INDIRECT(RangeCount),0)),"(CQ)",""),"")</f>
        <v/>
      </c>
      <c r="F102" s="171" t="str">
        <f ca="1">IFERROR(INDEX(INDIRECT(RangeUnitPrice),MATCH($A102,INDIRECT(RangeCount),0)),"")</f>
        <v/>
      </c>
      <c r="G102" s="171" t="str">
        <f ca="1">IFERROR(VALUE(C102)*F102,F102)</f>
        <v/>
      </c>
      <c r="H102" s="388"/>
      <c r="I102" s="178" t="str">
        <f ca="1">IF($C102="","",IF($D102="LPSM",H101,VALUE($C102)*H101))</f>
        <v/>
      </c>
      <c r="J102" s="388"/>
      <c r="K102" s="178" t="str">
        <f ca="1">IF($C102="","",IF($D102="LPSM",J101,VALUE($C102)*J101))</f>
        <v/>
      </c>
      <c r="L102" s="388"/>
      <c r="M102" s="178" t="str">
        <f ca="1">IF($C102="","",IF($D102="LPSM",L101,VALUE($C102)*L101))</f>
        <v/>
      </c>
      <c r="N102" s="388"/>
      <c r="O102" s="178" t="str">
        <f ca="1">IF($C102="","",IF($D102="LPSM",N101,VALUE($C102)*N101))</f>
        <v/>
      </c>
      <c r="P102" s="388"/>
      <c r="Q102" s="178" t="str">
        <f ca="1">IF($C102="","",IF($D102="LPSM",P101,VALUE($C102)*P101))</f>
        <v/>
      </c>
      <c r="R102" s="388"/>
      <c r="S102" s="178" t="str">
        <f ca="1">IF($C102="","",IF($D102="LPSM",R101,VALUE($C102)*R101))</f>
        <v/>
      </c>
      <c r="T102" s="388"/>
      <c r="U102" s="178" t="str">
        <f ca="1">IF($C102="","",IF($D102="LPSM",T101,VALUE($C102)*T101))</f>
        <v/>
      </c>
      <c r="V102" s="388"/>
      <c r="W102" s="178" t="str">
        <f ca="1">IF($C102="","",IF($D102="LPSM",V101,VALUE($C102)*V101))</f>
        <v/>
      </c>
      <c r="X102" s="388"/>
      <c r="Y102" s="178" t="str">
        <f ca="1">IF($C102="","",IF($D102="LPSM",X101,VALUE($C102)*X101))</f>
        <v/>
      </c>
      <c r="Z102" s="388"/>
      <c r="AA102" s="178" t="str">
        <f ca="1">IF($C102="","",IF($D102="LPSM",Z101,VALUE($C102)*Z101))</f>
        <v/>
      </c>
      <c r="AB102" s="388"/>
      <c r="AC102" s="178" t="str">
        <f ca="1">IF($C102="","",IF($D102="LPSM",AB101,VALUE($C102)*AB101))</f>
        <v/>
      </c>
      <c r="AD102" s="388"/>
      <c r="AE102" s="178" t="str">
        <f ca="1">IF($C102="","",IF($D102="LPSM",AD101,VALUE($C102)*AD101))</f>
        <v/>
      </c>
      <c r="AF102" s="388"/>
      <c r="AG102" s="178" t="str">
        <f ca="1">IF($C102="","",IF($D102="LPSM",AF101,VALUE($C102)*AF101))</f>
        <v/>
      </c>
      <c r="AH102" s="388"/>
      <c r="AI102" s="178" t="str">
        <f ca="1">IF($C102="","",IF($D102="LPSM",AH101,VALUE($C102)*AH101))</f>
        <v/>
      </c>
      <c r="AJ102" s="388"/>
      <c r="AK102" s="178" t="str">
        <f ca="1">IF($C102="","",IF($D102="LPSM",AJ101,VALUE($C102)*AJ101))</f>
        <v/>
      </c>
      <c r="AL102" s="388"/>
      <c r="AM102" s="178" t="str">
        <f ca="1">IF($C102="","",IF($D102="LPSM",AL101,VALUE($C102)*AL101))</f>
        <v/>
      </c>
      <c r="AN102" s="388"/>
      <c r="AO102" s="178" t="str">
        <f ca="1">IF($C102="","",IF($D102="LPSM",AN101,VALUE($C102)*AN101))</f>
        <v/>
      </c>
      <c r="AP102" s="388"/>
      <c r="AQ102" s="178" t="str">
        <f ca="1">IF($C102="","",IF($D102="LPSM",AP101,VALUE($C102)*AP101))</f>
        <v/>
      </c>
      <c r="AR102" s="209" t="str">
        <f ca="1">IF(LEN(B102)&gt;0,ISNUMBER(MATCH(B102,Proposed[Item],0)),"")</f>
        <v/>
      </c>
    </row>
    <row r="103" spans="1:44" ht="15" x14ac:dyDescent="0.2">
      <c r="A103" s="276">
        <f t="shared" ca="1" si="1"/>
        <v>48</v>
      </c>
      <c r="B103" s="168" t="str">
        <f ca="1">IFERROR(INDEX(INDIRECT(RangeItems),MATCH($A103,INDIRECT(RangeCount),0)),"")</f>
        <v/>
      </c>
      <c r="C103" s="365" t="str">
        <f ca="1">INDEX(Calcs[Description],$A103)</f>
        <v/>
      </c>
      <c r="D103" s="365"/>
      <c r="E103" s="365"/>
      <c r="F103" s="365"/>
      <c r="G103" s="365"/>
      <c r="H103" s="388"/>
      <c r="I103" s="177"/>
      <c r="J103" s="388"/>
      <c r="K103" s="177"/>
      <c r="L103" s="388"/>
      <c r="M103" s="177"/>
      <c r="N103" s="388"/>
      <c r="O103" s="177"/>
      <c r="P103" s="388"/>
      <c r="Q103" s="177"/>
      <c r="R103" s="388"/>
      <c r="S103" s="177"/>
      <c r="T103" s="388"/>
      <c r="U103" s="177"/>
      <c r="V103" s="388"/>
      <c r="W103" s="177"/>
      <c r="X103" s="388"/>
      <c r="Y103" s="177"/>
      <c r="Z103" s="388"/>
      <c r="AA103" s="177"/>
      <c r="AB103" s="388"/>
      <c r="AC103" s="177"/>
      <c r="AD103" s="388"/>
      <c r="AE103" s="177"/>
      <c r="AF103" s="388"/>
      <c r="AG103" s="177"/>
      <c r="AH103" s="388"/>
      <c r="AI103" s="177"/>
      <c r="AJ103" s="388"/>
      <c r="AK103" s="177"/>
      <c r="AL103" s="388"/>
      <c r="AM103" s="177"/>
      <c r="AN103" s="388"/>
      <c r="AO103" s="177"/>
      <c r="AP103" s="388"/>
      <c r="AQ103" s="177"/>
      <c r="AR103" s="209" t="str">
        <f ca="1">IF(LEN(B103)&gt;0,ISNUMBER(MATCH(B103,Proposed[Item],0)),"")</f>
        <v/>
      </c>
    </row>
    <row r="104" spans="1:44" ht="15" x14ac:dyDescent="0.2">
      <c r="A104" s="276">
        <f t="shared" ca="1" si="1"/>
        <v>48</v>
      </c>
      <c r="B104" s="111" t="str">
        <f ca="1">IF($A104&lt;=NumPayItems,"Line "&amp;INDEX(Calcs[Line],$A104),"")</f>
        <v/>
      </c>
      <c r="C104" s="169" t="str">
        <f ca="1">IFERROR(IF($D104="LPSM","ALL",TEXT(INDEX(INDIRECT(RangeQuantity),MATCH($A104,INDIRECT(RangeCount),0)),"#,##0"&amp;IF(OFFSET(Items[],MATCH($A104,INDIRECT(RangeCount),0)-1,MATCH(Decimals,Items[#Headers],0)-1,1,1)&gt;0,"."&amp;REPT("0",OFFSET(Items[],MATCH($A104,INDIRECT(RangeCount),0)-1,MATCH(Decimals,Items[#Headers],0)-1,1,1)),""))),"")</f>
        <v/>
      </c>
      <c r="D104" s="170" t="str">
        <f ca="1">IFERROR(INDEX(INDIRECT(RangeUnit),MATCH($A104,INDIRECT(RangeCount),0)),"")</f>
        <v/>
      </c>
      <c r="E104" s="170" t="str">
        <f ca="1">IFERROR(IF(INDEX(INDIRECT(RangeContrQty),MATCH($A104,INDIRECT(RangeCount),0)),"(CQ)",""),"")</f>
        <v/>
      </c>
      <c r="F104" s="171" t="str">
        <f ca="1">IFERROR(INDEX(INDIRECT(RangeUnitPrice),MATCH($A104,INDIRECT(RangeCount),0)),"")</f>
        <v/>
      </c>
      <c r="G104" s="171" t="str">
        <f ca="1">IFERROR(VALUE(C104)*F104,F104)</f>
        <v/>
      </c>
      <c r="H104" s="388"/>
      <c r="I104" s="178" t="str">
        <f ca="1">IF($C104="","",IF($D104="LPSM",H103,VALUE($C104)*H103))</f>
        <v/>
      </c>
      <c r="J104" s="388"/>
      <c r="K104" s="178" t="str">
        <f ca="1">IF($C104="","",IF($D104="LPSM",J103,VALUE($C104)*J103))</f>
        <v/>
      </c>
      <c r="L104" s="388"/>
      <c r="M104" s="178" t="str">
        <f ca="1">IF($C104="","",IF($D104="LPSM",L103,VALUE($C104)*L103))</f>
        <v/>
      </c>
      <c r="N104" s="388"/>
      <c r="O104" s="178" t="str">
        <f ca="1">IF($C104="","",IF($D104="LPSM",N103,VALUE($C104)*N103))</f>
        <v/>
      </c>
      <c r="P104" s="388"/>
      <c r="Q104" s="178" t="str">
        <f ca="1">IF($C104="","",IF($D104="LPSM",P103,VALUE($C104)*P103))</f>
        <v/>
      </c>
      <c r="R104" s="388"/>
      <c r="S104" s="178" t="str">
        <f ca="1">IF($C104="","",IF($D104="LPSM",R103,VALUE($C104)*R103))</f>
        <v/>
      </c>
      <c r="T104" s="388"/>
      <c r="U104" s="178" t="str">
        <f ca="1">IF($C104="","",IF($D104="LPSM",T103,VALUE($C104)*T103))</f>
        <v/>
      </c>
      <c r="V104" s="388"/>
      <c r="W104" s="178" t="str">
        <f ca="1">IF($C104="","",IF($D104="LPSM",V103,VALUE($C104)*V103))</f>
        <v/>
      </c>
      <c r="X104" s="388"/>
      <c r="Y104" s="178" t="str">
        <f ca="1">IF($C104="","",IF($D104="LPSM",X103,VALUE($C104)*X103))</f>
        <v/>
      </c>
      <c r="Z104" s="388"/>
      <c r="AA104" s="178" t="str">
        <f ca="1">IF($C104="","",IF($D104="LPSM",Z103,VALUE($C104)*Z103))</f>
        <v/>
      </c>
      <c r="AB104" s="388"/>
      <c r="AC104" s="178" t="str">
        <f ca="1">IF($C104="","",IF($D104="LPSM",AB103,VALUE($C104)*AB103))</f>
        <v/>
      </c>
      <c r="AD104" s="388"/>
      <c r="AE104" s="178" t="str">
        <f ca="1">IF($C104="","",IF($D104="LPSM",AD103,VALUE($C104)*AD103))</f>
        <v/>
      </c>
      <c r="AF104" s="388"/>
      <c r="AG104" s="178" t="str">
        <f ca="1">IF($C104="","",IF($D104="LPSM",AF103,VALUE($C104)*AF103))</f>
        <v/>
      </c>
      <c r="AH104" s="388"/>
      <c r="AI104" s="178" t="str">
        <f ca="1">IF($C104="","",IF($D104="LPSM",AH103,VALUE($C104)*AH103))</f>
        <v/>
      </c>
      <c r="AJ104" s="388"/>
      <c r="AK104" s="178" t="str">
        <f ca="1">IF($C104="","",IF($D104="LPSM",AJ103,VALUE($C104)*AJ103))</f>
        <v/>
      </c>
      <c r="AL104" s="388"/>
      <c r="AM104" s="178" t="str">
        <f ca="1">IF($C104="","",IF($D104="LPSM",AL103,VALUE($C104)*AL103))</f>
        <v/>
      </c>
      <c r="AN104" s="388"/>
      <c r="AO104" s="178" t="str">
        <f ca="1">IF($C104="","",IF($D104="LPSM",AN103,VALUE($C104)*AN103))</f>
        <v/>
      </c>
      <c r="AP104" s="388"/>
      <c r="AQ104" s="178" t="str">
        <f ca="1">IF($C104="","",IF($D104="LPSM",AP103,VALUE($C104)*AP103))</f>
        <v/>
      </c>
      <c r="AR104" s="209" t="str">
        <f ca="1">IF(LEN(B104)&gt;0,ISNUMBER(MATCH(B104,Proposed[Item],0)),"")</f>
        <v/>
      </c>
    </row>
    <row r="105" spans="1:44" ht="15" x14ac:dyDescent="0.2">
      <c r="A105" s="276">
        <f t="shared" ca="1" si="1"/>
        <v>49</v>
      </c>
      <c r="B105" s="168" t="str">
        <f ca="1">IFERROR(INDEX(INDIRECT(RangeItems),MATCH($A105,INDIRECT(RangeCount),0)),"")</f>
        <v/>
      </c>
      <c r="C105" s="365" t="str">
        <f ca="1">INDEX(Calcs[Description],$A105)</f>
        <v/>
      </c>
      <c r="D105" s="365"/>
      <c r="E105" s="365"/>
      <c r="F105" s="365"/>
      <c r="G105" s="365"/>
      <c r="H105" s="388"/>
      <c r="I105" s="177"/>
      <c r="J105" s="388"/>
      <c r="K105" s="177"/>
      <c r="L105" s="388"/>
      <c r="M105" s="177"/>
      <c r="N105" s="388"/>
      <c r="O105" s="177"/>
      <c r="P105" s="388"/>
      <c r="Q105" s="177"/>
      <c r="R105" s="388"/>
      <c r="S105" s="177"/>
      <c r="T105" s="388"/>
      <c r="U105" s="177"/>
      <c r="V105" s="388"/>
      <c r="W105" s="177"/>
      <c r="X105" s="388"/>
      <c r="Y105" s="177"/>
      <c r="Z105" s="388"/>
      <c r="AA105" s="177"/>
      <c r="AB105" s="388"/>
      <c r="AC105" s="177"/>
      <c r="AD105" s="388"/>
      <c r="AE105" s="177"/>
      <c r="AF105" s="388"/>
      <c r="AG105" s="177"/>
      <c r="AH105" s="388"/>
      <c r="AI105" s="177"/>
      <c r="AJ105" s="388"/>
      <c r="AK105" s="177"/>
      <c r="AL105" s="388"/>
      <c r="AM105" s="177"/>
      <c r="AN105" s="388"/>
      <c r="AO105" s="177"/>
      <c r="AP105" s="388"/>
      <c r="AQ105" s="177"/>
      <c r="AR105" s="209" t="str">
        <f ca="1">IF(LEN(B105)&gt;0,ISNUMBER(MATCH(B105,Proposed[Item],0)),"")</f>
        <v/>
      </c>
    </row>
    <row r="106" spans="1:44" ht="15" x14ac:dyDescent="0.2">
      <c r="A106" s="276">
        <f t="shared" ca="1" si="1"/>
        <v>49</v>
      </c>
      <c r="B106" s="111" t="str">
        <f ca="1">IF($A106&lt;=NumPayItems,"Line "&amp;INDEX(Calcs[Line],$A106),"")</f>
        <v/>
      </c>
      <c r="C106" s="169" t="str">
        <f ca="1">IFERROR(IF($D106="LPSM","ALL",TEXT(INDEX(INDIRECT(RangeQuantity),MATCH($A106,INDIRECT(RangeCount),0)),"#,##0"&amp;IF(OFFSET(Items[],MATCH($A106,INDIRECT(RangeCount),0)-1,MATCH(Decimals,Items[#Headers],0)-1,1,1)&gt;0,"."&amp;REPT("0",OFFSET(Items[],MATCH($A106,INDIRECT(RangeCount),0)-1,MATCH(Decimals,Items[#Headers],0)-1,1,1)),""))),"")</f>
        <v/>
      </c>
      <c r="D106" s="170" t="str">
        <f ca="1">IFERROR(INDEX(INDIRECT(RangeUnit),MATCH($A106,INDIRECT(RangeCount),0)),"")</f>
        <v/>
      </c>
      <c r="E106" s="170" t="str">
        <f ca="1">IFERROR(IF(INDEX(INDIRECT(RangeContrQty),MATCH($A106,INDIRECT(RangeCount),0)),"(CQ)",""),"")</f>
        <v/>
      </c>
      <c r="F106" s="171" t="str">
        <f ca="1">IFERROR(INDEX(INDIRECT(RangeUnitPrice),MATCH($A106,INDIRECT(RangeCount),0)),"")</f>
        <v/>
      </c>
      <c r="G106" s="171" t="str">
        <f ca="1">IFERROR(VALUE(C106)*F106,F106)</f>
        <v/>
      </c>
      <c r="H106" s="388"/>
      <c r="I106" s="178" t="str">
        <f ca="1">IF($C106="","",IF($D106="LPSM",H105,VALUE($C106)*H105))</f>
        <v/>
      </c>
      <c r="J106" s="388"/>
      <c r="K106" s="178" t="str">
        <f ca="1">IF($C106="","",IF($D106="LPSM",J105,VALUE($C106)*J105))</f>
        <v/>
      </c>
      <c r="L106" s="388"/>
      <c r="M106" s="178" t="str">
        <f ca="1">IF($C106="","",IF($D106="LPSM",L105,VALUE($C106)*L105))</f>
        <v/>
      </c>
      <c r="N106" s="388"/>
      <c r="O106" s="178" t="str">
        <f ca="1">IF($C106="","",IF($D106="LPSM",N105,VALUE($C106)*N105))</f>
        <v/>
      </c>
      <c r="P106" s="388"/>
      <c r="Q106" s="178" t="str">
        <f ca="1">IF($C106="","",IF($D106="LPSM",P105,VALUE($C106)*P105))</f>
        <v/>
      </c>
      <c r="R106" s="388"/>
      <c r="S106" s="178" t="str">
        <f ca="1">IF($C106="","",IF($D106="LPSM",R105,VALUE($C106)*R105))</f>
        <v/>
      </c>
      <c r="T106" s="388"/>
      <c r="U106" s="178" t="str">
        <f ca="1">IF($C106="","",IF($D106="LPSM",T105,VALUE($C106)*T105))</f>
        <v/>
      </c>
      <c r="V106" s="388"/>
      <c r="W106" s="178" t="str">
        <f ca="1">IF($C106="","",IF($D106="LPSM",V105,VALUE($C106)*V105))</f>
        <v/>
      </c>
      <c r="X106" s="388"/>
      <c r="Y106" s="178" t="str">
        <f ca="1">IF($C106="","",IF($D106="LPSM",X105,VALUE($C106)*X105))</f>
        <v/>
      </c>
      <c r="Z106" s="388"/>
      <c r="AA106" s="178" t="str">
        <f ca="1">IF($C106="","",IF($D106="LPSM",Z105,VALUE($C106)*Z105))</f>
        <v/>
      </c>
      <c r="AB106" s="388"/>
      <c r="AC106" s="178" t="str">
        <f ca="1">IF($C106="","",IF($D106="LPSM",AB105,VALUE($C106)*AB105))</f>
        <v/>
      </c>
      <c r="AD106" s="388"/>
      <c r="AE106" s="178" t="str">
        <f ca="1">IF($C106="","",IF($D106="LPSM",AD105,VALUE($C106)*AD105))</f>
        <v/>
      </c>
      <c r="AF106" s="388"/>
      <c r="AG106" s="178" t="str">
        <f ca="1">IF($C106="","",IF($D106="LPSM",AF105,VALUE($C106)*AF105))</f>
        <v/>
      </c>
      <c r="AH106" s="388"/>
      <c r="AI106" s="178" t="str">
        <f ca="1">IF($C106="","",IF($D106="LPSM",AH105,VALUE($C106)*AH105))</f>
        <v/>
      </c>
      <c r="AJ106" s="388"/>
      <c r="AK106" s="178" t="str">
        <f ca="1">IF($C106="","",IF($D106="LPSM",AJ105,VALUE($C106)*AJ105))</f>
        <v/>
      </c>
      <c r="AL106" s="388"/>
      <c r="AM106" s="178" t="str">
        <f ca="1">IF($C106="","",IF($D106="LPSM",AL105,VALUE($C106)*AL105))</f>
        <v/>
      </c>
      <c r="AN106" s="388"/>
      <c r="AO106" s="178" t="str">
        <f ca="1">IF($C106="","",IF($D106="LPSM",AN105,VALUE($C106)*AN105))</f>
        <v/>
      </c>
      <c r="AP106" s="388"/>
      <c r="AQ106" s="178" t="str">
        <f ca="1">IF($C106="","",IF($D106="LPSM",AP105,VALUE($C106)*AP105))</f>
        <v/>
      </c>
      <c r="AR106" s="209" t="str">
        <f ca="1">IF(LEN(B106)&gt;0,ISNUMBER(MATCH(B106,Proposed[Item],0)),"")</f>
        <v/>
      </c>
    </row>
    <row r="107" spans="1:44" ht="15" x14ac:dyDescent="0.2">
      <c r="A107" s="276">
        <f t="shared" ca="1" si="1"/>
        <v>50</v>
      </c>
      <c r="B107" s="168" t="str">
        <f ca="1">IFERROR(INDEX(INDIRECT(RangeItems),MATCH($A107,INDIRECT(RangeCount),0)),"")</f>
        <v/>
      </c>
      <c r="C107" s="365" t="str">
        <f ca="1">INDEX(Calcs[Description],$A107)</f>
        <v/>
      </c>
      <c r="D107" s="365"/>
      <c r="E107" s="365"/>
      <c r="F107" s="365"/>
      <c r="G107" s="365"/>
      <c r="H107" s="388"/>
      <c r="I107" s="177"/>
      <c r="J107" s="388"/>
      <c r="K107" s="177"/>
      <c r="L107" s="388"/>
      <c r="M107" s="177"/>
      <c r="N107" s="388"/>
      <c r="O107" s="177"/>
      <c r="P107" s="388"/>
      <c r="Q107" s="177"/>
      <c r="R107" s="388"/>
      <c r="S107" s="177"/>
      <c r="T107" s="388"/>
      <c r="U107" s="177"/>
      <c r="V107" s="388"/>
      <c r="W107" s="177"/>
      <c r="X107" s="388"/>
      <c r="Y107" s="177"/>
      <c r="Z107" s="388"/>
      <c r="AA107" s="177"/>
      <c r="AB107" s="388"/>
      <c r="AC107" s="177"/>
      <c r="AD107" s="388"/>
      <c r="AE107" s="177"/>
      <c r="AF107" s="388"/>
      <c r="AG107" s="177"/>
      <c r="AH107" s="388"/>
      <c r="AI107" s="177"/>
      <c r="AJ107" s="388"/>
      <c r="AK107" s="177"/>
      <c r="AL107" s="388"/>
      <c r="AM107" s="177"/>
      <c r="AN107" s="388"/>
      <c r="AO107" s="177"/>
      <c r="AP107" s="388"/>
      <c r="AQ107" s="177"/>
      <c r="AR107" s="209" t="str">
        <f ca="1">IF(LEN(B107)&gt;0,ISNUMBER(MATCH(B107,Proposed[Item],0)),"")</f>
        <v/>
      </c>
    </row>
    <row r="108" spans="1:44" ht="15" x14ac:dyDescent="0.2">
      <c r="A108" s="276">
        <f t="shared" ca="1" si="1"/>
        <v>50</v>
      </c>
      <c r="B108" s="111" t="str">
        <f ca="1">IF($A108&lt;=NumPayItems,"Line "&amp;INDEX(Calcs[Line],$A108),"")</f>
        <v/>
      </c>
      <c r="C108" s="169" t="str">
        <f ca="1">IFERROR(IF($D108="LPSM","ALL",TEXT(INDEX(INDIRECT(RangeQuantity),MATCH($A108,INDIRECT(RangeCount),0)),"#,##0"&amp;IF(OFFSET(Items[],MATCH($A108,INDIRECT(RangeCount),0)-1,MATCH(Decimals,Items[#Headers],0)-1,1,1)&gt;0,"."&amp;REPT("0",OFFSET(Items[],MATCH($A108,INDIRECT(RangeCount),0)-1,MATCH(Decimals,Items[#Headers],0)-1,1,1)),""))),"")</f>
        <v/>
      </c>
      <c r="D108" s="170" t="str">
        <f ca="1">IFERROR(INDEX(INDIRECT(RangeUnit),MATCH($A108,INDIRECT(RangeCount),0)),"")</f>
        <v/>
      </c>
      <c r="E108" s="170" t="str">
        <f ca="1">IFERROR(IF(INDEX(INDIRECT(RangeContrQty),MATCH($A108,INDIRECT(RangeCount),0)),"(CQ)",""),"")</f>
        <v/>
      </c>
      <c r="F108" s="171" t="str">
        <f ca="1">IFERROR(INDEX(INDIRECT(RangeUnitPrice),MATCH($A108,INDIRECT(RangeCount),0)),"")</f>
        <v/>
      </c>
      <c r="G108" s="171" t="str">
        <f ca="1">IFERROR(VALUE(C108)*F108,F108)</f>
        <v/>
      </c>
      <c r="H108" s="388"/>
      <c r="I108" s="178" t="str">
        <f ca="1">IF($C108="","",IF($D108="LPSM",H107,VALUE($C108)*H107))</f>
        <v/>
      </c>
      <c r="J108" s="388"/>
      <c r="K108" s="178" t="str">
        <f ca="1">IF($C108="","",IF($D108="LPSM",J107,VALUE($C108)*J107))</f>
        <v/>
      </c>
      <c r="L108" s="388"/>
      <c r="M108" s="178" t="str">
        <f ca="1">IF($C108="","",IF($D108="LPSM",L107,VALUE($C108)*L107))</f>
        <v/>
      </c>
      <c r="N108" s="388"/>
      <c r="O108" s="178" t="str">
        <f ca="1">IF($C108="","",IF($D108="LPSM",N107,VALUE($C108)*N107))</f>
        <v/>
      </c>
      <c r="P108" s="388"/>
      <c r="Q108" s="178" t="str">
        <f ca="1">IF($C108="","",IF($D108="LPSM",P107,VALUE($C108)*P107))</f>
        <v/>
      </c>
      <c r="R108" s="388"/>
      <c r="S108" s="178" t="str">
        <f ca="1">IF($C108="","",IF($D108="LPSM",R107,VALUE($C108)*R107))</f>
        <v/>
      </c>
      <c r="T108" s="388"/>
      <c r="U108" s="178" t="str">
        <f ca="1">IF($C108="","",IF($D108="LPSM",T107,VALUE($C108)*T107))</f>
        <v/>
      </c>
      <c r="V108" s="388"/>
      <c r="W108" s="178" t="str">
        <f ca="1">IF($C108="","",IF($D108="LPSM",V107,VALUE($C108)*V107))</f>
        <v/>
      </c>
      <c r="X108" s="388"/>
      <c r="Y108" s="178" t="str">
        <f ca="1">IF($C108="","",IF($D108="LPSM",X107,VALUE($C108)*X107))</f>
        <v/>
      </c>
      <c r="Z108" s="388"/>
      <c r="AA108" s="178" t="str">
        <f ca="1">IF($C108="","",IF($D108="LPSM",Z107,VALUE($C108)*Z107))</f>
        <v/>
      </c>
      <c r="AB108" s="388"/>
      <c r="AC108" s="178" t="str">
        <f ca="1">IF($C108="","",IF($D108="LPSM",AB107,VALUE($C108)*AB107))</f>
        <v/>
      </c>
      <c r="AD108" s="388"/>
      <c r="AE108" s="178" t="str">
        <f ca="1">IF($C108="","",IF($D108="LPSM",AD107,VALUE($C108)*AD107))</f>
        <v/>
      </c>
      <c r="AF108" s="388"/>
      <c r="AG108" s="178" t="str">
        <f ca="1">IF($C108="","",IF($D108="LPSM",AF107,VALUE($C108)*AF107))</f>
        <v/>
      </c>
      <c r="AH108" s="388"/>
      <c r="AI108" s="178" t="str">
        <f ca="1">IF($C108="","",IF($D108="LPSM",AH107,VALUE($C108)*AH107))</f>
        <v/>
      </c>
      <c r="AJ108" s="388"/>
      <c r="AK108" s="178" t="str">
        <f ca="1">IF($C108="","",IF($D108="LPSM",AJ107,VALUE($C108)*AJ107))</f>
        <v/>
      </c>
      <c r="AL108" s="388"/>
      <c r="AM108" s="178" t="str">
        <f ca="1">IF($C108="","",IF($D108="LPSM",AL107,VALUE($C108)*AL107))</f>
        <v/>
      </c>
      <c r="AN108" s="388"/>
      <c r="AO108" s="178" t="str">
        <f ca="1">IF($C108="","",IF($D108="LPSM",AN107,VALUE($C108)*AN107))</f>
        <v/>
      </c>
      <c r="AP108" s="388"/>
      <c r="AQ108" s="178" t="str">
        <f ca="1">IF($C108="","",IF($D108="LPSM",AP107,VALUE($C108)*AP107))</f>
        <v/>
      </c>
      <c r="AR108" s="209" t="str">
        <f ca="1">IF(LEN(B108)&gt;0,ISNUMBER(MATCH(B108,Proposed[Item],0)),"")</f>
        <v/>
      </c>
    </row>
    <row r="109" spans="1:44" ht="15" x14ac:dyDescent="0.2">
      <c r="A109" s="276">
        <f t="shared" ca="1" si="1"/>
        <v>51</v>
      </c>
      <c r="B109" s="168" t="str">
        <f ca="1">IFERROR(INDEX(INDIRECT(RangeItems),MATCH($A109,INDIRECT(RangeCount),0)),"")</f>
        <v/>
      </c>
      <c r="C109" s="365" t="str">
        <f ca="1">INDEX(Calcs[Description],$A109)</f>
        <v/>
      </c>
      <c r="D109" s="365"/>
      <c r="E109" s="365"/>
      <c r="F109" s="365"/>
      <c r="G109" s="365"/>
      <c r="H109" s="388"/>
      <c r="I109" s="177"/>
      <c r="J109" s="388"/>
      <c r="K109" s="177"/>
      <c r="L109" s="388"/>
      <c r="M109" s="177"/>
      <c r="N109" s="388"/>
      <c r="O109" s="177"/>
      <c r="P109" s="388"/>
      <c r="Q109" s="177"/>
      <c r="R109" s="388"/>
      <c r="S109" s="177"/>
      <c r="T109" s="388"/>
      <c r="U109" s="177"/>
      <c r="V109" s="388"/>
      <c r="W109" s="177"/>
      <c r="X109" s="388"/>
      <c r="Y109" s="177"/>
      <c r="Z109" s="388"/>
      <c r="AA109" s="177"/>
      <c r="AB109" s="388"/>
      <c r="AC109" s="177"/>
      <c r="AD109" s="388"/>
      <c r="AE109" s="177"/>
      <c r="AF109" s="388"/>
      <c r="AG109" s="177"/>
      <c r="AH109" s="388"/>
      <c r="AI109" s="177"/>
      <c r="AJ109" s="388"/>
      <c r="AK109" s="177"/>
      <c r="AL109" s="388"/>
      <c r="AM109" s="177"/>
      <c r="AN109" s="388"/>
      <c r="AO109" s="177"/>
      <c r="AP109" s="388"/>
      <c r="AQ109" s="177"/>
      <c r="AR109" s="209" t="str">
        <f ca="1">IF(LEN(B109)&gt;0,ISNUMBER(MATCH(B109,Proposed[Item],0)),"")</f>
        <v/>
      </c>
    </row>
    <row r="110" spans="1:44" ht="15" x14ac:dyDescent="0.2">
      <c r="A110" s="276">
        <f t="shared" ca="1" si="1"/>
        <v>51</v>
      </c>
      <c r="B110" s="111" t="str">
        <f ca="1">IF($A110&lt;=NumPayItems,"Line "&amp;INDEX(Calcs[Line],$A110),"")</f>
        <v/>
      </c>
      <c r="C110" s="169" t="str">
        <f ca="1">IFERROR(IF($D110="LPSM","ALL",TEXT(INDEX(INDIRECT(RangeQuantity),MATCH($A110,INDIRECT(RangeCount),0)),"#,##0"&amp;IF(OFFSET(Items[],MATCH($A110,INDIRECT(RangeCount),0)-1,MATCH(Decimals,Items[#Headers],0)-1,1,1)&gt;0,"."&amp;REPT("0",OFFSET(Items[],MATCH($A110,INDIRECT(RangeCount),0)-1,MATCH(Decimals,Items[#Headers],0)-1,1,1)),""))),"")</f>
        <v/>
      </c>
      <c r="D110" s="170" t="str">
        <f ca="1">IFERROR(INDEX(INDIRECT(RangeUnit),MATCH($A110,INDIRECT(RangeCount),0)),"")</f>
        <v/>
      </c>
      <c r="E110" s="170" t="str">
        <f ca="1">IFERROR(IF(INDEX(INDIRECT(RangeContrQty),MATCH($A110,INDIRECT(RangeCount),0)),"(CQ)",""),"")</f>
        <v/>
      </c>
      <c r="F110" s="171" t="str">
        <f ca="1">IFERROR(INDEX(INDIRECT(RangeUnitPrice),MATCH($A110,INDIRECT(RangeCount),0)),"")</f>
        <v/>
      </c>
      <c r="G110" s="171" t="str">
        <f ca="1">IFERROR(VALUE(C110)*F110,F110)</f>
        <v/>
      </c>
      <c r="H110" s="388"/>
      <c r="I110" s="178" t="str">
        <f ca="1">IF($C110="","",IF($D110="LPSM",H109,VALUE($C110)*H109))</f>
        <v/>
      </c>
      <c r="J110" s="388"/>
      <c r="K110" s="178" t="str">
        <f ca="1">IF($C110="","",IF($D110="LPSM",J109,VALUE($C110)*J109))</f>
        <v/>
      </c>
      <c r="L110" s="388"/>
      <c r="M110" s="178" t="str">
        <f ca="1">IF($C110="","",IF($D110="LPSM",L109,VALUE($C110)*L109))</f>
        <v/>
      </c>
      <c r="N110" s="388"/>
      <c r="O110" s="178" t="str">
        <f ca="1">IF($C110="","",IF($D110="LPSM",N109,VALUE($C110)*N109))</f>
        <v/>
      </c>
      <c r="P110" s="388"/>
      <c r="Q110" s="178" t="str">
        <f ca="1">IF($C110="","",IF($D110="LPSM",P109,VALUE($C110)*P109))</f>
        <v/>
      </c>
      <c r="R110" s="388"/>
      <c r="S110" s="178" t="str">
        <f ca="1">IF($C110="","",IF($D110="LPSM",R109,VALUE($C110)*R109))</f>
        <v/>
      </c>
      <c r="T110" s="388"/>
      <c r="U110" s="178" t="str">
        <f ca="1">IF($C110="","",IF($D110="LPSM",T109,VALUE($C110)*T109))</f>
        <v/>
      </c>
      <c r="V110" s="388"/>
      <c r="W110" s="178" t="str">
        <f ca="1">IF($C110="","",IF($D110="LPSM",V109,VALUE($C110)*V109))</f>
        <v/>
      </c>
      <c r="X110" s="388"/>
      <c r="Y110" s="178" t="str">
        <f ca="1">IF($C110="","",IF($D110="LPSM",X109,VALUE($C110)*X109))</f>
        <v/>
      </c>
      <c r="Z110" s="388"/>
      <c r="AA110" s="178" t="str">
        <f ca="1">IF($C110="","",IF($D110="LPSM",Z109,VALUE($C110)*Z109))</f>
        <v/>
      </c>
      <c r="AB110" s="388"/>
      <c r="AC110" s="178" t="str">
        <f ca="1">IF($C110="","",IF($D110="LPSM",AB109,VALUE($C110)*AB109))</f>
        <v/>
      </c>
      <c r="AD110" s="388"/>
      <c r="AE110" s="178" t="str">
        <f ca="1">IF($C110="","",IF($D110="LPSM",AD109,VALUE($C110)*AD109))</f>
        <v/>
      </c>
      <c r="AF110" s="388"/>
      <c r="AG110" s="178" t="str">
        <f ca="1">IF($C110="","",IF($D110="LPSM",AF109,VALUE($C110)*AF109))</f>
        <v/>
      </c>
      <c r="AH110" s="388"/>
      <c r="AI110" s="178" t="str">
        <f ca="1">IF($C110="","",IF($D110="LPSM",AH109,VALUE($C110)*AH109))</f>
        <v/>
      </c>
      <c r="AJ110" s="388"/>
      <c r="AK110" s="178" t="str">
        <f ca="1">IF($C110="","",IF($D110="LPSM",AJ109,VALUE($C110)*AJ109))</f>
        <v/>
      </c>
      <c r="AL110" s="388"/>
      <c r="AM110" s="178" t="str">
        <f ca="1">IF($C110="","",IF($D110="LPSM",AL109,VALUE($C110)*AL109))</f>
        <v/>
      </c>
      <c r="AN110" s="388"/>
      <c r="AO110" s="178" t="str">
        <f ca="1">IF($C110="","",IF($D110="LPSM",AN109,VALUE($C110)*AN109))</f>
        <v/>
      </c>
      <c r="AP110" s="388"/>
      <c r="AQ110" s="178" t="str">
        <f ca="1">IF($C110="","",IF($D110="LPSM",AP109,VALUE($C110)*AP109))</f>
        <v/>
      </c>
      <c r="AR110" s="209" t="str">
        <f ca="1">IF(LEN(B110)&gt;0,ISNUMBER(MATCH(B110,Proposed[Item],0)),"")</f>
        <v/>
      </c>
    </row>
    <row r="111" spans="1:44" ht="15" x14ac:dyDescent="0.2">
      <c r="A111" s="276">
        <f t="shared" ca="1" si="1"/>
        <v>52</v>
      </c>
      <c r="B111" s="168" t="str">
        <f ca="1">IFERROR(INDEX(INDIRECT(RangeItems),MATCH($A111,INDIRECT(RangeCount),0)),"")</f>
        <v/>
      </c>
      <c r="C111" s="365" t="str">
        <f ca="1">INDEX(Calcs[Description],$A111)</f>
        <v/>
      </c>
      <c r="D111" s="365"/>
      <c r="E111" s="365"/>
      <c r="F111" s="365"/>
      <c r="G111" s="365"/>
      <c r="H111" s="388"/>
      <c r="I111" s="177"/>
      <c r="J111" s="388"/>
      <c r="K111" s="177"/>
      <c r="L111" s="388"/>
      <c r="M111" s="177"/>
      <c r="N111" s="388"/>
      <c r="O111" s="177"/>
      <c r="P111" s="388"/>
      <c r="Q111" s="177"/>
      <c r="R111" s="388"/>
      <c r="S111" s="177"/>
      <c r="T111" s="388"/>
      <c r="U111" s="177"/>
      <c r="V111" s="388"/>
      <c r="W111" s="177"/>
      <c r="X111" s="388"/>
      <c r="Y111" s="177"/>
      <c r="Z111" s="388"/>
      <c r="AA111" s="177"/>
      <c r="AB111" s="388"/>
      <c r="AC111" s="177"/>
      <c r="AD111" s="388"/>
      <c r="AE111" s="177"/>
      <c r="AF111" s="388"/>
      <c r="AG111" s="177"/>
      <c r="AH111" s="388"/>
      <c r="AI111" s="177"/>
      <c r="AJ111" s="388"/>
      <c r="AK111" s="177"/>
      <c r="AL111" s="388"/>
      <c r="AM111" s="177"/>
      <c r="AN111" s="388"/>
      <c r="AO111" s="177"/>
      <c r="AP111" s="388"/>
      <c r="AQ111" s="177"/>
      <c r="AR111" s="209" t="str">
        <f ca="1">IF(LEN(B111)&gt;0,ISNUMBER(MATCH(B111,Proposed[Item],0)),"")</f>
        <v/>
      </c>
    </row>
    <row r="112" spans="1:44" ht="15" x14ac:dyDescent="0.2">
      <c r="A112" s="276">
        <f t="shared" ca="1" si="1"/>
        <v>52</v>
      </c>
      <c r="B112" s="111" t="str">
        <f ca="1">IF($A112&lt;=NumPayItems,"Line "&amp;INDEX(Calcs[Line],$A112),"")</f>
        <v/>
      </c>
      <c r="C112" s="169" t="str">
        <f ca="1">IFERROR(IF($D112="LPSM","ALL",TEXT(INDEX(INDIRECT(RangeQuantity),MATCH($A112,INDIRECT(RangeCount),0)),"#,##0"&amp;IF(OFFSET(Items[],MATCH($A112,INDIRECT(RangeCount),0)-1,MATCH(Decimals,Items[#Headers],0)-1,1,1)&gt;0,"."&amp;REPT("0",OFFSET(Items[],MATCH($A112,INDIRECT(RangeCount),0)-1,MATCH(Decimals,Items[#Headers],0)-1,1,1)),""))),"")</f>
        <v/>
      </c>
      <c r="D112" s="170" t="str">
        <f ca="1">IFERROR(INDEX(INDIRECT(RangeUnit),MATCH($A112,INDIRECT(RangeCount),0)),"")</f>
        <v/>
      </c>
      <c r="E112" s="170" t="str">
        <f ca="1">IFERROR(IF(INDEX(INDIRECT(RangeContrQty),MATCH($A112,INDIRECT(RangeCount),0)),"(CQ)",""),"")</f>
        <v/>
      </c>
      <c r="F112" s="171" t="str">
        <f ca="1">IFERROR(INDEX(INDIRECT(RangeUnitPrice),MATCH($A112,INDIRECT(RangeCount),0)),"")</f>
        <v/>
      </c>
      <c r="G112" s="171" t="str">
        <f ca="1">IFERROR(VALUE(C112)*F112,F112)</f>
        <v/>
      </c>
      <c r="H112" s="388"/>
      <c r="I112" s="178" t="str">
        <f ca="1">IF($C112="","",IF($D112="LPSM",H111,VALUE($C112)*H111))</f>
        <v/>
      </c>
      <c r="J112" s="388"/>
      <c r="K112" s="178" t="str">
        <f ca="1">IF($C112="","",IF($D112="LPSM",J111,VALUE($C112)*J111))</f>
        <v/>
      </c>
      <c r="L112" s="388"/>
      <c r="M112" s="178" t="str">
        <f ca="1">IF($C112="","",IF($D112="LPSM",L111,VALUE($C112)*L111))</f>
        <v/>
      </c>
      <c r="N112" s="388"/>
      <c r="O112" s="178" t="str">
        <f ca="1">IF($C112="","",IF($D112="LPSM",N111,VALUE($C112)*N111))</f>
        <v/>
      </c>
      <c r="P112" s="388"/>
      <c r="Q112" s="178" t="str">
        <f ca="1">IF($C112="","",IF($D112="LPSM",P111,VALUE($C112)*P111))</f>
        <v/>
      </c>
      <c r="R112" s="388"/>
      <c r="S112" s="178" t="str">
        <f ca="1">IF($C112="","",IF($D112="LPSM",R111,VALUE($C112)*R111))</f>
        <v/>
      </c>
      <c r="T112" s="388"/>
      <c r="U112" s="178" t="str">
        <f ca="1">IF($C112="","",IF($D112="LPSM",T111,VALUE($C112)*T111))</f>
        <v/>
      </c>
      <c r="V112" s="388"/>
      <c r="W112" s="178" t="str">
        <f ca="1">IF($C112="","",IF($D112="LPSM",V111,VALUE($C112)*V111))</f>
        <v/>
      </c>
      <c r="X112" s="388"/>
      <c r="Y112" s="178" t="str">
        <f ca="1">IF($C112="","",IF($D112="LPSM",X111,VALUE($C112)*X111))</f>
        <v/>
      </c>
      <c r="Z112" s="388"/>
      <c r="AA112" s="178" t="str">
        <f ca="1">IF($C112="","",IF($D112="LPSM",Z111,VALUE($C112)*Z111))</f>
        <v/>
      </c>
      <c r="AB112" s="388"/>
      <c r="AC112" s="178" t="str">
        <f ca="1">IF($C112="","",IF($D112="LPSM",AB111,VALUE($C112)*AB111))</f>
        <v/>
      </c>
      <c r="AD112" s="388"/>
      <c r="AE112" s="178" t="str">
        <f ca="1">IF($C112="","",IF($D112="LPSM",AD111,VALUE($C112)*AD111))</f>
        <v/>
      </c>
      <c r="AF112" s="388"/>
      <c r="AG112" s="178" t="str">
        <f ca="1">IF($C112="","",IF($D112="LPSM",AF111,VALUE($C112)*AF111))</f>
        <v/>
      </c>
      <c r="AH112" s="388"/>
      <c r="AI112" s="178" t="str">
        <f ca="1">IF($C112="","",IF($D112="LPSM",AH111,VALUE($C112)*AH111))</f>
        <v/>
      </c>
      <c r="AJ112" s="388"/>
      <c r="AK112" s="178" t="str">
        <f ca="1">IF($C112="","",IF($D112="LPSM",AJ111,VALUE($C112)*AJ111))</f>
        <v/>
      </c>
      <c r="AL112" s="388"/>
      <c r="AM112" s="178" t="str">
        <f ca="1">IF($C112="","",IF($D112="LPSM",AL111,VALUE($C112)*AL111))</f>
        <v/>
      </c>
      <c r="AN112" s="388"/>
      <c r="AO112" s="178" t="str">
        <f ca="1">IF($C112="","",IF($D112="LPSM",AN111,VALUE($C112)*AN111))</f>
        <v/>
      </c>
      <c r="AP112" s="388"/>
      <c r="AQ112" s="178" t="str">
        <f ca="1">IF($C112="","",IF($D112="LPSM",AP111,VALUE($C112)*AP111))</f>
        <v/>
      </c>
      <c r="AR112" s="209" t="str">
        <f ca="1">IF(LEN(B112)&gt;0,ISNUMBER(MATCH(B112,Proposed[Item],0)),"")</f>
        <v/>
      </c>
    </row>
    <row r="113" spans="1:44" ht="15" x14ac:dyDescent="0.2">
      <c r="A113" s="276">
        <f t="shared" ca="1" si="1"/>
        <v>53</v>
      </c>
      <c r="B113" s="168" t="str">
        <f ca="1">IFERROR(INDEX(INDIRECT(RangeItems),MATCH($A113,INDIRECT(RangeCount),0)),"")</f>
        <v/>
      </c>
      <c r="C113" s="365" t="str">
        <f ca="1">INDEX(Calcs[Description],$A113)</f>
        <v/>
      </c>
      <c r="D113" s="365"/>
      <c r="E113" s="365"/>
      <c r="F113" s="365"/>
      <c r="G113" s="365"/>
      <c r="H113" s="388"/>
      <c r="I113" s="177"/>
      <c r="J113" s="388"/>
      <c r="K113" s="177"/>
      <c r="L113" s="388"/>
      <c r="M113" s="177"/>
      <c r="N113" s="388"/>
      <c r="O113" s="177"/>
      <c r="P113" s="388"/>
      <c r="Q113" s="177"/>
      <c r="R113" s="388"/>
      <c r="S113" s="177"/>
      <c r="T113" s="388"/>
      <c r="U113" s="177"/>
      <c r="V113" s="388"/>
      <c r="W113" s="177"/>
      <c r="X113" s="388"/>
      <c r="Y113" s="177"/>
      <c r="Z113" s="388"/>
      <c r="AA113" s="177"/>
      <c r="AB113" s="388"/>
      <c r="AC113" s="177"/>
      <c r="AD113" s="388"/>
      <c r="AE113" s="177"/>
      <c r="AF113" s="388"/>
      <c r="AG113" s="177"/>
      <c r="AH113" s="388"/>
      <c r="AI113" s="177"/>
      <c r="AJ113" s="388"/>
      <c r="AK113" s="177"/>
      <c r="AL113" s="388"/>
      <c r="AM113" s="177"/>
      <c r="AN113" s="388"/>
      <c r="AO113" s="177"/>
      <c r="AP113" s="388"/>
      <c r="AQ113" s="177"/>
      <c r="AR113" s="209" t="str">
        <f ca="1">IF(LEN(B113)&gt;0,ISNUMBER(MATCH(B113,Proposed[Item],0)),"")</f>
        <v/>
      </c>
    </row>
    <row r="114" spans="1:44" ht="15" x14ac:dyDescent="0.2">
      <c r="A114" s="276">
        <f t="shared" ca="1" si="1"/>
        <v>53</v>
      </c>
      <c r="B114" s="111" t="str">
        <f ca="1">IF($A114&lt;=NumPayItems,"Line "&amp;INDEX(Calcs[Line],$A114),"")</f>
        <v/>
      </c>
      <c r="C114" s="169" t="str">
        <f ca="1">IFERROR(IF($D114="LPSM","ALL",TEXT(INDEX(INDIRECT(RangeQuantity),MATCH($A114,INDIRECT(RangeCount),0)),"#,##0"&amp;IF(OFFSET(Items[],MATCH($A114,INDIRECT(RangeCount),0)-1,MATCH(Decimals,Items[#Headers],0)-1,1,1)&gt;0,"."&amp;REPT("0",OFFSET(Items[],MATCH($A114,INDIRECT(RangeCount),0)-1,MATCH(Decimals,Items[#Headers],0)-1,1,1)),""))),"")</f>
        <v/>
      </c>
      <c r="D114" s="170" t="str">
        <f ca="1">IFERROR(INDEX(INDIRECT(RangeUnit),MATCH($A114,INDIRECT(RangeCount),0)),"")</f>
        <v/>
      </c>
      <c r="E114" s="170" t="str">
        <f ca="1">IFERROR(IF(INDEX(INDIRECT(RangeContrQty),MATCH($A114,INDIRECT(RangeCount),0)),"(CQ)",""),"")</f>
        <v/>
      </c>
      <c r="F114" s="171" t="str">
        <f ca="1">IFERROR(INDEX(INDIRECT(RangeUnitPrice),MATCH($A114,INDIRECT(RangeCount),0)),"")</f>
        <v/>
      </c>
      <c r="G114" s="171" t="str">
        <f ca="1">IFERROR(VALUE(C114)*F114,F114)</f>
        <v/>
      </c>
      <c r="H114" s="388"/>
      <c r="I114" s="178" t="str">
        <f ca="1">IF($C114="","",IF($D114="LPSM",H113,VALUE($C114)*H113))</f>
        <v/>
      </c>
      <c r="J114" s="388"/>
      <c r="K114" s="178" t="str">
        <f ca="1">IF($C114="","",IF($D114="LPSM",J113,VALUE($C114)*J113))</f>
        <v/>
      </c>
      <c r="L114" s="388"/>
      <c r="M114" s="178" t="str">
        <f ca="1">IF($C114="","",IF($D114="LPSM",L113,VALUE($C114)*L113))</f>
        <v/>
      </c>
      <c r="N114" s="388"/>
      <c r="O114" s="178" t="str">
        <f ca="1">IF($C114="","",IF($D114="LPSM",N113,VALUE($C114)*N113))</f>
        <v/>
      </c>
      <c r="P114" s="388"/>
      <c r="Q114" s="178" t="str">
        <f ca="1">IF($C114="","",IF($D114="LPSM",P113,VALUE($C114)*P113))</f>
        <v/>
      </c>
      <c r="R114" s="388"/>
      <c r="S114" s="178" t="str">
        <f ca="1">IF($C114="","",IF($D114="LPSM",R113,VALUE($C114)*R113))</f>
        <v/>
      </c>
      <c r="T114" s="388"/>
      <c r="U114" s="178" t="str">
        <f ca="1">IF($C114="","",IF($D114="LPSM",T113,VALUE($C114)*T113))</f>
        <v/>
      </c>
      <c r="V114" s="388"/>
      <c r="W114" s="178" t="str">
        <f ca="1">IF($C114="","",IF($D114="LPSM",V113,VALUE($C114)*V113))</f>
        <v/>
      </c>
      <c r="X114" s="388"/>
      <c r="Y114" s="178" t="str">
        <f ca="1">IF($C114="","",IF($D114="LPSM",X113,VALUE($C114)*X113))</f>
        <v/>
      </c>
      <c r="Z114" s="388"/>
      <c r="AA114" s="178" t="str">
        <f ca="1">IF($C114="","",IF($D114="LPSM",Z113,VALUE($C114)*Z113))</f>
        <v/>
      </c>
      <c r="AB114" s="388"/>
      <c r="AC114" s="178" t="str">
        <f ca="1">IF($C114="","",IF($D114="LPSM",AB113,VALUE($C114)*AB113))</f>
        <v/>
      </c>
      <c r="AD114" s="388"/>
      <c r="AE114" s="178" t="str">
        <f ca="1">IF($C114="","",IF($D114="LPSM",AD113,VALUE($C114)*AD113))</f>
        <v/>
      </c>
      <c r="AF114" s="388"/>
      <c r="AG114" s="178" t="str">
        <f ca="1">IF($C114="","",IF($D114="LPSM",AF113,VALUE($C114)*AF113))</f>
        <v/>
      </c>
      <c r="AH114" s="388"/>
      <c r="AI114" s="178" t="str">
        <f ca="1">IF($C114="","",IF($D114="LPSM",AH113,VALUE($C114)*AH113))</f>
        <v/>
      </c>
      <c r="AJ114" s="388"/>
      <c r="AK114" s="178" t="str">
        <f ca="1">IF($C114="","",IF($D114="LPSM",AJ113,VALUE($C114)*AJ113))</f>
        <v/>
      </c>
      <c r="AL114" s="388"/>
      <c r="AM114" s="178" t="str">
        <f ca="1">IF($C114="","",IF($D114="LPSM",AL113,VALUE($C114)*AL113))</f>
        <v/>
      </c>
      <c r="AN114" s="388"/>
      <c r="AO114" s="178" t="str">
        <f ca="1">IF($C114="","",IF($D114="LPSM",AN113,VALUE($C114)*AN113))</f>
        <v/>
      </c>
      <c r="AP114" s="388"/>
      <c r="AQ114" s="178" t="str">
        <f ca="1">IF($C114="","",IF($D114="LPSM",AP113,VALUE($C114)*AP113))</f>
        <v/>
      </c>
      <c r="AR114" s="209" t="str">
        <f ca="1">IF(LEN(B114)&gt;0,ISNUMBER(MATCH(B114,Proposed[Item],0)),"")</f>
        <v/>
      </c>
    </row>
    <row r="115" spans="1:44" ht="15" x14ac:dyDescent="0.2">
      <c r="A115" s="276">
        <f t="shared" ca="1" si="1"/>
        <v>54</v>
      </c>
      <c r="B115" s="168" t="str">
        <f ca="1">IFERROR(INDEX(INDIRECT(RangeItems),MATCH($A115,INDIRECT(RangeCount),0)),"")</f>
        <v/>
      </c>
      <c r="C115" s="365" t="str">
        <f ca="1">INDEX(Calcs[Description],$A115)</f>
        <v/>
      </c>
      <c r="D115" s="365"/>
      <c r="E115" s="365"/>
      <c r="F115" s="365"/>
      <c r="G115" s="365"/>
      <c r="H115" s="388"/>
      <c r="I115" s="177"/>
      <c r="J115" s="388"/>
      <c r="K115" s="177"/>
      <c r="L115" s="388"/>
      <c r="M115" s="177"/>
      <c r="N115" s="388"/>
      <c r="O115" s="177"/>
      <c r="P115" s="388"/>
      <c r="Q115" s="177"/>
      <c r="R115" s="388"/>
      <c r="S115" s="177"/>
      <c r="T115" s="388"/>
      <c r="U115" s="177"/>
      <c r="V115" s="388"/>
      <c r="W115" s="177"/>
      <c r="X115" s="388"/>
      <c r="Y115" s="177"/>
      <c r="Z115" s="388"/>
      <c r="AA115" s="177"/>
      <c r="AB115" s="388"/>
      <c r="AC115" s="177"/>
      <c r="AD115" s="388"/>
      <c r="AE115" s="177"/>
      <c r="AF115" s="388"/>
      <c r="AG115" s="177"/>
      <c r="AH115" s="388"/>
      <c r="AI115" s="177"/>
      <c r="AJ115" s="388"/>
      <c r="AK115" s="177"/>
      <c r="AL115" s="388"/>
      <c r="AM115" s="177"/>
      <c r="AN115" s="388"/>
      <c r="AO115" s="177"/>
      <c r="AP115" s="388"/>
      <c r="AQ115" s="177"/>
      <c r="AR115" s="209" t="str">
        <f ca="1">IF(LEN(B115)&gt;0,ISNUMBER(MATCH(B115,Proposed[Item],0)),"")</f>
        <v/>
      </c>
    </row>
    <row r="116" spans="1:44" ht="15" x14ac:dyDescent="0.2">
      <c r="A116" s="276">
        <f t="shared" ca="1" si="1"/>
        <v>54</v>
      </c>
      <c r="B116" s="111" t="str">
        <f ca="1">IF($A116&lt;=NumPayItems,"Line "&amp;INDEX(Calcs[Line],$A116),"")</f>
        <v/>
      </c>
      <c r="C116" s="169" t="str">
        <f ca="1">IFERROR(IF($D116="LPSM","ALL",TEXT(INDEX(INDIRECT(RangeQuantity),MATCH($A116,INDIRECT(RangeCount),0)),"#,##0"&amp;IF(OFFSET(Items[],MATCH($A116,INDIRECT(RangeCount),0)-1,MATCH(Decimals,Items[#Headers],0)-1,1,1)&gt;0,"."&amp;REPT("0",OFFSET(Items[],MATCH($A116,INDIRECT(RangeCount),0)-1,MATCH(Decimals,Items[#Headers],0)-1,1,1)),""))),"")</f>
        <v/>
      </c>
      <c r="D116" s="170" t="str">
        <f ca="1">IFERROR(INDEX(INDIRECT(RangeUnit),MATCH($A116,INDIRECT(RangeCount),0)),"")</f>
        <v/>
      </c>
      <c r="E116" s="170" t="str">
        <f ca="1">IFERROR(IF(INDEX(INDIRECT(RangeContrQty),MATCH($A116,INDIRECT(RangeCount),0)),"(CQ)",""),"")</f>
        <v/>
      </c>
      <c r="F116" s="171" t="str">
        <f ca="1">IFERROR(INDEX(INDIRECT(RangeUnitPrice),MATCH($A116,INDIRECT(RangeCount),0)),"")</f>
        <v/>
      </c>
      <c r="G116" s="171" t="str">
        <f ca="1">IFERROR(VALUE(C116)*F116,F116)</f>
        <v/>
      </c>
      <c r="H116" s="388"/>
      <c r="I116" s="178" t="str">
        <f ca="1">IF($C116="","",IF($D116="LPSM",H115,VALUE($C116)*H115))</f>
        <v/>
      </c>
      <c r="J116" s="388"/>
      <c r="K116" s="178" t="str">
        <f ca="1">IF($C116="","",IF($D116="LPSM",J115,VALUE($C116)*J115))</f>
        <v/>
      </c>
      <c r="L116" s="388"/>
      <c r="M116" s="178" t="str">
        <f ca="1">IF($C116="","",IF($D116="LPSM",L115,VALUE($C116)*L115))</f>
        <v/>
      </c>
      <c r="N116" s="388"/>
      <c r="O116" s="178" t="str">
        <f ca="1">IF($C116="","",IF($D116="LPSM",N115,VALUE($C116)*N115))</f>
        <v/>
      </c>
      <c r="P116" s="388"/>
      <c r="Q116" s="178" t="str">
        <f ca="1">IF($C116="","",IF($D116="LPSM",P115,VALUE($C116)*P115))</f>
        <v/>
      </c>
      <c r="R116" s="388"/>
      <c r="S116" s="178" t="str">
        <f ca="1">IF($C116="","",IF($D116="LPSM",R115,VALUE($C116)*R115))</f>
        <v/>
      </c>
      <c r="T116" s="388"/>
      <c r="U116" s="178" t="str">
        <f ca="1">IF($C116="","",IF($D116="LPSM",T115,VALUE($C116)*T115))</f>
        <v/>
      </c>
      <c r="V116" s="388"/>
      <c r="W116" s="178" t="str">
        <f ca="1">IF($C116="","",IF($D116="LPSM",V115,VALUE($C116)*V115))</f>
        <v/>
      </c>
      <c r="X116" s="388"/>
      <c r="Y116" s="178" t="str">
        <f ca="1">IF($C116="","",IF($D116="LPSM",X115,VALUE($C116)*X115))</f>
        <v/>
      </c>
      <c r="Z116" s="388"/>
      <c r="AA116" s="178" t="str">
        <f ca="1">IF($C116="","",IF($D116="LPSM",Z115,VALUE($C116)*Z115))</f>
        <v/>
      </c>
      <c r="AB116" s="388"/>
      <c r="AC116" s="178" t="str">
        <f ca="1">IF($C116="","",IF($D116="LPSM",AB115,VALUE($C116)*AB115))</f>
        <v/>
      </c>
      <c r="AD116" s="388"/>
      <c r="AE116" s="178" t="str">
        <f ca="1">IF($C116="","",IF($D116="LPSM",AD115,VALUE($C116)*AD115))</f>
        <v/>
      </c>
      <c r="AF116" s="388"/>
      <c r="AG116" s="178" t="str">
        <f ca="1">IF($C116="","",IF($D116="LPSM",AF115,VALUE($C116)*AF115))</f>
        <v/>
      </c>
      <c r="AH116" s="388"/>
      <c r="AI116" s="178" t="str">
        <f ca="1">IF($C116="","",IF($D116="LPSM",AH115,VALUE($C116)*AH115))</f>
        <v/>
      </c>
      <c r="AJ116" s="388"/>
      <c r="AK116" s="178" t="str">
        <f ca="1">IF($C116="","",IF($D116="LPSM",AJ115,VALUE($C116)*AJ115))</f>
        <v/>
      </c>
      <c r="AL116" s="388"/>
      <c r="AM116" s="178" t="str">
        <f ca="1">IF($C116="","",IF($D116="LPSM",AL115,VALUE($C116)*AL115))</f>
        <v/>
      </c>
      <c r="AN116" s="388"/>
      <c r="AO116" s="178" t="str">
        <f ca="1">IF($C116="","",IF($D116="LPSM",AN115,VALUE($C116)*AN115))</f>
        <v/>
      </c>
      <c r="AP116" s="388"/>
      <c r="AQ116" s="178" t="str">
        <f ca="1">IF($C116="","",IF($D116="LPSM",AP115,VALUE($C116)*AP115))</f>
        <v/>
      </c>
      <c r="AR116" s="209" t="str">
        <f ca="1">IF(LEN(B116)&gt;0,ISNUMBER(MATCH(B116,Proposed[Item],0)),"")</f>
        <v/>
      </c>
    </row>
    <row r="117" spans="1:44" ht="15" x14ac:dyDescent="0.2">
      <c r="A117" s="276">
        <f t="shared" ca="1" si="1"/>
        <v>55</v>
      </c>
      <c r="B117" s="168" t="str">
        <f ca="1">IFERROR(INDEX(INDIRECT(RangeItems),MATCH($A117,INDIRECT(RangeCount),0)),"")</f>
        <v/>
      </c>
      <c r="C117" s="365" t="str">
        <f ca="1">INDEX(Calcs[Description],$A117)</f>
        <v/>
      </c>
      <c r="D117" s="365"/>
      <c r="E117" s="365"/>
      <c r="F117" s="365"/>
      <c r="G117" s="365"/>
      <c r="H117" s="388"/>
      <c r="I117" s="177"/>
      <c r="J117" s="388"/>
      <c r="K117" s="177"/>
      <c r="L117" s="388"/>
      <c r="M117" s="177"/>
      <c r="N117" s="388"/>
      <c r="O117" s="177"/>
      <c r="P117" s="388"/>
      <c r="Q117" s="177"/>
      <c r="R117" s="388"/>
      <c r="S117" s="177"/>
      <c r="T117" s="388"/>
      <c r="U117" s="177"/>
      <c r="V117" s="388"/>
      <c r="W117" s="177"/>
      <c r="X117" s="388"/>
      <c r="Y117" s="177"/>
      <c r="Z117" s="388"/>
      <c r="AA117" s="177"/>
      <c r="AB117" s="388"/>
      <c r="AC117" s="177"/>
      <c r="AD117" s="388"/>
      <c r="AE117" s="177"/>
      <c r="AF117" s="388"/>
      <c r="AG117" s="177"/>
      <c r="AH117" s="388"/>
      <c r="AI117" s="177"/>
      <c r="AJ117" s="388"/>
      <c r="AK117" s="177"/>
      <c r="AL117" s="388"/>
      <c r="AM117" s="177"/>
      <c r="AN117" s="388"/>
      <c r="AO117" s="177"/>
      <c r="AP117" s="388"/>
      <c r="AQ117" s="177"/>
      <c r="AR117" s="209" t="str">
        <f ca="1">IF(LEN(B117)&gt;0,ISNUMBER(MATCH(B117,Proposed[Item],0)),"")</f>
        <v/>
      </c>
    </row>
    <row r="118" spans="1:44" ht="15" x14ac:dyDescent="0.2">
      <c r="A118" s="276">
        <f t="shared" ca="1" si="1"/>
        <v>55</v>
      </c>
      <c r="B118" s="111" t="str">
        <f ca="1">IF($A118&lt;=NumPayItems,"Line "&amp;INDEX(Calcs[Line],$A118),"")</f>
        <v/>
      </c>
      <c r="C118" s="169" t="str">
        <f ca="1">IFERROR(IF($D118="LPSM","ALL",TEXT(INDEX(INDIRECT(RangeQuantity),MATCH($A118,INDIRECT(RangeCount),0)),"#,##0"&amp;IF(OFFSET(Items[],MATCH($A118,INDIRECT(RangeCount),0)-1,MATCH(Decimals,Items[#Headers],0)-1,1,1)&gt;0,"."&amp;REPT("0",OFFSET(Items[],MATCH($A118,INDIRECT(RangeCount),0)-1,MATCH(Decimals,Items[#Headers],0)-1,1,1)),""))),"")</f>
        <v/>
      </c>
      <c r="D118" s="170" t="str">
        <f ca="1">IFERROR(INDEX(INDIRECT(RangeUnit),MATCH($A118,INDIRECT(RangeCount),0)),"")</f>
        <v/>
      </c>
      <c r="E118" s="170" t="str">
        <f ca="1">IFERROR(IF(INDEX(INDIRECT(RangeContrQty),MATCH($A118,INDIRECT(RangeCount),0)),"(CQ)",""),"")</f>
        <v/>
      </c>
      <c r="F118" s="171" t="str">
        <f ca="1">IFERROR(INDEX(INDIRECT(RangeUnitPrice),MATCH($A118,INDIRECT(RangeCount),0)),"")</f>
        <v/>
      </c>
      <c r="G118" s="171" t="str">
        <f ca="1">IFERROR(VALUE(C118)*F118,F118)</f>
        <v/>
      </c>
      <c r="H118" s="388"/>
      <c r="I118" s="178" t="str">
        <f ca="1">IF($C118="","",IF($D118="LPSM",H117,VALUE($C118)*H117))</f>
        <v/>
      </c>
      <c r="J118" s="388"/>
      <c r="K118" s="178" t="str">
        <f ca="1">IF($C118="","",IF($D118="LPSM",J117,VALUE($C118)*J117))</f>
        <v/>
      </c>
      <c r="L118" s="388"/>
      <c r="M118" s="178" t="str">
        <f ca="1">IF($C118="","",IF($D118="LPSM",L117,VALUE($C118)*L117))</f>
        <v/>
      </c>
      <c r="N118" s="388"/>
      <c r="O118" s="178" t="str">
        <f ca="1">IF($C118="","",IF($D118="LPSM",N117,VALUE($C118)*N117))</f>
        <v/>
      </c>
      <c r="P118" s="388"/>
      <c r="Q118" s="178" t="str">
        <f ca="1">IF($C118="","",IF($D118="LPSM",P117,VALUE($C118)*P117))</f>
        <v/>
      </c>
      <c r="R118" s="388"/>
      <c r="S118" s="178" t="str">
        <f ca="1">IF($C118="","",IF($D118="LPSM",R117,VALUE($C118)*R117))</f>
        <v/>
      </c>
      <c r="T118" s="388"/>
      <c r="U118" s="178" t="str">
        <f ca="1">IF($C118="","",IF($D118="LPSM",T117,VALUE($C118)*T117))</f>
        <v/>
      </c>
      <c r="V118" s="388"/>
      <c r="W118" s="178" t="str">
        <f ca="1">IF($C118="","",IF($D118="LPSM",V117,VALUE($C118)*V117))</f>
        <v/>
      </c>
      <c r="X118" s="388"/>
      <c r="Y118" s="178" t="str">
        <f ca="1">IF($C118="","",IF($D118="LPSM",X117,VALUE($C118)*X117))</f>
        <v/>
      </c>
      <c r="Z118" s="388"/>
      <c r="AA118" s="178" t="str">
        <f ca="1">IF($C118="","",IF($D118="LPSM",Z117,VALUE($C118)*Z117))</f>
        <v/>
      </c>
      <c r="AB118" s="388"/>
      <c r="AC118" s="178" t="str">
        <f ca="1">IF($C118="","",IF($D118="LPSM",AB117,VALUE($C118)*AB117))</f>
        <v/>
      </c>
      <c r="AD118" s="388"/>
      <c r="AE118" s="178" t="str">
        <f ca="1">IF($C118="","",IF($D118="LPSM",AD117,VALUE($C118)*AD117))</f>
        <v/>
      </c>
      <c r="AF118" s="388"/>
      <c r="AG118" s="178" t="str">
        <f ca="1">IF($C118="","",IF($D118="LPSM",AF117,VALUE($C118)*AF117))</f>
        <v/>
      </c>
      <c r="AH118" s="388"/>
      <c r="AI118" s="178" t="str">
        <f ca="1">IF($C118="","",IF($D118="LPSM",AH117,VALUE($C118)*AH117))</f>
        <v/>
      </c>
      <c r="AJ118" s="388"/>
      <c r="AK118" s="178" t="str">
        <f ca="1">IF($C118="","",IF($D118="LPSM",AJ117,VALUE($C118)*AJ117))</f>
        <v/>
      </c>
      <c r="AL118" s="388"/>
      <c r="AM118" s="178" t="str">
        <f ca="1">IF($C118="","",IF($D118="LPSM",AL117,VALUE($C118)*AL117))</f>
        <v/>
      </c>
      <c r="AN118" s="388"/>
      <c r="AO118" s="178" t="str">
        <f ca="1">IF($C118="","",IF($D118="LPSM",AN117,VALUE($C118)*AN117))</f>
        <v/>
      </c>
      <c r="AP118" s="388"/>
      <c r="AQ118" s="178" t="str">
        <f ca="1">IF($C118="","",IF($D118="LPSM",AP117,VALUE($C118)*AP117))</f>
        <v/>
      </c>
      <c r="AR118" s="209" t="str">
        <f ca="1">IF(LEN(B118)&gt;0,ISNUMBER(MATCH(B118,Proposed[Item],0)),"")</f>
        <v/>
      </c>
    </row>
    <row r="119" spans="1:44" ht="15" x14ac:dyDescent="0.2">
      <c r="A119" s="276">
        <f t="shared" ca="1" si="1"/>
        <v>56</v>
      </c>
      <c r="B119" s="168" t="str">
        <f ca="1">IFERROR(INDEX(INDIRECT(RangeItems),MATCH($A119,INDIRECT(RangeCount),0)),"")</f>
        <v/>
      </c>
      <c r="C119" s="365" t="str">
        <f ca="1">INDEX(Calcs[Description],$A119)</f>
        <v/>
      </c>
      <c r="D119" s="365"/>
      <c r="E119" s="365"/>
      <c r="F119" s="365"/>
      <c r="G119" s="365"/>
      <c r="H119" s="388"/>
      <c r="I119" s="177"/>
      <c r="J119" s="388"/>
      <c r="K119" s="177"/>
      <c r="L119" s="388"/>
      <c r="M119" s="177"/>
      <c r="N119" s="388"/>
      <c r="O119" s="177"/>
      <c r="P119" s="388"/>
      <c r="Q119" s="177"/>
      <c r="R119" s="388"/>
      <c r="S119" s="177"/>
      <c r="T119" s="388"/>
      <c r="U119" s="177"/>
      <c r="V119" s="388"/>
      <c r="W119" s="177"/>
      <c r="X119" s="388"/>
      <c r="Y119" s="177"/>
      <c r="Z119" s="388"/>
      <c r="AA119" s="177"/>
      <c r="AB119" s="388"/>
      <c r="AC119" s="177"/>
      <c r="AD119" s="388"/>
      <c r="AE119" s="177"/>
      <c r="AF119" s="388"/>
      <c r="AG119" s="177"/>
      <c r="AH119" s="388"/>
      <c r="AI119" s="177"/>
      <c r="AJ119" s="388"/>
      <c r="AK119" s="177"/>
      <c r="AL119" s="388"/>
      <c r="AM119" s="177"/>
      <c r="AN119" s="388"/>
      <c r="AO119" s="177"/>
      <c r="AP119" s="388"/>
      <c r="AQ119" s="177"/>
      <c r="AR119" s="209" t="str">
        <f ca="1">IF(LEN(B119)&gt;0,ISNUMBER(MATCH(B119,Proposed[Item],0)),"")</f>
        <v/>
      </c>
    </row>
    <row r="120" spans="1:44" ht="15" x14ac:dyDescent="0.2">
      <c r="A120" s="276">
        <f t="shared" ca="1" si="1"/>
        <v>56</v>
      </c>
      <c r="B120" s="111" t="str">
        <f ca="1">IF($A120&lt;=NumPayItems,"Line "&amp;INDEX(Calcs[Line],$A120),"")</f>
        <v/>
      </c>
      <c r="C120" s="169" t="str">
        <f ca="1">IFERROR(IF($D120="LPSM","ALL",TEXT(INDEX(INDIRECT(RangeQuantity),MATCH($A120,INDIRECT(RangeCount),0)),"#,##0"&amp;IF(OFFSET(Items[],MATCH($A120,INDIRECT(RangeCount),0)-1,MATCH(Decimals,Items[#Headers],0)-1,1,1)&gt;0,"."&amp;REPT("0",OFFSET(Items[],MATCH($A120,INDIRECT(RangeCount),0)-1,MATCH(Decimals,Items[#Headers],0)-1,1,1)),""))),"")</f>
        <v/>
      </c>
      <c r="D120" s="170" t="str">
        <f ca="1">IFERROR(INDEX(INDIRECT(RangeUnit),MATCH($A120,INDIRECT(RangeCount),0)),"")</f>
        <v/>
      </c>
      <c r="E120" s="170" t="str">
        <f ca="1">IFERROR(IF(INDEX(INDIRECT(RangeContrQty),MATCH($A120,INDIRECT(RangeCount),0)),"(CQ)",""),"")</f>
        <v/>
      </c>
      <c r="F120" s="171" t="str">
        <f ca="1">IFERROR(INDEX(INDIRECT(RangeUnitPrice),MATCH($A120,INDIRECT(RangeCount),0)),"")</f>
        <v/>
      </c>
      <c r="G120" s="171" t="str">
        <f ca="1">IFERROR(VALUE(C120)*F120,F120)</f>
        <v/>
      </c>
      <c r="H120" s="388"/>
      <c r="I120" s="178" t="str">
        <f ca="1">IF($C120="","",IF($D120="LPSM",H119,VALUE($C120)*H119))</f>
        <v/>
      </c>
      <c r="J120" s="388"/>
      <c r="K120" s="178" t="str">
        <f ca="1">IF($C120="","",IF($D120="LPSM",J119,VALUE($C120)*J119))</f>
        <v/>
      </c>
      <c r="L120" s="388"/>
      <c r="M120" s="178" t="str">
        <f ca="1">IF($C120="","",IF($D120="LPSM",L119,VALUE($C120)*L119))</f>
        <v/>
      </c>
      <c r="N120" s="388"/>
      <c r="O120" s="178" t="str">
        <f ca="1">IF($C120="","",IF($D120="LPSM",N119,VALUE($C120)*N119))</f>
        <v/>
      </c>
      <c r="P120" s="388"/>
      <c r="Q120" s="178" t="str">
        <f ca="1">IF($C120="","",IF($D120="LPSM",P119,VALUE($C120)*P119))</f>
        <v/>
      </c>
      <c r="R120" s="388"/>
      <c r="S120" s="178" t="str">
        <f ca="1">IF($C120="","",IF($D120="LPSM",R119,VALUE($C120)*R119))</f>
        <v/>
      </c>
      <c r="T120" s="388"/>
      <c r="U120" s="178" t="str">
        <f ca="1">IF($C120="","",IF($D120="LPSM",T119,VALUE($C120)*T119))</f>
        <v/>
      </c>
      <c r="V120" s="388"/>
      <c r="W120" s="178" t="str">
        <f ca="1">IF($C120="","",IF($D120="LPSM",V119,VALUE($C120)*V119))</f>
        <v/>
      </c>
      <c r="X120" s="388"/>
      <c r="Y120" s="178" t="str">
        <f ca="1">IF($C120="","",IF($D120="LPSM",X119,VALUE($C120)*X119))</f>
        <v/>
      </c>
      <c r="Z120" s="388"/>
      <c r="AA120" s="178" t="str">
        <f ca="1">IF($C120="","",IF($D120="LPSM",Z119,VALUE($C120)*Z119))</f>
        <v/>
      </c>
      <c r="AB120" s="388"/>
      <c r="AC120" s="178" t="str">
        <f ca="1">IF($C120="","",IF($D120="LPSM",AB119,VALUE($C120)*AB119))</f>
        <v/>
      </c>
      <c r="AD120" s="388"/>
      <c r="AE120" s="178" t="str">
        <f ca="1">IF($C120="","",IF($D120="LPSM",AD119,VALUE($C120)*AD119))</f>
        <v/>
      </c>
      <c r="AF120" s="388"/>
      <c r="AG120" s="178" t="str">
        <f ca="1">IF($C120="","",IF($D120="LPSM",AF119,VALUE($C120)*AF119))</f>
        <v/>
      </c>
      <c r="AH120" s="388"/>
      <c r="AI120" s="178" t="str">
        <f ca="1">IF($C120="","",IF($D120="LPSM",AH119,VALUE($C120)*AH119))</f>
        <v/>
      </c>
      <c r="AJ120" s="388"/>
      <c r="AK120" s="178" t="str">
        <f ca="1">IF($C120="","",IF($D120="LPSM",AJ119,VALUE($C120)*AJ119))</f>
        <v/>
      </c>
      <c r="AL120" s="388"/>
      <c r="AM120" s="178" t="str">
        <f ca="1">IF($C120="","",IF($D120="LPSM",AL119,VALUE($C120)*AL119))</f>
        <v/>
      </c>
      <c r="AN120" s="388"/>
      <c r="AO120" s="178" t="str">
        <f ca="1">IF($C120="","",IF($D120="LPSM",AN119,VALUE($C120)*AN119))</f>
        <v/>
      </c>
      <c r="AP120" s="388"/>
      <c r="AQ120" s="178" t="str">
        <f ca="1">IF($C120="","",IF($D120="LPSM",AP119,VALUE($C120)*AP119))</f>
        <v/>
      </c>
      <c r="AR120" s="209" t="str">
        <f ca="1">IF(LEN(B120)&gt;0,ISNUMBER(MATCH(B120,Proposed[Item],0)),"")</f>
        <v/>
      </c>
    </row>
    <row r="121" spans="1:44" ht="15" x14ac:dyDescent="0.2">
      <c r="A121" s="276">
        <f t="shared" ca="1" si="1"/>
        <v>57</v>
      </c>
      <c r="B121" s="168" t="str">
        <f ca="1">IFERROR(INDEX(INDIRECT(RangeItems),MATCH($A121,INDIRECT(RangeCount),0)),"")</f>
        <v/>
      </c>
      <c r="C121" s="365" t="str">
        <f ca="1">INDEX(Calcs[Description],$A121)</f>
        <v/>
      </c>
      <c r="D121" s="365"/>
      <c r="E121" s="365"/>
      <c r="F121" s="365"/>
      <c r="G121" s="365"/>
      <c r="H121" s="388"/>
      <c r="I121" s="177"/>
      <c r="J121" s="388"/>
      <c r="K121" s="177"/>
      <c r="L121" s="388"/>
      <c r="M121" s="177"/>
      <c r="N121" s="388"/>
      <c r="O121" s="177"/>
      <c r="P121" s="388"/>
      <c r="Q121" s="177"/>
      <c r="R121" s="388"/>
      <c r="S121" s="177"/>
      <c r="T121" s="388"/>
      <c r="U121" s="177"/>
      <c r="V121" s="388"/>
      <c r="W121" s="177"/>
      <c r="X121" s="388"/>
      <c r="Y121" s="177"/>
      <c r="Z121" s="388"/>
      <c r="AA121" s="177"/>
      <c r="AB121" s="388"/>
      <c r="AC121" s="177"/>
      <c r="AD121" s="388"/>
      <c r="AE121" s="177"/>
      <c r="AF121" s="388"/>
      <c r="AG121" s="177"/>
      <c r="AH121" s="388"/>
      <c r="AI121" s="177"/>
      <c r="AJ121" s="388"/>
      <c r="AK121" s="177"/>
      <c r="AL121" s="388"/>
      <c r="AM121" s="177"/>
      <c r="AN121" s="388"/>
      <c r="AO121" s="177"/>
      <c r="AP121" s="388"/>
      <c r="AQ121" s="177"/>
      <c r="AR121" s="209" t="str">
        <f ca="1">IF(LEN(B121)&gt;0,ISNUMBER(MATCH(B121,Proposed[Item],0)),"")</f>
        <v/>
      </c>
    </row>
    <row r="122" spans="1:44" ht="15" x14ac:dyDescent="0.2">
      <c r="A122" s="276">
        <f t="shared" ca="1" si="1"/>
        <v>57</v>
      </c>
      <c r="B122" s="111" t="str">
        <f ca="1">IF($A122&lt;=NumPayItems,"Line "&amp;INDEX(Calcs[Line],$A122),"")</f>
        <v/>
      </c>
      <c r="C122" s="169" t="str">
        <f ca="1">IFERROR(IF($D122="LPSM","ALL",TEXT(INDEX(INDIRECT(RangeQuantity),MATCH($A122,INDIRECT(RangeCount),0)),"#,##0"&amp;IF(OFFSET(Items[],MATCH($A122,INDIRECT(RangeCount),0)-1,MATCH(Decimals,Items[#Headers],0)-1,1,1)&gt;0,"."&amp;REPT("0",OFFSET(Items[],MATCH($A122,INDIRECT(RangeCount),0)-1,MATCH(Decimals,Items[#Headers],0)-1,1,1)),""))),"")</f>
        <v/>
      </c>
      <c r="D122" s="170" t="str">
        <f ca="1">IFERROR(INDEX(INDIRECT(RangeUnit),MATCH($A122,INDIRECT(RangeCount),0)),"")</f>
        <v/>
      </c>
      <c r="E122" s="170" t="str">
        <f ca="1">IFERROR(IF(INDEX(INDIRECT(RangeContrQty),MATCH($A122,INDIRECT(RangeCount),0)),"(CQ)",""),"")</f>
        <v/>
      </c>
      <c r="F122" s="171" t="str">
        <f ca="1">IFERROR(INDEX(INDIRECT(RangeUnitPrice),MATCH($A122,INDIRECT(RangeCount),0)),"")</f>
        <v/>
      </c>
      <c r="G122" s="171" t="str">
        <f ca="1">IFERROR(VALUE(C122)*F122,F122)</f>
        <v/>
      </c>
      <c r="H122" s="388"/>
      <c r="I122" s="178" t="str">
        <f ca="1">IF($C122="","",IF($D122="LPSM",H121,VALUE($C122)*H121))</f>
        <v/>
      </c>
      <c r="J122" s="388"/>
      <c r="K122" s="178" t="str">
        <f ca="1">IF($C122="","",IF($D122="LPSM",J121,VALUE($C122)*J121))</f>
        <v/>
      </c>
      <c r="L122" s="388"/>
      <c r="M122" s="178" t="str">
        <f ca="1">IF($C122="","",IF($D122="LPSM",L121,VALUE($C122)*L121))</f>
        <v/>
      </c>
      <c r="N122" s="388"/>
      <c r="O122" s="178" t="str">
        <f ca="1">IF($C122="","",IF($D122="LPSM",N121,VALUE($C122)*N121))</f>
        <v/>
      </c>
      <c r="P122" s="388"/>
      <c r="Q122" s="178" t="str">
        <f ca="1">IF($C122="","",IF($D122="LPSM",P121,VALUE($C122)*P121))</f>
        <v/>
      </c>
      <c r="R122" s="388"/>
      <c r="S122" s="178" t="str">
        <f ca="1">IF($C122="","",IF($D122="LPSM",R121,VALUE($C122)*R121))</f>
        <v/>
      </c>
      <c r="T122" s="388"/>
      <c r="U122" s="178" t="str">
        <f ca="1">IF($C122="","",IF($D122="LPSM",T121,VALUE($C122)*T121))</f>
        <v/>
      </c>
      <c r="V122" s="388"/>
      <c r="W122" s="178" t="str">
        <f ca="1">IF($C122="","",IF($D122="LPSM",V121,VALUE($C122)*V121))</f>
        <v/>
      </c>
      <c r="X122" s="388"/>
      <c r="Y122" s="178" t="str">
        <f ca="1">IF($C122="","",IF($D122="LPSM",X121,VALUE($C122)*X121))</f>
        <v/>
      </c>
      <c r="Z122" s="388"/>
      <c r="AA122" s="178" t="str">
        <f ca="1">IF($C122="","",IF($D122="LPSM",Z121,VALUE($C122)*Z121))</f>
        <v/>
      </c>
      <c r="AB122" s="388"/>
      <c r="AC122" s="178" t="str">
        <f ca="1">IF($C122="","",IF($D122="LPSM",AB121,VALUE($C122)*AB121))</f>
        <v/>
      </c>
      <c r="AD122" s="388"/>
      <c r="AE122" s="178" t="str">
        <f ca="1">IF($C122="","",IF($D122="LPSM",AD121,VALUE($C122)*AD121))</f>
        <v/>
      </c>
      <c r="AF122" s="388"/>
      <c r="AG122" s="178" t="str">
        <f ca="1">IF($C122="","",IF($D122="LPSM",AF121,VALUE($C122)*AF121))</f>
        <v/>
      </c>
      <c r="AH122" s="388"/>
      <c r="AI122" s="178" t="str">
        <f ca="1">IF($C122="","",IF($D122="LPSM",AH121,VALUE($C122)*AH121))</f>
        <v/>
      </c>
      <c r="AJ122" s="388"/>
      <c r="AK122" s="178" t="str">
        <f ca="1">IF($C122="","",IF($D122="LPSM",AJ121,VALUE($C122)*AJ121))</f>
        <v/>
      </c>
      <c r="AL122" s="388"/>
      <c r="AM122" s="178" t="str">
        <f ca="1">IF($C122="","",IF($D122="LPSM",AL121,VALUE($C122)*AL121))</f>
        <v/>
      </c>
      <c r="AN122" s="388"/>
      <c r="AO122" s="178" t="str">
        <f ca="1">IF($C122="","",IF($D122="LPSM",AN121,VALUE($C122)*AN121))</f>
        <v/>
      </c>
      <c r="AP122" s="388"/>
      <c r="AQ122" s="178" t="str">
        <f ca="1">IF($C122="","",IF($D122="LPSM",AP121,VALUE($C122)*AP121))</f>
        <v/>
      </c>
      <c r="AR122" s="209" t="str">
        <f ca="1">IF(LEN(B122)&gt;0,ISNUMBER(MATCH(B122,Proposed[Item],0)),"")</f>
        <v/>
      </c>
    </row>
    <row r="123" spans="1:44" ht="15" x14ac:dyDescent="0.2">
      <c r="A123" s="276">
        <f t="shared" ca="1" si="1"/>
        <v>58</v>
      </c>
      <c r="B123" s="168" t="str">
        <f ca="1">IFERROR(INDEX(INDIRECT(RangeItems),MATCH($A123,INDIRECT(RangeCount),0)),"")</f>
        <v/>
      </c>
      <c r="C123" s="365" t="str">
        <f ca="1">INDEX(Calcs[Description],$A123)</f>
        <v/>
      </c>
      <c r="D123" s="365"/>
      <c r="E123" s="365"/>
      <c r="F123" s="365"/>
      <c r="G123" s="365"/>
      <c r="H123" s="388"/>
      <c r="I123" s="177"/>
      <c r="J123" s="388"/>
      <c r="K123" s="177"/>
      <c r="L123" s="388"/>
      <c r="M123" s="177"/>
      <c r="N123" s="388"/>
      <c r="O123" s="177"/>
      <c r="P123" s="388"/>
      <c r="Q123" s="177"/>
      <c r="R123" s="388"/>
      <c r="S123" s="177"/>
      <c r="T123" s="388"/>
      <c r="U123" s="177"/>
      <c r="V123" s="388"/>
      <c r="W123" s="177"/>
      <c r="X123" s="388"/>
      <c r="Y123" s="177"/>
      <c r="Z123" s="388"/>
      <c r="AA123" s="177"/>
      <c r="AB123" s="388"/>
      <c r="AC123" s="177"/>
      <c r="AD123" s="388"/>
      <c r="AE123" s="177"/>
      <c r="AF123" s="388"/>
      <c r="AG123" s="177"/>
      <c r="AH123" s="388"/>
      <c r="AI123" s="177"/>
      <c r="AJ123" s="388"/>
      <c r="AK123" s="177"/>
      <c r="AL123" s="388"/>
      <c r="AM123" s="177"/>
      <c r="AN123" s="388"/>
      <c r="AO123" s="177"/>
      <c r="AP123" s="388"/>
      <c r="AQ123" s="177"/>
      <c r="AR123" s="209" t="str">
        <f ca="1">IF(LEN(B123)&gt;0,ISNUMBER(MATCH(B123,Proposed[Item],0)),"")</f>
        <v/>
      </c>
    </row>
    <row r="124" spans="1:44" ht="15" x14ac:dyDescent="0.2">
      <c r="A124" s="276">
        <f t="shared" ca="1" si="1"/>
        <v>58</v>
      </c>
      <c r="B124" s="111" t="str">
        <f ca="1">IF($A124&lt;=NumPayItems,"Line "&amp;INDEX(Calcs[Line],$A124),"")</f>
        <v/>
      </c>
      <c r="C124" s="169" t="str">
        <f ca="1">IFERROR(IF($D124="LPSM","ALL",TEXT(INDEX(INDIRECT(RangeQuantity),MATCH($A124,INDIRECT(RangeCount),0)),"#,##0"&amp;IF(OFFSET(Items[],MATCH($A124,INDIRECT(RangeCount),0)-1,MATCH(Decimals,Items[#Headers],0)-1,1,1)&gt;0,"."&amp;REPT("0",OFFSET(Items[],MATCH($A124,INDIRECT(RangeCount),0)-1,MATCH(Decimals,Items[#Headers],0)-1,1,1)),""))),"")</f>
        <v/>
      </c>
      <c r="D124" s="170" t="str">
        <f ca="1">IFERROR(INDEX(INDIRECT(RangeUnit),MATCH($A124,INDIRECT(RangeCount),0)),"")</f>
        <v/>
      </c>
      <c r="E124" s="170" t="str">
        <f ca="1">IFERROR(IF(INDEX(INDIRECT(RangeContrQty),MATCH($A124,INDIRECT(RangeCount),0)),"(CQ)",""),"")</f>
        <v/>
      </c>
      <c r="F124" s="171" t="str">
        <f ca="1">IFERROR(INDEX(INDIRECT(RangeUnitPrice),MATCH($A124,INDIRECT(RangeCount),0)),"")</f>
        <v/>
      </c>
      <c r="G124" s="171" t="str">
        <f ca="1">IFERROR(VALUE(C124)*F124,F124)</f>
        <v/>
      </c>
      <c r="H124" s="388"/>
      <c r="I124" s="178" t="str">
        <f ca="1">IF($C124="","",IF($D124="LPSM",H123,VALUE($C124)*H123))</f>
        <v/>
      </c>
      <c r="J124" s="388"/>
      <c r="K124" s="178" t="str">
        <f ca="1">IF($C124="","",IF($D124="LPSM",J123,VALUE($C124)*J123))</f>
        <v/>
      </c>
      <c r="L124" s="388"/>
      <c r="M124" s="178" t="str">
        <f ca="1">IF($C124="","",IF($D124="LPSM",L123,VALUE($C124)*L123))</f>
        <v/>
      </c>
      <c r="N124" s="388"/>
      <c r="O124" s="178" t="str">
        <f ca="1">IF($C124="","",IF($D124="LPSM",N123,VALUE($C124)*N123))</f>
        <v/>
      </c>
      <c r="P124" s="388"/>
      <c r="Q124" s="178" t="str">
        <f ca="1">IF($C124="","",IF($D124="LPSM",P123,VALUE($C124)*P123))</f>
        <v/>
      </c>
      <c r="R124" s="388"/>
      <c r="S124" s="178" t="str">
        <f ca="1">IF($C124="","",IF($D124="LPSM",R123,VALUE($C124)*R123))</f>
        <v/>
      </c>
      <c r="T124" s="388"/>
      <c r="U124" s="178" t="str">
        <f ca="1">IF($C124="","",IF($D124="LPSM",T123,VALUE($C124)*T123))</f>
        <v/>
      </c>
      <c r="V124" s="388"/>
      <c r="W124" s="178" t="str">
        <f ca="1">IF($C124="","",IF($D124="LPSM",V123,VALUE($C124)*V123))</f>
        <v/>
      </c>
      <c r="X124" s="388"/>
      <c r="Y124" s="178" t="str">
        <f ca="1">IF($C124="","",IF($D124="LPSM",X123,VALUE($C124)*X123))</f>
        <v/>
      </c>
      <c r="Z124" s="388"/>
      <c r="AA124" s="178" t="str">
        <f ca="1">IF($C124="","",IF($D124="LPSM",Z123,VALUE($C124)*Z123))</f>
        <v/>
      </c>
      <c r="AB124" s="388"/>
      <c r="AC124" s="178" t="str">
        <f ca="1">IF($C124="","",IF($D124="LPSM",AB123,VALUE($C124)*AB123))</f>
        <v/>
      </c>
      <c r="AD124" s="388"/>
      <c r="AE124" s="178" t="str">
        <f ca="1">IF($C124="","",IF($D124="LPSM",AD123,VALUE($C124)*AD123))</f>
        <v/>
      </c>
      <c r="AF124" s="388"/>
      <c r="AG124" s="178" t="str">
        <f ca="1">IF($C124="","",IF($D124="LPSM",AF123,VALUE($C124)*AF123))</f>
        <v/>
      </c>
      <c r="AH124" s="388"/>
      <c r="AI124" s="178" t="str">
        <f ca="1">IF($C124="","",IF($D124="LPSM",AH123,VALUE($C124)*AH123))</f>
        <v/>
      </c>
      <c r="AJ124" s="388"/>
      <c r="AK124" s="178" t="str">
        <f ca="1">IF($C124="","",IF($D124="LPSM",AJ123,VALUE($C124)*AJ123))</f>
        <v/>
      </c>
      <c r="AL124" s="388"/>
      <c r="AM124" s="178" t="str">
        <f ca="1">IF($C124="","",IF($D124="LPSM",AL123,VALUE($C124)*AL123))</f>
        <v/>
      </c>
      <c r="AN124" s="388"/>
      <c r="AO124" s="178" t="str">
        <f ca="1">IF($C124="","",IF($D124="LPSM",AN123,VALUE($C124)*AN123))</f>
        <v/>
      </c>
      <c r="AP124" s="388"/>
      <c r="AQ124" s="178" t="str">
        <f ca="1">IF($C124="","",IF($D124="LPSM",AP123,VALUE($C124)*AP123))</f>
        <v/>
      </c>
      <c r="AR124" s="209" t="str">
        <f ca="1">IF(LEN(B124)&gt;0,ISNUMBER(MATCH(B124,Proposed[Item],0)),"")</f>
        <v/>
      </c>
    </row>
    <row r="125" spans="1:44" ht="15" x14ac:dyDescent="0.2">
      <c r="A125" s="276">
        <f t="shared" ca="1" si="1"/>
        <v>59</v>
      </c>
      <c r="B125" s="168" t="str">
        <f ca="1">IFERROR(INDEX(INDIRECT(RangeItems),MATCH($A125,INDIRECT(RangeCount),0)),"")</f>
        <v/>
      </c>
      <c r="C125" s="365" t="str">
        <f ca="1">INDEX(Calcs[Description],$A125)</f>
        <v/>
      </c>
      <c r="D125" s="365"/>
      <c r="E125" s="365"/>
      <c r="F125" s="365"/>
      <c r="G125" s="365"/>
      <c r="H125" s="388"/>
      <c r="I125" s="177"/>
      <c r="J125" s="388"/>
      <c r="K125" s="177"/>
      <c r="L125" s="388"/>
      <c r="M125" s="177"/>
      <c r="N125" s="388"/>
      <c r="O125" s="177"/>
      <c r="P125" s="388"/>
      <c r="Q125" s="177"/>
      <c r="R125" s="388"/>
      <c r="S125" s="177"/>
      <c r="T125" s="388"/>
      <c r="U125" s="177"/>
      <c r="V125" s="388"/>
      <c r="W125" s="177"/>
      <c r="X125" s="388"/>
      <c r="Y125" s="177"/>
      <c r="Z125" s="388"/>
      <c r="AA125" s="177"/>
      <c r="AB125" s="388"/>
      <c r="AC125" s="177"/>
      <c r="AD125" s="388"/>
      <c r="AE125" s="177"/>
      <c r="AF125" s="388"/>
      <c r="AG125" s="177"/>
      <c r="AH125" s="388"/>
      <c r="AI125" s="177"/>
      <c r="AJ125" s="388"/>
      <c r="AK125" s="177"/>
      <c r="AL125" s="388"/>
      <c r="AM125" s="177"/>
      <c r="AN125" s="388"/>
      <c r="AO125" s="177"/>
      <c r="AP125" s="388"/>
      <c r="AQ125" s="177"/>
      <c r="AR125" s="209" t="str">
        <f ca="1">IF(LEN(B125)&gt;0,ISNUMBER(MATCH(B125,Proposed[Item],0)),"")</f>
        <v/>
      </c>
    </row>
    <row r="126" spans="1:44" ht="15" x14ac:dyDescent="0.2">
      <c r="A126" s="276">
        <f t="shared" ca="1" si="1"/>
        <v>59</v>
      </c>
      <c r="B126" s="111" t="str">
        <f ca="1">IF($A126&lt;=NumPayItems,"Line "&amp;INDEX(Calcs[Line],$A126),"")</f>
        <v/>
      </c>
      <c r="C126" s="169" t="str">
        <f ca="1">IFERROR(IF($D126="LPSM","ALL",TEXT(INDEX(INDIRECT(RangeQuantity),MATCH($A126,INDIRECT(RangeCount),0)),"#,##0"&amp;IF(OFFSET(Items[],MATCH($A126,INDIRECT(RangeCount),0)-1,MATCH(Decimals,Items[#Headers],0)-1,1,1)&gt;0,"."&amp;REPT("0",OFFSET(Items[],MATCH($A126,INDIRECT(RangeCount),0)-1,MATCH(Decimals,Items[#Headers],0)-1,1,1)),""))),"")</f>
        <v/>
      </c>
      <c r="D126" s="170" t="str">
        <f ca="1">IFERROR(INDEX(INDIRECT(RangeUnit),MATCH($A126,INDIRECT(RangeCount),0)),"")</f>
        <v/>
      </c>
      <c r="E126" s="170" t="str">
        <f ca="1">IFERROR(IF(INDEX(INDIRECT(RangeContrQty),MATCH($A126,INDIRECT(RangeCount),0)),"(CQ)",""),"")</f>
        <v/>
      </c>
      <c r="F126" s="171" t="str">
        <f ca="1">IFERROR(INDEX(INDIRECT(RangeUnitPrice),MATCH($A126,INDIRECT(RangeCount),0)),"")</f>
        <v/>
      </c>
      <c r="G126" s="171" t="str">
        <f ca="1">IFERROR(VALUE(C126)*F126,F126)</f>
        <v/>
      </c>
      <c r="H126" s="388"/>
      <c r="I126" s="178" t="str">
        <f ca="1">IF($C126="","",IF($D126="LPSM",H125,VALUE($C126)*H125))</f>
        <v/>
      </c>
      <c r="J126" s="388"/>
      <c r="K126" s="178" t="str">
        <f ca="1">IF($C126="","",IF($D126="LPSM",J125,VALUE($C126)*J125))</f>
        <v/>
      </c>
      <c r="L126" s="388"/>
      <c r="M126" s="178" t="str">
        <f ca="1">IF($C126="","",IF($D126="LPSM",L125,VALUE($C126)*L125))</f>
        <v/>
      </c>
      <c r="N126" s="388"/>
      <c r="O126" s="178" t="str">
        <f ca="1">IF($C126="","",IF($D126="LPSM",N125,VALUE($C126)*N125))</f>
        <v/>
      </c>
      <c r="P126" s="388"/>
      <c r="Q126" s="178" t="str">
        <f ca="1">IF($C126="","",IF($D126="LPSM",P125,VALUE($C126)*P125))</f>
        <v/>
      </c>
      <c r="R126" s="388"/>
      <c r="S126" s="178" t="str">
        <f ca="1">IF($C126="","",IF($D126="LPSM",R125,VALUE($C126)*R125))</f>
        <v/>
      </c>
      <c r="T126" s="388"/>
      <c r="U126" s="178" t="str">
        <f ca="1">IF($C126="","",IF($D126="LPSM",T125,VALUE($C126)*T125))</f>
        <v/>
      </c>
      <c r="V126" s="388"/>
      <c r="W126" s="178" t="str">
        <f ca="1">IF($C126="","",IF($D126="LPSM",V125,VALUE($C126)*V125))</f>
        <v/>
      </c>
      <c r="X126" s="388"/>
      <c r="Y126" s="178" t="str">
        <f ca="1">IF($C126="","",IF($D126="LPSM",X125,VALUE($C126)*X125))</f>
        <v/>
      </c>
      <c r="Z126" s="388"/>
      <c r="AA126" s="178" t="str">
        <f ca="1">IF($C126="","",IF($D126="LPSM",Z125,VALUE($C126)*Z125))</f>
        <v/>
      </c>
      <c r="AB126" s="388"/>
      <c r="AC126" s="178" t="str">
        <f ca="1">IF($C126="","",IF($D126="LPSM",AB125,VALUE($C126)*AB125))</f>
        <v/>
      </c>
      <c r="AD126" s="388"/>
      <c r="AE126" s="178" t="str">
        <f ca="1">IF($C126="","",IF($D126="LPSM",AD125,VALUE($C126)*AD125))</f>
        <v/>
      </c>
      <c r="AF126" s="388"/>
      <c r="AG126" s="178" t="str">
        <f ca="1">IF($C126="","",IF($D126="LPSM",AF125,VALUE($C126)*AF125))</f>
        <v/>
      </c>
      <c r="AH126" s="388"/>
      <c r="AI126" s="178" t="str">
        <f ca="1">IF($C126="","",IF($D126="LPSM",AH125,VALUE($C126)*AH125))</f>
        <v/>
      </c>
      <c r="AJ126" s="388"/>
      <c r="AK126" s="178" t="str">
        <f ca="1">IF($C126="","",IF($D126="LPSM",AJ125,VALUE($C126)*AJ125))</f>
        <v/>
      </c>
      <c r="AL126" s="388"/>
      <c r="AM126" s="178" t="str">
        <f ca="1">IF($C126="","",IF($D126="LPSM",AL125,VALUE($C126)*AL125))</f>
        <v/>
      </c>
      <c r="AN126" s="388"/>
      <c r="AO126" s="178" t="str">
        <f ca="1">IF($C126="","",IF($D126="LPSM",AN125,VALUE($C126)*AN125))</f>
        <v/>
      </c>
      <c r="AP126" s="388"/>
      <c r="AQ126" s="178" t="str">
        <f ca="1">IF($C126="","",IF($D126="LPSM",AP125,VALUE($C126)*AP125))</f>
        <v/>
      </c>
      <c r="AR126" s="209" t="str">
        <f ca="1">IF(LEN(B126)&gt;0,ISNUMBER(MATCH(B126,Proposed[Item],0)),"")</f>
        <v/>
      </c>
    </row>
    <row r="127" spans="1:44" ht="15" x14ac:dyDescent="0.2">
      <c r="A127" s="276">
        <f t="shared" ca="1" si="1"/>
        <v>60</v>
      </c>
      <c r="B127" s="168" t="str">
        <f ca="1">IFERROR(INDEX(INDIRECT(RangeItems),MATCH($A127,INDIRECT(RangeCount),0)),"")</f>
        <v/>
      </c>
      <c r="C127" s="365" t="str">
        <f ca="1">INDEX(Calcs[Description],$A127)</f>
        <v/>
      </c>
      <c r="D127" s="365"/>
      <c r="E127" s="365"/>
      <c r="F127" s="365"/>
      <c r="G127" s="365"/>
      <c r="H127" s="388"/>
      <c r="I127" s="177"/>
      <c r="J127" s="388"/>
      <c r="K127" s="177"/>
      <c r="L127" s="388"/>
      <c r="M127" s="177"/>
      <c r="N127" s="388"/>
      <c r="O127" s="177"/>
      <c r="P127" s="388"/>
      <c r="Q127" s="177"/>
      <c r="R127" s="388"/>
      <c r="S127" s="177"/>
      <c r="T127" s="388"/>
      <c r="U127" s="177"/>
      <c r="V127" s="388"/>
      <c r="W127" s="177"/>
      <c r="X127" s="388"/>
      <c r="Y127" s="177"/>
      <c r="Z127" s="388"/>
      <c r="AA127" s="177"/>
      <c r="AB127" s="388"/>
      <c r="AC127" s="177"/>
      <c r="AD127" s="388"/>
      <c r="AE127" s="177"/>
      <c r="AF127" s="388"/>
      <c r="AG127" s="177"/>
      <c r="AH127" s="388"/>
      <c r="AI127" s="177"/>
      <c r="AJ127" s="388"/>
      <c r="AK127" s="177"/>
      <c r="AL127" s="388"/>
      <c r="AM127" s="177"/>
      <c r="AN127" s="388"/>
      <c r="AO127" s="177"/>
      <c r="AP127" s="388"/>
      <c r="AQ127" s="177"/>
      <c r="AR127" s="209" t="str">
        <f ca="1">IF(LEN(B127)&gt;0,ISNUMBER(MATCH(B127,Proposed[Item],0)),"")</f>
        <v/>
      </c>
    </row>
    <row r="128" spans="1:44" ht="15" x14ac:dyDescent="0.2">
      <c r="A128" s="276">
        <f t="shared" ca="1" si="1"/>
        <v>60</v>
      </c>
      <c r="B128" s="111" t="str">
        <f ca="1">IF($A128&lt;=NumPayItems,"Line "&amp;INDEX(Calcs[Line],$A128),"")</f>
        <v/>
      </c>
      <c r="C128" s="169" t="str">
        <f ca="1">IFERROR(IF($D128="LPSM","ALL",TEXT(INDEX(INDIRECT(RangeQuantity),MATCH($A128,INDIRECT(RangeCount),0)),"#,##0"&amp;IF(OFFSET(Items[],MATCH($A128,INDIRECT(RangeCount),0)-1,MATCH(Decimals,Items[#Headers],0)-1,1,1)&gt;0,"."&amp;REPT("0",OFFSET(Items[],MATCH($A128,INDIRECT(RangeCount),0)-1,MATCH(Decimals,Items[#Headers],0)-1,1,1)),""))),"")</f>
        <v/>
      </c>
      <c r="D128" s="170" t="str">
        <f ca="1">IFERROR(INDEX(INDIRECT(RangeUnit),MATCH($A128,INDIRECT(RangeCount),0)),"")</f>
        <v/>
      </c>
      <c r="E128" s="170" t="str">
        <f ca="1">IFERROR(IF(INDEX(INDIRECT(RangeContrQty),MATCH($A128,INDIRECT(RangeCount),0)),"(CQ)",""),"")</f>
        <v/>
      </c>
      <c r="F128" s="171" t="str">
        <f ca="1">IFERROR(INDEX(INDIRECT(RangeUnitPrice),MATCH($A128,INDIRECT(RangeCount),0)),"")</f>
        <v/>
      </c>
      <c r="G128" s="171" t="str">
        <f ca="1">IFERROR(VALUE(C128)*F128,F128)</f>
        <v/>
      </c>
      <c r="H128" s="388"/>
      <c r="I128" s="178" t="str">
        <f ca="1">IF($C128="","",IF($D128="LPSM",H127,VALUE($C128)*H127))</f>
        <v/>
      </c>
      <c r="J128" s="388"/>
      <c r="K128" s="178" t="str">
        <f ca="1">IF($C128="","",IF($D128="LPSM",J127,VALUE($C128)*J127))</f>
        <v/>
      </c>
      <c r="L128" s="388"/>
      <c r="M128" s="178" t="str">
        <f ca="1">IF($C128="","",IF($D128="LPSM",L127,VALUE($C128)*L127))</f>
        <v/>
      </c>
      <c r="N128" s="388"/>
      <c r="O128" s="178" t="str">
        <f ca="1">IF($C128="","",IF($D128="LPSM",N127,VALUE($C128)*N127))</f>
        <v/>
      </c>
      <c r="P128" s="388"/>
      <c r="Q128" s="178" t="str">
        <f ca="1">IF($C128="","",IF($D128="LPSM",P127,VALUE($C128)*P127))</f>
        <v/>
      </c>
      <c r="R128" s="388"/>
      <c r="S128" s="178" t="str">
        <f ca="1">IF($C128="","",IF($D128="LPSM",R127,VALUE($C128)*R127))</f>
        <v/>
      </c>
      <c r="T128" s="388"/>
      <c r="U128" s="178" t="str">
        <f ca="1">IF($C128="","",IF($D128="LPSM",T127,VALUE($C128)*T127))</f>
        <v/>
      </c>
      <c r="V128" s="388"/>
      <c r="W128" s="178" t="str">
        <f ca="1">IF($C128="","",IF($D128="LPSM",V127,VALUE($C128)*V127))</f>
        <v/>
      </c>
      <c r="X128" s="388"/>
      <c r="Y128" s="178" t="str">
        <f ca="1">IF($C128="","",IF($D128="LPSM",X127,VALUE($C128)*X127))</f>
        <v/>
      </c>
      <c r="Z128" s="388"/>
      <c r="AA128" s="178" t="str">
        <f ca="1">IF($C128="","",IF($D128="LPSM",Z127,VALUE($C128)*Z127))</f>
        <v/>
      </c>
      <c r="AB128" s="388"/>
      <c r="AC128" s="178" t="str">
        <f ca="1">IF($C128="","",IF($D128="LPSM",AB127,VALUE($C128)*AB127))</f>
        <v/>
      </c>
      <c r="AD128" s="388"/>
      <c r="AE128" s="178" t="str">
        <f ca="1">IF($C128="","",IF($D128="LPSM",AD127,VALUE($C128)*AD127))</f>
        <v/>
      </c>
      <c r="AF128" s="388"/>
      <c r="AG128" s="178" t="str">
        <f ca="1">IF($C128="","",IF($D128="LPSM",AF127,VALUE($C128)*AF127))</f>
        <v/>
      </c>
      <c r="AH128" s="388"/>
      <c r="AI128" s="178" t="str">
        <f ca="1">IF($C128="","",IF($D128="LPSM",AH127,VALUE($C128)*AH127))</f>
        <v/>
      </c>
      <c r="AJ128" s="388"/>
      <c r="AK128" s="178" t="str">
        <f ca="1">IF($C128="","",IF($D128="LPSM",AJ127,VALUE($C128)*AJ127))</f>
        <v/>
      </c>
      <c r="AL128" s="388"/>
      <c r="AM128" s="178" t="str">
        <f ca="1">IF($C128="","",IF($D128="LPSM",AL127,VALUE($C128)*AL127))</f>
        <v/>
      </c>
      <c r="AN128" s="388"/>
      <c r="AO128" s="178" t="str">
        <f ca="1">IF($C128="","",IF($D128="LPSM",AN127,VALUE($C128)*AN127))</f>
        <v/>
      </c>
      <c r="AP128" s="388"/>
      <c r="AQ128" s="178" t="str">
        <f ca="1">IF($C128="","",IF($D128="LPSM",AP127,VALUE($C128)*AP127))</f>
        <v/>
      </c>
      <c r="AR128" s="209" t="str">
        <f ca="1">IF(LEN(B128)&gt;0,ISNUMBER(MATCH(B128,Proposed[Item],0)),"")</f>
        <v/>
      </c>
    </row>
    <row r="129" spans="1:44" ht="15" x14ac:dyDescent="0.2">
      <c r="A129" s="276">
        <f t="shared" ca="1" si="1"/>
        <v>61</v>
      </c>
      <c r="B129" s="168" t="str">
        <f ca="1">IFERROR(INDEX(INDIRECT(RangeItems),MATCH($A129,INDIRECT(RangeCount),0)),"")</f>
        <v/>
      </c>
      <c r="C129" s="365" t="str">
        <f ca="1">INDEX(Calcs[Description],$A129)</f>
        <v/>
      </c>
      <c r="D129" s="365"/>
      <c r="E129" s="365"/>
      <c r="F129" s="365"/>
      <c r="G129" s="365"/>
      <c r="H129" s="388"/>
      <c r="I129" s="177"/>
      <c r="J129" s="388"/>
      <c r="K129" s="177"/>
      <c r="L129" s="388"/>
      <c r="M129" s="177"/>
      <c r="N129" s="388"/>
      <c r="O129" s="177"/>
      <c r="P129" s="388"/>
      <c r="Q129" s="177"/>
      <c r="R129" s="388"/>
      <c r="S129" s="177"/>
      <c r="T129" s="388"/>
      <c r="U129" s="177"/>
      <c r="V129" s="388"/>
      <c r="W129" s="177"/>
      <c r="X129" s="388"/>
      <c r="Y129" s="177"/>
      <c r="Z129" s="388"/>
      <c r="AA129" s="177"/>
      <c r="AB129" s="388"/>
      <c r="AC129" s="177"/>
      <c r="AD129" s="388"/>
      <c r="AE129" s="177"/>
      <c r="AF129" s="388"/>
      <c r="AG129" s="177"/>
      <c r="AH129" s="388"/>
      <c r="AI129" s="177"/>
      <c r="AJ129" s="388"/>
      <c r="AK129" s="177"/>
      <c r="AL129" s="388"/>
      <c r="AM129" s="177"/>
      <c r="AN129" s="388"/>
      <c r="AO129" s="177"/>
      <c r="AP129" s="388"/>
      <c r="AQ129" s="177"/>
      <c r="AR129" s="209" t="str">
        <f ca="1">IF(LEN(B129)&gt;0,ISNUMBER(MATCH(B129,Proposed[Item],0)),"")</f>
        <v/>
      </c>
    </row>
    <row r="130" spans="1:44" ht="15" x14ac:dyDescent="0.2">
      <c r="A130" s="276">
        <f t="shared" ca="1" si="1"/>
        <v>61</v>
      </c>
      <c r="B130" s="111" t="str">
        <f ca="1">IF($A130&lt;=NumPayItems,"Line "&amp;INDEX(Calcs[Line],$A130),"")</f>
        <v/>
      </c>
      <c r="C130" s="169" t="str">
        <f ca="1">IFERROR(IF($D130="LPSM","ALL",TEXT(INDEX(INDIRECT(RangeQuantity),MATCH($A130,INDIRECT(RangeCount),0)),"#,##0"&amp;IF(OFFSET(Items[],MATCH($A130,INDIRECT(RangeCount),0)-1,MATCH(Decimals,Items[#Headers],0)-1,1,1)&gt;0,"."&amp;REPT("0",OFFSET(Items[],MATCH($A130,INDIRECT(RangeCount),0)-1,MATCH(Decimals,Items[#Headers],0)-1,1,1)),""))),"")</f>
        <v/>
      </c>
      <c r="D130" s="170" t="str">
        <f ca="1">IFERROR(INDEX(INDIRECT(RangeUnit),MATCH($A130,INDIRECT(RangeCount),0)),"")</f>
        <v/>
      </c>
      <c r="E130" s="170" t="str">
        <f ca="1">IFERROR(IF(INDEX(INDIRECT(RangeContrQty),MATCH($A130,INDIRECT(RangeCount),0)),"(CQ)",""),"")</f>
        <v/>
      </c>
      <c r="F130" s="171" t="str">
        <f ca="1">IFERROR(INDEX(INDIRECT(RangeUnitPrice),MATCH($A130,INDIRECT(RangeCount),0)),"")</f>
        <v/>
      </c>
      <c r="G130" s="171" t="str">
        <f ca="1">IFERROR(VALUE(C130)*F130,F130)</f>
        <v/>
      </c>
      <c r="H130" s="388"/>
      <c r="I130" s="178" t="str">
        <f ca="1">IF($C130="","",IF($D130="LPSM",H129,VALUE($C130)*H129))</f>
        <v/>
      </c>
      <c r="J130" s="388"/>
      <c r="K130" s="178" t="str">
        <f ca="1">IF($C130="","",IF($D130="LPSM",J129,VALUE($C130)*J129))</f>
        <v/>
      </c>
      <c r="L130" s="388"/>
      <c r="M130" s="178" t="str">
        <f ca="1">IF($C130="","",IF($D130="LPSM",L129,VALUE($C130)*L129))</f>
        <v/>
      </c>
      <c r="N130" s="388"/>
      <c r="O130" s="178" t="str">
        <f ca="1">IF($C130="","",IF($D130="LPSM",N129,VALUE($C130)*N129))</f>
        <v/>
      </c>
      <c r="P130" s="388"/>
      <c r="Q130" s="178" t="str">
        <f ca="1">IF($C130="","",IF($D130="LPSM",P129,VALUE($C130)*P129))</f>
        <v/>
      </c>
      <c r="R130" s="388"/>
      <c r="S130" s="178" t="str">
        <f ca="1">IF($C130="","",IF($D130="LPSM",R129,VALUE($C130)*R129))</f>
        <v/>
      </c>
      <c r="T130" s="388"/>
      <c r="U130" s="178" t="str">
        <f ca="1">IF($C130="","",IF($D130="LPSM",T129,VALUE($C130)*T129))</f>
        <v/>
      </c>
      <c r="V130" s="388"/>
      <c r="W130" s="178" t="str">
        <f ca="1">IF($C130="","",IF($D130="LPSM",V129,VALUE($C130)*V129))</f>
        <v/>
      </c>
      <c r="X130" s="388"/>
      <c r="Y130" s="178" t="str">
        <f ca="1">IF($C130="","",IF($D130="LPSM",X129,VALUE($C130)*X129))</f>
        <v/>
      </c>
      <c r="Z130" s="388"/>
      <c r="AA130" s="178" t="str">
        <f ca="1">IF($C130="","",IF($D130="LPSM",Z129,VALUE($C130)*Z129))</f>
        <v/>
      </c>
      <c r="AB130" s="388"/>
      <c r="AC130" s="178" t="str">
        <f ca="1">IF($C130="","",IF($D130="LPSM",AB129,VALUE($C130)*AB129))</f>
        <v/>
      </c>
      <c r="AD130" s="388"/>
      <c r="AE130" s="178" t="str">
        <f ca="1">IF($C130="","",IF($D130="LPSM",AD129,VALUE($C130)*AD129))</f>
        <v/>
      </c>
      <c r="AF130" s="388"/>
      <c r="AG130" s="178" t="str">
        <f ca="1">IF($C130="","",IF($D130="LPSM",AF129,VALUE($C130)*AF129))</f>
        <v/>
      </c>
      <c r="AH130" s="388"/>
      <c r="AI130" s="178" t="str">
        <f ca="1">IF($C130="","",IF($D130="LPSM",AH129,VALUE($C130)*AH129))</f>
        <v/>
      </c>
      <c r="AJ130" s="388"/>
      <c r="AK130" s="178" t="str">
        <f ca="1">IF($C130="","",IF($D130="LPSM",AJ129,VALUE($C130)*AJ129))</f>
        <v/>
      </c>
      <c r="AL130" s="388"/>
      <c r="AM130" s="178" t="str">
        <f ca="1">IF($C130="","",IF($D130="LPSM",AL129,VALUE($C130)*AL129))</f>
        <v/>
      </c>
      <c r="AN130" s="388"/>
      <c r="AO130" s="178" t="str">
        <f ca="1">IF($C130="","",IF($D130="LPSM",AN129,VALUE($C130)*AN129))</f>
        <v/>
      </c>
      <c r="AP130" s="388"/>
      <c r="AQ130" s="178" t="str">
        <f ca="1">IF($C130="","",IF($D130="LPSM",AP129,VALUE($C130)*AP129))</f>
        <v/>
      </c>
      <c r="AR130" s="209" t="str">
        <f ca="1">IF(LEN(B130)&gt;0,ISNUMBER(MATCH(B130,Proposed[Item],0)),"")</f>
        <v/>
      </c>
    </row>
    <row r="131" spans="1:44" ht="15" x14ac:dyDescent="0.2">
      <c r="A131" s="276">
        <f t="shared" ca="1" si="1"/>
        <v>62</v>
      </c>
      <c r="B131" s="168" t="str">
        <f ca="1">IFERROR(INDEX(INDIRECT(RangeItems),MATCH($A131,INDIRECT(RangeCount),0)),"")</f>
        <v/>
      </c>
      <c r="C131" s="365" t="str">
        <f ca="1">INDEX(Calcs[Description],$A131)</f>
        <v/>
      </c>
      <c r="D131" s="365"/>
      <c r="E131" s="365"/>
      <c r="F131" s="365"/>
      <c r="G131" s="365"/>
      <c r="H131" s="388"/>
      <c r="I131" s="177"/>
      <c r="J131" s="388"/>
      <c r="K131" s="177"/>
      <c r="L131" s="388"/>
      <c r="M131" s="177"/>
      <c r="N131" s="388"/>
      <c r="O131" s="177"/>
      <c r="P131" s="388"/>
      <c r="Q131" s="177"/>
      <c r="R131" s="388"/>
      <c r="S131" s="177"/>
      <c r="T131" s="388"/>
      <c r="U131" s="177"/>
      <c r="V131" s="388"/>
      <c r="W131" s="177"/>
      <c r="X131" s="388"/>
      <c r="Y131" s="177"/>
      <c r="Z131" s="388"/>
      <c r="AA131" s="177"/>
      <c r="AB131" s="388"/>
      <c r="AC131" s="177"/>
      <c r="AD131" s="388"/>
      <c r="AE131" s="177"/>
      <c r="AF131" s="388"/>
      <c r="AG131" s="177"/>
      <c r="AH131" s="388"/>
      <c r="AI131" s="177"/>
      <c r="AJ131" s="388"/>
      <c r="AK131" s="177"/>
      <c r="AL131" s="388"/>
      <c r="AM131" s="177"/>
      <c r="AN131" s="388"/>
      <c r="AO131" s="177"/>
      <c r="AP131" s="388"/>
      <c r="AQ131" s="177"/>
      <c r="AR131" s="209" t="str">
        <f ca="1">IF(LEN(B131)&gt;0,ISNUMBER(MATCH(B131,Proposed[Item],0)),"")</f>
        <v/>
      </c>
    </row>
    <row r="132" spans="1:44" ht="15" x14ac:dyDescent="0.2">
      <c r="A132" s="276">
        <f t="shared" ca="1" si="1"/>
        <v>62</v>
      </c>
      <c r="B132" s="111" t="str">
        <f ca="1">IF($A132&lt;=NumPayItems,"Line "&amp;INDEX(Calcs[Line],$A132),"")</f>
        <v/>
      </c>
      <c r="C132" s="169" t="str">
        <f ca="1">IFERROR(IF($D132="LPSM","ALL",TEXT(INDEX(INDIRECT(RangeQuantity),MATCH($A132,INDIRECT(RangeCount),0)),"#,##0"&amp;IF(OFFSET(Items[],MATCH($A132,INDIRECT(RangeCount),0)-1,MATCH(Decimals,Items[#Headers],0)-1,1,1)&gt;0,"."&amp;REPT("0",OFFSET(Items[],MATCH($A132,INDIRECT(RangeCount),0)-1,MATCH(Decimals,Items[#Headers],0)-1,1,1)),""))),"")</f>
        <v/>
      </c>
      <c r="D132" s="170" t="str">
        <f ca="1">IFERROR(INDEX(INDIRECT(RangeUnit),MATCH($A132,INDIRECT(RangeCount),0)),"")</f>
        <v/>
      </c>
      <c r="E132" s="170" t="str">
        <f ca="1">IFERROR(IF(INDEX(INDIRECT(RangeContrQty),MATCH($A132,INDIRECT(RangeCount),0)),"(CQ)",""),"")</f>
        <v/>
      </c>
      <c r="F132" s="171" t="str">
        <f ca="1">IFERROR(INDEX(INDIRECT(RangeUnitPrice),MATCH($A132,INDIRECT(RangeCount),0)),"")</f>
        <v/>
      </c>
      <c r="G132" s="171" t="str">
        <f ca="1">IFERROR(VALUE(C132)*F132,F132)</f>
        <v/>
      </c>
      <c r="H132" s="388"/>
      <c r="I132" s="178" t="str">
        <f ca="1">IF($C132="","",IF($D132="LPSM",H131,VALUE($C132)*H131))</f>
        <v/>
      </c>
      <c r="J132" s="388"/>
      <c r="K132" s="178" t="str">
        <f ca="1">IF($C132="","",IF($D132="LPSM",J131,VALUE($C132)*J131))</f>
        <v/>
      </c>
      <c r="L132" s="388"/>
      <c r="M132" s="178" t="str">
        <f ca="1">IF($C132="","",IF($D132="LPSM",L131,VALUE($C132)*L131))</f>
        <v/>
      </c>
      <c r="N132" s="388"/>
      <c r="O132" s="178" t="str">
        <f ca="1">IF($C132="","",IF($D132="LPSM",N131,VALUE($C132)*N131))</f>
        <v/>
      </c>
      <c r="P132" s="388"/>
      <c r="Q132" s="178" t="str">
        <f ca="1">IF($C132="","",IF($D132="LPSM",P131,VALUE($C132)*P131))</f>
        <v/>
      </c>
      <c r="R132" s="388"/>
      <c r="S132" s="178" t="str">
        <f ca="1">IF($C132="","",IF($D132="LPSM",R131,VALUE($C132)*R131))</f>
        <v/>
      </c>
      <c r="T132" s="388"/>
      <c r="U132" s="178" t="str">
        <f ca="1">IF($C132="","",IF($D132="LPSM",T131,VALUE($C132)*T131))</f>
        <v/>
      </c>
      <c r="V132" s="388"/>
      <c r="W132" s="178" t="str">
        <f ca="1">IF($C132="","",IF($D132="LPSM",V131,VALUE($C132)*V131))</f>
        <v/>
      </c>
      <c r="X132" s="388"/>
      <c r="Y132" s="178" t="str">
        <f ca="1">IF($C132="","",IF($D132="LPSM",X131,VALUE($C132)*X131))</f>
        <v/>
      </c>
      <c r="Z132" s="388"/>
      <c r="AA132" s="178" t="str">
        <f ca="1">IF($C132="","",IF($D132="LPSM",Z131,VALUE($C132)*Z131))</f>
        <v/>
      </c>
      <c r="AB132" s="388"/>
      <c r="AC132" s="178" t="str">
        <f ca="1">IF($C132="","",IF($D132="LPSM",AB131,VALUE($C132)*AB131))</f>
        <v/>
      </c>
      <c r="AD132" s="388"/>
      <c r="AE132" s="178" t="str">
        <f ca="1">IF($C132="","",IF($D132="LPSM",AD131,VALUE($C132)*AD131))</f>
        <v/>
      </c>
      <c r="AF132" s="388"/>
      <c r="AG132" s="178" t="str">
        <f ca="1">IF($C132="","",IF($D132="LPSM",AF131,VALUE($C132)*AF131))</f>
        <v/>
      </c>
      <c r="AH132" s="388"/>
      <c r="AI132" s="178" t="str">
        <f ca="1">IF($C132="","",IF($D132="LPSM",AH131,VALUE($C132)*AH131))</f>
        <v/>
      </c>
      <c r="AJ132" s="388"/>
      <c r="AK132" s="178" t="str">
        <f ca="1">IF($C132="","",IF($D132="LPSM",AJ131,VALUE($C132)*AJ131))</f>
        <v/>
      </c>
      <c r="AL132" s="388"/>
      <c r="AM132" s="178" t="str">
        <f ca="1">IF($C132="","",IF($D132="LPSM",AL131,VALUE($C132)*AL131))</f>
        <v/>
      </c>
      <c r="AN132" s="388"/>
      <c r="AO132" s="178" t="str">
        <f ca="1">IF($C132="","",IF($D132="LPSM",AN131,VALUE($C132)*AN131))</f>
        <v/>
      </c>
      <c r="AP132" s="388"/>
      <c r="AQ132" s="178" t="str">
        <f ca="1">IF($C132="","",IF($D132="LPSM",AP131,VALUE($C132)*AP131))</f>
        <v/>
      </c>
      <c r="AR132" s="209" t="str">
        <f ca="1">IF(LEN(B132)&gt;0,ISNUMBER(MATCH(B132,Proposed[Item],0)),"")</f>
        <v/>
      </c>
    </row>
    <row r="133" spans="1:44" ht="15" x14ac:dyDescent="0.2">
      <c r="A133" s="276">
        <f t="shared" ca="1" si="1"/>
        <v>63</v>
      </c>
      <c r="B133" s="168" t="str">
        <f ca="1">IFERROR(INDEX(INDIRECT(RangeItems),MATCH($A133,INDIRECT(RangeCount),0)),"")</f>
        <v/>
      </c>
      <c r="C133" s="365" t="str">
        <f ca="1">INDEX(Calcs[Description],$A133)</f>
        <v/>
      </c>
      <c r="D133" s="365"/>
      <c r="E133" s="365"/>
      <c r="F133" s="365"/>
      <c r="G133" s="365"/>
      <c r="H133" s="388"/>
      <c r="I133" s="177"/>
      <c r="J133" s="388"/>
      <c r="K133" s="177"/>
      <c r="L133" s="388"/>
      <c r="M133" s="177"/>
      <c r="N133" s="388"/>
      <c r="O133" s="177"/>
      <c r="P133" s="388"/>
      <c r="Q133" s="177"/>
      <c r="R133" s="388"/>
      <c r="S133" s="177"/>
      <c r="T133" s="388"/>
      <c r="U133" s="177"/>
      <c r="V133" s="388"/>
      <c r="W133" s="177"/>
      <c r="X133" s="388"/>
      <c r="Y133" s="177"/>
      <c r="Z133" s="388"/>
      <c r="AA133" s="177"/>
      <c r="AB133" s="388"/>
      <c r="AC133" s="177"/>
      <c r="AD133" s="388"/>
      <c r="AE133" s="177"/>
      <c r="AF133" s="388"/>
      <c r="AG133" s="177"/>
      <c r="AH133" s="388"/>
      <c r="AI133" s="177"/>
      <c r="AJ133" s="388"/>
      <c r="AK133" s="177"/>
      <c r="AL133" s="388"/>
      <c r="AM133" s="177"/>
      <c r="AN133" s="388"/>
      <c r="AO133" s="177"/>
      <c r="AP133" s="388"/>
      <c r="AQ133" s="177"/>
      <c r="AR133" s="209" t="str">
        <f ca="1">IF(LEN(B133)&gt;0,ISNUMBER(MATCH(B133,Proposed[Item],0)),"")</f>
        <v/>
      </c>
    </row>
    <row r="134" spans="1:44" ht="15" x14ac:dyDescent="0.2">
      <c r="A134" s="276">
        <f t="shared" ca="1" si="1"/>
        <v>63</v>
      </c>
      <c r="B134" s="111" t="str">
        <f ca="1">IF($A134&lt;=NumPayItems,"Line "&amp;INDEX(Calcs[Line],$A134),"")</f>
        <v/>
      </c>
      <c r="C134" s="169" t="str">
        <f ca="1">IFERROR(IF($D134="LPSM","ALL",TEXT(INDEX(INDIRECT(RangeQuantity),MATCH($A134,INDIRECT(RangeCount),0)),"#,##0"&amp;IF(OFFSET(Items[],MATCH($A134,INDIRECT(RangeCount),0)-1,MATCH(Decimals,Items[#Headers],0)-1,1,1)&gt;0,"."&amp;REPT("0",OFFSET(Items[],MATCH($A134,INDIRECT(RangeCount),0)-1,MATCH(Decimals,Items[#Headers],0)-1,1,1)),""))),"")</f>
        <v/>
      </c>
      <c r="D134" s="170" t="str">
        <f ca="1">IFERROR(INDEX(INDIRECT(RangeUnit),MATCH($A134,INDIRECT(RangeCount),0)),"")</f>
        <v/>
      </c>
      <c r="E134" s="170" t="str">
        <f ca="1">IFERROR(IF(INDEX(INDIRECT(RangeContrQty),MATCH($A134,INDIRECT(RangeCount),0)),"(CQ)",""),"")</f>
        <v/>
      </c>
      <c r="F134" s="171" t="str">
        <f ca="1">IFERROR(INDEX(INDIRECT(RangeUnitPrice),MATCH($A134,INDIRECT(RangeCount),0)),"")</f>
        <v/>
      </c>
      <c r="G134" s="171" t="str">
        <f ca="1">IFERROR(VALUE(C134)*F134,F134)</f>
        <v/>
      </c>
      <c r="H134" s="388"/>
      <c r="I134" s="178" t="str">
        <f ca="1">IF($C134="","",IF($D134="LPSM",H133,VALUE($C134)*H133))</f>
        <v/>
      </c>
      <c r="J134" s="388"/>
      <c r="K134" s="178" t="str">
        <f ca="1">IF($C134="","",IF($D134="LPSM",J133,VALUE($C134)*J133))</f>
        <v/>
      </c>
      <c r="L134" s="388"/>
      <c r="M134" s="178" t="str">
        <f ca="1">IF($C134="","",IF($D134="LPSM",L133,VALUE($C134)*L133))</f>
        <v/>
      </c>
      <c r="N134" s="388"/>
      <c r="O134" s="178" t="str">
        <f ca="1">IF($C134="","",IF($D134="LPSM",N133,VALUE($C134)*N133))</f>
        <v/>
      </c>
      <c r="P134" s="388"/>
      <c r="Q134" s="178" t="str">
        <f ca="1">IF($C134="","",IF($D134="LPSM",P133,VALUE($C134)*P133))</f>
        <v/>
      </c>
      <c r="R134" s="388"/>
      <c r="S134" s="178" t="str">
        <f ca="1">IF($C134="","",IF($D134="LPSM",R133,VALUE($C134)*R133))</f>
        <v/>
      </c>
      <c r="T134" s="388"/>
      <c r="U134" s="178" t="str">
        <f ca="1">IF($C134="","",IF($D134="LPSM",T133,VALUE($C134)*T133))</f>
        <v/>
      </c>
      <c r="V134" s="388"/>
      <c r="W134" s="178" t="str">
        <f ca="1">IF($C134="","",IF($D134="LPSM",V133,VALUE($C134)*V133))</f>
        <v/>
      </c>
      <c r="X134" s="388"/>
      <c r="Y134" s="178" t="str">
        <f ca="1">IF($C134="","",IF($D134="LPSM",X133,VALUE($C134)*X133))</f>
        <v/>
      </c>
      <c r="Z134" s="388"/>
      <c r="AA134" s="178" t="str">
        <f ca="1">IF($C134="","",IF($D134="LPSM",Z133,VALUE($C134)*Z133))</f>
        <v/>
      </c>
      <c r="AB134" s="388"/>
      <c r="AC134" s="178" t="str">
        <f ca="1">IF($C134="","",IF($D134="LPSM",AB133,VALUE($C134)*AB133))</f>
        <v/>
      </c>
      <c r="AD134" s="388"/>
      <c r="AE134" s="178" t="str">
        <f ca="1">IF($C134="","",IF($D134="LPSM",AD133,VALUE($C134)*AD133))</f>
        <v/>
      </c>
      <c r="AF134" s="388"/>
      <c r="AG134" s="178" t="str">
        <f ca="1">IF($C134="","",IF($D134="LPSM",AF133,VALUE($C134)*AF133))</f>
        <v/>
      </c>
      <c r="AH134" s="388"/>
      <c r="AI134" s="178" t="str">
        <f ca="1">IF($C134="","",IF($D134="LPSM",AH133,VALUE($C134)*AH133))</f>
        <v/>
      </c>
      <c r="AJ134" s="388"/>
      <c r="AK134" s="178" t="str">
        <f ca="1">IF($C134="","",IF($D134="LPSM",AJ133,VALUE($C134)*AJ133))</f>
        <v/>
      </c>
      <c r="AL134" s="388"/>
      <c r="AM134" s="178" t="str">
        <f ca="1">IF($C134="","",IF($D134="LPSM",AL133,VALUE($C134)*AL133))</f>
        <v/>
      </c>
      <c r="AN134" s="388"/>
      <c r="AO134" s="178" t="str">
        <f ca="1">IF($C134="","",IF($D134="LPSM",AN133,VALUE($C134)*AN133))</f>
        <v/>
      </c>
      <c r="AP134" s="388"/>
      <c r="AQ134" s="178" t="str">
        <f ca="1">IF($C134="","",IF($D134="LPSM",AP133,VALUE($C134)*AP133))</f>
        <v/>
      </c>
      <c r="AR134" s="209" t="str">
        <f ca="1">IF(LEN(B134)&gt;0,ISNUMBER(MATCH(B134,Proposed[Item],0)),"")</f>
        <v/>
      </c>
    </row>
    <row r="135" spans="1:44" ht="15" x14ac:dyDescent="0.2">
      <c r="A135" s="276">
        <f t="shared" ca="1" si="1"/>
        <v>64</v>
      </c>
      <c r="B135" s="168" t="str">
        <f ca="1">IFERROR(INDEX(INDIRECT(RangeItems),MATCH($A135,INDIRECT(RangeCount),0)),"")</f>
        <v/>
      </c>
      <c r="C135" s="365" t="str">
        <f ca="1">INDEX(Calcs[Description],$A135)</f>
        <v/>
      </c>
      <c r="D135" s="365"/>
      <c r="E135" s="365"/>
      <c r="F135" s="365"/>
      <c r="G135" s="365"/>
      <c r="H135" s="388"/>
      <c r="I135" s="177"/>
      <c r="J135" s="388"/>
      <c r="K135" s="177"/>
      <c r="L135" s="388"/>
      <c r="M135" s="177"/>
      <c r="N135" s="388"/>
      <c r="O135" s="177"/>
      <c r="P135" s="388"/>
      <c r="Q135" s="177"/>
      <c r="R135" s="388"/>
      <c r="S135" s="177"/>
      <c r="T135" s="388"/>
      <c r="U135" s="177"/>
      <c r="V135" s="388"/>
      <c r="W135" s="177"/>
      <c r="X135" s="388"/>
      <c r="Y135" s="177"/>
      <c r="Z135" s="388"/>
      <c r="AA135" s="177"/>
      <c r="AB135" s="388"/>
      <c r="AC135" s="177"/>
      <c r="AD135" s="388"/>
      <c r="AE135" s="177"/>
      <c r="AF135" s="388"/>
      <c r="AG135" s="177"/>
      <c r="AH135" s="388"/>
      <c r="AI135" s="177"/>
      <c r="AJ135" s="388"/>
      <c r="AK135" s="177"/>
      <c r="AL135" s="388"/>
      <c r="AM135" s="177"/>
      <c r="AN135" s="388"/>
      <c r="AO135" s="177"/>
      <c r="AP135" s="388"/>
      <c r="AQ135" s="177"/>
      <c r="AR135" s="209" t="str">
        <f ca="1">IF(LEN(B135)&gt;0,ISNUMBER(MATCH(B135,Proposed[Item],0)),"")</f>
        <v/>
      </c>
    </row>
    <row r="136" spans="1:44" ht="15" x14ac:dyDescent="0.2">
      <c r="A136" s="276">
        <f t="shared" ca="1" si="1"/>
        <v>64</v>
      </c>
      <c r="B136" s="111" t="str">
        <f ca="1">IF($A136&lt;=NumPayItems,"Line "&amp;INDEX(Calcs[Line],$A136),"")</f>
        <v/>
      </c>
      <c r="C136" s="169" t="str">
        <f ca="1">IFERROR(IF($D136="LPSM","ALL",TEXT(INDEX(INDIRECT(RangeQuantity),MATCH($A136,INDIRECT(RangeCount),0)),"#,##0"&amp;IF(OFFSET(Items[],MATCH($A136,INDIRECT(RangeCount),0)-1,MATCH(Decimals,Items[#Headers],0)-1,1,1)&gt;0,"."&amp;REPT("0",OFFSET(Items[],MATCH($A136,INDIRECT(RangeCount),0)-1,MATCH(Decimals,Items[#Headers],0)-1,1,1)),""))),"")</f>
        <v/>
      </c>
      <c r="D136" s="170" t="str">
        <f ca="1">IFERROR(INDEX(INDIRECT(RangeUnit),MATCH($A136,INDIRECT(RangeCount),0)),"")</f>
        <v/>
      </c>
      <c r="E136" s="170" t="str">
        <f ca="1">IFERROR(IF(INDEX(INDIRECT(RangeContrQty),MATCH($A136,INDIRECT(RangeCount),0)),"(CQ)",""),"")</f>
        <v/>
      </c>
      <c r="F136" s="171" t="str">
        <f ca="1">IFERROR(INDEX(INDIRECT(RangeUnitPrice),MATCH($A136,INDIRECT(RangeCount),0)),"")</f>
        <v/>
      </c>
      <c r="G136" s="171" t="str">
        <f ca="1">IFERROR(VALUE(C136)*F136,F136)</f>
        <v/>
      </c>
      <c r="H136" s="388"/>
      <c r="I136" s="178" t="str">
        <f ca="1">IF($C136="","",IF($D136="LPSM",H135,VALUE($C136)*H135))</f>
        <v/>
      </c>
      <c r="J136" s="388"/>
      <c r="K136" s="178" t="str">
        <f ca="1">IF($C136="","",IF($D136="LPSM",J135,VALUE($C136)*J135))</f>
        <v/>
      </c>
      <c r="L136" s="388"/>
      <c r="M136" s="178" t="str">
        <f ca="1">IF($C136="","",IF($D136="LPSM",L135,VALUE($C136)*L135))</f>
        <v/>
      </c>
      <c r="N136" s="388"/>
      <c r="O136" s="178" t="str">
        <f ca="1">IF($C136="","",IF($D136="LPSM",N135,VALUE($C136)*N135))</f>
        <v/>
      </c>
      <c r="P136" s="388"/>
      <c r="Q136" s="178" t="str">
        <f ca="1">IF($C136="","",IF($D136="LPSM",P135,VALUE($C136)*P135))</f>
        <v/>
      </c>
      <c r="R136" s="388"/>
      <c r="S136" s="178" t="str">
        <f ca="1">IF($C136="","",IF($D136="LPSM",R135,VALUE($C136)*R135))</f>
        <v/>
      </c>
      <c r="T136" s="388"/>
      <c r="U136" s="178" t="str">
        <f ca="1">IF($C136="","",IF($D136="LPSM",T135,VALUE($C136)*T135))</f>
        <v/>
      </c>
      <c r="V136" s="388"/>
      <c r="W136" s="178" t="str">
        <f ca="1">IF($C136="","",IF($D136="LPSM",V135,VALUE($C136)*V135))</f>
        <v/>
      </c>
      <c r="X136" s="388"/>
      <c r="Y136" s="178" t="str">
        <f ca="1">IF($C136="","",IF($D136="LPSM",X135,VALUE($C136)*X135))</f>
        <v/>
      </c>
      <c r="Z136" s="388"/>
      <c r="AA136" s="178" t="str">
        <f ca="1">IF($C136="","",IF($D136="LPSM",Z135,VALUE($C136)*Z135))</f>
        <v/>
      </c>
      <c r="AB136" s="388"/>
      <c r="AC136" s="178" t="str">
        <f ca="1">IF($C136="","",IF($D136="LPSM",AB135,VALUE($C136)*AB135))</f>
        <v/>
      </c>
      <c r="AD136" s="388"/>
      <c r="AE136" s="178" t="str">
        <f ca="1">IF($C136="","",IF($D136="LPSM",AD135,VALUE($C136)*AD135))</f>
        <v/>
      </c>
      <c r="AF136" s="388"/>
      <c r="AG136" s="178" t="str">
        <f ca="1">IF($C136="","",IF($D136="LPSM",AF135,VALUE($C136)*AF135))</f>
        <v/>
      </c>
      <c r="AH136" s="388"/>
      <c r="AI136" s="178" t="str">
        <f ca="1">IF($C136="","",IF($D136="LPSM",AH135,VALUE($C136)*AH135))</f>
        <v/>
      </c>
      <c r="AJ136" s="388"/>
      <c r="AK136" s="178" t="str">
        <f ca="1">IF($C136="","",IF($D136="LPSM",AJ135,VALUE($C136)*AJ135))</f>
        <v/>
      </c>
      <c r="AL136" s="388"/>
      <c r="AM136" s="178" t="str">
        <f ca="1">IF($C136="","",IF($D136="LPSM",AL135,VALUE($C136)*AL135))</f>
        <v/>
      </c>
      <c r="AN136" s="388"/>
      <c r="AO136" s="178" t="str">
        <f ca="1">IF($C136="","",IF($D136="LPSM",AN135,VALUE($C136)*AN135))</f>
        <v/>
      </c>
      <c r="AP136" s="388"/>
      <c r="AQ136" s="178" t="str">
        <f ca="1">IF($C136="","",IF($D136="LPSM",AP135,VALUE($C136)*AP135))</f>
        <v/>
      </c>
      <c r="AR136" s="209" t="str">
        <f ca="1">IF(LEN(B136)&gt;0,ISNUMBER(MATCH(B136,Proposed[Item],0)),"")</f>
        <v/>
      </c>
    </row>
    <row r="137" spans="1:44" ht="15" x14ac:dyDescent="0.2">
      <c r="A137" s="276">
        <f t="shared" ref="A137:A200" ca="1" si="2">OFFSET(A137,-2,0)+1</f>
        <v>65</v>
      </c>
      <c r="B137" s="168" t="str">
        <f ca="1">IFERROR(INDEX(INDIRECT(RangeItems),MATCH($A137,INDIRECT(RangeCount),0)),"")</f>
        <v/>
      </c>
      <c r="C137" s="365" t="str">
        <f ca="1">INDEX(Calcs[Description],$A137)</f>
        <v/>
      </c>
      <c r="D137" s="365"/>
      <c r="E137" s="365"/>
      <c r="F137" s="365"/>
      <c r="G137" s="365"/>
      <c r="H137" s="388"/>
      <c r="I137" s="177"/>
      <c r="J137" s="388"/>
      <c r="K137" s="177"/>
      <c r="L137" s="388"/>
      <c r="M137" s="177"/>
      <c r="N137" s="388"/>
      <c r="O137" s="177"/>
      <c r="P137" s="388"/>
      <c r="Q137" s="177"/>
      <c r="R137" s="388"/>
      <c r="S137" s="177"/>
      <c r="T137" s="388"/>
      <c r="U137" s="177"/>
      <c r="V137" s="388"/>
      <c r="W137" s="177"/>
      <c r="X137" s="388"/>
      <c r="Y137" s="177"/>
      <c r="Z137" s="388"/>
      <c r="AA137" s="177"/>
      <c r="AB137" s="388"/>
      <c r="AC137" s="177"/>
      <c r="AD137" s="388"/>
      <c r="AE137" s="177"/>
      <c r="AF137" s="388"/>
      <c r="AG137" s="177"/>
      <c r="AH137" s="388"/>
      <c r="AI137" s="177"/>
      <c r="AJ137" s="388"/>
      <c r="AK137" s="177"/>
      <c r="AL137" s="388"/>
      <c r="AM137" s="177"/>
      <c r="AN137" s="388"/>
      <c r="AO137" s="177"/>
      <c r="AP137" s="388"/>
      <c r="AQ137" s="177"/>
      <c r="AR137" s="209" t="str">
        <f ca="1">IF(LEN(B137)&gt;0,ISNUMBER(MATCH(B137,Proposed[Item],0)),"")</f>
        <v/>
      </c>
    </row>
    <row r="138" spans="1:44" ht="15" x14ac:dyDescent="0.2">
      <c r="A138" s="276">
        <f t="shared" ca="1" si="2"/>
        <v>65</v>
      </c>
      <c r="B138" s="111" t="str">
        <f ca="1">IF($A138&lt;=NumPayItems,"Line "&amp;INDEX(Calcs[Line],$A138),"")</f>
        <v/>
      </c>
      <c r="C138" s="169" t="str">
        <f ca="1">IFERROR(IF($D138="LPSM","ALL",TEXT(INDEX(INDIRECT(RangeQuantity),MATCH($A138,INDIRECT(RangeCount),0)),"#,##0"&amp;IF(OFFSET(Items[],MATCH($A138,INDIRECT(RangeCount),0)-1,MATCH(Decimals,Items[#Headers],0)-1,1,1)&gt;0,"."&amp;REPT("0",OFFSET(Items[],MATCH($A138,INDIRECT(RangeCount),0)-1,MATCH(Decimals,Items[#Headers],0)-1,1,1)),""))),"")</f>
        <v/>
      </c>
      <c r="D138" s="170" t="str">
        <f ca="1">IFERROR(INDEX(INDIRECT(RangeUnit),MATCH($A138,INDIRECT(RangeCount),0)),"")</f>
        <v/>
      </c>
      <c r="E138" s="170" t="str">
        <f ca="1">IFERROR(IF(INDEX(INDIRECT(RangeContrQty),MATCH($A138,INDIRECT(RangeCount),0)),"(CQ)",""),"")</f>
        <v/>
      </c>
      <c r="F138" s="171" t="str">
        <f ca="1">IFERROR(INDEX(INDIRECT(RangeUnitPrice),MATCH($A138,INDIRECT(RangeCount),0)),"")</f>
        <v/>
      </c>
      <c r="G138" s="171" t="str">
        <f ca="1">IFERROR(VALUE(C138)*F138,F138)</f>
        <v/>
      </c>
      <c r="H138" s="388"/>
      <c r="I138" s="178" t="str">
        <f ca="1">IF($C138="","",IF($D138="LPSM",H137,VALUE($C138)*H137))</f>
        <v/>
      </c>
      <c r="J138" s="388"/>
      <c r="K138" s="178" t="str">
        <f ca="1">IF($C138="","",IF($D138="LPSM",J137,VALUE($C138)*J137))</f>
        <v/>
      </c>
      <c r="L138" s="388"/>
      <c r="M138" s="178" t="str">
        <f ca="1">IF($C138="","",IF($D138="LPSM",L137,VALUE($C138)*L137))</f>
        <v/>
      </c>
      <c r="N138" s="388"/>
      <c r="O138" s="178" t="str">
        <f ca="1">IF($C138="","",IF($D138="LPSM",N137,VALUE($C138)*N137))</f>
        <v/>
      </c>
      <c r="P138" s="388"/>
      <c r="Q138" s="178" t="str">
        <f ca="1">IF($C138="","",IF($D138="LPSM",P137,VALUE($C138)*P137))</f>
        <v/>
      </c>
      <c r="R138" s="388"/>
      <c r="S138" s="178" t="str">
        <f ca="1">IF($C138="","",IF($D138="LPSM",R137,VALUE($C138)*R137))</f>
        <v/>
      </c>
      <c r="T138" s="388"/>
      <c r="U138" s="178" t="str">
        <f ca="1">IF($C138="","",IF($D138="LPSM",T137,VALUE($C138)*T137))</f>
        <v/>
      </c>
      <c r="V138" s="388"/>
      <c r="W138" s="178" t="str">
        <f ca="1">IF($C138="","",IF($D138="LPSM",V137,VALUE($C138)*V137))</f>
        <v/>
      </c>
      <c r="X138" s="388"/>
      <c r="Y138" s="178" t="str">
        <f ca="1">IF($C138="","",IF($D138="LPSM",X137,VALUE($C138)*X137))</f>
        <v/>
      </c>
      <c r="Z138" s="388"/>
      <c r="AA138" s="178" t="str">
        <f ca="1">IF($C138="","",IF($D138="LPSM",Z137,VALUE($C138)*Z137))</f>
        <v/>
      </c>
      <c r="AB138" s="388"/>
      <c r="AC138" s="178" t="str">
        <f ca="1">IF($C138="","",IF($D138="LPSM",AB137,VALUE($C138)*AB137))</f>
        <v/>
      </c>
      <c r="AD138" s="388"/>
      <c r="AE138" s="178" t="str">
        <f ca="1">IF($C138="","",IF($D138="LPSM",AD137,VALUE($C138)*AD137))</f>
        <v/>
      </c>
      <c r="AF138" s="388"/>
      <c r="AG138" s="178" t="str">
        <f ca="1">IF($C138="","",IF($D138="LPSM",AF137,VALUE($C138)*AF137))</f>
        <v/>
      </c>
      <c r="AH138" s="388"/>
      <c r="AI138" s="178" t="str">
        <f ca="1">IF($C138="","",IF($D138="LPSM",AH137,VALUE($C138)*AH137))</f>
        <v/>
      </c>
      <c r="AJ138" s="388"/>
      <c r="AK138" s="178" t="str">
        <f ca="1">IF($C138="","",IF($D138="LPSM",AJ137,VALUE($C138)*AJ137))</f>
        <v/>
      </c>
      <c r="AL138" s="388"/>
      <c r="AM138" s="178" t="str">
        <f ca="1">IF($C138="","",IF($D138="LPSM",AL137,VALUE($C138)*AL137))</f>
        <v/>
      </c>
      <c r="AN138" s="388"/>
      <c r="AO138" s="178" t="str">
        <f ca="1">IF($C138="","",IF($D138="LPSM",AN137,VALUE($C138)*AN137))</f>
        <v/>
      </c>
      <c r="AP138" s="388"/>
      <c r="AQ138" s="178" t="str">
        <f ca="1">IF($C138="","",IF($D138="LPSM",AP137,VALUE($C138)*AP137))</f>
        <v/>
      </c>
      <c r="AR138" s="209" t="str">
        <f ca="1">IF(LEN(B138)&gt;0,ISNUMBER(MATCH(B138,Proposed[Item],0)),"")</f>
        <v/>
      </c>
    </row>
    <row r="139" spans="1:44" ht="15" x14ac:dyDescent="0.2">
      <c r="A139" s="276">
        <f t="shared" ca="1" si="2"/>
        <v>66</v>
      </c>
      <c r="B139" s="168" t="str">
        <f ca="1">IFERROR(INDEX(INDIRECT(RangeItems),MATCH($A139,INDIRECT(RangeCount),0)),"")</f>
        <v/>
      </c>
      <c r="C139" s="365" t="str">
        <f ca="1">INDEX(Calcs[Description],$A139)</f>
        <v/>
      </c>
      <c r="D139" s="365"/>
      <c r="E139" s="365"/>
      <c r="F139" s="365"/>
      <c r="G139" s="365"/>
      <c r="H139" s="388"/>
      <c r="I139" s="177"/>
      <c r="J139" s="388"/>
      <c r="K139" s="177"/>
      <c r="L139" s="388"/>
      <c r="M139" s="177"/>
      <c r="N139" s="388"/>
      <c r="O139" s="177"/>
      <c r="P139" s="388"/>
      <c r="Q139" s="177"/>
      <c r="R139" s="388"/>
      <c r="S139" s="177"/>
      <c r="T139" s="388"/>
      <c r="U139" s="177"/>
      <c r="V139" s="388"/>
      <c r="W139" s="177"/>
      <c r="X139" s="388"/>
      <c r="Y139" s="177"/>
      <c r="Z139" s="388"/>
      <c r="AA139" s="177"/>
      <c r="AB139" s="388"/>
      <c r="AC139" s="177"/>
      <c r="AD139" s="388"/>
      <c r="AE139" s="177"/>
      <c r="AF139" s="388"/>
      <c r="AG139" s="177"/>
      <c r="AH139" s="388"/>
      <c r="AI139" s="177"/>
      <c r="AJ139" s="388"/>
      <c r="AK139" s="177"/>
      <c r="AL139" s="388"/>
      <c r="AM139" s="177"/>
      <c r="AN139" s="388"/>
      <c r="AO139" s="177"/>
      <c r="AP139" s="388"/>
      <c r="AQ139" s="177"/>
      <c r="AR139" s="209" t="str">
        <f ca="1">IF(LEN(B139)&gt;0,ISNUMBER(MATCH(B139,Proposed[Item],0)),"")</f>
        <v/>
      </c>
    </row>
    <row r="140" spans="1:44" ht="15" x14ac:dyDescent="0.2">
      <c r="A140" s="276">
        <f t="shared" ca="1" si="2"/>
        <v>66</v>
      </c>
      <c r="B140" s="111" t="str">
        <f ca="1">IF($A140&lt;=NumPayItems,"Line "&amp;INDEX(Calcs[Line],$A140),"")</f>
        <v/>
      </c>
      <c r="C140" s="169" t="str">
        <f ca="1">IFERROR(IF($D140="LPSM","ALL",TEXT(INDEX(INDIRECT(RangeQuantity),MATCH($A140,INDIRECT(RangeCount),0)),"#,##0"&amp;IF(OFFSET(Items[],MATCH($A140,INDIRECT(RangeCount),0)-1,MATCH(Decimals,Items[#Headers],0)-1,1,1)&gt;0,"."&amp;REPT("0",OFFSET(Items[],MATCH($A140,INDIRECT(RangeCount),0)-1,MATCH(Decimals,Items[#Headers],0)-1,1,1)),""))),"")</f>
        <v/>
      </c>
      <c r="D140" s="170" t="str">
        <f ca="1">IFERROR(INDEX(INDIRECT(RangeUnit),MATCH($A140,INDIRECT(RangeCount),0)),"")</f>
        <v/>
      </c>
      <c r="E140" s="170" t="str">
        <f ca="1">IFERROR(IF(INDEX(INDIRECT(RangeContrQty),MATCH($A140,INDIRECT(RangeCount),0)),"(CQ)",""),"")</f>
        <v/>
      </c>
      <c r="F140" s="171" t="str">
        <f ca="1">IFERROR(INDEX(INDIRECT(RangeUnitPrice),MATCH($A140,INDIRECT(RangeCount),0)),"")</f>
        <v/>
      </c>
      <c r="G140" s="171" t="str">
        <f ca="1">IFERROR(VALUE(C140)*F140,F140)</f>
        <v/>
      </c>
      <c r="H140" s="388"/>
      <c r="I140" s="178" t="str">
        <f ca="1">IF($C140="","",IF($D140="LPSM",H139,VALUE($C140)*H139))</f>
        <v/>
      </c>
      <c r="J140" s="388"/>
      <c r="K140" s="178" t="str">
        <f ca="1">IF($C140="","",IF($D140="LPSM",J139,VALUE($C140)*J139))</f>
        <v/>
      </c>
      <c r="L140" s="388"/>
      <c r="M140" s="178" t="str">
        <f ca="1">IF($C140="","",IF($D140="LPSM",L139,VALUE($C140)*L139))</f>
        <v/>
      </c>
      <c r="N140" s="388"/>
      <c r="O140" s="178" t="str">
        <f ca="1">IF($C140="","",IF($D140="LPSM",N139,VALUE($C140)*N139))</f>
        <v/>
      </c>
      <c r="P140" s="388"/>
      <c r="Q140" s="178" t="str">
        <f ca="1">IF($C140="","",IF($D140="LPSM",P139,VALUE($C140)*P139))</f>
        <v/>
      </c>
      <c r="R140" s="388"/>
      <c r="S140" s="178" t="str">
        <f ca="1">IF($C140="","",IF($D140="LPSM",R139,VALUE($C140)*R139))</f>
        <v/>
      </c>
      <c r="T140" s="388"/>
      <c r="U140" s="178" t="str">
        <f ca="1">IF($C140="","",IF($D140="LPSM",T139,VALUE($C140)*T139))</f>
        <v/>
      </c>
      <c r="V140" s="388"/>
      <c r="W140" s="178" t="str">
        <f ca="1">IF($C140="","",IF($D140="LPSM",V139,VALUE($C140)*V139))</f>
        <v/>
      </c>
      <c r="X140" s="388"/>
      <c r="Y140" s="178" t="str">
        <f ca="1">IF($C140="","",IF($D140="LPSM",X139,VALUE($C140)*X139))</f>
        <v/>
      </c>
      <c r="Z140" s="388"/>
      <c r="AA140" s="178" t="str">
        <f ca="1">IF($C140="","",IF($D140="LPSM",Z139,VALUE($C140)*Z139))</f>
        <v/>
      </c>
      <c r="AB140" s="388"/>
      <c r="AC140" s="178" t="str">
        <f ca="1">IF($C140="","",IF($D140="LPSM",AB139,VALUE($C140)*AB139))</f>
        <v/>
      </c>
      <c r="AD140" s="388"/>
      <c r="AE140" s="178" t="str">
        <f ca="1">IF($C140="","",IF($D140="LPSM",AD139,VALUE($C140)*AD139))</f>
        <v/>
      </c>
      <c r="AF140" s="388"/>
      <c r="AG140" s="178" t="str">
        <f ca="1">IF($C140="","",IF($D140="LPSM",AF139,VALUE($C140)*AF139))</f>
        <v/>
      </c>
      <c r="AH140" s="388"/>
      <c r="AI140" s="178" t="str">
        <f ca="1">IF($C140="","",IF($D140="LPSM",AH139,VALUE($C140)*AH139))</f>
        <v/>
      </c>
      <c r="AJ140" s="388"/>
      <c r="AK140" s="178" t="str">
        <f ca="1">IF($C140="","",IF($D140="LPSM",AJ139,VALUE($C140)*AJ139))</f>
        <v/>
      </c>
      <c r="AL140" s="388"/>
      <c r="AM140" s="178" t="str">
        <f ca="1">IF($C140="","",IF($D140="LPSM",AL139,VALUE($C140)*AL139))</f>
        <v/>
      </c>
      <c r="AN140" s="388"/>
      <c r="AO140" s="178" t="str">
        <f ca="1">IF($C140="","",IF($D140="LPSM",AN139,VALUE($C140)*AN139))</f>
        <v/>
      </c>
      <c r="AP140" s="388"/>
      <c r="AQ140" s="178" t="str">
        <f ca="1">IF($C140="","",IF($D140="LPSM",AP139,VALUE($C140)*AP139))</f>
        <v/>
      </c>
      <c r="AR140" s="209" t="str">
        <f ca="1">IF(LEN(B140)&gt;0,ISNUMBER(MATCH(B140,Proposed[Item],0)),"")</f>
        <v/>
      </c>
    </row>
    <row r="141" spans="1:44" ht="15" x14ac:dyDescent="0.2">
      <c r="A141" s="276">
        <f t="shared" ca="1" si="2"/>
        <v>67</v>
      </c>
      <c r="B141" s="168" t="str">
        <f ca="1">IFERROR(INDEX(INDIRECT(RangeItems),MATCH($A141,INDIRECT(RangeCount),0)),"")</f>
        <v/>
      </c>
      <c r="C141" s="365" t="str">
        <f ca="1">INDEX(Calcs[Description],$A141)</f>
        <v/>
      </c>
      <c r="D141" s="365"/>
      <c r="E141" s="365"/>
      <c r="F141" s="365"/>
      <c r="G141" s="365"/>
      <c r="H141" s="388"/>
      <c r="I141" s="177"/>
      <c r="J141" s="388"/>
      <c r="K141" s="177"/>
      <c r="L141" s="388"/>
      <c r="M141" s="177"/>
      <c r="N141" s="388"/>
      <c r="O141" s="177"/>
      <c r="P141" s="388"/>
      <c r="Q141" s="177"/>
      <c r="R141" s="388"/>
      <c r="S141" s="177"/>
      <c r="T141" s="388"/>
      <c r="U141" s="177"/>
      <c r="V141" s="388"/>
      <c r="W141" s="177"/>
      <c r="X141" s="388"/>
      <c r="Y141" s="177"/>
      <c r="Z141" s="388"/>
      <c r="AA141" s="177"/>
      <c r="AB141" s="388"/>
      <c r="AC141" s="177"/>
      <c r="AD141" s="388"/>
      <c r="AE141" s="177"/>
      <c r="AF141" s="388"/>
      <c r="AG141" s="177"/>
      <c r="AH141" s="388"/>
      <c r="AI141" s="177"/>
      <c r="AJ141" s="388"/>
      <c r="AK141" s="177"/>
      <c r="AL141" s="388"/>
      <c r="AM141" s="177"/>
      <c r="AN141" s="388"/>
      <c r="AO141" s="177"/>
      <c r="AP141" s="388"/>
      <c r="AQ141" s="177"/>
      <c r="AR141" s="209" t="str">
        <f ca="1">IF(LEN(B141)&gt;0,ISNUMBER(MATCH(B141,Proposed[Item],0)),"")</f>
        <v/>
      </c>
    </row>
    <row r="142" spans="1:44" ht="15" x14ac:dyDescent="0.2">
      <c r="A142" s="276">
        <f t="shared" ca="1" si="2"/>
        <v>67</v>
      </c>
      <c r="B142" s="111" t="str">
        <f ca="1">IF($A142&lt;=NumPayItems,"Line "&amp;INDEX(Calcs[Line],$A142),"")</f>
        <v/>
      </c>
      <c r="C142" s="169" t="str">
        <f ca="1">IFERROR(IF($D142="LPSM","ALL",TEXT(INDEX(INDIRECT(RangeQuantity),MATCH($A142,INDIRECT(RangeCount),0)),"#,##0"&amp;IF(OFFSET(Items[],MATCH($A142,INDIRECT(RangeCount),0)-1,MATCH(Decimals,Items[#Headers],0)-1,1,1)&gt;0,"."&amp;REPT("0",OFFSET(Items[],MATCH($A142,INDIRECT(RangeCount),0)-1,MATCH(Decimals,Items[#Headers],0)-1,1,1)),""))),"")</f>
        <v/>
      </c>
      <c r="D142" s="170" t="str">
        <f ca="1">IFERROR(INDEX(INDIRECT(RangeUnit),MATCH($A142,INDIRECT(RangeCount),0)),"")</f>
        <v/>
      </c>
      <c r="E142" s="170" t="str">
        <f ca="1">IFERROR(IF(INDEX(INDIRECT(RangeContrQty),MATCH($A142,INDIRECT(RangeCount),0)),"(CQ)",""),"")</f>
        <v/>
      </c>
      <c r="F142" s="171" t="str">
        <f ca="1">IFERROR(INDEX(INDIRECT(RangeUnitPrice),MATCH($A142,INDIRECT(RangeCount),0)),"")</f>
        <v/>
      </c>
      <c r="G142" s="171" t="str">
        <f ca="1">IFERROR(VALUE(C142)*F142,F142)</f>
        <v/>
      </c>
      <c r="H142" s="388"/>
      <c r="I142" s="178" t="str">
        <f ca="1">IF($C142="","",IF($D142="LPSM",H141,VALUE($C142)*H141))</f>
        <v/>
      </c>
      <c r="J142" s="388"/>
      <c r="K142" s="178" t="str">
        <f ca="1">IF($C142="","",IF($D142="LPSM",J141,VALUE($C142)*J141))</f>
        <v/>
      </c>
      <c r="L142" s="388"/>
      <c r="M142" s="178" t="str">
        <f ca="1">IF($C142="","",IF($D142="LPSM",L141,VALUE($C142)*L141))</f>
        <v/>
      </c>
      <c r="N142" s="388"/>
      <c r="O142" s="178" t="str">
        <f ca="1">IF($C142="","",IF($D142="LPSM",N141,VALUE($C142)*N141))</f>
        <v/>
      </c>
      <c r="P142" s="388"/>
      <c r="Q142" s="178" t="str">
        <f ca="1">IF($C142="","",IF($D142="LPSM",P141,VALUE($C142)*P141))</f>
        <v/>
      </c>
      <c r="R142" s="388"/>
      <c r="S142" s="178" t="str">
        <f ca="1">IF($C142="","",IF($D142="LPSM",R141,VALUE($C142)*R141))</f>
        <v/>
      </c>
      <c r="T142" s="388"/>
      <c r="U142" s="178" t="str">
        <f ca="1">IF($C142="","",IF($D142="LPSM",T141,VALUE($C142)*T141))</f>
        <v/>
      </c>
      <c r="V142" s="388"/>
      <c r="W142" s="178" t="str">
        <f ca="1">IF($C142="","",IF($D142="LPSM",V141,VALUE($C142)*V141))</f>
        <v/>
      </c>
      <c r="X142" s="388"/>
      <c r="Y142" s="178" t="str">
        <f ca="1">IF($C142="","",IF($D142="LPSM",X141,VALUE($C142)*X141))</f>
        <v/>
      </c>
      <c r="Z142" s="388"/>
      <c r="AA142" s="178" t="str">
        <f ca="1">IF($C142="","",IF($D142="LPSM",Z141,VALUE($C142)*Z141))</f>
        <v/>
      </c>
      <c r="AB142" s="388"/>
      <c r="AC142" s="178" t="str">
        <f ca="1">IF($C142="","",IF($D142="LPSM",AB141,VALUE($C142)*AB141))</f>
        <v/>
      </c>
      <c r="AD142" s="388"/>
      <c r="AE142" s="178" t="str">
        <f ca="1">IF($C142="","",IF($D142="LPSM",AD141,VALUE($C142)*AD141))</f>
        <v/>
      </c>
      <c r="AF142" s="388"/>
      <c r="AG142" s="178" t="str">
        <f ca="1">IF($C142="","",IF($D142="LPSM",AF141,VALUE($C142)*AF141))</f>
        <v/>
      </c>
      <c r="AH142" s="388"/>
      <c r="AI142" s="178" t="str">
        <f ca="1">IF($C142="","",IF($D142="LPSM",AH141,VALUE($C142)*AH141))</f>
        <v/>
      </c>
      <c r="AJ142" s="388"/>
      <c r="AK142" s="178" t="str">
        <f ca="1">IF($C142="","",IF($D142="LPSM",AJ141,VALUE($C142)*AJ141))</f>
        <v/>
      </c>
      <c r="AL142" s="388"/>
      <c r="AM142" s="178" t="str">
        <f ca="1">IF($C142="","",IF($D142="LPSM",AL141,VALUE($C142)*AL141))</f>
        <v/>
      </c>
      <c r="AN142" s="388"/>
      <c r="AO142" s="178" t="str">
        <f ca="1">IF($C142="","",IF($D142="LPSM",AN141,VALUE($C142)*AN141))</f>
        <v/>
      </c>
      <c r="AP142" s="388"/>
      <c r="AQ142" s="178" t="str">
        <f ca="1">IF($C142="","",IF($D142="LPSM",AP141,VALUE($C142)*AP141))</f>
        <v/>
      </c>
      <c r="AR142" s="209" t="str">
        <f ca="1">IF(LEN(B142)&gt;0,ISNUMBER(MATCH(B142,Proposed[Item],0)),"")</f>
        <v/>
      </c>
    </row>
    <row r="143" spans="1:44" ht="15" x14ac:dyDescent="0.2">
      <c r="A143" s="276">
        <f t="shared" ca="1" si="2"/>
        <v>68</v>
      </c>
      <c r="B143" s="168" t="str">
        <f ca="1">IFERROR(INDEX(INDIRECT(RangeItems),MATCH($A143,INDIRECT(RangeCount),0)),"")</f>
        <v/>
      </c>
      <c r="C143" s="365" t="str">
        <f ca="1">INDEX(Calcs[Description],$A143)</f>
        <v/>
      </c>
      <c r="D143" s="365"/>
      <c r="E143" s="365"/>
      <c r="F143" s="365"/>
      <c r="G143" s="365"/>
      <c r="H143" s="388"/>
      <c r="I143" s="177"/>
      <c r="J143" s="388"/>
      <c r="K143" s="177"/>
      <c r="L143" s="388"/>
      <c r="M143" s="177"/>
      <c r="N143" s="388"/>
      <c r="O143" s="177"/>
      <c r="P143" s="388"/>
      <c r="Q143" s="177"/>
      <c r="R143" s="388"/>
      <c r="S143" s="177"/>
      <c r="T143" s="388"/>
      <c r="U143" s="177"/>
      <c r="V143" s="388"/>
      <c r="W143" s="177"/>
      <c r="X143" s="388"/>
      <c r="Y143" s="177"/>
      <c r="Z143" s="388"/>
      <c r="AA143" s="177"/>
      <c r="AB143" s="388"/>
      <c r="AC143" s="177"/>
      <c r="AD143" s="388"/>
      <c r="AE143" s="177"/>
      <c r="AF143" s="388"/>
      <c r="AG143" s="177"/>
      <c r="AH143" s="388"/>
      <c r="AI143" s="177"/>
      <c r="AJ143" s="388"/>
      <c r="AK143" s="177"/>
      <c r="AL143" s="388"/>
      <c r="AM143" s="177"/>
      <c r="AN143" s="388"/>
      <c r="AO143" s="177"/>
      <c r="AP143" s="388"/>
      <c r="AQ143" s="177"/>
      <c r="AR143" s="209" t="str">
        <f ca="1">IF(LEN(B143)&gt;0,ISNUMBER(MATCH(B143,Proposed[Item],0)),"")</f>
        <v/>
      </c>
    </row>
    <row r="144" spans="1:44" ht="15" x14ac:dyDescent="0.2">
      <c r="A144" s="276">
        <f t="shared" ca="1" si="2"/>
        <v>68</v>
      </c>
      <c r="B144" s="111" t="str">
        <f ca="1">IF($A144&lt;=NumPayItems,"Line "&amp;INDEX(Calcs[Line],$A144),"")</f>
        <v/>
      </c>
      <c r="C144" s="169" t="str">
        <f ca="1">IFERROR(IF($D144="LPSM","ALL",TEXT(INDEX(INDIRECT(RangeQuantity),MATCH($A144,INDIRECT(RangeCount),0)),"#,##0"&amp;IF(OFFSET(Items[],MATCH($A144,INDIRECT(RangeCount),0)-1,MATCH(Decimals,Items[#Headers],0)-1,1,1)&gt;0,"."&amp;REPT("0",OFFSET(Items[],MATCH($A144,INDIRECT(RangeCount),0)-1,MATCH(Decimals,Items[#Headers],0)-1,1,1)),""))),"")</f>
        <v/>
      </c>
      <c r="D144" s="170" t="str">
        <f ca="1">IFERROR(INDEX(INDIRECT(RangeUnit),MATCH($A144,INDIRECT(RangeCount),0)),"")</f>
        <v/>
      </c>
      <c r="E144" s="170" t="str">
        <f ca="1">IFERROR(IF(INDEX(INDIRECT(RangeContrQty),MATCH($A144,INDIRECT(RangeCount),0)),"(CQ)",""),"")</f>
        <v/>
      </c>
      <c r="F144" s="171" t="str">
        <f ca="1">IFERROR(INDEX(INDIRECT(RangeUnitPrice),MATCH($A144,INDIRECT(RangeCount),0)),"")</f>
        <v/>
      </c>
      <c r="G144" s="171" t="str">
        <f ca="1">IFERROR(VALUE(C144)*F144,F144)</f>
        <v/>
      </c>
      <c r="H144" s="388"/>
      <c r="I144" s="178" t="str">
        <f ca="1">IF($C144="","",IF($D144="LPSM",H143,VALUE($C144)*H143))</f>
        <v/>
      </c>
      <c r="J144" s="388"/>
      <c r="K144" s="178" t="str">
        <f ca="1">IF($C144="","",IF($D144="LPSM",J143,VALUE($C144)*J143))</f>
        <v/>
      </c>
      <c r="L144" s="388"/>
      <c r="M144" s="178" t="str">
        <f ca="1">IF($C144="","",IF($D144="LPSM",L143,VALUE($C144)*L143))</f>
        <v/>
      </c>
      <c r="N144" s="388"/>
      <c r="O144" s="178" t="str">
        <f ca="1">IF($C144="","",IF($D144="LPSM",N143,VALUE($C144)*N143))</f>
        <v/>
      </c>
      <c r="P144" s="388"/>
      <c r="Q144" s="178" t="str">
        <f ca="1">IF($C144="","",IF($D144="LPSM",P143,VALUE($C144)*P143))</f>
        <v/>
      </c>
      <c r="R144" s="388"/>
      <c r="S144" s="178" t="str">
        <f ca="1">IF($C144="","",IF($D144="LPSM",R143,VALUE($C144)*R143))</f>
        <v/>
      </c>
      <c r="T144" s="388"/>
      <c r="U144" s="178" t="str">
        <f ca="1">IF($C144="","",IF($D144="LPSM",T143,VALUE($C144)*T143))</f>
        <v/>
      </c>
      <c r="V144" s="388"/>
      <c r="W144" s="178" t="str">
        <f ca="1">IF($C144="","",IF($D144="LPSM",V143,VALUE($C144)*V143))</f>
        <v/>
      </c>
      <c r="X144" s="388"/>
      <c r="Y144" s="178" t="str">
        <f ca="1">IF($C144="","",IF($D144="LPSM",X143,VALUE($C144)*X143))</f>
        <v/>
      </c>
      <c r="Z144" s="388"/>
      <c r="AA144" s="178" t="str">
        <f ca="1">IF($C144="","",IF($D144="LPSM",Z143,VALUE($C144)*Z143))</f>
        <v/>
      </c>
      <c r="AB144" s="388"/>
      <c r="AC144" s="178" t="str">
        <f ca="1">IF($C144="","",IF($D144="LPSM",AB143,VALUE($C144)*AB143))</f>
        <v/>
      </c>
      <c r="AD144" s="388"/>
      <c r="AE144" s="178" t="str">
        <f ca="1">IF($C144="","",IF($D144="LPSM",AD143,VALUE($C144)*AD143))</f>
        <v/>
      </c>
      <c r="AF144" s="388"/>
      <c r="AG144" s="178" t="str">
        <f ca="1">IF($C144="","",IF($D144="LPSM",AF143,VALUE($C144)*AF143))</f>
        <v/>
      </c>
      <c r="AH144" s="388"/>
      <c r="AI144" s="178" t="str">
        <f ca="1">IF($C144="","",IF($D144="LPSM",AH143,VALUE($C144)*AH143))</f>
        <v/>
      </c>
      <c r="AJ144" s="388"/>
      <c r="AK144" s="178" t="str">
        <f ca="1">IF($C144="","",IF($D144="LPSM",AJ143,VALUE($C144)*AJ143))</f>
        <v/>
      </c>
      <c r="AL144" s="388"/>
      <c r="AM144" s="178" t="str">
        <f ca="1">IF($C144="","",IF($D144="LPSM",AL143,VALUE($C144)*AL143))</f>
        <v/>
      </c>
      <c r="AN144" s="388"/>
      <c r="AO144" s="178" t="str">
        <f ca="1">IF($C144="","",IF($D144="LPSM",AN143,VALUE($C144)*AN143))</f>
        <v/>
      </c>
      <c r="AP144" s="388"/>
      <c r="AQ144" s="178" t="str">
        <f ca="1">IF($C144="","",IF($D144="LPSM",AP143,VALUE($C144)*AP143))</f>
        <v/>
      </c>
      <c r="AR144" s="209" t="str">
        <f ca="1">IF(LEN(B144)&gt;0,ISNUMBER(MATCH(B144,Proposed[Item],0)),"")</f>
        <v/>
      </c>
    </row>
    <row r="145" spans="1:44" ht="15" x14ac:dyDescent="0.2">
      <c r="A145" s="276">
        <f t="shared" ca="1" si="2"/>
        <v>69</v>
      </c>
      <c r="B145" s="168" t="str">
        <f ca="1">IFERROR(INDEX(INDIRECT(RangeItems),MATCH($A145,INDIRECT(RangeCount),0)),"")</f>
        <v/>
      </c>
      <c r="C145" s="365" t="str">
        <f ca="1">INDEX(Calcs[Description],$A145)</f>
        <v/>
      </c>
      <c r="D145" s="365"/>
      <c r="E145" s="365"/>
      <c r="F145" s="365"/>
      <c r="G145" s="365"/>
      <c r="H145" s="388"/>
      <c r="I145" s="177"/>
      <c r="J145" s="388"/>
      <c r="K145" s="177"/>
      <c r="L145" s="388"/>
      <c r="M145" s="177"/>
      <c r="N145" s="388"/>
      <c r="O145" s="177"/>
      <c r="P145" s="388"/>
      <c r="Q145" s="177"/>
      <c r="R145" s="388"/>
      <c r="S145" s="177"/>
      <c r="T145" s="388"/>
      <c r="U145" s="177"/>
      <c r="V145" s="388"/>
      <c r="W145" s="177"/>
      <c r="X145" s="388"/>
      <c r="Y145" s="177"/>
      <c r="Z145" s="388"/>
      <c r="AA145" s="177"/>
      <c r="AB145" s="388"/>
      <c r="AC145" s="177"/>
      <c r="AD145" s="388"/>
      <c r="AE145" s="177"/>
      <c r="AF145" s="388"/>
      <c r="AG145" s="177"/>
      <c r="AH145" s="388"/>
      <c r="AI145" s="177"/>
      <c r="AJ145" s="388"/>
      <c r="AK145" s="177"/>
      <c r="AL145" s="388"/>
      <c r="AM145" s="177"/>
      <c r="AN145" s="388"/>
      <c r="AO145" s="177"/>
      <c r="AP145" s="388"/>
      <c r="AQ145" s="177"/>
      <c r="AR145" s="209" t="str">
        <f ca="1">IF(LEN(B145)&gt;0,ISNUMBER(MATCH(B145,Proposed[Item],0)),"")</f>
        <v/>
      </c>
    </row>
    <row r="146" spans="1:44" ht="15" x14ac:dyDescent="0.2">
      <c r="A146" s="276">
        <f t="shared" ca="1" si="2"/>
        <v>69</v>
      </c>
      <c r="B146" s="111" t="str">
        <f ca="1">IF($A146&lt;=NumPayItems,"Line "&amp;INDEX(Calcs[Line],$A146),"")</f>
        <v/>
      </c>
      <c r="C146" s="169" t="str">
        <f ca="1">IFERROR(IF($D146="LPSM","ALL",TEXT(INDEX(INDIRECT(RangeQuantity),MATCH($A146,INDIRECT(RangeCount),0)),"#,##0"&amp;IF(OFFSET(Items[],MATCH($A146,INDIRECT(RangeCount),0)-1,MATCH(Decimals,Items[#Headers],0)-1,1,1)&gt;0,"."&amp;REPT("0",OFFSET(Items[],MATCH($A146,INDIRECT(RangeCount),0)-1,MATCH(Decimals,Items[#Headers],0)-1,1,1)),""))),"")</f>
        <v/>
      </c>
      <c r="D146" s="170" t="str">
        <f ca="1">IFERROR(INDEX(INDIRECT(RangeUnit),MATCH($A146,INDIRECT(RangeCount),0)),"")</f>
        <v/>
      </c>
      <c r="E146" s="170" t="str">
        <f ca="1">IFERROR(IF(INDEX(INDIRECT(RangeContrQty),MATCH($A146,INDIRECT(RangeCount),0)),"(CQ)",""),"")</f>
        <v/>
      </c>
      <c r="F146" s="171" t="str">
        <f ca="1">IFERROR(INDEX(INDIRECT(RangeUnitPrice),MATCH($A146,INDIRECT(RangeCount),0)),"")</f>
        <v/>
      </c>
      <c r="G146" s="171" t="str">
        <f ca="1">IFERROR(VALUE(C146)*F146,F146)</f>
        <v/>
      </c>
      <c r="H146" s="388"/>
      <c r="I146" s="178" t="str">
        <f ca="1">IF($C146="","",IF($D146="LPSM",H145,VALUE($C146)*H145))</f>
        <v/>
      </c>
      <c r="J146" s="388"/>
      <c r="K146" s="178" t="str">
        <f ca="1">IF($C146="","",IF($D146="LPSM",J145,VALUE($C146)*J145))</f>
        <v/>
      </c>
      <c r="L146" s="388"/>
      <c r="M146" s="178" t="str">
        <f ca="1">IF($C146="","",IF($D146="LPSM",L145,VALUE($C146)*L145))</f>
        <v/>
      </c>
      <c r="N146" s="388"/>
      <c r="O146" s="178" t="str">
        <f ca="1">IF($C146="","",IF($D146="LPSM",N145,VALUE($C146)*N145))</f>
        <v/>
      </c>
      <c r="P146" s="388"/>
      <c r="Q146" s="178" t="str">
        <f ca="1">IF($C146="","",IF($D146="LPSM",P145,VALUE($C146)*P145))</f>
        <v/>
      </c>
      <c r="R146" s="388"/>
      <c r="S146" s="178" t="str">
        <f ca="1">IF($C146="","",IF($D146="LPSM",R145,VALUE($C146)*R145))</f>
        <v/>
      </c>
      <c r="T146" s="388"/>
      <c r="U146" s="178" t="str">
        <f ca="1">IF($C146="","",IF($D146="LPSM",T145,VALUE($C146)*T145))</f>
        <v/>
      </c>
      <c r="V146" s="388"/>
      <c r="W146" s="178" t="str">
        <f ca="1">IF($C146="","",IF($D146="LPSM",V145,VALUE($C146)*V145))</f>
        <v/>
      </c>
      <c r="X146" s="388"/>
      <c r="Y146" s="178" t="str">
        <f ca="1">IF($C146="","",IF($D146="LPSM",X145,VALUE($C146)*X145))</f>
        <v/>
      </c>
      <c r="Z146" s="388"/>
      <c r="AA146" s="178" t="str">
        <f ca="1">IF($C146="","",IF($D146="LPSM",Z145,VALUE($C146)*Z145))</f>
        <v/>
      </c>
      <c r="AB146" s="388"/>
      <c r="AC146" s="178" t="str">
        <f ca="1">IF($C146="","",IF($D146="LPSM",AB145,VALUE($C146)*AB145))</f>
        <v/>
      </c>
      <c r="AD146" s="388"/>
      <c r="AE146" s="178" t="str">
        <f ca="1">IF($C146="","",IF($D146="LPSM",AD145,VALUE($C146)*AD145))</f>
        <v/>
      </c>
      <c r="AF146" s="388"/>
      <c r="AG146" s="178" t="str">
        <f ca="1">IF($C146="","",IF($D146="LPSM",AF145,VALUE($C146)*AF145))</f>
        <v/>
      </c>
      <c r="AH146" s="388"/>
      <c r="AI146" s="178" t="str">
        <f ca="1">IF($C146="","",IF($D146="LPSM",AH145,VALUE($C146)*AH145))</f>
        <v/>
      </c>
      <c r="AJ146" s="388"/>
      <c r="AK146" s="178" t="str">
        <f ca="1">IF($C146="","",IF($D146="LPSM",AJ145,VALUE($C146)*AJ145))</f>
        <v/>
      </c>
      <c r="AL146" s="388"/>
      <c r="AM146" s="178" t="str">
        <f ca="1">IF($C146="","",IF($D146="LPSM",AL145,VALUE($C146)*AL145))</f>
        <v/>
      </c>
      <c r="AN146" s="388"/>
      <c r="AO146" s="178" t="str">
        <f ca="1">IF($C146="","",IF($D146="LPSM",AN145,VALUE($C146)*AN145))</f>
        <v/>
      </c>
      <c r="AP146" s="388"/>
      <c r="AQ146" s="178" t="str">
        <f ca="1">IF($C146="","",IF($D146="LPSM",AP145,VALUE($C146)*AP145))</f>
        <v/>
      </c>
      <c r="AR146" s="209" t="str">
        <f ca="1">IF(LEN(B146)&gt;0,ISNUMBER(MATCH(B146,Proposed[Item],0)),"")</f>
        <v/>
      </c>
    </row>
    <row r="147" spans="1:44" ht="15" x14ac:dyDescent="0.2">
      <c r="A147" s="276">
        <f t="shared" ca="1" si="2"/>
        <v>70</v>
      </c>
      <c r="B147" s="168" t="str">
        <f ca="1">IFERROR(INDEX(INDIRECT(RangeItems),MATCH($A147,INDIRECT(RangeCount),0)),"")</f>
        <v/>
      </c>
      <c r="C147" s="365" t="str">
        <f ca="1">INDEX(Calcs[Description],$A147)</f>
        <v/>
      </c>
      <c r="D147" s="365"/>
      <c r="E147" s="365"/>
      <c r="F147" s="365"/>
      <c r="G147" s="365"/>
      <c r="H147" s="388"/>
      <c r="I147" s="177"/>
      <c r="J147" s="388"/>
      <c r="K147" s="177"/>
      <c r="L147" s="388"/>
      <c r="M147" s="177"/>
      <c r="N147" s="388"/>
      <c r="O147" s="177"/>
      <c r="P147" s="388"/>
      <c r="Q147" s="177"/>
      <c r="R147" s="388"/>
      <c r="S147" s="177"/>
      <c r="T147" s="388"/>
      <c r="U147" s="177"/>
      <c r="V147" s="388"/>
      <c r="W147" s="177"/>
      <c r="X147" s="388"/>
      <c r="Y147" s="177"/>
      <c r="Z147" s="388"/>
      <c r="AA147" s="177"/>
      <c r="AB147" s="388"/>
      <c r="AC147" s="177"/>
      <c r="AD147" s="388"/>
      <c r="AE147" s="177"/>
      <c r="AF147" s="388"/>
      <c r="AG147" s="177"/>
      <c r="AH147" s="388"/>
      <c r="AI147" s="177"/>
      <c r="AJ147" s="388"/>
      <c r="AK147" s="177"/>
      <c r="AL147" s="388"/>
      <c r="AM147" s="177"/>
      <c r="AN147" s="388"/>
      <c r="AO147" s="177"/>
      <c r="AP147" s="388"/>
      <c r="AQ147" s="177"/>
      <c r="AR147" s="209" t="str">
        <f ca="1">IF(LEN(B147)&gt;0,ISNUMBER(MATCH(B147,Proposed[Item],0)),"")</f>
        <v/>
      </c>
    </row>
    <row r="148" spans="1:44" ht="15" x14ac:dyDescent="0.2">
      <c r="A148" s="276">
        <f t="shared" ca="1" si="2"/>
        <v>70</v>
      </c>
      <c r="B148" s="111" t="str">
        <f ca="1">IF($A148&lt;=NumPayItems,"Line "&amp;INDEX(Calcs[Line],$A148),"")</f>
        <v/>
      </c>
      <c r="C148" s="169" t="str">
        <f ca="1">IFERROR(IF($D148="LPSM","ALL",TEXT(INDEX(INDIRECT(RangeQuantity),MATCH($A148,INDIRECT(RangeCount),0)),"#,##0"&amp;IF(OFFSET(Items[],MATCH($A148,INDIRECT(RangeCount),0)-1,MATCH(Decimals,Items[#Headers],0)-1,1,1)&gt;0,"."&amp;REPT("0",OFFSET(Items[],MATCH($A148,INDIRECT(RangeCount),0)-1,MATCH(Decimals,Items[#Headers],0)-1,1,1)),""))),"")</f>
        <v/>
      </c>
      <c r="D148" s="170" t="str">
        <f ca="1">IFERROR(INDEX(INDIRECT(RangeUnit),MATCH($A148,INDIRECT(RangeCount),0)),"")</f>
        <v/>
      </c>
      <c r="E148" s="170" t="str">
        <f ca="1">IFERROR(IF(INDEX(INDIRECT(RangeContrQty),MATCH($A148,INDIRECT(RangeCount),0)),"(CQ)",""),"")</f>
        <v/>
      </c>
      <c r="F148" s="171" t="str">
        <f ca="1">IFERROR(INDEX(INDIRECT(RangeUnitPrice),MATCH($A148,INDIRECT(RangeCount),0)),"")</f>
        <v/>
      </c>
      <c r="G148" s="171" t="str">
        <f ca="1">IFERROR(VALUE(C148)*F148,F148)</f>
        <v/>
      </c>
      <c r="H148" s="388"/>
      <c r="I148" s="178" t="str">
        <f ca="1">IF($C148="","",IF($D148="LPSM",H147,VALUE($C148)*H147))</f>
        <v/>
      </c>
      <c r="J148" s="388"/>
      <c r="K148" s="178" t="str">
        <f ca="1">IF($C148="","",IF($D148="LPSM",J147,VALUE($C148)*J147))</f>
        <v/>
      </c>
      <c r="L148" s="388"/>
      <c r="M148" s="178" t="str">
        <f ca="1">IF($C148="","",IF($D148="LPSM",L147,VALUE($C148)*L147))</f>
        <v/>
      </c>
      <c r="N148" s="388"/>
      <c r="O148" s="178" t="str">
        <f ca="1">IF($C148="","",IF($D148="LPSM",N147,VALUE($C148)*N147))</f>
        <v/>
      </c>
      <c r="P148" s="388"/>
      <c r="Q148" s="178" t="str">
        <f ca="1">IF($C148="","",IF($D148="LPSM",P147,VALUE($C148)*P147))</f>
        <v/>
      </c>
      <c r="R148" s="388"/>
      <c r="S148" s="178" t="str">
        <f ca="1">IF($C148="","",IF($D148="LPSM",R147,VALUE($C148)*R147))</f>
        <v/>
      </c>
      <c r="T148" s="388"/>
      <c r="U148" s="178" t="str">
        <f ca="1">IF($C148="","",IF($D148="LPSM",T147,VALUE($C148)*T147))</f>
        <v/>
      </c>
      <c r="V148" s="388"/>
      <c r="W148" s="178" t="str">
        <f ca="1">IF($C148="","",IF($D148="LPSM",V147,VALUE($C148)*V147))</f>
        <v/>
      </c>
      <c r="X148" s="388"/>
      <c r="Y148" s="178" t="str">
        <f ca="1">IF($C148="","",IF($D148="LPSM",X147,VALUE($C148)*X147))</f>
        <v/>
      </c>
      <c r="Z148" s="388"/>
      <c r="AA148" s="178" t="str">
        <f ca="1">IF($C148="","",IF($D148="LPSM",Z147,VALUE($C148)*Z147))</f>
        <v/>
      </c>
      <c r="AB148" s="388"/>
      <c r="AC148" s="178" t="str">
        <f ca="1">IF($C148="","",IF($D148="LPSM",AB147,VALUE($C148)*AB147))</f>
        <v/>
      </c>
      <c r="AD148" s="388"/>
      <c r="AE148" s="178" t="str">
        <f ca="1">IF($C148="","",IF($D148="LPSM",AD147,VALUE($C148)*AD147))</f>
        <v/>
      </c>
      <c r="AF148" s="388"/>
      <c r="AG148" s="178" t="str">
        <f ca="1">IF($C148="","",IF($D148="LPSM",AF147,VALUE($C148)*AF147))</f>
        <v/>
      </c>
      <c r="AH148" s="388"/>
      <c r="AI148" s="178" t="str">
        <f ca="1">IF($C148="","",IF($D148="LPSM",AH147,VALUE($C148)*AH147))</f>
        <v/>
      </c>
      <c r="AJ148" s="388"/>
      <c r="AK148" s="178" t="str">
        <f ca="1">IF($C148="","",IF($D148="LPSM",AJ147,VALUE($C148)*AJ147))</f>
        <v/>
      </c>
      <c r="AL148" s="388"/>
      <c r="AM148" s="178" t="str">
        <f ca="1">IF($C148="","",IF($D148="LPSM",AL147,VALUE($C148)*AL147))</f>
        <v/>
      </c>
      <c r="AN148" s="388"/>
      <c r="AO148" s="178" t="str">
        <f ca="1">IF($C148="","",IF($D148="LPSM",AN147,VALUE($C148)*AN147))</f>
        <v/>
      </c>
      <c r="AP148" s="388"/>
      <c r="AQ148" s="178" t="str">
        <f ca="1">IF($C148="","",IF($D148="LPSM",AP147,VALUE($C148)*AP147))</f>
        <v/>
      </c>
      <c r="AR148" s="209" t="str">
        <f ca="1">IF(LEN(B148)&gt;0,ISNUMBER(MATCH(B148,Proposed[Item],0)),"")</f>
        <v/>
      </c>
    </row>
    <row r="149" spans="1:44" ht="15" x14ac:dyDescent="0.2">
      <c r="A149" s="276">
        <f t="shared" ca="1" si="2"/>
        <v>71</v>
      </c>
      <c r="B149" s="168" t="str">
        <f ca="1">IFERROR(INDEX(INDIRECT(RangeItems),MATCH($A149,INDIRECT(RangeCount),0)),"")</f>
        <v/>
      </c>
      <c r="C149" s="365" t="str">
        <f ca="1">INDEX(Calcs[Description],$A149)</f>
        <v/>
      </c>
      <c r="D149" s="365"/>
      <c r="E149" s="365"/>
      <c r="F149" s="365"/>
      <c r="G149" s="365"/>
      <c r="H149" s="388"/>
      <c r="I149" s="177"/>
      <c r="J149" s="388"/>
      <c r="K149" s="177"/>
      <c r="L149" s="388"/>
      <c r="M149" s="177"/>
      <c r="N149" s="388"/>
      <c r="O149" s="177"/>
      <c r="P149" s="388"/>
      <c r="Q149" s="177"/>
      <c r="R149" s="388"/>
      <c r="S149" s="177"/>
      <c r="T149" s="388"/>
      <c r="U149" s="177"/>
      <c r="V149" s="388"/>
      <c r="W149" s="177"/>
      <c r="X149" s="388"/>
      <c r="Y149" s="177"/>
      <c r="Z149" s="388"/>
      <c r="AA149" s="177"/>
      <c r="AB149" s="388"/>
      <c r="AC149" s="177"/>
      <c r="AD149" s="388"/>
      <c r="AE149" s="177"/>
      <c r="AF149" s="388"/>
      <c r="AG149" s="177"/>
      <c r="AH149" s="388"/>
      <c r="AI149" s="177"/>
      <c r="AJ149" s="388"/>
      <c r="AK149" s="177"/>
      <c r="AL149" s="388"/>
      <c r="AM149" s="177"/>
      <c r="AN149" s="388"/>
      <c r="AO149" s="177"/>
      <c r="AP149" s="388"/>
      <c r="AQ149" s="177"/>
      <c r="AR149" s="209" t="str">
        <f ca="1">IF(LEN(B149)&gt;0,ISNUMBER(MATCH(B149,Proposed[Item],0)),"")</f>
        <v/>
      </c>
    </row>
    <row r="150" spans="1:44" ht="15" x14ac:dyDescent="0.2">
      <c r="A150" s="276">
        <f t="shared" ca="1" si="2"/>
        <v>71</v>
      </c>
      <c r="B150" s="111" t="str">
        <f ca="1">IF($A150&lt;=NumPayItems,"Line "&amp;INDEX(Calcs[Line],$A150),"")</f>
        <v/>
      </c>
      <c r="C150" s="169" t="str">
        <f ca="1">IFERROR(IF($D150="LPSM","ALL",TEXT(INDEX(INDIRECT(RangeQuantity),MATCH($A150,INDIRECT(RangeCount),0)),"#,##0"&amp;IF(OFFSET(Items[],MATCH($A150,INDIRECT(RangeCount),0)-1,MATCH(Decimals,Items[#Headers],0)-1,1,1)&gt;0,"."&amp;REPT("0",OFFSET(Items[],MATCH($A150,INDIRECT(RangeCount),0)-1,MATCH(Decimals,Items[#Headers],0)-1,1,1)),""))),"")</f>
        <v/>
      </c>
      <c r="D150" s="170" t="str">
        <f ca="1">IFERROR(INDEX(INDIRECT(RangeUnit),MATCH($A150,INDIRECT(RangeCount),0)),"")</f>
        <v/>
      </c>
      <c r="E150" s="170" t="str">
        <f ca="1">IFERROR(IF(INDEX(INDIRECT(RangeContrQty),MATCH($A150,INDIRECT(RangeCount),0)),"(CQ)",""),"")</f>
        <v/>
      </c>
      <c r="F150" s="171" t="str">
        <f ca="1">IFERROR(INDEX(INDIRECT(RangeUnitPrice),MATCH($A150,INDIRECT(RangeCount),0)),"")</f>
        <v/>
      </c>
      <c r="G150" s="171" t="str">
        <f ca="1">IFERROR(VALUE(C150)*F150,F150)</f>
        <v/>
      </c>
      <c r="H150" s="388"/>
      <c r="I150" s="178" t="str">
        <f ca="1">IF($C150="","",IF($D150="LPSM",H149,VALUE($C150)*H149))</f>
        <v/>
      </c>
      <c r="J150" s="388"/>
      <c r="K150" s="178" t="str">
        <f ca="1">IF($C150="","",IF($D150="LPSM",J149,VALUE($C150)*J149))</f>
        <v/>
      </c>
      <c r="L150" s="388"/>
      <c r="M150" s="178" t="str">
        <f ca="1">IF($C150="","",IF($D150="LPSM",L149,VALUE($C150)*L149))</f>
        <v/>
      </c>
      <c r="N150" s="388"/>
      <c r="O150" s="178" t="str">
        <f ca="1">IF($C150="","",IF($D150="LPSM",N149,VALUE($C150)*N149))</f>
        <v/>
      </c>
      <c r="P150" s="388"/>
      <c r="Q150" s="178" t="str">
        <f ca="1">IF($C150="","",IF($D150="LPSM",P149,VALUE($C150)*P149))</f>
        <v/>
      </c>
      <c r="R150" s="388"/>
      <c r="S150" s="178" t="str">
        <f ca="1">IF($C150="","",IF($D150="LPSM",R149,VALUE($C150)*R149))</f>
        <v/>
      </c>
      <c r="T150" s="388"/>
      <c r="U150" s="178" t="str">
        <f ca="1">IF($C150="","",IF($D150="LPSM",T149,VALUE($C150)*T149))</f>
        <v/>
      </c>
      <c r="V150" s="388"/>
      <c r="W150" s="178" t="str">
        <f ca="1">IF($C150="","",IF($D150="LPSM",V149,VALUE($C150)*V149))</f>
        <v/>
      </c>
      <c r="X150" s="388"/>
      <c r="Y150" s="178" t="str">
        <f ca="1">IF($C150="","",IF($D150="LPSM",X149,VALUE($C150)*X149))</f>
        <v/>
      </c>
      <c r="Z150" s="388"/>
      <c r="AA150" s="178" t="str">
        <f ca="1">IF($C150="","",IF($D150="LPSM",Z149,VALUE($C150)*Z149))</f>
        <v/>
      </c>
      <c r="AB150" s="388"/>
      <c r="AC150" s="178" t="str">
        <f ca="1">IF($C150="","",IF($D150="LPSM",AB149,VALUE($C150)*AB149))</f>
        <v/>
      </c>
      <c r="AD150" s="388"/>
      <c r="AE150" s="178" t="str">
        <f ca="1">IF($C150="","",IF($D150="LPSM",AD149,VALUE($C150)*AD149))</f>
        <v/>
      </c>
      <c r="AF150" s="388"/>
      <c r="AG150" s="178" t="str">
        <f ca="1">IF($C150="","",IF($D150="LPSM",AF149,VALUE($C150)*AF149))</f>
        <v/>
      </c>
      <c r="AH150" s="388"/>
      <c r="AI150" s="178" t="str">
        <f ca="1">IF($C150="","",IF($D150="LPSM",AH149,VALUE($C150)*AH149))</f>
        <v/>
      </c>
      <c r="AJ150" s="388"/>
      <c r="AK150" s="178" t="str">
        <f ca="1">IF($C150="","",IF($D150="LPSM",AJ149,VALUE($C150)*AJ149))</f>
        <v/>
      </c>
      <c r="AL150" s="388"/>
      <c r="AM150" s="178" t="str">
        <f ca="1">IF($C150="","",IF($D150="LPSM",AL149,VALUE($C150)*AL149))</f>
        <v/>
      </c>
      <c r="AN150" s="388"/>
      <c r="AO150" s="178" t="str">
        <f ca="1">IF($C150="","",IF($D150="LPSM",AN149,VALUE($C150)*AN149))</f>
        <v/>
      </c>
      <c r="AP150" s="388"/>
      <c r="AQ150" s="178" t="str">
        <f ca="1">IF($C150="","",IF($D150="LPSM",AP149,VALUE($C150)*AP149))</f>
        <v/>
      </c>
      <c r="AR150" s="209" t="str">
        <f ca="1">IF(LEN(B150)&gt;0,ISNUMBER(MATCH(B150,Proposed[Item],0)),"")</f>
        <v/>
      </c>
    </row>
    <row r="151" spans="1:44" ht="15" x14ac:dyDescent="0.2">
      <c r="A151" s="276">
        <f t="shared" ca="1" si="2"/>
        <v>72</v>
      </c>
      <c r="B151" s="168" t="str">
        <f ca="1">IFERROR(INDEX(INDIRECT(RangeItems),MATCH($A151,INDIRECT(RangeCount),0)),"")</f>
        <v/>
      </c>
      <c r="C151" s="365" t="str">
        <f ca="1">INDEX(Calcs[Description],$A151)</f>
        <v/>
      </c>
      <c r="D151" s="365"/>
      <c r="E151" s="365"/>
      <c r="F151" s="365"/>
      <c r="G151" s="365"/>
      <c r="H151" s="388"/>
      <c r="I151" s="177"/>
      <c r="J151" s="388"/>
      <c r="K151" s="177"/>
      <c r="L151" s="388"/>
      <c r="M151" s="177"/>
      <c r="N151" s="388"/>
      <c r="O151" s="177"/>
      <c r="P151" s="388"/>
      <c r="Q151" s="177"/>
      <c r="R151" s="388"/>
      <c r="S151" s="177"/>
      <c r="T151" s="388"/>
      <c r="U151" s="177"/>
      <c r="V151" s="388"/>
      <c r="W151" s="177"/>
      <c r="X151" s="388"/>
      <c r="Y151" s="177"/>
      <c r="Z151" s="388"/>
      <c r="AA151" s="177"/>
      <c r="AB151" s="388"/>
      <c r="AC151" s="177"/>
      <c r="AD151" s="388"/>
      <c r="AE151" s="177"/>
      <c r="AF151" s="388"/>
      <c r="AG151" s="177"/>
      <c r="AH151" s="388"/>
      <c r="AI151" s="177"/>
      <c r="AJ151" s="388"/>
      <c r="AK151" s="177"/>
      <c r="AL151" s="388"/>
      <c r="AM151" s="177"/>
      <c r="AN151" s="388"/>
      <c r="AO151" s="177"/>
      <c r="AP151" s="388"/>
      <c r="AQ151" s="177"/>
      <c r="AR151" s="209" t="str">
        <f ca="1">IF(LEN(B151)&gt;0,ISNUMBER(MATCH(B151,Proposed[Item],0)),"")</f>
        <v/>
      </c>
    </row>
    <row r="152" spans="1:44" ht="15" x14ac:dyDescent="0.2">
      <c r="A152" s="276">
        <f t="shared" ca="1" si="2"/>
        <v>72</v>
      </c>
      <c r="B152" s="111" t="str">
        <f ca="1">IF($A152&lt;=NumPayItems,"Line "&amp;INDEX(Calcs[Line],$A152),"")</f>
        <v/>
      </c>
      <c r="C152" s="169" t="str">
        <f ca="1">IFERROR(IF($D152="LPSM","ALL",TEXT(INDEX(INDIRECT(RangeQuantity),MATCH($A152,INDIRECT(RangeCount),0)),"#,##0"&amp;IF(OFFSET(Items[],MATCH($A152,INDIRECT(RangeCount),0)-1,MATCH(Decimals,Items[#Headers],0)-1,1,1)&gt;0,"."&amp;REPT("0",OFFSET(Items[],MATCH($A152,INDIRECT(RangeCount),0)-1,MATCH(Decimals,Items[#Headers],0)-1,1,1)),""))),"")</f>
        <v/>
      </c>
      <c r="D152" s="170" t="str">
        <f ca="1">IFERROR(INDEX(INDIRECT(RangeUnit),MATCH($A152,INDIRECT(RangeCount),0)),"")</f>
        <v/>
      </c>
      <c r="E152" s="170" t="str">
        <f ca="1">IFERROR(IF(INDEX(INDIRECT(RangeContrQty),MATCH($A152,INDIRECT(RangeCount),0)),"(CQ)",""),"")</f>
        <v/>
      </c>
      <c r="F152" s="171" t="str">
        <f ca="1">IFERROR(INDEX(INDIRECT(RangeUnitPrice),MATCH($A152,INDIRECT(RangeCount),0)),"")</f>
        <v/>
      </c>
      <c r="G152" s="171" t="str">
        <f ca="1">IFERROR(VALUE(C152)*F152,F152)</f>
        <v/>
      </c>
      <c r="H152" s="388"/>
      <c r="I152" s="178" t="str">
        <f ca="1">IF($C152="","",IF($D152="LPSM",H151,VALUE($C152)*H151))</f>
        <v/>
      </c>
      <c r="J152" s="388"/>
      <c r="K152" s="178" t="str">
        <f ca="1">IF($C152="","",IF($D152="LPSM",J151,VALUE($C152)*J151))</f>
        <v/>
      </c>
      <c r="L152" s="388"/>
      <c r="M152" s="178" t="str">
        <f ca="1">IF($C152="","",IF($D152="LPSM",L151,VALUE($C152)*L151))</f>
        <v/>
      </c>
      <c r="N152" s="388"/>
      <c r="O152" s="178" t="str">
        <f ca="1">IF($C152="","",IF($D152="LPSM",N151,VALUE($C152)*N151))</f>
        <v/>
      </c>
      <c r="P152" s="388"/>
      <c r="Q152" s="178" t="str">
        <f ca="1">IF($C152="","",IF($D152="LPSM",P151,VALUE($C152)*P151))</f>
        <v/>
      </c>
      <c r="R152" s="388"/>
      <c r="S152" s="178" t="str">
        <f ca="1">IF($C152="","",IF($D152="LPSM",R151,VALUE($C152)*R151))</f>
        <v/>
      </c>
      <c r="T152" s="388"/>
      <c r="U152" s="178" t="str">
        <f ca="1">IF($C152="","",IF($D152="LPSM",T151,VALUE($C152)*T151))</f>
        <v/>
      </c>
      <c r="V152" s="388"/>
      <c r="W152" s="178" t="str">
        <f ca="1">IF($C152="","",IF($D152="LPSM",V151,VALUE($C152)*V151))</f>
        <v/>
      </c>
      <c r="X152" s="388"/>
      <c r="Y152" s="178" t="str">
        <f ca="1">IF($C152="","",IF($D152="LPSM",X151,VALUE($C152)*X151))</f>
        <v/>
      </c>
      <c r="Z152" s="388"/>
      <c r="AA152" s="178" t="str">
        <f ca="1">IF($C152="","",IF($D152="LPSM",Z151,VALUE($C152)*Z151))</f>
        <v/>
      </c>
      <c r="AB152" s="388"/>
      <c r="AC152" s="178" t="str">
        <f ca="1">IF($C152="","",IF($D152="LPSM",AB151,VALUE($C152)*AB151))</f>
        <v/>
      </c>
      <c r="AD152" s="388"/>
      <c r="AE152" s="178" t="str">
        <f ca="1">IF($C152="","",IF($D152="LPSM",AD151,VALUE($C152)*AD151))</f>
        <v/>
      </c>
      <c r="AF152" s="388"/>
      <c r="AG152" s="178" t="str">
        <f ca="1">IF($C152="","",IF($D152="LPSM",AF151,VALUE($C152)*AF151))</f>
        <v/>
      </c>
      <c r="AH152" s="388"/>
      <c r="AI152" s="178" t="str">
        <f ca="1">IF($C152="","",IF($D152="LPSM",AH151,VALUE($C152)*AH151))</f>
        <v/>
      </c>
      <c r="AJ152" s="388"/>
      <c r="AK152" s="178" t="str">
        <f ca="1">IF($C152="","",IF($D152="LPSM",AJ151,VALUE($C152)*AJ151))</f>
        <v/>
      </c>
      <c r="AL152" s="388"/>
      <c r="AM152" s="178" t="str">
        <f ca="1">IF($C152="","",IF($D152="LPSM",AL151,VALUE($C152)*AL151))</f>
        <v/>
      </c>
      <c r="AN152" s="388"/>
      <c r="AO152" s="178" t="str">
        <f ca="1">IF($C152="","",IF($D152="LPSM",AN151,VALUE($C152)*AN151))</f>
        <v/>
      </c>
      <c r="AP152" s="388"/>
      <c r="AQ152" s="178" t="str">
        <f ca="1">IF($C152="","",IF($D152="LPSM",AP151,VALUE($C152)*AP151))</f>
        <v/>
      </c>
      <c r="AR152" s="209" t="str">
        <f ca="1">IF(LEN(B152)&gt;0,ISNUMBER(MATCH(B152,Proposed[Item],0)),"")</f>
        <v/>
      </c>
    </row>
    <row r="153" spans="1:44" ht="15" x14ac:dyDescent="0.2">
      <c r="A153" s="276">
        <f t="shared" ca="1" si="2"/>
        <v>73</v>
      </c>
      <c r="B153" s="168" t="str">
        <f ca="1">IFERROR(INDEX(INDIRECT(RangeItems),MATCH($A153,INDIRECT(RangeCount),0)),"")</f>
        <v/>
      </c>
      <c r="C153" s="365" t="str">
        <f ca="1">INDEX(Calcs[Description],$A153)</f>
        <v/>
      </c>
      <c r="D153" s="365"/>
      <c r="E153" s="365"/>
      <c r="F153" s="365"/>
      <c r="G153" s="365"/>
      <c r="H153" s="388"/>
      <c r="I153" s="177"/>
      <c r="J153" s="388"/>
      <c r="K153" s="177"/>
      <c r="L153" s="388"/>
      <c r="M153" s="177"/>
      <c r="N153" s="388"/>
      <c r="O153" s="177"/>
      <c r="P153" s="388"/>
      <c r="Q153" s="177"/>
      <c r="R153" s="388"/>
      <c r="S153" s="177"/>
      <c r="T153" s="388"/>
      <c r="U153" s="177"/>
      <c r="V153" s="388"/>
      <c r="W153" s="177"/>
      <c r="X153" s="388"/>
      <c r="Y153" s="177"/>
      <c r="Z153" s="388"/>
      <c r="AA153" s="177"/>
      <c r="AB153" s="388"/>
      <c r="AC153" s="177"/>
      <c r="AD153" s="388"/>
      <c r="AE153" s="177"/>
      <c r="AF153" s="388"/>
      <c r="AG153" s="177"/>
      <c r="AH153" s="388"/>
      <c r="AI153" s="177"/>
      <c r="AJ153" s="388"/>
      <c r="AK153" s="177"/>
      <c r="AL153" s="388"/>
      <c r="AM153" s="177"/>
      <c r="AN153" s="388"/>
      <c r="AO153" s="177"/>
      <c r="AP153" s="388"/>
      <c r="AQ153" s="177"/>
      <c r="AR153" s="209" t="str">
        <f ca="1">IF(LEN(B153)&gt;0,ISNUMBER(MATCH(B153,Proposed[Item],0)),"")</f>
        <v/>
      </c>
    </row>
    <row r="154" spans="1:44" ht="15" x14ac:dyDescent="0.2">
      <c r="A154" s="276">
        <f t="shared" ca="1" si="2"/>
        <v>73</v>
      </c>
      <c r="B154" s="111" t="str">
        <f ca="1">IF($A154&lt;=NumPayItems,"Line "&amp;INDEX(Calcs[Line],$A154),"")</f>
        <v/>
      </c>
      <c r="C154" s="169" t="str">
        <f ca="1">IFERROR(IF($D154="LPSM","ALL",TEXT(INDEX(INDIRECT(RangeQuantity),MATCH($A154,INDIRECT(RangeCount),0)),"#,##0"&amp;IF(OFFSET(Items[],MATCH($A154,INDIRECT(RangeCount),0)-1,MATCH(Decimals,Items[#Headers],0)-1,1,1)&gt;0,"."&amp;REPT("0",OFFSET(Items[],MATCH($A154,INDIRECT(RangeCount),0)-1,MATCH(Decimals,Items[#Headers],0)-1,1,1)),""))),"")</f>
        <v/>
      </c>
      <c r="D154" s="170" t="str">
        <f ca="1">IFERROR(INDEX(INDIRECT(RangeUnit),MATCH($A154,INDIRECT(RangeCount),0)),"")</f>
        <v/>
      </c>
      <c r="E154" s="170" t="str">
        <f ca="1">IFERROR(IF(INDEX(INDIRECT(RangeContrQty),MATCH($A154,INDIRECT(RangeCount),0)),"(CQ)",""),"")</f>
        <v/>
      </c>
      <c r="F154" s="171" t="str">
        <f ca="1">IFERROR(INDEX(INDIRECT(RangeUnitPrice),MATCH($A154,INDIRECT(RangeCount),0)),"")</f>
        <v/>
      </c>
      <c r="G154" s="171" t="str">
        <f ca="1">IFERROR(VALUE(C154)*F154,F154)</f>
        <v/>
      </c>
      <c r="H154" s="388"/>
      <c r="I154" s="178" t="str">
        <f ca="1">IF($C154="","",IF($D154="LPSM",H153,VALUE($C154)*H153))</f>
        <v/>
      </c>
      <c r="J154" s="388"/>
      <c r="K154" s="178" t="str">
        <f ca="1">IF($C154="","",IF($D154="LPSM",J153,VALUE($C154)*J153))</f>
        <v/>
      </c>
      <c r="L154" s="388"/>
      <c r="M154" s="178" t="str">
        <f ca="1">IF($C154="","",IF($D154="LPSM",L153,VALUE($C154)*L153))</f>
        <v/>
      </c>
      <c r="N154" s="388"/>
      <c r="O154" s="178" t="str">
        <f ca="1">IF($C154="","",IF($D154="LPSM",N153,VALUE($C154)*N153))</f>
        <v/>
      </c>
      <c r="P154" s="388"/>
      <c r="Q154" s="178" t="str">
        <f ca="1">IF($C154="","",IF($D154="LPSM",P153,VALUE($C154)*P153))</f>
        <v/>
      </c>
      <c r="R154" s="388"/>
      <c r="S154" s="178" t="str">
        <f ca="1">IF($C154="","",IF($D154="LPSM",R153,VALUE($C154)*R153))</f>
        <v/>
      </c>
      <c r="T154" s="388"/>
      <c r="U154" s="178" t="str">
        <f ca="1">IF($C154="","",IF($D154="LPSM",T153,VALUE($C154)*T153))</f>
        <v/>
      </c>
      <c r="V154" s="388"/>
      <c r="W154" s="178" t="str">
        <f ca="1">IF($C154="","",IF($D154="LPSM",V153,VALUE($C154)*V153))</f>
        <v/>
      </c>
      <c r="X154" s="388"/>
      <c r="Y154" s="178" t="str">
        <f ca="1">IF($C154="","",IF($D154="LPSM",X153,VALUE($C154)*X153))</f>
        <v/>
      </c>
      <c r="Z154" s="388"/>
      <c r="AA154" s="178" t="str">
        <f ca="1">IF($C154="","",IF($D154="LPSM",Z153,VALUE($C154)*Z153))</f>
        <v/>
      </c>
      <c r="AB154" s="388"/>
      <c r="AC154" s="178" t="str">
        <f ca="1">IF($C154="","",IF($D154="LPSM",AB153,VALUE($C154)*AB153))</f>
        <v/>
      </c>
      <c r="AD154" s="388"/>
      <c r="AE154" s="178" t="str">
        <f ca="1">IF($C154="","",IF($D154="LPSM",AD153,VALUE($C154)*AD153))</f>
        <v/>
      </c>
      <c r="AF154" s="388"/>
      <c r="AG154" s="178" t="str">
        <f ca="1">IF($C154="","",IF($D154="LPSM",AF153,VALUE($C154)*AF153))</f>
        <v/>
      </c>
      <c r="AH154" s="388"/>
      <c r="AI154" s="178" t="str">
        <f ca="1">IF($C154="","",IF($D154="LPSM",AH153,VALUE($C154)*AH153))</f>
        <v/>
      </c>
      <c r="AJ154" s="388"/>
      <c r="AK154" s="178" t="str">
        <f ca="1">IF($C154="","",IF($D154="LPSM",AJ153,VALUE($C154)*AJ153))</f>
        <v/>
      </c>
      <c r="AL154" s="388"/>
      <c r="AM154" s="178" t="str">
        <f ca="1">IF($C154="","",IF($D154="LPSM",AL153,VALUE($C154)*AL153))</f>
        <v/>
      </c>
      <c r="AN154" s="388"/>
      <c r="AO154" s="178" t="str">
        <f ca="1">IF($C154="","",IF($D154="LPSM",AN153,VALUE($C154)*AN153))</f>
        <v/>
      </c>
      <c r="AP154" s="388"/>
      <c r="AQ154" s="178" t="str">
        <f ca="1">IF($C154="","",IF($D154="LPSM",AP153,VALUE($C154)*AP153))</f>
        <v/>
      </c>
      <c r="AR154" s="209" t="str">
        <f ca="1">IF(LEN(B154)&gt;0,ISNUMBER(MATCH(B154,Proposed[Item],0)),"")</f>
        <v/>
      </c>
    </row>
    <row r="155" spans="1:44" ht="15" x14ac:dyDescent="0.2">
      <c r="A155" s="276">
        <f t="shared" ca="1" si="2"/>
        <v>74</v>
      </c>
      <c r="B155" s="168" t="str">
        <f ca="1">IFERROR(INDEX(INDIRECT(RangeItems),MATCH($A155,INDIRECT(RangeCount),0)),"")</f>
        <v/>
      </c>
      <c r="C155" s="365" t="str">
        <f ca="1">INDEX(Calcs[Description],$A155)</f>
        <v/>
      </c>
      <c r="D155" s="365"/>
      <c r="E155" s="365"/>
      <c r="F155" s="365"/>
      <c r="G155" s="365"/>
      <c r="H155" s="388"/>
      <c r="I155" s="177"/>
      <c r="J155" s="388"/>
      <c r="K155" s="177"/>
      <c r="L155" s="388"/>
      <c r="M155" s="177"/>
      <c r="N155" s="388"/>
      <c r="O155" s="177"/>
      <c r="P155" s="388"/>
      <c r="Q155" s="177"/>
      <c r="R155" s="388"/>
      <c r="S155" s="177"/>
      <c r="T155" s="388"/>
      <c r="U155" s="177"/>
      <c r="V155" s="388"/>
      <c r="W155" s="177"/>
      <c r="X155" s="388"/>
      <c r="Y155" s="177"/>
      <c r="Z155" s="388"/>
      <c r="AA155" s="177"/>
      <c r="AB155" s="388"/>
      <c r="AC155" s="177"/>
      <c r="AD155" s="388"/>
      <c r="AE155" s="177"/>
      <c r="AF155" s="388"/>
      <c r="AG155" s="177"/>
      <c r="AH155" s="388"/>
      <c r="AI155" s="177"/>
      <c r="AJ155" s="388"/>
      <c r="AK155" s="177"/>
      <c r="AL155" s="388"/>
      <c r="AM155" s="177"/>
      <c r="AN155" s="388"/>
      <c r="AO155" s="177"/>
      <c r="AP155" s="388"/>
      <c r="AQ155" s="177"/>
      <c r="AR155" s="209" t="str">
        <f ca="1">IF(LEN(B155)&gt;0,ISNUMBER(MATCH(B155,Proposed[Item],0)),"")</f>
        <v/>
      </c>
    </row>
    <row r="156" spans="1:44" ht="15" x14ac:dyDescent="0.2">
      <c r="A156" s="276">
        <f t="shared" ca="1" si="2"/>
        <v>74</v>
      </c>
      <c r="B156" s="111" t="str">
        <f ca="1">IF($A156&lt;=NumPayItems,"Line "&amp;INDEX(Calcs[Line],$A156),"")</f>
        <v/>
      </c>
      <c r="C156" s="169" t="str">
        <f ca="1">IFERROR(IF($D156="LPSM","ALL",TEXT(INDEX(INDIRECT(RangeQuantity),MATCH($A156,INDIRECT(RangeCount),0)),"#,##0"&amp;IF(OFFSET(Items[],MATCH($A156,INDIRECT(RangeCount),0)-1,MATCH(Decimals,Items[#Headers],0)-1,1,1)&gt;0,"."&amp;REPT("0",OFFSET(Items[],MATCH($A156,INDIRECT(RangeCount),0)-1,MATCH(Decimals,Items[#Headers],0)-1,1,1)),""))),"")</f>
        <v/>
      </c>
      <c r="D156" s="170" t="str">
        <f ca="1">IFERROR(INDEX(INDIRECT(RangeUnit),MATCH($A156,INDIRECT(RangeCount),0)),"")</f>
        <v/>
      </c>
      <c r="E156" s="170" t="str">
        <f ca="1">IFERROR(IF(INDEX(INDIRECT(RangeContrQty),MATCH($A156,INDIRECT(RangeCount),0)),"(CQ)",""),"")</f>
        <v/>
      </c>
      <c r="F156" s="171" t="str">
        <f ca="1">IFERROR(INDEX(INDIRECT(RangeUnitPrice),MATCH($A156,INDIRECT(RangeCount),0)),"")</f>
        <v/>
      </c>
      <c r="G156" s="171" t="str">
        <f ca="1">IFERROR(VALUE(C156)*F156,F156)</f>
        <v/>
      </c>
      <c r="H156" s="388"/>
      <c r="I156" s="178" t="str">
        <f ca="1">IF($C156="","",IF($D156="LPSM",H155,VALUE($C156)*H155))</f>
        <v/>
      </c>
      <c r="J156" s="388"/>
      <c r="K156" s="178" t="str">
        <f ca="1">IF($C156="","",IF($D156="LPSM",J155,VALUE($C156)*J155))</f>
        <v/>
      </c>
      <c r="L156" s="388"/>
      <c r="M156" s="178" t="str">
        <f ca="1">IF($C156="","",IF($D156="LPSM",L155,VALUE($C156)*L155))</f>
        <v/>
      </c>
      <c r="N156" s="388"/>
      <c r="O156" s="178" t="str">
        <f ca="1">IF($C156="","",IF($D156="LPSM",N155,VALUE($C156)*N155))</f>
        <v/>
      </c>
      <c r="P156" s="388"/>
      <c r="Q156" s="178" t="str">
        <f ca="1">IF($C156="","",IF($D156="LPSM",P155,VALUE($C156)*P155))</f>
        <v/>
      </c>
      <c r="R156" s="388"/>
      <c r="S156" s="178" t="str">
        <f ca="1">IF($C156="","",IF($D156="LPSM",R155,VALUE($C156)*R155))</f>
        <v/>
      </c>
      <c r="T156" s="388"/>
      <c r="U156" s="178" t="str">
        <f ca="1">IF($C156="","",IF($D156="LPSM",T155,VALUE($C156)*T155))</f>
        <v/>
      </c>
      <c r="V156" s="388"/>
      <c r="W156" s="178" t="str">
        <f ca="1">IF($C156="","",IF($D156="LPSM",V155,VALUE($C156)*V155))</f>
        <v/>
      </c>
      <c r="X156" s="388"/>
      <c r="Y156" s="178" t="str">
        <f ca="1">IF($C156="","",IF($D156="LPSM",X155,VALUE($C156)*X155))</f>
        <v/>
      </c>
      <c r="Z156" s="388"/>
      <c r="AA156" s="178" t="str">
        <f ca="1">IF($C156="","",IF($D156="LPSM",Z155,VALUE($C156)*Z155))</f>
        <v/>
      </c>
      <c r="AB156" s="388"/>
      <c r="AC156" s="178" t="str">
        <f ca="1">IF($C156="","",IF($D156="LPSM",AB155,VALUE($C156)*AB155))</f>
        <v/>
      </c>
      <c r="AD156" s="388"/>
      <c r="AE156" s="178" t="str">
        <f ca="1">IF($C156="","",IF($D156="LPSM",AD155,VALUE($C156)*AD155))</f>
        <v/>
      </c>
      <c r="AF156" s="388"/>
      <c r="AG156" s="178" t="str">
        <f ca="1">IF($C156="","",IF($D156="LPSM",AF155,VALUE($C156)*AF155))</f>
        <v/>
      </c>
      <c r="AH156" s="388"/>
      <c r="AI156" s="178" t="str">
        <f ca="1">IF($C156="","",IF($D156="LPSM",AH155,VALUE($C156)*AH155))</f>
        <v/>
      </c>
      <c r="AJ156" s="388"/>
      <c r="AK156" s="178" t="str">
        <f ca="1">IF($C156="","",IF($D156="LPSM",AJ155,VALUE($C156)*AJ155))</f>
        <v/>
      </c>
      <c r="AL156" s="388"/>
      <c r="AM156" s="178" t="str">
        <f ca="1">IF($C156="","",IF($D156="LPSM",AL155,VALUE($C156)*AL155))</f>
        <v/>
      </c>
      <c r="AN156" s="388"/>
      <c r="AO156" s="178" t="str">
        <f ca="1">IF($C156="","",IF($D156="LPSM",AN155,VALUE($C156)*AN155))</f>
        <v/>
      </c>
      <c r="AP156" s="388"/>
      <c r="AQ156" s="178" t="str">
        <f ca="1">IF($C156="","",IF($D156="LPSM",AP155,VALUE($C156)*AP155))</f>
        <v/>
      </c>
      <c r="AR156" s="209" t="str">
        <f ca="1">IF(LEN(B156)&gt;0,ISNUMBER(MATCH(B156,Proposed[Item],0)),"")</f>
        <v/>
      </c>
    </row>
    <row r="157" spans="1:44" ht="15" x14ac:dyDescent="0.2">
      <c r="A157" s="276">
        <f t="shared" ca="1" si="2"/>
        <v>75</v>
      </c>
      <c r="B157" s="168" t="str">
        <f ca="1">IFERROR(INDEX(INDIRECT(RangeItems),MATCH($A157,INDIRECT(RangeCount),0)),"")</f>
        <v/>
      </c>
      <c r="C157" s="365" t="str">
        <f ca="1">INDEX(Calcs[Description],$A157)</f>
        <v/>
      </c>
      <c r="D157" s="365"/>
      <c r="E157" s="365"/>
      <c r="F157" s="365"/>
      <c r="G157" s="365"/>
      <c r="H157" s="388"/>
      <c r="I157" s="177"/>
      <c r="J157" s="388"/>
      <c r="K157" s="177"/>
      <c r="L157" s="388"/>
      <c r="M157" s="177"/>
      <c r="N157" s="388"/>
      <c r="O157" s="177"/>
      <c r="P157" s="388"/>
      <c r="Q157" s="177"/>
      <c r="R157" s="388"/>
      <c r="S157" s="177"/>
      <c r="T157" s="388"/>
      <c r="U157" s="177"/>
      <c r="V157" s="388"/>
      <c r="W157" s="177"/>
      <c r="X157" s="388"/>
      <c r="Y157" s="177"/>
      <c r="Z157" s="388"/>
      <c r="AA157" s="177"/>
      <c r="AB157" s="388"/>
      <c r="AC157" s="177"/>
      <c r="AD157" s="388"/>
      <c r="AE157" s="177"/>
      <c r="AF157" s="388"/>
      <c r="AG157" s="177"/>
      <c r="AH157" s="388"/>
      <c r="AI157" s="177"/>
      <c r="AJ157" s="388"/>
      <c r="AK157" s="177"/>
      <c r="AL157" s="388"/>
      <c r="AM157" s="177"/>
      <c r="AN157" s="388"/>
      <c r="AO157" s="177"/>
      <c r="AP157" s="388"/>
      <c r="AQ157" s="177"/>
      <c r="AR157" s="209" t="str">
        <f ca="1">IF(LEN(B157)&gt;0,ISNUMBER(MATCH(B157,Proposed[Item],0)),"")</f>
        <v/>
      </c>
    </row>
    <row r="158" spans="1:44" ht="15" x14ac:dyDescent="0.2">
      <c r="A158" s="276">
        <f t="shared" ca="1" si="2"/>
        <v>75</v>
      </c>
      <c r="B158" s="111" t="str">
        <f ca="1">IF($A158&lt;=NumPayItems,"Line "&amp;INDEX(Calcs[Line],$A158),"")</f>
        <v/>
      </c>
      <c r="C158" s="169" t="str">
        <f ca="1">IFERROR(IF($D158="LPSM","ALL",TEXT(INDEX(INDIRECT(RangeQuantity),MATCH($A158,INDIRECT(RangeCount),0)),"#,##0"&amp;IF(OFFSET(Items[],MATCH($A158,INDIRECT(RangeCount),0)-1,MATCH(Decimals,Items[#Headers],0)-1,1,1)&gt;0,"."&amp;REPT("0",OFFSET(Items[],MATCH($A158,INDIRECT(RangeCount),0)-1,MATCH(Decimals,Items[#Headers],0)-1,1,1)),""))),"")</f>
        <v/>
      </c>
      <c r="D158" s="170" t="str">
        <f ca="1">IFERROR(INDEX(INDIRECT(RangeUnit),MATCH($A158,INDIRECT(RangeCount),0)),"")</f>
        <v/>
      </c>
      <c r="E158" s="170" t="str">
        <f ca="1">IFERROR(IF(INDEX(INDIRECT(RangeContrQty),MATCH($A158,INDIRECT(RangeCount),0)),"(CQ)",""),"")</f>
        <v/>
      </c>
      <c r="F158" s="171" t="str">
        <f ca="1">IFERROR(INDEX(INDIRECT(RangeUnitPrice),MATCH($A158,INDIRECT(RangeCount),0)),"")</f>
        <v/>
      </c>
      <c r="G158" s="171" t="str">
        <f ca="1">IFERROR(VALUE(C158)*F158,F158)</f>
        <v/>
      </c>
      <c r="H158" s="388"/>
      <c r="I158" s="178" t="str">
        <f ca="1">IF($C158="","",IF($D158="LPSM",H157,VALUE($C158)*H157))</f>
        <v/>
      </c>
      <c r="J158" s="388"/>
      <c r="K158" s="178" t="str">
        <f ca="1">IF($C158="","",IF($D158="LPSM",J157,VALUE($C158)*J157))</f>
        <v/>
      </c>
      <c r="L158" s="388"/>
      <c r="M158" s="178" t="str">
        <f ca="1">IF($C158="","",IF($D158="LPSM",L157,VALUE($C158)*L157))</f>
        <v/>
      </c>
      <c r="N158" s="388"/>
      <c r="O158" s="178" t="str">
        <f ca="1">IF($C158="","",IF($D158="LPSM",N157,VALUE($C158)*N157))</f>
        <v/>
      </c>
      <c r="P158" s="388"/>
      <c r="Q158" s="178" t="str">
        <f ca="1">IF($C158="","",IF($D158="LPSM",P157,VALUE($C158)*P157))</f>
        <v/>
      </c>
      <c r="R158" s="388"/>
      <c r="S158" s="178" t="str">
        <f ca="1">IF($C158="","",IF($D158="LPSM",R157,VALUE($C158)*R157))</f>
        <v/>
      </c>
      <c r="T158" s="388"/>
      <c r="U158" s="178" t="str">
        <f ca="1">IF($C158="","",IF($D158="LPSM",T157,VALUE($C158)*T157))</f>
        <v/>
      </c>
      <c r="V158" s="388"/>
      <c r="W158" s="178" t="str">
        <f ca="1">IF($C158="","",IF($D158="LPSM",V157,VALUE($C158)*V157))</f>
        <v/>
      </c>
      <c r="X158" s="388"/>
      <c r="Y158" s="178" t="str">
        <f ca="1">IF($C158="","",IF($D158="LPSM",X157,VALUE($C158)*X157))</f>
        <v/>
      </c>
      <c r="Z158" s="388"/>
      <c r="AA158" s="178" t="str">
        <f ca="1">IF($C158="","",IF($D158="LPSM",Z157,VALUE($C158)*Z157))</f>
        <v/>
      </c>
      <c r="AB158" s="388"/>
      <c r="AC158" s="178" t="str">
        <f ca="1">IF($C158="","",IF($D158="LPSM",AB157,VALUE($C158)*AB157))</f>
        <v/>
      </c>
      <c r="AD158" s="388"/>
      <c r="AE158" s="178" t="str">
        <f ca="1">IF($C158="","",IF($D158="LPSM",AD157,VALUE($C158)*AD157))</f>
        <v/>
      </c>
      <c r="AF158" s="388"/>
      <c r="AG158" s="178" t="str">
        <f ca="1">IF($C158="","",IF($D158="LPSM",AF157,VALUE($C158)*AF157))</f>
        <v/>
      </c>
      <c r="AH158" s="388"/>
      <c r="AI158" s="178" t="str">
        <f ca="1">IF($C158="","",IF($D158="LPSM",AH157,VALUE($C158)*AH157))</f>
        <v/>
      </c>
      <c r="AJ158" s="388"/>
      <c r="AK158" s="178" t="str">
        <f ca="1">IF($C158="","",IF($D158="LPSM",AJ157,VALUE($C158)*AJ157))</f>
        <v/>
      </c>
      <c r="AL158" s="388"/>
      <c r="AM158" s="178" t="str">
        <f ca="1">IF($C158="","",IF($D158="LPSM",AL157,VALUE($C158)*AL157))</f>
        <v/>
      </c>
      <c r="AN158" s="388"/>
      <c r="AO158" s="178" t="str">
        <f ca="1">IF($C158="","",IF($D158="LPSM",AN157,VALUE($C158)*AN157))</f>
        <v/>
      </c>
      <c r="AP158" s="388"/>
      <c r="AQ158" s="178" t="str">
        <f ca="1">IF($C158="","",IF($D158="LPSM",AP157,VALUE($C158)*AP157))</f>
        <v/>
      </c>
      <c r="AR158" s="209" t="str">
        <f ca="1">IF(LEN(B158)&gt;0,ISNUMBER(MATCH(B158,Proposed[Item],0)),"")</f>
        <v/>
      </c>
    </row>
    <row r="159" spans="1:44" ht="15" x14ac:dyDescent="0.2">
      <c r="A159" s="276">
        <f t="shared" ca="1" si="2"/>
        <v>76</v>
      </c>
      <c r="B159" s="168" t="str">
        <f ca="1">IFERROR(INDEX(INDIRECT(RangeItems),MATCH($A159,INDIRECT(RangeCount),0)),"")</f>
        <v/>
      </c>
      <c r="C159" s="365" t="str">
        <f ca="1">INDEX(Calcs[Description],$A159)</f>
        <v/>
      </c>
      <c r="D159" s="365"/>
      <c r="E159" s="365"/>
      <c r="F159" s="365"/>
      <c r="G159" s="365"/>
      <c r="H159" s="388"/>
      <c r="I159" s="177"/>
      <c r="J159" s="388"/>
      <c r="K159" s="177"/>
      <c r="L159" s="388"/>
      <c r="M159" s="177"/>
      <c r="N159" s="388"/>
      <c r="O159" s="177"/>
      <c r="P159" s="388"/>
      <c r="Q159" s="177"/>
      <c r="R159" s="388"/>
      <c r="S159" s="177"/>
      <c r="T159" s="388"/>
      <c r="U159" s="177"/>
      <c r="V159" s="388"/>
      <c r="W159" s="177"/>
      <c r="X159" s="388"/>
      <c r="Y159" s="177"/>
      <c r="Z159" s="388"/>
      <c r="AA159" s="177"/>
      <c r="AB159" s="388"/>
      <c r="AC159" s="177"/>
      <c r="AD159" s="388"/>
      <c r="AE159" s="177"/>
      <c r="AF159" s="388"/>
      <c r="AG159" s="177"/>
      <c r="AH159" s="388"/>
      <c r="AI159" s="177"/>
      <c r="AJ159" s="388"/>
      <c r="AK159" s="177"/>
      <c r="AL159" s="388"/>
      <c r="AM159" s="177"/>
      <c r="AN159" s="388"/>
      <c r="AO159" s="177"/>
      <c r="AP159" s="388"/>
      <c r="AQ159" s="177"/>
      <c r="AR159" s="209" t="str">
        <f ca="1">IF(LEN(B159)&gt;0,ISNUMBER(MATCH(B159,Proposed[Item],0)),"")</f>
        <v/>
      </c>
    </row>
    <row r="160" spans="1:44" ht="15" x14ac:dyDescent="0.2">
      <c r="A160" s="276">
        <f t="shared" ca="1" si="2"/>
        <v>76</v>
      </c>
      <c r="B160" s="111" t="str">
        <f ca="1">IF($A160&lt;=NumPayItems,"Line "&amp;INDEX(Calcs[Line],$A160),"")</f>
        <v/>
      </c>
      <c r="C160" s="169" t="str">
        <f ca="1">IFERROR(IF($D160="LPSM","ALL",TEXT(INDEX(INDIRECT(RangeQuantity),MATCH($A160,INDIRECT(RangeCount),0)),"#,##0"&amp;IF(OFFSET(Items[],MATCH($A160,INDIRECT(RangeCount),0)-1,MATCH(Decimals,Items[#Headers],0)-1,1,1)&gt;0,"."&amp;REPT("0",OFFSET(Items[],MATCH($A160,INDIRECT(RangeCount),0)-1,MATCH(Decimals,Items[#Headers],0)-1,1,1)),""))),"")</f>
        <v/>
      </c>
      <c r="D160" s="170" t="str">
        <f ca="1">IFERROR(INDEX(INDIRECT(RangeUnit),MATCH($A160,INDIRECT(RangeCount),0)),"")</f>
        <v/>
      </c>
      <c r="E160" s="170" t="str">
        <f ca="1">IFERROR(IF(INDEX(INDIRECT(RangeContrQty),MATCH($A160,INDIRECT(RangeCount),0)),"(CQ)",""),"")</f>
        <v/>
      </c>
      <c r="F160" s="171" t="str">
        <f ca="1">IFERROR(INDEX(INDIRECT(RangeUnitPrice),MATCH($A160,INDIRECT(RangeCount),0)),"")</f>
        <v/>
      </c>
      <c r="G160" s="171" t="str">
        <f ca="1">IFERROR(VALUE(C160)*F160,F160)</f>
        <v/>
      </c>
      <c r="H160" s="388"/>
      <c r="I160" s="178" t="str">
        <f ca="1">IF($C160="","",IF($D160="LPSM",H159,VALUE($C160)*H159))</f>
        <v/>
      </c>
      <c r="J160" s="388"/>
      <c r="K160" s="178" t="str">
        <f ca="1">IF($C160="","",IF($D160="LPSM",J159,VALUE($C160)*J159))</f>
        <v/>
      </c>
      <c r="L160" s="388"/>
      <c r="M160" s="178" t="str">
        <f ca="1">IF($C160="","",IF($D160="LPSM",L159,VALUE($C160)*L159))</f>
        <v/>
      </c>
      <c r="N160" s="388"/>
      <c r="O160" s="178" t="str">
        <f ca="1">IF($C160="","",IF($D160="LPSM",N159,VALUE($C160)*N159))</f>
        <v/>
      </c>
      <c r="P160" s="388"/>
      <c r="Q160" s="178" t="str">
        <f ca="1">IF($C160="","",IF($D160="LPSM",P159,VALUE($C160)*P159))</f>
        <v/>
      </c>
      <c r="R160" s="388"/>
      <c r="S160" s="178" t="str">
        <f ca="1">IF($C160="","",IF($D160="LPSM",R159,VALUE($C160)*R159))</f>
        <v/>
      </c>
      <c r="T160" s="388"/>
      <c r="U160" s="178" t="str">
        <f ca="1">IF($C160="","",IF($D160="LPSM",T159,VALUE($C160)*T159))</f>
        <v/>
      </c>
      <c r="V160" s="388"/>
      <c r="W160" s="178" t="str">
        <f ca="1">IF($C160="","",IF($D160="LPSM",V159,VALUE($C160)*V159))</f>
        <v/>
      </c>
      <c r="X160" s="388"/>
      <c r="Y160" s="178" t="str">
        <f ca="1">IF($C160="","",IF($D160="LPSM",X159,VALUE($C160)*X159))</f>
        <v/>
      </c>
      <c r="Z160" s="388"/>
      <c r="AA160" s="178" t="str">
        <f ca="1">IF($C160="","",IF($D160="LPSM",Z159,VALUE($C160)*Z159))</f>
        <v/>
      </c>
      <c r="AB160" s="388"/>
      <c r="AC160" s="178" t="str">
        <f ca="1">IF($C160="","",IF($D160="LPSM",AB159,VALUE($C160)*AB159))</f>
        <v/>
      </c>
      <c r="AD160" s="388"/>
      <c r="AE160" s="178" t="str">
        <f ca="1">IF($C160="","",IF($D160="LPSM",AD159,VALUE($C160)*AD159))</f>
        <v/>
      </c>
      <c r="AF160" s="388"/>
      <c r="AG160" s="178" t="str">
        <f ca="1">IF($C160="","",IF($D160="LPSM",AF159,VALUE($C160)*AF159))</f>
        <v/>
      </c>
      <c r="AH160" s="388"/>
      <c r="AI160" s="178" t="str">
        <f ca="1">IF($C160="","",IF($D160="LPSM",AH159,VALUE($C160)*AH159))</f>
        <v/>
      </c>
      <c r="AJ160" s="388"/>
      <c r="AK160" s="178" t="str">
        <f ca="1">IF($C160="","",IF($D160="LPSM",AJ159,VALUE($C160)*AJ159))</f>
        <v/>
      </c>
      <c r="AL160" s="388"/>
      <c r="AM160" s="178" t="str">
        <f ca="1">IF($C160="","",IF($D160="LPSM",AL159,VALUE($C160)*AL159))</f>
        <v/>
      </c>
      <c r="AN160" s="388"/>
      <c r="AO160" s="178" t="str">
        <f ca="1">IF($C160="","",IF($D160="LPSM",AN159,VALUE($C160)*AN159))</f>
        <v/>
      </c>
      <c r="AP160" s="388"/>
      <c r="AQ160" s="178" t="str">
        <f ca="1">IF($C160="","",IF($D160="LPSM",AP159,VALUE($C160)*AP159))</f>
        <v/>
      </c>
      <c r="AR160" s="209" t="str">
        <f ca="1">IF(LEN(B160)&gt;0,ISNUMBER(MATCH(B160,Proposed[Item],0)),"")</f>
        <v/>
      </c>
    </row>
    <row r="161" spans="1:44" ht="15" x14ac:dyDescent="0.2">
      <c r="A161" s="276">
        <f t="shared" ca="1" si="2"/>
        <v>77</v>
      </c>
      <c r="B161" s="168" t="str">
        <f ca="1">IFERROR(INDEX(INDIRECT(RangeItems),MATCH($A161,INDIRECT(RangeCount),0)),"")</f>
        <v/>
      </c>
      <c r="C161" s="365" t="str">
        <f ca="1">INDEX(Calcs[Description],$A161)</f>
        <v/>
      </c>
      <c r="D161" s="365"/>
      <c r="E161" s="365"/>
      <c r="F161" s="365"/>
      <c r="G161" s="365"/>
      <c r="H161" s="388"/>
      <c r="I161" s="177"/>
      <c r="J161" s="388"/>
      <c r="K161" s="177"/>
      <c r="L161" s="388"/>
      <c r="M161" s="177"/>
      <c r="N161" s="388"/>
      <c r="O161" s="177"/>
      <c r="P161" s="388"/>
      <c r="Q161" s="177"/>
      <c r="R161" s="388"/>
      <c r="S161" s="177"/>
      <c r="T161" s="388"/>
      <c r="U161" s="177"/>
      <c r="V161" s="388"/>
      <c r="W161" s="177"/>
      <c r="X161" s="388"/>
      <c r="Y161" s="177"/>
      <c r="Z161" s="388"/>
      <c r="AA161" s="177"/>
      <c r="AB161" s="388"/>
      <c r="AC161" s="177"/>
      <c r="AD161" s="388"/>
      <c r="AE161" s="177"/>
      <c r="AF161" s="388"/>
      <c r="AG161" s="177"/>
      <c r="AH161" s="388"/>
      <c r="AI161" s="177"/>
      <c r="AJ161" s="388"/>
      <c r="AK161" s="177"/>
      <c r="AL161" s="388"/>
      <c r="AM161" s="177"/>
      <c r="AN161" s="388"/>
      <c r="AO161" s="177"/>
      <c r="AP161" s="388"/>
      <c r="AQ161" s="177"/>
      <c r="AR161" s="209" t="str">
        <f ca="1">IF(LEN(B161)&gt;0,ISNUMBER(MATCH(B161,Proposed[Item],0)),"")</f>
        <v/>
      </c>
    </row>
    <row r="162" spans="1:44" ht="15" x14ac:dyDescent="0.2">
      <c r="A162" s="276">
        <f t="shared" ca="1" si="2"/>
        <v>77</v>
      </c>
      <c r="B162" s="111" t="str">
        <f ca="1">IF($A162&lt;=NumPayItems,"Line "&amp;INDEX(Calcs[Line],$A162),"")</f>
        <v/>
      </c>
      <c r="C162" s="169" t="str">
        <f ca="1">IFERROR(IF($D162="LPSM","ALL",TEXT(INDEX(INDIRECT(RangeQuantity),MATCH($A162,INDIRECT(RangeCount),0)),"#,##0"&amp;IF(OFFSET(Items[],MATCH($A162,INDIRECT(RangeCount),0)-1,MATCH(Decimals,Items[#Headers],0)-1,1,1)&gt;0,"."&amp;REPT("0",OFFSET(Items[],MATCH($A162,INDIRECT(RangeCount),0)-1,MATCH(Decimals,Items[#Headers],0)-1,1,1)),""))),"")</f>
        <v/>
      </c>
      <c r="D162" s="170" t="str">
        <f ca="1">IFERROR(INDEX(INDIRECT(RangeUnit),MATCH($A162,INDIRECT(RangeCount),0)),"")</f>
        <v/>
      </c>
      <c r="E162" s="170" t="str">
        <f ca="1">IFERROR(IF(INDEX(INDIRECT(RangeContrQty),MATCH($A162,INDIRECT(RangeCount),0)),"(CQ)",""),"")</f>
        <v/>
      </c>
      <c r="F162" s="171" t="str">
        <f ca="1">IFERROR(INDEX(INDIRECT(RangeUnitPrice),MATCH($A162,INDIRECT(RangeCount),0)),"")</f>
        <v/>
      </c>
      <c r="G162" s="171" t="str">
        <f ca="1">IFERROR(VALUE(C162)*F162,F162)</f>
        <v/>
      </c>
      <c r="H162" s="388"/>
      <c r="I162" s="178" t="str">
        <f ca="1">IF($C162="","",IF($D162="LPSM",H161,VALUE($C162)*H161))</f>
        <v/>
      </c>
      <c r="J162" s="388"/>
      <c r="K162" s="178" t="str">
        <f ca="1">IF($C162="","",IF($D162="LPSM",J161,VALUE($C162)*J161))</f>
        <v/>
      </c>
      <c r="L162" s="388"/>
      <c r="M162" s="178" t="str">
        <f ca="1">IF($C162="","",IF($D162="LPSM",L161,VALUE($C162)*L161))</f>
        <v/>
      </c>
      <c r="N162" s="388"/>
      <c r="O162" s="178" t="str">
        <f ca="1">IF($C162="","",IF($D162="LPSM",N161,VALUE($C162)*N161))</f>
        <v/>
      </c>
      <c r="P162" s="388"/>
      <c r="Q162" s="178" t="str">
        <f ca="1">IF($C162="","",IF($D162="LPSM",P161,VALUE($C162)*P161))</f>
        <v/>
      </c>
      <c r="R162" s="388"/>
      <c r="S162" s="178" t="str">
        <f ca="1">IF($C162="","",IF($D162="LPSM",R161,VALUE($C162)*R161))</f>
        <v/>
      </c>
      <c r="T162" s="388"/>
      <c r="U162" s="178" t="str">
        <f ca="1">IF($C162="","",IF($D162="LPSM",T161,VALUE($C162)*T161))</f>
        <v/>
      </c>
      <c r="V162" s="388"/>
      <c r="W162" s="178" t="str">
        <f ca="1">IF($C162="","",IF($D162="LPSM",V161,VALUE($C162)*V161))</f>
        <v/>
      </c>
      <c r="X162" s="388"/>
      <c r="Y162" s="178" t="str">
        <f ca="1">IF($C162="","",IF($D162="LPSM",X161,VALUE($C162)*X161))</f>
        <v/>
      </c>
      <c r="Z162" s="388"/>
      <c r="AA162" s="178" t="str">
        <f ca="1">IF($C162="","",IF($D162="LPSM",Z161,VALUE($C162)*Z161))</f>
        <v/>
      </c>
      <c r="AB162" s="388"/>
      <c r="AC162" s="178" t="str">
        <f ca="1">IF($C162="","",IF($D162="LPSM",AB161,VALUE($C162)*AB161))</f>
        <v/>
      </c>
      <c r="AD162" s="388"/>
      <c r="AE162" s="178" t="str">
        <f ca="1">IF($C162="","",IF($D162="LPSM",AD161,VALUE($C162)*AD161))</f>
        <v/>
      </c>
      <c r="AF162" s="388"/>
      <c r="AG162" s="178" t="str">
        <f ca="1">IF($C162="","",IF($D162="LPSM",AF161,VALUE($C162)*AF161))</f>
        <v/>
      </c>
      <c r="AH162" s="388"/>
      <c r="AI162" s="178" t="str">
        <f ca="1">IF($C162="","",IF($D162="LPSM",AH161,VALUE($C162)*AH161))</f>
        <v/>
      </c>
      <c r="AJ162" s="388"/>
      <c r="AK162" s="178" t="str">
        <f ca="1">IF($C162="","",IF($D162="LPSM",AJ161,VALUE($C162)*AJ161))</f>
        <v/>
      </c>
      <c r="AL162" s="388"/>
      <c r="AM162" s="178" t="str">
        <f ca="1">IF($C162="","",IF($D162="LPSM",AL161,VALUE($C162)*AL161))</f>
        <v/>
      </c>
      <c r="AN162" s="388"/>
      <c r="AO162" s="178" t="str">
        <f ca="1">IF($C162="","",IF($D162="LPSM",AN161,VALUE($C162)*AN161))</f>
        <v/>
      </c>
      <c r="AP162" s="388"/>
      <c r="AQ162" s="178" t="str">
        <f ca="1">IF($C162="","",IF($D162="LPSM",AP161,VALUE($C162)*AP161))</f>
        <v/>
      </c>
      <c r="AR162" s="209" t="str">
        <f ca="1">IF(LEN(B162)&gt;0,ISNUMBER(MATCH(B162,Proposed[Item],0)),"")</f>
        <v/>
      </c>
    </row>
    <row r="163" spans="1:44" ht="15" x14ac:dyDescent="0.2">
      <c r="A163" s="276">
        <f t="shared" ca="1" si="2"/>
        <v>78</v>
      </c>
      <c r="B163" s="168" t="str">
        <f ca="1">IFERROR(INDEX(INDIRECT(RangeItems),MATCH($A163,INDIRECT(RangeCount),0)),"")</f>
        <v/>
      </c>
      <c r="C163" s="365" t="str">
        <f ca="1">INDEX(Calcs[Description],$A163)</f>
        <v/>
      </c>
      <c r="D163" s="365"/>
      <c r="E163" s="365"/>
      <c r="F163" s="365"/>
      <c r="G163" s="365"/>
      <c r="H163" s="388"/>
      <c r="I163" s="177"/>
      <c r="J163" s="388"/>
      <c r="K163" s="177"/>
      <c r="L163" s="388"/>
      <c r="M163" s="177"/>
      <c r="N163" s="388"/>
      <c r="O163" s="177"/>
      <c r="P163" s="388"/>
      <c r="Q163" s="177"/>
      <c r="R163" s="388"/>
      <c r="S163" s="177"/>
      <c r="T163" s="388"/>
      <c r="U163" s="177"/>
      <c r="V163" s="388"/>
      <c r="W163" s="177"/>
      <c r="X163" s="388"/>
      <c r="Y163" s="177"/>
      <c r="Z163" s="388"/>
      <c r="AA163" s="177"/>
      <c r="AB163" s="388"/>
      <c r="AC163" s="177"/>
      <c r="AD163" s="388"/>
      <c r="AE163" s="177"/>
      <c r="AF163" s="388"/>
      <c r="AG163" s="177"/>
      <c r="AH163" s="388"/>
      <c r="AI163" s="177"/>
      <c r="AJ163" s="388"/>
      <c r="AK163" s="177"/>
      <c r="AL163" s="388"/>
      <c r="AM163" s="177"/>
      <c r="AN163" s="388"/>
      <c r="AO163" s="177"/>
      <c r="AP163" s="388"/>
      <c r="AQ163" s="177"/>
      <c r="AR163" s="209" t="str">
        <f ca="1">IF(LEN(B163)&gt;0,ISNUMBER(MATCH(B163,Proposed[Item],0)),"")</f>
        <v/>
      </c>
    </row>
    <row r="164" spans="1:44" ht="15" x14ac:dyDescent="0.2">
      <c r="A164" s="276">
        <f t="shared" ca="1" si="2"/>
        <v>78</v>
      </c>
      <c r="B164" s="111" t="str">
        <f ca="1">IF($A164&lt;=NumPayItems,"Line "&amp;INDEX(Calcs[Line],$A164),"")</f>
        <v/>
      </c>
      <c r="C164" s="169" t="str">
        <f ca="1">IFERROR(IF($D164="LPSM","ALL",TEXT(INDEX(INDIRECT(RangeQuantity),MATCH($A164,INDIRECT(RangeCount),0)),"#,##0"&amp;IF(OFFSET(Items[],MATCH($A164,INDIRECT(RangeCount),0)-1,MATCH(Decimals,Items[#Headers],0)-1,1,1)&gt;0,"."&amp;REPT("0",OFFSET(Items[],MATCH($A164,INDIRECT(RangeCount),0)-1,MATCH(Decimals,Items[#Headers],0)-1,1,1)),""))),"")</f>
        <v/>
      </c>
      <c r="D164" s="170" t="str">
        <f ca="1">IFERROR(INDEX(INDIRECT(RangeUnit),MATCH($A164,INDIRECT(RangeCount),0)),"")</f>
        <v/>
      </c>
      <c r="E164" s="170" t="str">
        <f ca="1">IFERROR(IF(INDEX(INDIRECT(RangeContrQty),MATCH($A164,INDIRECT(RangeCount),0)),"(CQ)",""),"")</f>
        <v/>
      </c>
      <c r="F164" s="171" t="str">
        <f ca="1">IFERROR(INDEX(INDIRECT(RangeUnitPrice),MATCH($A164,INDIRECT(RangeCount),0)),"")</f>
        <v/>
      </c>
      <c r="G164" s="171" t="str">
        <f ca="1">IFERROR(VALUE(C164)*F164,F164)</f>
        <v/>
      </c>
      <c r="H164" s="388"/>
      <c r="I164" s="178" t="str">
        <f ca="1">IF($C164="","",IF($D164="LPSM",H163,VALUE($C164)*H163))</f>
        <v/>
      </c>
      <c r="J164" s="388"/>
      <c r="K164" s="178" t="str">
        <f ca="1">IF($C164="","",IF($D164="LPSM",J163,VALUE($C164)*J163))</f>
        <v/>
      </c>
      <c r="L164" s="388"/>
      <c r="M164" s="178" t="str">
        <f ca="1">IF($C164="","",IF($D164="LPSM",L163,VALUE($C164)*L163))</f>
        <v/>
      </c>
      <c r="N164" s="388"/>
      <c r="O164" s="178" t="str">
        <f ca="1">IF($C164="","",IF($D164="LPSM",N163,VALUE($C164)*N163))</f>
        <v/>
      </c>
      <c r="P164" s="388"/>
      <c r="Q164" s="178" t="str">
        <f ca="1">IF($C164="","",IF($D164="LPSM",P163,VALUE($C164)*P163))</f>
        <v/>
      </c>
      <c r="R164" s="388"/>
      <c r="S164" s="178" t="str">
        <f ca="1">IF($C164="","",IF($D164="LPSM",R163,VALUE($C164)*R163))</f>
        <v/>
      </c>
      <c r="T164" s="388"/>
      <c r="U164" s="178" t="str">
        <f ca="1">IF($C164="","",IF($D164="LPSM",T163,VALUE($C164)*T163))</f>
        <v/>
      </c>
      <c r="V164" s="388"/>
      <c r="W164" s="178" t="str">
        <f ca="1">IF($C164="","",IF($D164="LPSM",V163,VALUE($C164)*V163))</f>
        <v/>
      </c>
      <c r="X164" s="388"/>
      <c r="Y164" s="178" t="str">
        <f ca="1">IF($C164="","",IF($D164="LPSM",X163,VALUE($C164)*X163))</f>
        <v/>
      </c>
      <c r="Z164" s="388"/>
      <c r="AA164" s="178" t="str">
        <f ca="1">IF($C164="","",IF($D164="LPSM",Z163,VALUE($C164)*Z163))</f>
        <v/>
      </c>
      <c r="AB164" s="388"/>
      <c r="AC164" s="178" t="str">
        <f ca="1">IF($C164="","",IF($D164="LPSM",AB163,VALUE($C164)*AB163))</f>
        <v/>
      </c>
      <c r="AD164" s="388"/>
      <c r="AE164" s="178" t="str">
        <f ca="1">IF($C164="","",IF($D164="LPSM",AD163,VALUE($C164)*AD163))</f>
        <v/>
      </c>
      <c r="AF164" s="388"/>
      <c r="AG164" s="178" t="str">
        <f ca="1">IF($C164="","",IF($D164="LPSM",AF163,VALUE($C164)*AF163))</f>
        <v/>
      </c>
      <c r="AH164" s="388"/>
      <c r="AI164" s="178" t="str">
        <f ca="1">IF($C164="","",IF($D164="LPSM",AH163,VALUE($C164)*AH163))</f>
        <v/>
      </c>
      <c r="AJ164" s="388"/>
      <c r="AK164" s="178" t="str">
        <f ca="1">IF($C164="","",IF($D164="LPSM",AJ163,VALUE($C164)*AJ163))</f>
        <v/>
      </c>
      <c r="AL164" s="388"/>
      <c r="AM164" s="178" t="str">
        <f ca="1">IF($C164="","",IF($D164="LPSM",AL163,VALUE($C164)*AL163))</f>
        <v/>
      </c>
      <c r="AN164" s="388"/>
      <c r="AO164" s="178" t="str">
        <f ca="1">IF($C164="","",IF($D164="LPSM",AN163,VALUE($C164)*AN163))</f>
        <v/>
      </c>
      <c r="AP164" s="388"/>
      <c r="AQ164" s="178" t="str">
        <f ca="1">IF($C164="","",IF($D164="LPSM",AP163,VALUE($C164)*AP163))</f>
        <v/>
      </c>
      <c r="AR164" s="209" t="str">
        <f ca="1">IF(LEN(B164)&gt;0,ISNUMBER(MATCH(B164,Proposed[Item],0)),"")</f>
        <v/>
      </c>
    </row>
    <row r="165" spans="1:44" ht="15" x14ac:dyDescent="0.2">
      <c r="A165" s="276">
        <f t="shared" ca="1" si="2"/>
        <v>79</v>
      </c>
      <c r="B165" s="168" t="str">
        <f ca="1">IFERROR(INDEX(INDIRECT(RangeItems),MATCH($A165,INDIRECT(RangeCount),0)),"")</f>
        <v/>
      </c>
      <c r="C165" s="365" t="str">
        <f ca="1">INDEX(Calcs[Description],$A165)</f>
        <v/>
      </c>
      <c r="D165" s="365"/>
      <c r="E165" s="365"/>
      <c r="F165" s="365"/>
      <c r="G165" s="365"/>
      <c r="H165" s="388"/>
      <c r="I165" s="177"/>
      <c r="J165" s="388"/>
      <c r="K165" s="177"/>
      <c r="L165" s="388"/>
      <c r="M165" s="177"/>
      <c r="N165" s="388"/>
      <c r="O165" s="177"/>
      <c r="P165" s="388"/>
      <c r="Q165" s="177"/>
      <c r="R165" s="388"/>
      <c r="S165" s="177"/>
      <c r="T165" s="388"/>
      <c r="U165" s="177"/>
      <c r="V165" s="388"/>
      <c r="W165" s="177"/>
      <c r="X165" s="388"/>
      <c r="Y165" s="177"/>
      <c r="Z165" s="388"/>
      <c r="AA165" s="177"/>
      <c r="AB165" s="388"/>
      <c r="AC165" s="177"/>
      <c r="AD165" s="388"/>
      <c r="AE165" s="177"/>
      <c r="AF165" s="388"/>
      <c r="AG165" s="177"/>
      <c r="AH165" s="388"/>
      <c r="AI165" s="177"/>
      <c r="AJ165" s="388"/>
      <c r="AK165" s="177"/>
      <c r="AL165" s="388"/>
      <c r="AM165" s="177"/>
      <c r="AN165" s="388"/>
      <c r="AO165" s="177"/>
      <c r="AP165" s="388"/>
      <c r="AQ165" s="177"/>
      <c r="AR165" s="209" t="str">
        <f ca="1">IF(LEN(B165)&gt;0,ISNUMBER(MATCH(B165,Proposed[Item],0)),"")</f>
        <v/>
      </c>
    </row>
    <row r="166" spans="1:44" ht="15" x14ac:dyDescent="0.2">
      <c r="A166" s="276">
        <f t="shared" ca="1" si="2"/>
        <v>79</v>
      </c>
      <c r="B166" s="111" t="str">
        <f ca="1">IF($A166&lt;=NumPayItems,"Line "&amp;INDEX(Calcs[Line],$A166),"")</f>
        <v/>
      </c>
      <c r="C166" s="169" t="str">
        <f ca="1">IFERROR(IF($D166="LPSM","ALL",TEXT(INDEX(INDIRECT(RangeQuantity),MATCH($A166,INDIRECT(RangeCount),0)),"#,##0"&amp;IF(OFFSET(Items[],MATCH($A166,INDIRECT(RangeCount),0)-1,MATCH(Decimals,Items[#Headers],0)-1,1,1)&gt;0,"."&amp;REPT("0",OFFSET(Items[],MATCH($A166,INDIRECT(RangeCount),0)-1,MATCH(Decimals,Items[#Headers],0)-1,1,1)),""))),"")</f>
        <v/>
      </c>
      <c r="D166" s="170" t="str">
        <f ca="1">IFERROR(INDEX(INDIRECT(RangeUnit),MATCH($A166,INDIRECT(RangeCount),0)),"")</f>
        <v/>
      </c>
      <c r="E166" s="170" t="str">
        <f ca="1">IFERROR(IF(INDEX(INDIRECT(RangeContrQty),MATCH($A166,INDIRECT(RangeCount),0)),"(CQ)",""),"")</f>
        <v/>
      </c>
      <c r="F166" s="171" t="str">
        <f ca="1">IFERROR(INDEX(INDIRECT(RangeUnitPrice),MATCH($A166,INDIRECT(RangeCount),0)),"")</f>
        <v/>
      </c>
      <c r="G166" s="171" t="str">
        <f ca="1">IFERROR(VALUE(C166)*F166,F166)</f>
        <v/>
      </c>
      <c r="H166" s="388"/>
      <c r="I166" s="178" t="str">
        <f ca="1">IF($C166="","",IF($D166="LPSM",H165,VALUE($C166)*H165))</f>
        <v/>
      </c>
      <c r="J166" s="388"/>
      <c r="K166" s="178" t="str">
        <f ca="1">IF($C166="","",IF($D166="LPSM",J165,VALUE($C166)*J165))</f>
        <v/>
      </c>
      <c r="L166" s="388"/>
      <c r="M166" s="178" t="str">
        <f ca="1">IF($C166="","",IF($D166="LPSM",L165,VALUE($C166)*L165))</f>
        <v/>
      </c>
      <c r="N166" s="388"/>
      <c r="O166" s="178" t="str">
        <f ca="1">IF($C166="","",IF($D166="LPSM",N165,VALUE($C166)*N165))</f>
        <v/>
      </c>
      <c r="P166" s="388"/>
      <c r="Q166" s="178" t="str">
        <f ca="1">IF($C166="","",IF($D166="LPSM",P165,VALUE($C166)*P165))</f>
        <v/>
      </c>
      <c r="R166" s="388"/>
      <c r="S166" s="178" t="str">
        <f ca="1">IF($C166="","",IF($D166="LPSM",R165,VALUE($C166)*R165))</f>
        <v/>
      </c>
      <c r="T166" s="388"/>
      <c r="U166" s="178" t="str">
        <f ca="1">IF($C166="","",IF($D166="LPSM",T165,VALUE($C166)*T165))</f>
        <v/>
      </c>
      <c r="V166" s="388"/>
      <c r="W166" s="178" t="str">
        <f ca="1">IF($C166="","",IF($D166="LPSM",V165,VALUE($C166)*V165))</f>
        <v/>
      </c>
      <c r="X166" s="388"/>
      <c r="Y166" s="178" t="str">
        <f ca="1">IF($C166="","",IF($D166="LPSM",X165,VALUE($C166)*X165))</f>
        <v/>
      </c>
      <c r="Z166" s="388"/>
      <c r="AA166" s="178" t="str">
        <f ca="1">IF($C166="","",IF($D166="LPSM",Z165,VALUE($C166)*Z165))</f>
        <v/>
      </c>
      <c r="AB166" s="388"/>
      <c r="AC166" s="178" t="str">
        <f ca="1">IF($C166="","",IF($D166="LPSM",AB165,VALUE($C166)*AB165))</f>
        <v/>
      </c>
      <c r="AD166" s="388"/>
      <c r="AE166" s="178" t="str">
        <f ca="1">IF($C166="","",IF($D166="LPSM",AD165,VALUE($C166)*AD165))</f>
        <v/>
      </c>
      <c r="AF166" s="388"/>
      <c r="AG166" s="178" t="str">
        <f ca="1">IF($C166="","",IF($D166="LPSM",AF165,VALUE($C166)*AF165))</f>
        <v/>
      </c>
      <c r="AH166" s="388"/>
      <c r="AI166" s="178" t="str">
        <f ca="1">IF($C166="","",IF($D166="LPSM",AH165,VALUE($C166)*AH165))</f>
        <v/>
      </c>
      <c r="AJ166" s="388"/>
      <c r="AK166" s="178" t="str">
        <f ca="1">IF($C166="","",IF($D166="LPSM",AJ165,VALUE($C166)*AJ165))</f>
        <v/>
      </c>
      <c r="AL166" s="388"/>
      <c r="AM166" s="178" t="str">
        <f ca="1">IF($C166="","",IF($D166="LPSM",AL165,VALUE($C166)*AL165))</f>
        <v/>
      </c>
      <c r="AN166" s="388"/>
      <c r="AO166" s="178" t="str">
        <f ca="1">IF($C166="","",IF($D166="LPSM",AN165,VALUE($C166)*AN165))</f>
        <v/>
      </c>
      <c r="AP166" s="388"/>
      <c r="AQ166" s="178" t="str">
        <f ca="1">IF($C166="","",IF($D166="LPSM",AP165,VALUE($C166)*AP165))</f>
        <v/>
      </c>
      <c r="AR166" s="209" t="str">
        <f ca="1">IF(LEN(B166)&gt;0,ISNUMBER(MATCH(B166,Proposed[Item],0)),"")</f>
        <v/>
      </c>
    </row>
    <row r="167" spans="1:44" ht="15" x14ac:dyDescent="0.2">
      <c r="A167" s="276">
        <f t="shared" ca="1" si="2"/>
        <v>80</v>
      </c>
      <c r="B167" s="168" t="str">
        <f ca="1">IFERROR(INDEX(INDIRECT(RangeItems),MATCH($A167,INDIRECT(RangeCount),0)),"")</f>
        <v/>
      </c>
      <c r="C167" s="365" t="str">
        <f ca="1">INDEX(Calcs[Description],$A167)</f>
        <v/>
      </c>
      <c r="D167" s="365"/>
      <c r="E167" s="365"/>
      <c r="F167" s="365"/>
      <c r="G167" s="365"/>
      <c r="H167" s="388"/>
      <c r="I167" s="177"/>
      <c r="J167" s="388"/>
      <c r="K167" s="177"/>
      <c r="L167" s="388"/>
      <c r="M167" s="177"/>
      <c r="N167" s="388"/>
      <c r="O167" s="177"/>
      <c r="P167" s="388"/>
      <c r="Q167" s="177"/>
      <c r="R167" s="388"/>
      <c r="S167" s="177"/>
      <c r="T167" s="388"/>
      <c r="U167" s="177"/>
      <c r="V167" s="388"/>
      <c r="W167" s="177"/>
      <c r="X167" s="388"/>
      <c r="Y167" s="177"/>
      <c r="Z167" s="388"/>
      <c r="AA167" s="177"/>
      <c r="AB167" s="388"/>
      <c r="AC167" s="177"/>
      <c r="AD167" s="388"/>
      <c r="AE167" s="177"/>
      <c r="AF167" s="388"/>
      <c r="AG167" s="177"/>
      <c r="AH167" s="388"/>
      <c r="AI167" s="177"/>
      <c r="AJ167" s="388"/>
      <c r="AK167" s="177"/>
      <c r="AL167" s="388"/>
      <c r="AM167" s="177"/>
      <c r="AN167" s="388"/>
      <c r="AO167" s="177"/>
      <c r="AP167" s="388"/>
      <c r="AQ167" s="177"/>
      <c r="AR167" s="209" t="str">
        <f ca="1">IF(LEN(B167)&gt;0,ISNUMBER(MATCH(B167,Proposed[Item],0)),"")</f>
        <v/>
      </c>
    </row>
    <row r="168" spans="1:44" ht="15" x14ac:dyDescent="0.2">
      <c r="A168" s="276">
        <f t="shared" ca="1" si="2"/>
        <v>80</v>
      </c>
      <c r="B168" s="111" t="str">
        <f ca="1">IF($A168&lt;=NumPayItems,"Line "&amp;INDEX(Calcs[Line],$A168),"")</f>
        <v/>
      </c>
      <c r="C168" s="169" t="str">
        <f ca="1">IFERROR(IF($D168="LPSM","ALL",TEXT(INDEX(INDIRECT(RangeQuantity),MATCH($A168,INDIRECT(RangeCount),0)),"#,##0"&amp;IF(OFFSET(Items[],MATCH($A168,INDIRECT(RangeCount),0)-1,MATCH(Decimals,Items[#Headers],0)-1,1,1)&gt;0,"."&amp;REPT("0",OFFSET(Items[],MATCH($A168,INDIRECT(RangeCount),0)-1,MATCH(Decimals,Items[#Headers],0)-1,1,1)),""))),"")</f>
        <v/>
      </c>
      <c r="D168" s="170" t="str">
        <f ca="1">IFERROR(INDEX(INDIRECT(RangeUnit),MATCH($A168,INDIRECT(RangeCount),0)),"")</f>
        <v/>
      </c>
      <c r="E168" s="170" t="str">
        <f ca="1">IFERROR(IF(INDEX(INDIRECT(RangeContrQty),MATCH($A168,INDIRECT(RangeCount),0)),"(CQ)",""),"")</f>
        <v/>
      </c>
      <c r="F168" s="171" t="str">
        <f ca="1">IFERROR(INDEX(INDIRECT(RangeUnitPrice),MATCH($A168,INDIRECT(RangeCount),0)),"")</f>
        <v/>
      </c>
      <c r="G168" s="171" t="str">
        <f ca="1">IFERROR(VALUE(C168)*F168,F168)</f>
        <v/>
      </c>
      <c r="H168" s="388"/>
      <c r="I168" s="178" t="str">
        <f ca="1">IF($C168="","",IF($D168="LPSM",H167,VALUE($C168)*H167))</f>
        <v/>
      </c>
      <c r="J168" s="388"/>
      <c r="K168" s="178" t="str">
        <f ca="1">IF($C168="","",IF($D168="LPSM",J167,VALUE($C168)*J167))</f>
        <v/>
      </c>
      <c r="L168" s="388"/>
      <c r="M168" s="178" t="str">
        <f ca="1">IF($C168="","",IF($D168="LPSM",L167,VALUE($C168)*L167))</f>
        <v/>
      </c>
      <c r="N168" s="388"/>
      <c r="O168" s="178" t="str">
        <f ca="1">IF($C168="","",IF($D168="LPSM",N167,VALUE($C168)*N167))</f>
        <v/>
      </c>
      <c r="P168" s="388"/>
      <c r="Q168" s="178" t="str">
        <f ca="1">IF($C168="","",IF($D168="LPSM",P167,VALUE($C168)*P167))</f>
        <v/>
      </c>
      <c r="R168" s="388"/>
      <c r="S168" s="178" t="str">
        <f ca="1">IF($C168="","",IF($D168="LPSM",R167,VALUE($C168)*R167))</f>
        <v/>
      </c>
      <c r="T168" s="388"/>
      <c r="U168" s="178" t="str">
        <f ca="1">IF($C168="","",IF($D168="LPSM",T167,VALUE($C168)*T167))</f>
        <v/>
      </c>
      <c r="V168" s="388"/>
      <c r="W168" s="178" t="str">
        <f ca="1">IF($C168="","",IF($D168="LPSM",V167,VALUE($C168)*V167))</f>
        <v/>
      </c>
      <c r="X168" s="388"/>
      <c r="Y168" s="178" t="str">
        <f ca="1">IF($C168="","",IF($D168="LPSM",X167,VALUE($C168)*X167))</f>
        <v/>
      </c>
      <c r="Z168" s="388"/>
      <c r="AA168" s="178" t="str">
        <f ca="1">IF($C168="","",IF($D168="LPSM",Z167,VALUE($C168)*Z167))</f>
        <v/>
      </c>
      <c r="AB168" s="388"/>
      <c r="AC168" s="178" t="str">
        <f ca="1">IF($C168="","",IF($D168="LPSM",AB167,VALUE($C168)*AB167))</f>
        <v/>
      </c>
      <c r="AD168" s="388"/>
      <c r="AE168" s="178" t="str">
        <f ca="1">IF($C168="","",IF($D168="LPSM",AD167,VALUE($C168)*AD167))</f>
        <v/>
      </c>
      <c r="AF168" s="388"/>
      <c r="AG168" s="178" t="str">
        <f ca="1">IF($C168="","",IF($D168="LPSM",AF167,VALUE($C168)*AF167))</f>
        <v/>
      </c>
      <c r="AH168" s="388"/>
      <c r="AI168" s="178" t="str">
        <f ca="1">IF($C168="","",IF($D168="LPSM",AH167,VALUE($C168)*AH167))</f>
        <v/>
      </c>
      <c r="AJ168" s="388"/>
      <c r="AK168" s="178" t="str">
        <f ca="1">IF($C168="","",IF($D168="LPSM",AJ167,VALUE($C168)*AJ167))</f>
        <v/>
      </c>
      <c r="AL168" s="388"/>
      <c r="AM168" s="178" t="str">
        <f ca="1">IF($C168="","",IF($D168="LPSM",AL167,VALUE($C168)*AL167))</f>
        <v/>
      </c>
      <c r="AN168" s="388"/>
      <c r="AO168" s="178" t="str">
        <f ca="1">IF($C168="","",IF($D168="LPSM",AN167,VALUE($C168)*AN167))</f>
        <v/>
      </c>
      <c r="AP168" s="388"/>
      <c r="AQ168" s="178" t="str">
        <f ca="1">IF($C168="","",IF($D168="LPSM",AP167,VALUE($C168)*AP167))</f>
        <v/>
      </c>
      <c r="AR168" s="209" t="str">
        <f ca="1">IF(LEN(B168)&gt;0,ISNUMBER(MATCH(B168,Proposed[Item],0)),"")</f>
        <v/>
      </c>
    </row>
    <row r="169" spans="1:44" ht="15" x14ac:dyDescent="0.2">
      <c r="A169" s="276">
        <f t="shared" ca="1" si="2"/>
        <v>81</v>
      </c>
      <c r="B169" s="168" t="str">
        <f ca="1">IFERROR(INDEX(INDIRECT(RangeItems),MATCH($A169,INDIRECT(RangeCount),0)),"")</f>
        <v/>
      </c>
      <c r="C169" s="365" t="str">
        <f ca="1">INDEX(Calcs[Description],$A169)</f>
        <v/>
      </c>
      <c r="D169" s="365"/>
      <c r="E169" s="365"/>
      <c r="F169" s="365"/>
      <c r="G169" s="365"/>
      <c r="H169" s="388"/>
      <c r="I169" s="177"/>
      <c r="J169" s="388"/>
      <c r="K169" s="177"/>
      <c r="L169" s="388"/>
      <c r="M169" s="177"/>
      <c r="N169" s="388"/>
      <c r="O169" s="177"/>
      <c r="P169" s="388"/>
      <c r="Q169" s="177"/>
      <c r="R169" s="388"/>
      <c r="S169" s="177"/>
      <c r="T169" s="388"/>
      <c r="U169" s="177"/>
      <c r="V169" s="388"/>
      <c r="W169" s="177"/>
      <c r="X169" s="388"/>
      <c r="Y169" s="177"/>
      <c r="Z169" s="388"/>
      <c r="AA169" s="177"/>
      <c r="AB169" s="388"/>
      <c r="AC169" s="177"/>
      <c r="AD169" s="388"/>
      <c r="AE169" s="177"/>
      <c r="AF169" s="388"/>
      <c r="AG169" s="177"/>
      <c r="AH169" s="388"/>
      <c r="AI169" s="177"/>
      <c r="AJ169" s="388"/>
      <c r="AK169" s="177"/>
      <c r="AL169" s="388"/>
      <c r="AM169" s="177"/>
      <c r="AN169" s="388"/>
      <c r="AO169" s="177"/>
      <c r="AP169" s="388"/>
      <c r="AQ169" s="177"/>
      <c r="AR169" s="209" t="str">
        <f ca="1">IF(LEN(B169)&gt;0,ISNUMBER(MATCH(B169,Proposed[Item],0)),"")</f>
        <v/>
      </c>
    </row>
    <row r="170" spans="1:44" ht="15" x14ac:dyDescent="0.2">
      <c r="A170" s="276">
        <f t="shared" ca="1" si="2"/>
        <v>81</v>
      </c>
      <c r="B170" s="111" t="str">
        <f ca="1">IF($A170&lt;=NumPayItems,"Line "&amp;INDEX(Calcs[Line],$A170),"")</f>
        <v/>
      </c>
      <c r="C170" s="169" t="str">
        <f ca="1">IFERROR(IF($D170="LPSM","ALL",TEXT(INDEX(INDIRECT(RangeQuantity),MATCH($A170,INDIRECT(RangeCount),0)),"#,##0"&amp;IF(OFFSET(Items[],MATCH($A170,INDIRECT(RangeCount),0)-1,MATCH(Decimals,Items[#Headers],0)-1,1,1)&gt;0,"."&amp;REPT("0",OFFSET(Items[],MATCH($A170,INDIRECT(RangeCount),0)-1,MATCH(Decimals,Items[#Headers],0)-1,1,1)),""))),"")</f>
        <v/>
      </c>
      <c r="D170" s="170" t="str">
        <f ca="1">IFERROR(INDEX(INDIRECT(RangeUnit),MATCH($A170,INDIRECT(RangeCount),0)),"")</f>
        <v/>
      </c>
      <c r="E170" s="170" t="str">
        <f ca="1">IFERROR(IF(INDEX(INDIRECT(RangeContrQty),MATCH($A170,INDIRECT(RangeCount),0)),"(CQ)",""),"")</f>
        <v/>
      </c>
      <c r="F170" s="171" t="str">
        <f ca="1">IFERROR(INDEX(INDIRECT(RangeUnitPrice),MATCH($A170,INDIRECT(RangeCount),0)),"")</f>
        <v/>
      </c>
      <c r="G170" s="171" t="str">
        <f ca="1">IFERROR(VALUE(C170)*F170,F170)</f>
        <v/>
      </c>
      <c r="H170" s="388"/>
      <c r="I170" s="178" t="str">
        <f ca="1">IF($C170="","",IF($D170="LPSM",H169,VALUE($C170)*H169))</f>
        <v/>
      </c>
      <c r="J170" s="388"/>
      <c r="K170" s="178" t="str">
        <f ca="1">IF($C170="","",IF($D170="LPSM",J169,VALUE($C170)*J169))</f>
        <v/>
      </c>
      <c r="L170" s="388"/>
      <c r="M170" s="178" t="str">
        <f ca="1">IF($C170="","",IF($D170="LPSM",L169,VALUE($C170)*L169))</f>
        <v/>
      </c>
      <c r="N170" s="388"/>
      <c r="O170" s="178" t="str">
        <f ca="1">IF($C170="","",IF($D170="LPSM",N169,VALUE($C170)*N169))</f>
        <v/>
      </c>
      <c r="P170" s="388"/>
      <c r="Q170" s="178" t="str">
        <f ca="1">IF($C170="","",IF($D170="LPSM",P169,VALUE($C170)*P169))</f>
        <v/>
      </c>
      <c r="R170" s="388"/>
      <c r="S170" s="178" t="str">
        <f ca="1">IF($C170="","",IF($D170="LPSM",R169,VALUE($C170)*R169))</f>
        <v/>
      </c>
      <c r="T170" s="388"/>
      <c r="U170" s="178" t="str">
        <f ca="1">IF($C170="","",IF($D170="LPSM",T169,VALUE($C170)*T169))</f>
        <v/>
      </c>
      <c r="V170" s="388"/>
      <c r="W170" s="178" t="str">
        <f ca="1">IF($C170="","",IF($D170="LPSM",V169,VALUE($C170)*V169))</f>
        <v/>
      </c>
      <c r="X170" s="388"/>
      <c r="Y170" s="178" t="str">
        <f ca="1">IF($C170="","",IF($D170="LPSM",X169,VALUE($C170)*X169))</f>
        <v/>
      </c>
      <c r="Z170" s="388"/>
      <c r="AA170" s="178" t="str">
        <f ca="1">IF($C170="","",IF($D170="LPSM",Z169,VALUE($C170)*Z169))</f>
        <v/>
      </c>
      <c r="AB170" s="388"/>
      <c r="AC170" s="178" t="str">
        <f ca="1">IF($C170="","",IF($D170="LPSM",AB169,VALUE($C170)*AB169))</f>
        <v/>
      </c>
      <c r="AD170" s="388"/>
      <c r="AE170" s="178" t="str">
        <f ca="1">IF($C170="","",IF($D170="LPSM",AD169,VALUE($C170)*AD169))</f>
        <v/>
      </c>
      <c r="AF170" s="388"/>
      <c r="AG170" s="178" t="str">
        <f ca="1">IF($C170="","",IF($D170="LPSM",AF169,VALUE($C170)*AF169))</f>
        <v/>
      </c>
      <c r="AH170" s="388"/>
      <c r="AI170" s="178" t="str">
        <f ca="1">IF($C170="","",IF($D170="LPSM",AH169,VALUE($C170)*AH169))</f>
        <v/>
      </c>
      <c r="AJ170" s="388"/>
      <c r="AK170" s="178" t="str">
        <f ca="1">IF($C170="","",IF($D170="LPSM",AJ169,VALUE($C170)*AJ169))</f>
        <v/>
      </c>
      <c r="AL170" s="388"/>
      <c r="AM170" s="178" t="str">
        <f ca="1">IF($C170="","",IF($D170="LPSM",AL169,VALUE($C170)*AL169))</f>
        <v/>
      </c>
      <c r="AN170" s="388"/>
      <c r="AO170" s="178" t="str">
        <f ca="1">IF($C170="","",IF($D170="LPSM",AN169,VALUE($C170)*AN169))</f>
        <v/>
      </c>
      <c r="AP170" s="388"/>
      <c r="AQ170" s="178" t="str">
        <f ca="1">IF($C170="","",IF($D170="LPSM",AP169,VALUE($C170)*AP169))</f>
        <v/>
      </c>
      <c r="AR170" s="209" t="str">
        <f ca="1">IF(LEN(B170)&gt;0,ISNUMBER(MATCH(B170,Proposed[Item],0)),"")</f>
        <v/>
      </c>
    </row>
    <row r="171" spans="1:44" ht="15" x14ac:dyDescent="0.2">
      <c r="A171" s="276">
        <f t="shared" ca="1" si="2"/>
        <v>82</v>
      </c>
      <c r="B171" s="168" t="str">
        <f ca="1">IFERROR(INDEX(INDIRECT(RangeItems),MATCH($A171,INDIRECT(RangeCount),0)),"")</f>
        <v/>
      </c>
      <c r="C171" s="365" t="str">
        <f ca="1">INDEX(Calcs[Description],$A171)</f>
        <v/>
      </c>
      <c r="D171" s="365"/>
      <c r="E171" s="365"/>
      <c r="F171" s="365"/>
      <c r="G171" s="365"/>
      <c r="H171" s="388"/>
      <c r="I171" s="177"/>
      <c r="J171" s="388"/>
      <c r="K171" s="177"/>
      <c r="L171" s="388"/>
      <c r="M171" s="177"/>
      <c r="N171" s="388"/>
      <c r="O171" s="177"/>
      <c r="P171" s="388"/>
      <c r="Q171" s="177"/>
      <c r="R171" s="388"/>
      <c r="S171" s="177"/>
      <c r="T171" s="388"/>
      <c r="U171" s="177"/>
      <c r="V171" s="388"/>
      <c r="W171" s="177"/>
      <c r="X171" s="388"/>
      <c r="Y171" s="177"/>
      <c r="Z171" s="388"/>
      <c r="AA171" s="177"/>
      <c r="AB171" s="388"/>
      <c r="AC171" s="177"/>
      <c r="AD171" s="388"/>
      <c r="AE171" s="177"/>
      <c r="AF171" s="388"/>
      <c r="AG171" s="177"/>
      <c r="AH171" s="388"/>
      <c r="AI171" s="177"/>
      <c r="AJ171" s="388"/>
      <c r="AK171" s="177"/>
      <c r="AL171" s="388"/>
      <c r="AM171" s="177"/>
      <c r="AN171" s="388"/>
      <c r="AO171" s="177"/>
      <c r="AP171" s="388"/>
      <c r="AQ171" s="177"/>
      <c r="AR171" s="209" t="str">
        <f ca="1">IF(LEN(B171)&gt;0,ISNUMBER(MATCH(B171,Proposed[Item],0)),"")</f>
        <v/>
      </c>
    </row>
    <row r="172" spans="1:44" ht="15" x14ac:dyDescent="0.2">
      <c r="A172" s="276">
        <f t="shared" ca="1" si="2"/>
        <v>82</v>
      </c>
      <c r="B172" s="111" t="str">
        <f ca="1">IF($A172&lt;=NumPayItems,"Line "&amp;INDEX(Calcs[Line],$A172),"")</f>
        <v/>
      </c>
      <c r="C172" s="169" t="str">
        <f ca="1">IFERROR(IF($D172="LPSM","ALL",TEXT(INDEX(INDIRECT(RangeQuantity),MATCH($A172,INDIRECT(RangeCount),0)),"#,##0"&amp;IF(OFFSET(Items[],MATCH($A172,INDIRECT(RangeCount),0)-1,MATCH(Decimals,Items[#Headers],0)-1,1,1)&gt;0,"."&amp;REPT("0",OFFSET(Items[],MATCH($A172,INDIRECT(RangeCount),0)-1,MATCH(Decimals,Items[#Headers],0)-1,1,1)),""))),"")</f>
        <v/>
      </c>
      <c r="D172" s="170" t="str">
        <f ca="1">IFERROR(INDEX(INDIRECT(RangeUnit),MATCH($A172,INDIRECT(RangeCount),0)),"")</f>
        <v/>
      </c>
      <c r="E172" s="170" t="str">
        <f ca="1">IFERROR(IF(INDEX(INDIRECT(RangeContrQty),MATCH($A172,INDIRECT(RangeCount),0)),"(CQ)",""),"")</f>
        <v/>
      </c>
      <c r="F172" s="171" t="str">
        <f ca="1">IFERROR(INDEX(INDIRECT(RangeUnitPrice),MATCH($A172,INDIRECT(RangeCount),0)),"")</f>
        <v/>
      </c>
      <c r="G172" s="171" t="str">
        <f ca="1">IFERROR(VALUE(C172)*F172,F172)</f>
        <v/>
      </c>
      <c r="H172" s="388"/>
      <c r="I172" s="178" t="str">
        <f ca="1">IF($C172="","",IF($D172="LPSM",H171,VALUE($C172)*H171))</f>
        <v/>
      </c>
      <c r="J172" s="388"/>
      <c r="K172" s="178" t="str">
        <f ca="1">IF($C172="","",IF($D172="LPSM",J171,VALUE($C172)*J171))</f>
        <v/>
      </c>
      <c r="L172" s="388"/>
      <c r="M172" s="178" t="str">
        <f ca="1">IF($C172="","",IF($D172="LPSM",L171,VALUE($C172)*L171))</f>
        <v/>
      </c>
      <c r="N172" s="388"/>
      <c r="O172" s="178" t="str">
        <f ca="1">IF($C172="","",IF($D172="LPSM",N171,VALUE($C172)*N171))</f>
        <v/>
      </c>
      <c r="P172" s="388"/>
      <c r="Q172" s="178" t="str">
        <f ca="1">IF($C172="","",IF($D172="LPSM",P171,VALUE($C172)*P171))</f>
        <v/>
      </c>
      <c r="R172" s="388"/>
      <c r="S172" s="178" t="str">
        <f ca="1">IF($C172="","",IF($D172="LPSM",R171,VALUE($C172)*R171))</f>
        <v/>
      </c>
      <c r="T172" s="388"/>
      <c r="U172" s="178" t="str">
        <f ca="1">IF($C172="","",IF($D172="LPSM",T171,VALUE($C172)*T171))</f>
        <v/>
      </c>
      <c r="V172" s="388"/>
      <c r="W172" s="178" t="str">
        <f ca="1">IF($C172="","",IF($D172="LPSM",V171,VALUE($C172)*V171))</f>
        <v/>
      </c>
      <c r="X172" s="388"/>
      <c r="Y172" s="178" t="str">
        <f ca="1">IF($C172="","",IF($D172="LPSM",X171,VALUE($C172)*X171))</f>
        <v/>
      </c>
      <c r="Z172" s="388"/>
      <c r="AA172" s="178" t="str">
        <f ca="1">IF($C172="","",IF($D172="LPSM",Z171,VALUE($C172)*Z171))</f>
        <v/>
      </c>
      <c r="AB172" s="388"/>
      <c r="AC172" s="178" t="str">
        <f ca="1">IF($C172="","",IF($D172="LPSM",AB171,VALUE($C172)*AB171))</f>
        <v/>
      </c>
      <c r="AD172" s="388"/>
      <c r="AE172" s="178" t="str">
        <f ca="1">IF($C172="","",IF($D172="LPSM",AD171,VALUE($C172)*AD171))</f>
        <v/>
      </c>
      <c r="AF172" s="388"/>
      <c r="AG172" s="178" t="str">
        <f ca="1">IF($C172="","",IF($D172="LPSM",AF171,VALUE($C172)*AF171))</f>
        <v/>
      </c>
      <c r="AH172" s="388"/>
      <c r="AI172" s="178" t="str">
        <f ca="1">IF($C172="","",IF($D172="LPSM",AH171,VALUE($C172)*AH171))</f>
        <v/>
      </c>
      <c r="AJ172" s="388"/>
      <c r="AK172" s="178" t="str">
        <f ca="1">IF($C172="","",IF($D172="LPSM",AJ171,VALUE($C172)*AJ171))</f>
        <v/>
      </c>
      <c r="AL172" s="388"/>
      <c r="AM172" s="178" t="str">
        <f ca="1">IF($C172="","",IF($D172="LPSM",AL171,VALUE($C172)*AL171))</f>
        <v/>
      </c>
      <c r="AN172" s="388"/>
      <c r="AO172" s="178" t="str">
        <f ca="1">IF($C172="","",IF($D172="LPSM",AN171,VALUE($C172)*AN171))</f>
        <v/>
      </c>
      <c r="AP172" s="388"/>
      <c r="AQ172" s="178" t="str">
        <f ca="1">IF($C172="","",IF($D172="LPSM",AP171,VALUE($C172)*AP171))</f>
        <v/>
      </c>
      <c r="AR172" s="209" t="str">
        <f ca="1">IF(LEN(B172)&gt;0,ISNUMBER(MATCH(B172,Proposed[Item],0)),"")</f>
        <v/>
      </c>
    </row>
    <row r="173" spans="1:44" ht="15" x14ac:dyDescent="0.2">
      <c r="A173" s="276">
        <f t="shared" ca="1" si="2"/>
        <v>83</v>
      </c>
      <c r="B173" s="168" t="str">
        <f ca="1">IFERROR(INDEX(INDIRECT(RangeItems),MATCH($A173,INDIRECT(RangeCount),0)),"")</f>
        <v/>
      </c>
      <c r="C173" s="365" t="str">
        <f ca="1">INDEX(Calcs[Description],$A173)</f>
        <v/>
      </c>
      <c r="D173" s="365"/>
      <c r="E173" s="365"/>
      <c r="F173" s="365"/>
      <c r="G173" s="365"/>
      <c r="H173" s="388"/>
      <c r="I173" s="177"/>
      <c r="J173" s="388"/>
      <c r="K173" s="177"/>
      <c r="L173" s="388"/>
      <c r="M173" s="177"/>
      <c r="N173" s="388"/>
      <c r="O173" s="177"/>
      <c r="P173" s="388"/>
      <c r="Q173" s="177"/>
      <c r="R173" s="388"/>
      <c r="S173" s="177"/>
      <c r="T173" s="388"/>
      <c r="U173" s="177"/>
      <c r="V173" s="388"/>
      <c r="W173" s="177"/>
      <c r="X173" s="388"/>
      <c r="Y173" s="177"/>
      <c r="Z173" s="388"/>
      <c r="AA173" s="177"/>
      <c r="AB173" s="388"/>
      <c r="AC173" s="177"/>
      <c r="AD173" s="388"/>
      <c r="AE173" s="177"/>
      <c r="AF173" s="388"/>
      <c r="AG173" s="177"/>
      <c r="AH173" s="388"/>
      <c r="AI173" s="177"/>
      <c r="AJ173" s="388"/>
      <c r="AK173" s="177"/>
      <c r="AL173" s="388"/>
      <c r="AM173" s="177"/>
      <c r="AN173" s="388"/>
      <c r="AO173" s="177"/>
      <c r="AP173" s="388"/>
      <c r="AQ173" s="177"/>
      <c r="AR173" s="209" t="str">
        <f ca="1">IF(LEN(B173)&gt;0,ISNUMBER(MATCH(B173,Proposed[Item],0)),"")</f>
        <v/>
      </c>
    </row>
    <row r="174" spans="1:44" ht="15" x14ac:dyDescent="0.2">
      <c r="A174" s="276">
        <f t="shared" ca="1" si="2"/>
        <v>83</v>
      </c>
      <c r="B174" s="111" t="str">
        <f ca="1">IF($A174&lt;=NumPayItems,"Line "&amp;INDEX(Calcs[Line],$A174),"")</f>
        <v/>
      </c>
      <c r="C174" s="169" t="str">
        <f ca="1">IFERROR(IF($D174="LPSM","ALL",TEXT(INDEX(INDIRECT(RangeQuantity),MATCH($A174,INDIRECT(RangeCount),0)),"#,##0"&amp;IF(OFFSET(Items[],MATCH($A174,INDIRECT(RangeCount),0)-1,MATCH(Decimals,Items[#Headers],0)-1,1,1)&gt;0,"."&amp;REPT("0",OFFSET(Items[],MATCH($A174,INDIRECT(RangeCount),0)-1,MATCH(Decimals,Items[#Headers],0)-1,1,1)),""))),"")</f>
        <v/>
      </c>
      <c r="D174" s="170" t="str">
        <f ca="1">IFERROR(INDEX(INDIRECT(RangeUnit),MATCH($A174,INDIRECT(RangeCount),0)),"")</f>
        <v/>
      </c>
      <c r="E174" s="170" t="str">
        <f ca="1">IFERROR(IF(INDEX(INDIRECT(RangeContrQty),MATCH($A174,INDIRECT(RangeCount),0)),"(CQ)",""),"")</f>
        <v/>
      </c>
      <c r="F174" s="171" t="str">
        <f ca="1">IFERROR(INDEX(INDIRECT(RangeUnitPrice),MATCH($A174,INDIRECT(RangeCount),0)),"")</f>
        <v/>
      </c>
      <c r="G174" s="171" t="str">
        <f ca="1">IFERROR(VALUE(C174)*F174,F174)</f>
        <v/>
      </c>
      <c r="H174" s="388"/>
      <c r="I174" s="178" t="str">
        <f ca="1">IF($C174="","",IF($D174="LPSM",H173,VALUE($C174)*H173))</f>
        <v/>
      </c>
      <c r="J174" s="388"/>
      <c r="K174" s="178" t="str">
        <f ca="1">IF($C174="","",IF($D174="LPSM",J173,VALUE($C174)*J173))</f>
        <v/>
      </c>
      <c r="L174" s="388"/>
      <c r="M174" s="178" t="str">
        <f ca="1">IF($C174="","",IF($D174="LPSM",L173,VALUE($C174)*L173))</f>
        <v/>
      </c>
      <c r="N174" s="388"/>
      <c r="O174" s="178" t="str">
        <f ca="1">IF($C174="","",IF($D174="LPSM",N173,VALUE($C174)*N173))</f>
        <v/>
      </c>
      <c r="P174" s="388"/>
      <c r="Q174" s="178" t="str">
        <f ca="1">IF($C174="","",IF($D174="LPSM",P173,VALUE($C174)*P173))</f>
        <v/>
      </c>
      <c r="R174" s="388"/>
      <c r="S174" s="178" t="str">
        <f ca="1">IF($C174="","",IF($D174="LPSM",R173,VALUE($C174)*R173))</f>
        <v/>
      </c>
      <c r="T174" s="388"/>
      <c r="U174" s="178" t="str">
        <f ca="1">IF($C174="","",IF($D174="LPSM",T173,VALUE($C174)*T173))</f>
        <v/>
      </c>
      <c r="V174" s="388"/>
      <c r="W174" s="178" t="str">
        <f ca="1">IF($C174="","",IF($D174="LPSM",V173,VALUE($C174)*V173))</f>
        <v/>
      </c>
      <c r="X174" s="388"/>
      <c r="Y174" s="178" t="str">
        <f ca="1">IF($C174="","",IF($D174="LPSM",X173,VALUE($C174)*X173))</f>
        <v/>
      </c>
      <c r="Z174" s="388"/>
      <c r="AA174" s="178" t="str">
        <f ca="1">IF($C174="","",IF($D174="LPSM",Z173,VALUE($C174)*Z173))</f>
        <v/>
      </c>
      <c r="AB174" s="388"/>
      <c r="AC174" s="178" t="str">
        <f ca="1">IF($C174="","",IF($D174="LPSM",AB173,VALUE($C174)*AB173))</f>
        <v/>
      </c>
      <c r="AD174" s="388"/>
      <c r="AE174" s="178" t="str">
        <f ca="1">IF($C174="","",IF($D174="LPSM",AD173,VALUE($C174)*AD173))</f>
        <v/>
      </c>
      <c r="AF174" s="388"/>
      <c r="AG174" s="178" t="str">
        <f ca="1">IF($C174="","",IF($D174="LPSM",AF173,VALUE($C174)*AF173))</f>
        <v/>
      </c>
      <c r="AH174" s="388"/>
      <c r="AI174" s="178" t="str">
        <f ca="1">IF($C174="","",IF($D174="LPSM",AH173,VALUE($C174)*AH173))</f>
        <v/>
      </c>
      <c r="AJ174" s="388"/>
      <c r="AK174" s="178" t="str">
        <f ca="1">IF($C174="","",IF($D174="LPSM",AJ173,VALUE($C174)*AJ173))</f>
        <v/>
      </c>
      <c r="AL174" s="388"/>
      <c r="AM174" s="178" t="str">
        <f ca="1">IF($C174="","",IF($D174="LPSM",AL173,VALUE($C174)*AL173))</f>
        <v/>
      </c>
      <c r="AN174" s="388"/>
      <c r="AO174" s="178" t="str">
        <f ca="1">IF($C174="","",IF($D174="LPSM",AN173,VALUE($C174)*AN173))</f>
        <v/>
      </c>
      <c r="AP174" s="388"/>
      <c r="AQ174" s="178" t="str">
        <f ca="1">IF($C174="","",IF($D174="LPSM",AP173,VALUE($C174)*AP173))</f>
        <v/>
      </c>
      <c r="AR174" s="209" t="str">
        <f ca="1">IF(LEN(B174)&gt;0,ISNUMBER(MATCH(B174,Proposed[Item],0)),"")</f>
        <v/>
      </c>
    </row>
    <row r="175" spans="1:44" ht="15" x14ac:dyDescent="0.2">
      <c r="A175" s="276">
        <f t="shared" ca="1" si="2"/>
        <v>84</v>
      </c>
      <c r="B175" s="168" t="str">
        <f ca="1">IFERROR(INDEX(INDIRECT(RangeItems),MATCH($A175,INDIRECT(RangeCount),0)),"")</f>
        <v/>
      </c>
      <c r="C175" s="365" t="str">
        <f ca="1">INDEX(Calcs[Description],$A175)</f>
        <v/>
      </c>
      <c r="D175" s="365"/>
      <c r="E175" s="365"/>
      <c r="F175" s="365"/>
      <c r="G175" s="365"/>
      <c r="H175" s="388"/>
      <c r="I175" s="177"/>
      <c r="J175" s="388"/>
      <c r="K175" s="177"/>
      <c r="L175" s="388"/>
      <c r="M175" s="177"/>
      <c r="N175" s="388"/>
      <c r="O175" s="177"/>
      <c r="P175" s="388"/>
      <c r="Q175" s="177"/>
      <c r="R175" s="388"/>
      <c r="S175" s="177"/>
      <c r="T175" s="388"/>
      <c r="U175" s="177"/>
      <c r="V175" s="388"/>
      <c r="W175" s="177"/>
      <c r="X175" s="388"/>
      <c r="Y175" s="177"/>
      <c r="Z175" s="388"/>
      <c r="AA175" s="177"/>
      <c r="AB175" s="388"/>
      <c r="AC175" s="177"/>
      <c r="AD175" s="388"/>
      <c r="AE175" s="177"/>
      <c r="AF175" s="388"/>
      <c r="AG175" s="177"/>
      <c r="AH175" s="388"/>
      <c r="AI175" s="177"/>
      <c r="AJ175" s="388"/>
      <c r="AK175" s="177"/>
      <c r="AL175" s="388"/>
      <c r="AM175" s="177"/>
      <c r="AN175" s="388"/>
      <c r="AO175" s="177"/>
      <c r="AP175" s="388"/>
      <c r="AQ175" s="177"/>
      <c r="AR175" s="209" t="str">
        <f ca="1">IF(LEN(B175)&gt;0,ISNUMBER(MATCH(B175,Proposed[Item],0)),"")</f>
        <v/>
      </c>
    </row>
    <row r="176" spans="1:44" ht="15" x14ac:dyDescent="0.2">
      <c r="A176" s="276">
        <f t="shared" ca="1" si="2"/>
        <v>84</v>
      </c>
      <c r="B176" s="111" t="str">
        <f ca="1">IF($A176&lt;=NumPayItems,"Line "&amp;INDEX(Calcs[Line],$A176),"")</f>
        <v/>
      </c>
      <c r="C176" s="169" t="str">
        <f ca="1">IFERROR(IF($D176="LPSM","ALL",TEXT(INDEX(INDIRECT(RangeQuantity),MATCH($A176,INDIRECT(RangeCount),0)),"#,##0"&amp;IF(OFFSET(Items[],MATCH($A176,INDIRECT(RangeCount),0)-1,MATCH(Decimals,Items[#Headers],0)-1,1,1)&gt;0,"."&amp;REPT("0",OFFSET(Items[],MATCH($A176,INDIRECT(RangeCount),0)-1,MATCH(Decimals,Items[#Headers],0)-1,1,1)),""))),"")</f>
        <v/>
      </c>
      <c r="D176" s="170" t="str">
        <f ca="1">IFERROR(INDEX(INDIRECT(RangeUnit),MATCH($A176,INDIRECT(RangeCount),0)),"")</f>
        <v/>
      </c>
      <c r="E176" s="170" t="str">
        <f ca="1">IFERROR(IF(INDEX(INDIRECT(RangeContrQty),MATCH($A176,INDIRECT(RangeCount),0)),"(CQ)",""),"")</f>
        <v/>
      </c>
      <c r="F176" s="171" t="str">
        <f ca="1">IFERROR(INDEX(INDIRECT(RangeUnitPrice),MATCH($A176,INDIRECT(RangeCount),0)),"")</f>
        <v/>
      </c>
      <c r="G176" s="171" t="str">
        <f ca="1">IFERROR(VALUE(C176)*F176,F176)</f>
        <v/>
      </c>
      <c r="H176" s="388"/>
      <c r="I176" s="178" t="str">
        <f ca="1">IF($C176="","",IF($D176="LPSM",H175,VALUE($C176)*H175))</f>
        <v/>
      </c>
      <c r="J176" s="388"/>
      <c r="K176" s="178" t="str">
        <f ca="1">IF($C176="","",IF($D176="LPSM",J175,VALUE($C176)*J175))</f>
        <v/>
      </c>
      <c r="L176" s="388"/>
      <c r="M176" s="178" t="str">
        <f ca="1">IF($C176="","",IF($D176="LPSM",L175,VALUE($C176)*L175))</f>
        <v/>
      </c>
      <c r="N176" s="388"/>
      <c r="O176" s="178" t="str">
        <f ca="1">IF($C176="","",IF($D176="LPSM",N175,VALUE($C176)*N175))</f>
        <v/>
      </c>
      <c r="P176" s="388"/>
      <c r="Q176" s="178" t="str">
        <f ca="1">IF($C176="","",IF($D176="LPSM",P175,VALUE($C176)*P175))</f>
        <v/>
      </c>
      <c r="R176" s="388"/>
      <c r="S176" s="178" t="str">
        <f ca="1">IF($C176="","",IF($D176="LPSM",R175,VALUE($C176)*R175))</f>
        <v/>
      </c>
      <c r="T176" s="388"/>
      <c r="U176" s="178" t="str">
        <f ca="1">IF($C176="","",IF($D176="LPSM",T175,VALUE($C176)*T175))</f>
        <v/>
      </c>
      <c r="V176" s="388"/>
      <c r="W176" s="178" t="str">
        <f ca="1">IF($C176="","",IF($D176="LPSM",V175,VALUE($C176)*V175))</f>
        <v/>
      </c>
      <c r="X176" s="388"/>
      <c r="Y176" s="178" t="str">
        <f ca="1">IF($C176="","",IF($D176="LPSM",X175,VALUE($C176)*X175))</f>
        <v/>
      </c>
      <c r="Z176" s="388"/>
      <c r="AA176" s="178" t="str">
        <f ca="1">IF($C176="","",IF($D176="LPSM",Z175,VALUE($C176)*Z175))</f>
        <v/>
      </c>
      <c r="AB176" s="388"/>
      <c r="AC176" s="178" t="str">
        <f ca="1">IF($C176="","",IF($D176="LPSM",AB175,VALUE($C176)*AB175))</f>
        <v/>
      </c>
      <c r="AD176" s="388"/>
      <c r="AE176" s="178" t="str">
        <f ca="1">IF($C176="","",IF($D176="LPSM",AD175,VALUE($C176)*AD175))</f>
        <v/>
      </c>
      <c r="AF176" s="388"/>
      <c r="AG176" s="178" t="str">
        <f ca="1">IF($C176="","",IF($D176="LPSM",AF175,VALUE($C176)*AF175))</f>
        <v/>
      </c>
      <c r="AH176" s="388"/>
      <c r="AI176" s="178" t="str">
        <f ca="1">IF($C176="","",IF($D176="LPSM",AH175,VALUE($C176)*AH175))</f>
        <v/>
      </c>
      <c r="AJ176" s="388"/>
      <c r="AK176" s="178" t="str">
        <f ca="1">IF($C176="","",IF($D176="LPSM",AJ175,VALUE($C176)*AJ175))</f>
        <v/>
      </c>
      <c r="AL176" s="388"/>
      <c r="AM176" s="178" t="str">
        <f ca="1">IF($C176="","",IF($D176="LPSM",AL175,VALUE($C176)*AL175))</f>
        <v/>
      </c>
      <c r="AN176" s="388"/>
      <c r="AO176" s="178" t="str">
        <f ca="1">IF($C176="","",IF($D176="LPSM",AN175,VALUE($C176)*AN175))</f>
        <v/>
      </c>
      <c r="AP176" s="388"/>
      <c r="AQ176" s="178" t="str">
        <f ca="1">IF($C176="","",IF($D176="LPSM",AP175,VALUE($C176)*AP175))</f>
        <v/>
      </c>
      <c r="AR176" s="209" t="str">
        <f ca="1">IF(LEN(B176)&gt;0,ISNUMBER(MATCH(B176,Proposed[Item],0)),"")</f>
        <v/>
      </c>
    </row>
    <row r="177" spans="1:44" ht="15" x14ac:dyDescent="0.2">
      <c r="A177" s="276">
        <f t="shared" ca="1" si="2"/>
        <v>85</v>
      </c>
      <c r="B177" s="168" t="str">
        <f ca="1">IFERROR(INDEX(INDIRECT(RangeItems),MATCH($A177,INDIRECT(RangeCount),0)),"")</f>
        <v/>
      </c>
      <c r="C177" s="365" t="str">
        <f ca="1">INDEX(Calcs[Description],$A177)</f>
        <v/>
      </c>
      <c r="D177" s="365"/>
      <c r="E177" s="365"/>
      <c r="F177" s="365"/>
      <c r="G177" s="365"/>
      <c r="H177" s="388"/>
      <c r="I177" s="177"/>
      <c r="J177" s="388"/>
      <c r="K177" s="177"/>
      <c r="L177" s="388"/>
      <c r="M177" s="177"/>
      <c r="N177" s="388"/>
      <c r="O177" s="177"/>
      <c r="P177" s="388"/>
      <c r="Q177" s="177"/>
      <c r="R177" s="388"/>
      <c r="S177" s="177"/>
      <c r="T177" s="388"/>
      <c r="U177" s="177"/>
      <c r="V177" s="388"/>
      <c r="W177" s="177"/>
      <c r="X177" s="388"/>
      <c r="Y177" s="177"/>
      <c r="Z177" s="388"/>
      <c r="AA177" s="177"/>
      <c r="AB177" s="388"/>
      <c r="AC177" s="177"/>
      <c r="AD177" s="388"/>
      <c r="AE177" s="177"/>
      <c r="AF177" s="388"/>
      <c r="AG177" s="177"/>
      <c r="AH177" s="388"/>
      <c r="AI177" s="177"/>
      <c r="AJ177" s="388"/>
      <c r="AK177" s="177"/>
      <c r="AL177" s="388"/>
      <c r="AM177" s="177"/>
      <c r="AN177" s="388"/>
      <c r="AO177" s="177"/>
      <c r="AP177" s="388"/>
      <c r="AQ177" s="177"/>
      <c r="AR177" s="209" t="str">
        <f ca="1">IF(LEN(B177)&gt;0,ISNUMBER(MATCH(B177,Proposed[Item],0)),"")</f>
        <v/>
      </c>
    </row>
    <row r="178" spans="1:44" ht="15" x14ac:dyDescent="0.2">
      <c r="A178" s="276">
        <f t="shared" ca="1" si="2"/>
        <v>85</v>
      </c>
      <c r="B178" s="111" t="str">
        <f ca="1">IF($A178&lt;=NumPayItems,"Line "&amp;INDEX(Calcs[Line],$A178),"")</f>
        <v/>
      </c>
      <c r="C178" s="169" t="str">
        <f ca="1">IFERROR(IF($D178="LPSM","ALL",TEXT(INDEX(INDIRECT(RangeQuantity),MATCH($A178,INDIRECT(RangeCount),0)),"#,##0"&amp;IF(OFFSET(Items[],MATCH($A178,INDIRECT(RangeCount),0)-1,MATCH(Decimals,Items[#Headers],0)-1,1,1)&gt;0,"."&amp;REPT("0",OFFSET(Items[],MATCH($A178,INDIRECT(RangeCount),0)-1,MATCH(Decimals,Items[#Headers],0)-1,1,1)),""))),"")</f>
        <v/>
      </c>
      <c r="D178" s="170" t="str">
        <f ca="1">IFERROR(INDEX(INDIRECT(RangeUnit),MATCH($A178,INDIRECT(RangeCount),0)),"")</f>
        <v/>
      </c>
      <c r="E178" s="170" t="str">
        <f ca="1">IFERROR(IF(INDEX(INDIRECT(RangeContrQty),MATCH($A178,INDIRECT(RangeCount),0)),"(CQ)",""),"")</f>
        <v/>
      </c>
      <c r="F178" s="171" t="str">
        <f ca="1">IFERROR(INDEX(INDIRECT(RangeUnitPrice),MATCH($A178,INDIRECT(RangeCount),0)),"")</f>
        <v/>
      </c>
      <c r="G178" s="171" t="str">
        <f ca="1">IFERROR(VALUE(C178)*F178,F178)</f>
        <v/>
      </c>
      <c r="H178" s="388"/>
      <c r="I178" s="178" t="str">
        <f ca="1">IF($C178="","",IF($D178="LPSM",H177,VALUE($C178)*H177))</f>
        <v/>
      </c>
      <c r="J178" s="388"/>
      <c r="K178" s="178" t="str">
        <f ca="1">IF($C178="","",IF($D178="LPSM",J177,VALUE($C178)*J177))</f>
        <v/>
      </c>
      <c r="L178" s="388"/>
      <c r="M178" s="178" t="str">
        <f ca="1">IF($C178="","",IF($D178="LPSM",L177,VALUE($C178)*L177))</f>
        <v/>
      </c>
      <c r="N178" s="388"/>
      <c r="O178" s="178" t="str">
        <f ca="1">IF($C178="","",IF($D178="LPSM",N177,VALUE($C178)*N177))</f>
        <v/>
      </c>
      <c r="P178" s="388"/>
      <c r="Q178" s="178" t="str">
        <f ca="1">IF($C178="","",IF($D178="LPSM",P177,VALUE($C178)*P177))</f>
        <v/>
      </c>
      <c r="R178" s="388"/>
      <c r="S178" s="178" t="str">
        <f ca="1">IF($C178="","",IF($D178="LPSM",R177,VALUE($C178)*R177))</f>
        <v/>
      </c>
      <c r="T178" s="388"/>
      <c r="U178" s="178" t="str">
        <f ca="1">IF($C178="","",IF($D178="LPSM",T177,VALUE($C178)*T177))</f>
        <v/>
      </c>
      <c r="V178" s="388"/>
      <c r="W178" s="178" t="str">
        <f ca="1">IF($C178="","",IF($D178="LPSM",V177,VALUE($C178)*V177))</f>
        <v/>
      </c>
      <c r="X178" s="388"/>
      <c r="Y178" s="178" t="str">
        <f ca="1">IF($C178="","",IF($D178="LPSM",X177,VALUE($C178)*X177))</f>
        <v/>
      </c>
      <c r="Z178" s="388"/>
      <c r="AA178" s="178" t="str">
        <f ca="1">IF($C178="","",IF($D178="LPSM",Z177,VALUE($C178)*Z177))</f>
        <v/>
      </c>
      <c r="AB178" s="388"/>
      <c r="AC178" s="178" t="str">
        <f ca="1">IF($C178="","",IF($D178="LPSM",AB177,VALUE($C178)*AB177))</f>
        <v/>
      </c>
      <c r="AD178" s="388"/>
      <c r="AE178" s="178" t="str">
        <f ca="1">IF($C178="","",IF($D178="LPSM",AD177,VALUE($C178)*AD177))</f>
        <v/>
      </c>
      <c r="AF178" s="388"/>
      <c r="AG178" s="178" t="str">
        <f ca="1">IF($C178="","",IF($D178="LPSM",AF177,VALUE($C178)*AF177))</f>
        <v/>
      </c>
      <c r="AH178" s="388"/>
      <c r="AI178" s="178" t="str">
        <f ca="1">IF($C178="","",IF($D178="LPSM",AH177,VALUE($C178)*AH177))</f>
        <v/>
      </c>
      <c r="AJ178" s="388"/>
      <c r="AK178" s="178" t="str">
        <f ca="1">IF($C178="","",IF($D178="LPSM",AJ177,VALUE($C178)*AJ177))</f>
        <v/>
      </c>
      <c r="AL178" s="388"/>
      <c r="AM178" s="178" t="str">
        <f ca="1">IF($C178="","",IF($D178="LPSM",AL177,VALUE($C178)*AL177))</f>
        <v/>
      </c>
      <c r="AN178" s="388"/>
      <c r="AO178" s="178" t="str">
        <f ca="1">IF($C178="","",IF($D178="LPSM",AN177,VALUE($C178)*AN177))</f>
        <v/>
      </c>
      <c r="AP178" s="388"/>
      <c r="AQ178" s="178" t="str">
        <f ca="1">IF($C178="","",IF($D178="LPSM",AP177,VALUE($C178)*AP177))</f>
        <v/>
      </c>
      <c r="AR178" s="209" t="str">
        <f ca="1">IF(LEN(B178)&gt;0,ISNUMBER(MATCH(B178,Proposed[Item],0)),"")</f>
        <v/>
      </c>
    </row>
    <row r="179" spans="1:44" ht="15" x14ac:dyDescent="0.2">
      <c r="A179" s="276">
        <f t="shared" ca="1" si="2"/>
        <v>86</v>
      </c>
      <c r="B179" s="168" t="str">
        <f ca="1">IFERROR(INDEX(INDIRECT(RangeItems),MATCH($A179,INDIRECT(RangeCount),0)),"")</f>
        <v/>
      </c>
      <c r="C179" s="365" t="str">
        <f ca="1">INDEX(Calcs[Description],$A179)</f>
        <v/>
      </c>
      <c r="D179" s="365"/>
      <c r="E179" s="365"/>
      <c r="F179" s="365"/>
      <c r="G179" s="365"/>
      <c r="H179" s="388"/>
      <c r="I179" s="177"/>
      <c r="J179" s="388"/>
      <c r="K179" s="177"/>
      <c r="L179" s="388"/>
      <c r="M179" s="177"/>
      <c r="N179" s="388"/>
      <c r="O179" s="177"/>
      <c r="P179" s="388"/>
      <c r="Q179" s="177"/>
      <c r="R179" s="388"/>
      <c r="S179" s="177"/>
      <c r="T179" s="388"/>
      <c r="U179" s="177"/>
      <c r="V179" s="388"/>
      <c r="W179" s="177"/>
      <c r="X179" s="388"/>
      <c r="Y179" s="177"/>
      <c r="Z179" s="388"/>
      <c r="AA179" s="177"/>
      <c r="AB179" s="388"/>
      <c r="AC179" s="177"/>
      <c r="AD179" s="388"/>
      <c r="AE179" s="177"/>
      <c r="AF179" s="388"/>
      <c r="AG179" s="177"/>
      <c r="AH179" s="388"/>
      <c r="AI179" s="177"/>
      <c r="AJ179" s="388"/>
      <c r="AK179" s="177"/>
      <c r="AL179" s="388"/>
      <c r="AM179" s="177"/>
      <c r="AN179" s="388"/>
      <c r="AO179" s="177"/>
      <c r="AP179" s="388"/>
      <c r="AQ179" s="177"/>
      <c r="AR179" s="209" t="str">
        <f ca="1">IF(LEN(B179)&gt;0,ISNUMBER(MATCH(B179,Proposed[Item],0)),"")</f>
        <v/>
      </c>
    </row>
    <row r="180" spans="1:44" ht="15" x14ac:dyDescent="0.2">
      <c r="A180" s="276">
        <f t="shared" ca="1" si="2"/>
        <v>86</v>
      </c>
      <c r="B180" s="111" t="str">
        <f ca="1">IF($A180&lt;=NumPayItems,"Line "&amp;INDEX(Calcs[Line],$A180),"")</f>
        <v/>
      </c>
      <c r="C180" s="169" t="str">
        <f ca="1">IFERROR(IF($D180="LPSM","ALL",TEXT(INDEX(INDIRECT(RangeQuantity),MATCH($A180,INDIRECT(RangeCount),0)),"#,##0"&amp;IF(OFFSET(Items[],MATCH($A180,INDIRECT(RangeCount),0)-1,MATCH(Decimals,Items[#Headers],0)-1,1,1)&gt;0,"."&amp;REPT("0",OFFSET(Items[],MATCH($A180,INDIRECT(RangeCount),0)-1,MATCH(Decimals,Items[#Headers],0)-1,1,1)),""))),"")</f>
        <v/>
      </c>
      <c r="D180" s="170" t="str">
        <f ca="1">IFERROR(INDEX(INDIRECT(RangeUnit),MATCH($A180,INDIRECT(RangeCount),0)),"")</f>
        <v/>
      </c>
      <c r="E180" s="170" t="str">
        <f ca="1">IFERROR(IF(INDEX(INDIRECT(RangeContrQty),MATCH($A180,INDIRECT(RangeCount),0)),"(CQ)",""),"")</f>
        <v/>
      </c>
      <c r="F180" s="171" t="str">
        <f ca="1">IFERROR(INDEX(INDIRECT(RangeUnitPrice),MATCH($A180,INDIRECT(RangeCount),0)),"")</f>
        <v/>
      </c>
      <c r="G180" s="171" t="str">
        <f ca="1">IFERROR(VALUE(C180)*F180,F180)</f>
        <v/>
      </c>
      <c r="H180" s="388"/>
      <c r="I180" s="178" t="str">
        <f ca="1">IF($C180="","",IF($D180="LPSM",H179,VALUE($C180)*H179))</f>
        <v/>
      </c>
      <c r="J180" s="388"/>
      <c r="K180" s="178" t="str">
        <f ca="1">IF($C180="","",IF($D180="LPSM",J179,VALUE($C180)*J179))</f>
        <v/>
      </c>
      <c r="L180" s="388"/>
      <c r="M180" s="178" t="str">
        <f ca="1">IF($C180="","",IF($D180="LPSM",L179,VALUE($C180)*L179))</f>
        <v/>
      </c>
      <c r="N180" s="388"/>
      <c r="O180" s="178" t="str">
        <f ca="1">IF($C180="","",IF($D180="LPSM",N179,VALUE($C180)*N179))</f>
        <v/>
      </c>
      <c r="P180" s="388"/>
      <c r="Q180" s="178" t="str">
        <f ca="1">IF($C180="","",IF($D180="LPSM",P179,VALUE($C180)*P179))</f>
        <v/>
      </c>
      <c r="R180" s="388"/>
      <c r="S180" s="178" t="str">
        <f ca="1">IF($C180="","",IF($D180="LPSM",R179,VALUE($C180)*R179))</f>
        <v/>
      </c>
      <c r="T180" s="388"/>
      <c r="U180" s="178" t="str">
        <f ca="1">IF($C180="","",IF($D180="LPSM",T179,VALUE($C180)*T179))</f>
        <v/>
      </c>
      <c r="V180" s="388"/>
      <c r="W180" s="178" t="str">
        <f ca="1">IF($C180="","",IF($D180="LPSM",V179,VALUE($C180)*V179))</f>
        <v/>
      </c>
      <c r="X180" s="388"/>
      <c r="Y180" s="178" t="str">
        <f ca="1">IF($C180="","",IF($D180="LPSM",X179,VALUE($C180)*X179))</f>
        <v/>
      </c>
      <c r="Z180" s="388"/>
      <c r="AA180" s="178" t="str">
        <f ca="1">IF($C180="","",IF($D180="LPSM",Z179,VALUE($C180)*Z179))</f>
        <v/>
      </c>
      <c r="AB180" s="388"/>
      <c r="AC180" s="178" t="str">
        <f ca="1">IF($C180="","",IF($D180="LPSM",AB179,VALUE($C180)*AB179))</f>
        <v/>
      </c>
      <c r="AD180" s="388"/>
      <c r="AE180" s="178" t="str">
        <f ca="1">IF($C180="","",IF($D180="LPSM",AD179,VALUE($C180)*AD179))</f>
        <v/>
      </c>
      <c r="AF180" s="388"/>
      <c r="AG180" s="178" t="str">
        <f ca="1">IF($C180="","",IF($D180="LPSM",AF179,VALUE($C180)*AF179))</f>
        <v/>
      </c>
      <c r="AH180" s="388"/>
      <c r="AI180" s="178" t="str">
        <f ca="1">IF($C180="","",IF($D180="LPSM",AH179,VALUE($C180)*AH179))</f>
        <v/>
      </c>
      <c r="AJ180" s="388"/>
      <c r="AK180" s="178" t="str">
        <f ca="1">IF($C180="","",IF($D180="LPSM",AJ179,VALUE($C180)*AJ179))</f>
        <v/>
      </c>
      <c r="AL180" s="388"/>
      <c r="AM180" s="178" t="str">
        <f ca="1">IF($C180="","",IF($D180="LPSM",AL179,VALUE($C180)*AL179))</f>
        <v/>
      </c>
      <c r="AN180" s="388"/>
      <c r="AO180" s="178" t="str">
        <f ca="1">IF($C180="","",IF($D180="LPSM",AN179,VALUE($C180)*AN179))</f>
        <v/>
      </c>
      <c r="AP180" s="388"/>
      <c r="AQ180" s="178" t="str">
        <f ca="1">IF($C180="","",IF($D180="LPSM",AP179,VALUE($C180)*AP179))</f>
        <v/>
      </c>
      <c r="AR180" s="209" t="str">
        <f ca="1">IF(LEN(B180)&gt;0,ISNUMBER(MATCH(B180,Proposed[Item],0)),"")</f>
        <v/>
      </c>
    </row>
    <row r="181" spans="1:44" ht="15" x14ac:dyDescent="0.2">
      <c r="A181" s="276">
        <f t="shared" ca="1" si="2"/>
        <v>87</v>
      </c>
      <c r="B181" s="168" t="str">
        <f ca="1">IFERROR(INDEX(INDIRECT(RangeItems),MATCH($A181,INDIRECT(RangeCount),0)),"")</f>
        <v/>
      </c>
      <c r="C181" s="365" t="str">
        <f ca="1">INDEX(Calcs[Description],$A181)</f>
        <v/>
      </c>
      <c r="D181" s="365"/>
      <c r="E181" s="365"/>
      <c r="F181" s="365"/>
      <c r="G181" s="365"/>
      <c r="H181" s="388"/>
      <c r="I181" s="177"/>
      <c r="J181" s="388"/>
      <c r="K181" s="177"/>
      <c r="L181" s="388"/>
      <c r="M181" s="177"/>
      <c r="N181" s="388"/>
      <c r="O181" s="177"/>
      <c r="P181" s="388"/>
      <c r="Q181" s="177"/>
      <c r="R181" s="388"/>
      <c r="S181" s="177"/>
      <c r="T181" s="388"/>
      <c r="U181" s="177"/>
      <c r="V181" s="388"/>
      <c r="W181" s="177"/>
      <c r="X181" s="388"/>
      <c r="Y181" s="177"/>
      <c r="Z181" s="388"/>
      <c r="AA181" s="177"/>
      <c r="AB181" s="388"/>
      <c r="AC181" s="177"/>
      <c r="AD181" s="388"/>
      <c r="AE181" s="177"/>
      <c r="AF181" s="388"/>
      <c r="AG181" s="177"/>
      <c r="AH181" s="388"/>
      <c r="AI181" s="177"/>
      <c r="AJ181" s="388"/>
      <c r="AK181" s="177"/>
      <c r="AL181" s="388"/>
      <c r="AM181" s="177"/>
      <c r="AN181" s="388"/>
      <c r="AO181" s="177"/>
      <c r="AP181" s="388"/>
      <c r="AQ181" s="177"/>
      <c r="AR181" s="209" t="str">
        <f ca="1">IF(LEN(B181)&gt;0,ISNUMBER(MATCH(B181,Proposed[Item],0)),"")</f>
        <v/>
      </c>
    </row>
    <row r="182" spans="1:44" ht="15" x14ac:dyDescent="0.2">
      <c r="A182" s="276">
        <f t="shared" ca="1" si="2"/>
        <v>87</v>
      </c>
      <c r="B182" s="111" t="str">
        <f ca="1">IF($A182&lt;=NumPayItems,"Line "&amp;INDEX(Calcs[Line],$A182),"")</f>
        <v/>
      </c>
      <c r="C182" s="169" t="str">
        <f ca="1">IFERROR(IF($D182="LPSM","ALL",TEXT(INDEX(INDIRECT(RangeQuantity),MATCH($A182,INDIRECT(RangeCount),0)),"#,##0"&amp;IF(OFFSET(Items[],MATCH($A182,INDIRECT(RangeCount),0)-1,MATCH(Decimals,Items[#Headers],0)-1,1,1)&gt;0,"."&amp;REPT("0",OFFSET(Items[],MATCH($A182,INDIRECT(RangeCount),0)-1,MATCH(Decimals,Items[#Headers],0)-1,1,1)),""))),"")</f>
        <v/>
      </c>
      <c r="D182" s="170" t="str">
        <f ca="1">IFERROR(INDEX(INDIRECT(RangeUnit),MATCH($A182,INDIRECT(RangeCount),0)),"")</f>
        <v/>
      </c>
      <c r="E182" s="170" t="str">
        <f ca="1">IFERROR(IF(INDEX(INDIRECT(RangeContrQty),MATCH($A182,INDIRECT(RangeCount),0)),"(CQ)",""),"")</f>
        <v/>
      </c>
      <c r="F182" s="171" t="str">
        <f ca="1">IFERROR(INDEX(INDIRECT(RangeUnitPrice),MATCH($A182,INDIRECT(RangeCount),0)),"")</f>
        <v/>
      </c>
      <c r="G182" s="171" t="str">
        <f ca="1">IFERROR(VALUE(C182)*F182,F182)</f>
        <v/>
      </c>
      <c r="H182" s="388"/>
      <c r="I182" s="178" t="str">
        <f ca="1">IF($C182="","",IF($D182="LPSM",H181,VALUE($C182)*H181))</f>
        <v/>
      </c>
      <c r="J182" s="388"/>
      <c r="K182" s="178" t="str">
        <f ca="1">IF($C182="","",IF($D182="LPSM",J181,VALUE($C182)*J181))</f>
        <v/>
      </c>
      <c r="L182" s="388"/>
      <c r="M182" s="178" t="str">
        <f ca="1">IF($C182="","",IF($D182="LPSM",L181,VALUE($C182)*L181))</f>
        <v/>
      </c>
      <c r="N182" s="388"/>
      <c r="O182" s="178" t="str">
        <f ca="1">IF($C182="","",IF($D182="LPSM",N181,VALUE($C182)*N181))</f>
        <v/>
      </c>
      <c r="P182" s="388"/>
      <c r="Q182" s="178" t="str">
        <f ca="1">IF($C182="","",IF($D182="LPSM",P181,VALUE($C182)*P181))</f>
        <v/>
      </c>
      <c r="R182" s="388"/>
      <c r="S182" s="178" t="str">
        <f ca="1">IF($C182="","",IF($D182="LPSM",R181,VALUE($C182)*R181))</f>
        <v/>
      </c>
      <c r="T182" s="388"/>
      <c r="U182" s="178" t="str">
        <f ca="1">IF($C182="","",IF($D182="LPSM",T181,VALUE($C182)*T181))</f>
        <v/>
      </c>
      <c r="V182" s="388"/>
      <c r="W182" s="178" t="str">
        <f ca="1">IF($C182="","",IF($D182="LPSM",V181,VALUE($C182)*V181))</f>
        <v/>
      </c>
      <c r="X182" s="388"/>
      <c r="Y182" s="178" t="str">
        <f ca="1">IF($C182="","",IF($D182="LPSM",X181,VALUE($C182)*X181))</f>
        <v/>
      </c>
      <c r="Z182" s="388"/>
      <c r="AA182" s="178" t="str">
        <f ca="1">IF($C182="","",IF($D182="LPSM",Z181,VALUE($C182)*Z181))</f>
        <v/>
      </c>
      <c r="AB182" s="388"/>
      <c r="AC182" s="178" t="str">
        <f ca="1">IF($C182="","",IF($D182="LPSM",AB181,VALUE($C182)*AB181))</f>
        <v/>
      </c>
      <c r="AD182" s="388"/>
      <c r="AE182" s="178" t="str">
        <f ca="1">IF($C182="","",IF($D182="LPSM",AD181,VALUE($C182)*AD181))</f>
        <v/>
      </c>
      <c r="AF182" s="388"/>
      <c r="AG182" s="178" t="str">
        <f ca="1">IF($C182="","",IF($D182="LPSM",AF181,VALUE($C182)*AF181))</f>
        <v/>
      </c>
      <c r="AH182" s="388"/>
      <c r="AI182" s="178" t="str">
        <f ca="1">IF($C182="","",IF($D182="LPSM",AH181,VALUE($C182)*AH181))</f>
        <v/>
      </c>
      <c r="AJ182" s="388"/>
      <c r="AK182" s="178" t="str">
        <f ca="1">IF($C182="","",IF($D182="LPSM",AJ181,VALUE($C182)*AJ181))</f>
        <v/>
      </c>
      <c r="AL182" s="388"/>
      <c r="AM182" s="178" t="str">
        <f ca="1">IF($C182="","",IF($D182="LPSM",AL181,VALUE($C182)*AL181))</f>
        <v/>
      </c>
      <c r="AN182" s="388"/>
      <c r="AO182" s="178" t="str">
        <f ca="1">IF($C182="","",IF($D182="LPSM",AN181,VALUE($C182)*AN181))</f>
        <v/>
      </c>
      <c r="AP182" s="388"/>
      <c r="AQ182" s="178" t="str">
        <f ca="1">IF($C182="","",IF($D182="LPSM",AP181,VALUE($C182)*AP181))</f>
        <v/>
      </c>
      <c r="AR182" s="209" t="str">
        <f ca="1">IF(LEN(B182)&gt;0,ISNUMBER(MATCH(B182,Proposed[Item],0)),"")</f>
        <v/>
      </c>
    </row>
    <row r="183" spans="1:44" ht="15" x14ac:dyDescent="0.2">
      <c r="A183" s="276">
        <f t="shared" ca="1" si="2"/>
        <v>88</v>
      </c>
      <c r="B183" s="168" t="str">
        <f ca="1">IFERROR(INDEX(INDIRECT(RangeItems),MATCH($A183,INDIRECT(RangeCount),0)),"")</f>
        <v/>
      </c>
      <c r="C183" s="365" t="str">
        <f ca="1">INDEX(Calcs[Description],$A183)</f>
        <v/>
      </c>
      <c r="D183" s="365"/>
      <c r="E183" s="365"/>
      <c r="F183" s="365"/>
      <c r="G183" s="365"/>
      <c r="H183" s="388"/>
      <c r="I183" s="177"/>
      <c r="J183" s="388"/>
      <c r="K183" s="177"/>
      <c r="L183" s="388"/>
      <c r="M183" s="177"/>
      <c r="N183" s="388"/>
      <c r="O183" s="177"/>
      <c r="P183" s="388"/>
      <c r="Q183" s="177"/>
      <c r="R183" s="388"/>
      <c r="S183" s="177"/>
      <c r="T183" s="388"/>
      <c r="U183" s="177"/>
      <c r="V183" s="388"/>
      <c r="W183" s="177"/>
      <c r="X183" s="388"/>
      <c r="Y183" s="177"/>
      <c r="Z183" s="388"/>
      <c r="AA183" s="177"/>
      <c r="AB183" s="388"/>
      <c r="AC183" s="177"/>
      <c r="AD183" s="388"/>
      <c r="AE183" s="177"/>
      <c r="AF183" s="388"/>
      <c r="AG183" s="177"/>
      <c r="AH183" s="388"/>
      <c r="AI183" s="177"/>
      <c r="AJ183" s="388"/>
      <c r="AK183" s="177"/>
      <c r="AL183" s="388"/>
      <c r="AM183" s="177"/>
      <c r="AN183" s="388"/>
      <c r="AO183" s="177"/>
      <c r="AP183" s="388"/>
      <c r="AQ183" s="177"/>
      <c r="AR183" s="209" t="str">
        <f ca="1">IF(LEN(B183)&gt;0,ISNUMBER(MATCH(B183,Proposed[Item],0)),"")</f>
        <v/>
      </c>
    </row>
    <row r="184" spans="1:44" ht="15" x14ac:dyDescent="0.2">
      <c r="A184" s="276">
        <f t="shared" ca="1" si="2"/>
        <v>88</v>
      </c>
      <c r="B184" s="111" t="str">
        <f ca="1">IF($A184&lt;=NumPayItems,"Line "&amp;INDEX(Calcs[Line],$A184),"")</f>
        <v/>
      </c>
      <c r="C184" s="169" t="str">
        <f ca="1">IFERROR(IF($D184="LPSM","ALL",TEXT(INDEX(INDIRECT(RangeQuantity),MATCH($A184,INDIRECT(RangeCount),0)),"#,##0"&amp;IF(OFFSET(Items[],MATCH($A184,INDIRECT(RangeCount),0)-1,MATCH(Decimals,Items[#Headers],0)-1,1,1)&gt;0,"."&amp;REPT("0",OFFSET(Items[],MATCH($A184,INDIRECT(RangeCount),0)-1,MATCH(Decimals,Items[#Headers],0)-1,1,1)),""))),"")</f>
        <v/>
      </c>
      <c r="D184" s="170" t="str">
        <f ca="1">IFERROR(INDEX(INDIRECT(RangeUnit),MATCH($A184,INDIRECT(RangeCount),0)),"")</f>
        <v/>
      </c>
      <c r="E184" s="170" t="str">
        <f ca="1">IFERROR(IF(INDEX(INDIRECT(RangeContrQty),MATCH($A184,INDIRECT(RangeCount),0)),"(CQ)",""),"")</f>
        <v/>
      </c>
      <c r="F184" s="171" t="str">
        <f ca="1">IFERROR(INDEX(INDIRECT(RangeUnitPrice),MATCH($A184,INDIRECT(RangeCount),0)),"")</f>
        <v/>
      </c>
      <c r="G184" s="171" t="str">
        <f ca="1">IFERROR(VALUE(C184)*F184,F184)</f>
        <v/>
      </c>
      <c r="H184" s="388"/>
      <c r="I184" s="178" t="str">
        <f ca="1">IF($C184="","",IF($D184="LPSM",H183,VALUE($C184)*H183))</f>
        <v/>
      </c>
      <c r="J184" s="388"/>
      <c r="K184" s="178" t="str">
        <f ca="1">IF($C184="","",IF($D184="LPSM",J183,VALUE($C184)*J183))</f>
        <v/>
      </c>
      <c r="L184" s="388"/>
      <c r="M184" s="178" t="str">
        <f ca="1">IF($C184="","",IF($D184="LPSM",L183,VALUE($C184)*L183))</f>
        <v/>
      </c>
      <c r="N184" s="388"/>
      <c r="O184" s="178" t="str">
        <f ca="1">IF($C184="","",IF($D184="LPSM",N183,VALUE($C184)*N183))</f>
        <v/>
      </c>
      <c r="P184" s="388"/>
      <c r="Q184" s="178" t="str">
        <f ca="1">IF($C184="","",IF($D184="LPSM",P183,VALUE($C184)*P183))</f>
        <v/>
      </c>
      <c r="R184" s="388"/>
      <c r="S184" s="178" t="str">
        <f ca="1">IF($C184="","",IF($D184="LPSM",R183,VALUE($C184)*R183))</f>
        <v/>
      </c>
      <c r="T184" s="388"/>
      <c r="U184" s="178" t="str">
        <f ca="1">IF($C184="","",IF($D184="LPSM",T183,VALUE($C184)*T183))</f>
        <v/>
      </c>
      <c r="V184" s="388"/>
      <c r="W184" s="178" t="str">
        <f ca="1">IF($C184="","",IF($D184="LPSM",V183,VALUE($C184)*V183))</f>
        <v/>
      </c>
      <c r="X184" s="388"/>
      <c r="Y184" s="178" t="str">
        <f ca="1">IF($C184="","",IF($D184="LPSM",X183,VALUE($C184)*X183))</f>
        <v/>
      </c>
      <c r="Z184" s="388"/>
      <c r="AA184" s="178" t="str">
        <f ca="1">IF($C184="","",IF($D184="LPSM",Z183,VALUE($C184)*Z183))</f>
        <v/>
      </c>
      <c r="AB184" s="388"/>
      <c r="AC184" s="178" t="str">
        <f ca="1">IF($C184="","",IF($D184="LPSM",AB183,VALUE($C184)*AB183))</f>
        <v/>
      </c>
      <c r="AD184" s="388"/>
      <c r="AE184" s="178" t="str">
        <f ca="1">IF($C184="","",IF($D184="LPSM",AD183,VALUE($C184)*AD183))</f>
        <v/>
      </c>
      <c r="AF184" s="388"/>
      <c r="AG184" s="178" t="str">
        <f ca="1">IF($C184="","",IF($D184="LPSM",AF183,VALUE($C184)*AF183))</f>
        <v/>
      </c>
      <c r="AH184" s="388"/>
      <c r="AI184" s="178" t="str">
        <f ca="1">IF($C184="","",IF($D184="LPSM",AH183,VALUE($C184)*AH183))</f>
        <v/>
      </c>
      <c r="AJ184" s="388"/>
      <c r="AK184" s="178" t="str">
        <f ca="1">IF($C184="","",IF($D184="LPSM",AJ183,VALUE($C184)*AJ183))</f>
        <v/>
      </c>
      <c r="AL184" s="388"/>
      <c r="AM184" s="178" t="str">
        <f ca="1">IF($C184="","",IF($D184="LPSM",AL183,VALUE($C184)*AL183))</f>
        <v/>
      </c>
      <c r="AN184" s="388"/>
      <c r="AO184" s="178" t="str">
        <f ca="1">IF($C184="","",IF($D184="LPSM",AN183,VALUE($C184)*AN183))</f>
        <v/>
      </c>
      <c r="AP184" s="388"/>
      <c r="AQ184" s="178" t="str">
        <f ca="1">IF($C184="","",IF($D184="LPSM",AP183,VALUE($C184)*AP183))</f>
        <v/>
      </c>
      <c r="AR184" s="209" t="str">
        <f ca="1">IF(LEN(B184)&gt;0,ISNUMBER(MATCH(B184,Proposed[Item],0)),"")</f>
        <v/>
      </c>
    </row>
    <row r="185" spans="1:44" ht="15" x14ac:dyDescent="0.2">
      <c r="A185" s="276">
        <f t="shared" ca="1" si="2"/>
        <v>89</v>
      </c>
      <c r="B185" s="168" t="str">
        <f ca="1">IFERROR(INDEX(INDIRECT(RangeItems),MATCH($A185,INDIRECT(RangeCount),0)),"")</f>
        <v/>
      </c>
      <c r="C185" s="365" t="str">
        <f ca="1">INDEX(Calcs[Description],$A185)</f>
        <v/>
      </c>
      <c r="D185" s="365"/>
      <c r="E185" s="365"/>
      <c r="F185" s="365"/>
      <c r="G185" s="365"/>
      <c r="H185" s="388"/>
      <c r="I185" s="177"/>
      <c r="J185" s="388"/>
      <c r="K185" s="177"/>
      <c r="L185" s="388"/>
      <c r="M185" s="177"/>
      <c r="N185" s="388"/>
      <c r="O185" s="177"/>
      <c r="P185" s="388"/>
      <c r="Q185" s="177"/>
      <c r="R185" s="388"/>
      <c r="S185" s="177"/>
      <c r="T185" s="388"/>
      <c r="U185" s="177"/>
      <c r="V185" s="388"/>
      <c r="W185" s="177"/>
      <c r="X185" s="388"/>
      <c r="Y185" s="177"/>
      <c r="Z185" s="388"/>
      <c r="AA185" s="177"/>
      <c r="AB185" s="388"/>
      <c r="AC185" s="177"/>
      <c r="AD185" s="388"/>
      <c r="AE185" s="177"/>
      <c r="AF185" s="388"/>
      <c r="AG185" s="177"/>
      <c r="AH185" s="388"/>
      <c r="AI185" s="177"/>
      <c r="AJ185" s="388"/>
      <c r="AK185" s="177"/>
      <c r="AL185" s="388"/>
      <c r="AM185" s="177"/>
      <c r="AN185" s="388"/>
      <c r="AO185" s="177"/>
      <c r="AP185" s="388"/>
      <c r="AQ185" s="177"/>
      <c r="AR185" s="209" t="str">
        <f ca="1">IF(LEN(B185)&gt;0,ISNUMBER(MATCH(B185,Proposed[Item],0)),"")</f>
        <v/>
      </c>
    </row>
    <row r="186" spans="1:44" ht="15" x14ac:dyDescent="0.2">
      <c r="A186" s="276">
        <f t="shared" ca="1" si="2"/>
        <v>89</v>
      </c>
      <c r="B186" s="111" t="str">
        <f ca="1">IF($A186&lt;=NumPayItems,"Line "&amp;INDEX(Calcs[Line],$A186),"")</f>
        <v/>
      </c>
      <c r="C186" s="169" t="str">
        <f ca="1">IFERROR(IF($D186="LPSM","ALL",TEXT(INDEX(INDIRECT(RangeQuantity),MATCH($A186,INDIRECT(RangeCount),0)),"#,##0"&amp;IF(OFFSET(Items[],MATCH($A186,INDIRECT(RangeCount),0)-1,MATCH(Decimals,Items[#Headers],0)-1,1,1)&gt;0,"."&amp;REPT("0",OFFSET(Items[],MATCH($A186,INDIRECT(RangeCount),0)-1,MATCH(Decimals,Items[#Headers],0)-1,1,1)),""))),"")</f>
        <v/>
      </c>
      <c r="D186" s="170" t="str">
        <f ca="1">IFERROR(INDEX(INDIRECT(RangeUnit),MATCH($A186,INDIRECT(RangeCount),0)),"")</f>
        <v/>
      </c>
      <c r="E186" s="170" t="str">
        <f ca="1">IFERROR(IF(INDEX(INDIRECT(RangeContrQty),MATCH($A186,INDIRECT(RangeCount),0)),"(CQ)",""),"")</f>
        <v/>
      </c>
      <c r="F186" s="171" t="str">
        <f ca="1">IFERROR(INDEX(INDIRECT(RangeUnitPrice),MATCH($A186,INDIRECT(RangeCount),0)),"")</f>
        <v/>
      </c>
      <c r="G186" s="171" t="str">
        <f ca="1">IFERROR(VALUE(C186)*F186,F186)</f>
        <v/>
      </c>
      <c r="H186" s="388"/>
      <c r="I186" s="178" t="str">
        <f ca="1">IF($C186="","",IF($D186="LPSM",H185,VALUE($C186)*H185))</f>
        <v/>
      </c>
      <c r="J186" s="388"/>
      <c r="K186" s="178" t="str">
        <f ca="1">IF($C186="","",IF($D186="LPSM",J185,VALUE($C186)*J185))</f>
        <v/>
      </c>
      <c r="L186" s="388"/>
      <c r="M186" s="178" t="str">
        <f ca="1">IF($C186="","",IF($D186="LPSM",L185,VALUE($C186)*L185))</f>
        <v/>
      </c>
      <c r="N186" s="388"/>
      <c r="O186" s="178" t="str">
        <f ca="1">IF($C186="","",IF($D186="LPSM",N185,VALUE($C186)*N185))</f>
        <v/>
      </c>
      <c r="P186" s="388"/>
      <c r="Q186" s="178" t="str">
        <f ca="1">IF($C186="","",IF($D186="LPSM",P185,VALUE($C186)*P185))</f>
        <v/>
      </c>
      <c r="R186" s="388"/>
      <c r="S186" s="178" t="str">
        <f ca="1">IF($C186="","",IF($D186="LPSM",R185,VALUE($C186)*R185))</f>
        <v/>
      </c>
      <c r="T186" s="388"/>
      <c r="U186" s="178" t="str">
        <f ca="1">IF($C186="","",IF($D186="LPSM",T185,VALUE($C186)*T185))</f>
        <v/>
      </c>
      <c r="V186" s="388"/>
      <c r="W186" s="178" t="str">
        <f ca="1">IF($C186="","",IF($D186="LPSM",V185,VALUE($C186)*V185))</f>
        <v/>
      </c>
      <c r="X186" s="388"/>
      <c r="Y186" s="178" t="str">
        <f ca="1">IF($C186="","",IF($D186="LPSM",X185,VALUE($C186)*X185))</f>
        <v/>
      </c>
      <c r="Z186" s="388"/>
      <c r="AA186" s="178" t="str">
        <f ca="1">IF($C186="","",IF($D186="LPSM",Z185,VALUE($C186)*Z185))</f>
        <v/>
      </c>
      <c r="AB186" s="388"/>
      <c r="AC186" s="178" t="str">
        <f ca="1">IF($C186="","",IF($D186="LPSM",AB185,VALUE($C186)*AB185))</f>
        <v/>
      </c>
      <c r="AD186" s="388"/>
      <c r="AE186" s="178" t="str">
        <f ca="1">IF($C186="","",IF($D186="LPSM",AD185,VALUE($C186)*AD185))</f>
        <v/>
      </c>
      <c r="AF186" s="388"/>
      <c r="AG186" s="178" t="str">
        <f ca="1">IF($C186="","",IF($D186="LPSM",AF185,VALUE($C186)*AF185))</f>
        <v/>
      </c>
      <c r="AH186" s="388"/>
      <c r="AI186" s="178" t="str">
        <f ca="1">IF($C186="","",IF($D186="LPSM",AH185,VALUE($C186)*AH185))</f>
        <v/>
      </c>
      <c r="AJ186" s="388"/>
      <c r="AK186" s="178" t="str">
        <f ca="1">IF($C186="","",IF($D186="LPSM",AJ185,VALUE($C186)*AJ185))</f>
        <v/>
      </c>
      <c r="AL186" s="388"/>
      <c r="AM186" s="178" t="str">
        <f ca="1">IF($C186="","",IF($D186="LPSM",AL185,VALUE($C186)*AL185))</f>
        <v/>
      </c>
      <c r="AN186" s="388"/>
      <c r="AO186" s="178" t="str">
        <f ca="1">IF($C186="","",IF($D186="LPSM",AN185,VALUE($C186)*AN185))</f>
        <v/>
      </c>
      <c r="AP186" s="388"/>
      <c r="AQ186" s="178" t="str">
        <f ca="1">IF($C186="","",IF($D186="LPSM",AP185,VALUE($C186)*AP185))</f>
        <v/>
      </c>
      <c r="AR186" s="209" t="str">
        <f ca="1">IF(LEN(B186)&gt;0,ISNUMBER(MATCH(B186,Proposed[Item],0)),"")</f>
        <v/>
      </c>
    </row>
    <row r="187" spans="1:44" ht="15" x14ac:dyDescent="0.2">
      <c r="A187" s="276">
        <f t="shared" ca="1" si="2"/>
        <v>90</v>
      </c>
      <c r="B187" s="168" t="str">
        <f ca="1">IFERROR(INDEX(INDIRECT(RangeItems),MATCH($A187,INDIRECT(RangeCount),0)),"")</f>
        <v/>
      </c>
      <c r="C187" s="365" t="str">
        <f ca="1">INDEX(Calcs[Description],$A187)</f>
        <v/>
      </c>
      <c r="D187" s="365"/>
      <c r="E187" s="365"/>
      <c r="F187" s="365"/>
      <c r="G187" s="365"/>
      <c r="H187" s="388"/>
      <c r="I187" s="177"/>
      <c r="J187" s="388"/>
      <c r="K187" s="177"/>
      <c r="L187" s="388"/>
      <c r="M187" s="177"/>
      <c r="N187" s="388"/>
      <c r="O187" s="177"/>
      <c r="P187" s="388"/>
      <c r="Q187" s="177"/>
      <c r="R187" s="388"/>
      <c r="S187" s="177"/>
      <c r="T187" s="388"/>
      <c r="U187" s="177"/>
      <c r="V187" s="388"/>
      <c r="W187" s="177"/>
      <c r="X187" s="388"/>
      <c r="Y187" s="177"/>
      <c r="Z187" s="388"/>
      <c r="AA187" s="177"/>
      <c r="AB187" s="388"/>
      <c r="AC187" s="177"/>
      <c r="AD187" s="388"/>
      <c r="AE187" s="177"/>
      <c r="AF187" s="388"/>
      <c r="AG187" s="177"/>
      <c r="AH187" s="388"/>
      <c r="AI187" s="177"/>
      <c r="AJ187" s="388"/>
      <c r="AK187" s="177"/>
      <c r="AL187" s="388"/>
      <c r="AM187" s="177"/>
      <c r="AN187" s="388"/>
      <c r="AO187" s="177"/>
      <c r="AP187" s="388"/>
      <c r="AQ187" s="177"/>
      <c r="AR187" s="209" t="str">
        <f ca="1">IF(LEN(B187)&gt;0,ISNUMBER(MATCH(B187,Proposed[Item],0)),"")</f>
        <v/>
      </c>
    </row>
    <row r="188" spans="1:44" ht="15" x14ac:dyDescent="0.2">
      <c r="A188" s="276">
        <f t="shared" ca="1" si="2"/>
        <v>90</v>
      </c>
      <c r="B188" s="111" t="str">
        <f ca="1">IF($A188&lt;=NumPayItems,"Line "&amp;INDEX(Calcs[Line],$A188),"")</f>
        <v/>
      </c>
      <c r="C188" s="169" t="str">
        <f ca="1">IFERROR(IF($D188="LPSM","ALL",TEXT(INDEX(INDIRECT(RangeQuantity),MATCH($A188,INDIRECT(RangeCount),0)),"#,##0"&amp;IF(OFFSET(Items[],MATCH($A188,INDIRECT(RangeCount),0)-1,MATCH(Decimals,Items[#Headers],0)-1,1,1)&gt;0,"."&amp;REPT("0",OFFSET(Items[],MATCH($A188,INDIRECT(RangeCount),0)-1,MATCH(Decimals,Items[#Headers],0)-1,1,1)),""))),"")</f>
        <v/>
      </c>
      <c r="D188" s="170" t="str">
        <f ca="1">IFERROR(INDEX(INDIRECT(RangeUnit),MATCH($A188,INDIRECT(RangeCount),0)),"")</f>
        <v/>
      </c>
      <c r="E188" s="170" t="str">
        <f ca="1">IFERROR(IF(INDEX(INDIRECT(RangeContrQty),MATCH($A188,INDIRECT(RangeCount),0)),"(CQ)",""),"")</f>
        <v/>
      </c>
      <c r="F188" s="171" t="str">
        <f ca="1">IFERROR(INDEX(INDIRECT(RangeUnitPrice),MATCH($A188,INDIRECT(RangeCount),0)),"")</f>
        <v/>
      </c>
      <c r="G188" s="171" t="str">
        <f ca="1">IFERROR(VALUE(C188)*F188,F188)</f>
        <v/>
      </c>
      <c r="H188" s="388"/>
      <c r="I188" s="178" t="str">
        <f ca="1">IF($C188="","",IF($D188="LPSM",H187,VALUE($C188)*H187))</f>
        <v/>
      </c>
      <c r="J188" s="388"/>
      <c r="K188" s="178" t="str">
        <f ca="1">IF($C188="","",IF($D188="LPSM",J187,VALUE($C188)*J187))</f>
        <v/>
      </c>
      <c r="L188" s="388"/>
      <c r="M188" s="178" t="str">
        <f ca="1">IF($C188="","",IF($D188="LPSM",L187,VALUE($C188)*L187))</f>
        <v/>
      </c>
      <c r="N188" s="388"/>
      <c r="O188" s="178" t="str">
        <f ca="1">IF($C188="","",IF($D188="LPSM",N187,VALUE($C188)*N187))</f>
        <v/>
      </c>
      <c r="P188" s="388"/>
      <c r="Q188" s="178" t="str">
        <f ca="1">IF($C188="","",IF($D188="LPSM",P187,VALUE($C188)*P187))</f>
        <v/>
      </c>
      <c r="R188" s="388"/>
      <c r="S188" s="178" t="str">
        <f ca="1">IF($C188="","",IF($D188="LPSM",R187,VALUE($C188)*R187))</f>
        <v/>
      </c>
      <c r="T188" s="388"/>
      <c r="U188" s="178" t="str">
        <f ca="1">IF($C188="","",IF($D188="LPSM",T187,VALUE($C188)*T187))</f>
        <v/>
      </c>
      <c r="V188" s="388"/>
      <c r="W188" s="178" t="str">
        <f ca="1">IF($C188="","",IF($D188="LPSM",V187,VALUE($C188)*V187))</f>
        <v/>
      </c>
      <c r="X188" s="388"/>
      <c r="Y188" s="178" t="str">
        <f ca="1">IF($C188="","",IF($D188="LPSM",X187,VALUE($C188)*X187))</f>
        <v/>
      </c>
      <c r="Z188" s="388"/>
      <c r="AA188" s="178" t="str">
        <f ca="1">IF($C188="","",IF($D188="LPSM",Z187,VALUE($C188)*Z187))</f>
        <v/>
      </c>
      <c r="AB188" s="388"/>
      <c r="AC188" s="178" t="str">
        <f ca="1">IF($C188="","",IF($D188="LPSM",AB187,VALUE($C188)*AB187))</f>
        <v/>
      </c>
      <c r="AD188" s="388"/>
      <c r="AE188" s="178" t="str">
        <f ca="1">IF($C188="","",IF($D188="LPSM",AD187,VALUE($C188)*AD187))</f>
        <v/>
      </c>
      <c r="AF188" s="388"/>
      <c r="AG188" s="178" t="str">
        <f ca="1">IF($C188="","",IF($D188="LPSM",AF187,VALUE($C188)*AF187))</f>
        <v/>
      </c>
      <c r="AH188" s="388"/>
      <c r="AI188" s="178" t="str">
        <f ca="1">IF($C188="","",IF($D188="LPSM",AH187,VALUE($C188)*AH187))</f>
        <v/>
      </c>
      <c r="AJ188" s="388"/>
      <c r="AK188" s="178" t="str">
        <f ca="1">IF($C188="","",IF($D188="LPSM",AJ187,VALUE($C188)*AJ187))</f>
        <v/>
      </c>
      <c r="AL188" s="388"/>
      <c r="AM188" s="178" t="str">
        <f ca="1">IF($C188="","",IF($D188="LPSM",AL187,VALUE($C188)*AL187))</f>
        <v/>
      </c>
      <c r="AN188" s="388"/>
      <c r="AO188" s="178" t="str">
        <f ca="1">IF($C188="","",IF($D188="LPSM",AN187,VALUE($C188)*AN187))</f>
        <v/>
      </c>
      <c r="AP188" s="388"/>
      <c r="AQ188" s="178" t="str">
        <f ca="1">IF($C188="","",IF($D188="LPSM",AP187,VALUE($C188)*AP187))</f>
        <v/>
      </c>
      <c r="AR188" s="209" t="str">
        <f ca="1">IF(LEN(B188)&gt;0,ISNUMBER(MATCH(B188,Proposed[Item],0)),"")</f>
        <v/>
      </c>
    </row>
    <row r="189" spans="1:44" ht="15" x14ac:dyDescent="0.2">
      <c r="A189" s="276">
        <f t="shared" ca="1" si="2"/>
        <v>91</v>
      </c>
      <c r="B189" s="168" t="str">
        <f ca="1">IFERROR(INDEX(INDIRECT(RangeItems),MATCH($A189,INDIRECT(RangeCount),0)),"")</f>
        <v/>
      </c>
      <c r="C189" s="365" t="str">
        <f ca="1">INDEX(Calcs[Description],$A189)</f>
        <v/>
      </c>
      <c r="D189" s="365"/>
      <c r="E189" s="365"/>
      <c r="F189" s="365"/>
      <c r="G189" s="365"/>
      <c r="H189" s="388"/>
      <c r="I189" s="177"/>
      <c r="J189" s="388"/>
      <c r="K189" s="177"/>
      <c r="L189" s="388"/>
      <c r="M189" s="177"/>
      <c r="N189" s="388"/>
      <c r="O189" s="177"/>
      <c r="P189" s="388"/>
      <c r="Q189" s="177"/>
      <c r="R189" s="388"/>
      <c r="S189" s="177"/>
      <c r="T189" s="388"/>
      <c r="U189" s="177"/>
      <c r="V189" s="388"/>
      <c r="W189" s="177"/>
      <c r="X189" s="388"/>
      <c r="Y189" s="177"/>
      <c r="Z189" s="388"/>
      <c r="AA189" s="177"/>
      <c r="AB189" s="388"/>
      <c r="AC189" s="177"/>
      <c r="AD189" s="388"/>
      <c r="AE189" s="177"/>
      <c r="AF189" s="388"/>
      <c r="AG189" s="177"/>
      <c r="AH189" s="388"/>
      <c r="AI189" s="177"/>
      <c r="AJ189" s="388"/>
      <c r="AK189" s="177"/>
      <c r="AL189" s="388"/>
      <c r="AM189" s="177"/>
      <c r="AN189" s="388"/>
      <c r="AO189" s="177"/>
      <c r="AP189" s="388"/>
      <c r="AQ189" s="177"/>
      <c r="AR189" s="209" t="str">
        <f ca="1">IF(LEN(B189)&gt;0,ISNUMBER(MATCH(B189,Proposed[Item],0)),"")</f>
        <v/>
      </c>
    </row>
    <row r="190" spans="1:44" ht="15" x14ac:dyDescent="0.2">
      <c r="A190" s="276">
        <f t="shared" ca="1" si="2"/>
        <v>91</v>
      </c>
      <c r="B190" s="111" t="str">
        <f ca="1">IF($A190&lt;=NumPayItems,"Line "&amp;INDEX(Calcs[Line],$A190),"")</f>
        <v/>
      </c>
      <c r="C190" s="169" t="str">
        <f ca="1">IFERROR(IF($D190="LPSM","ALL",TEXT(INDEX(INDIRECT(RangeQuantity),MATCH($A190,INDIRECT(RangeCount),0)),"#,##0"&amp;IF(OFFSET(Items[],MATCH($A190,INDIRECT(RangeCount),0)-1,MATCH(Decimals,Items[#Headers],0)-1,1,1)&gt;0,"."&amp;REPT("0",OFFSET(Items[],MATCH($A190,INDIRECT(RangeCount),0)-1,MATCH(Decimals,Items[#Headers],0)-1,1,1)),""))),"")</f>
        <v/>
      </c>
      <c r="D190" s="170" t="str">
        <f ca="1">IFERROR(INDEX(INDIRECT(RangeUnit),MATCH($A190,INDIRECT(RangeCount),0)),"")</f>
        <v/>
      </c>
      <c r="E190" s="170" t="str">
        <f ca="1">IFERROR(IF(INDEX(INDIRECT(RangeContrQty),MATCH($A190,INDIRECT(RangeCount),0)),"(CQ)",""),"")</f>
        <v/>
      </c>
      <c r="F190" s="171" t="str">
        <f ca="1">IFERROR(INDEX(INDIRECT(RangeUnitPrice),MATCH($A190,INDIRECT(RangeCount),0)),"")</f>
        <v/>
      </c>
      <c r="G190" s="171" t="str">
        <f ca="1">IFERROR(VALUE(C190)*F190,F190)</f>
        <v/>
      </c>
      <c r="H190" s="388"/>
      <c r="I190" s="178" t="str">
        <f ca="1">IF($C190="","",IF($D190="LPSM",H189,VALUE($C190)*H189))</f>
        <v/>
      </c>
      <c r="J190" s="388"/>
      <c r="K190" s="178" t="str">
        <f ca="1">IF($C190="","",IF($D190="LPSM",J189,VALUE($C190)*J189))</f>
        <v/>
      </c>
      <c r="L190" s="388"/>
      <c r="M190" s="178" t="str">
        <f ca="1">IF($C190="","",IF($D190="LPSM",L189,VALUE($C190)*L189))</f>
        <v/>
      </c>
      <c r="N190" s="388"/>
      <c r="O190" s="178" t="str">
        <f ca="1">IF($C190="","",IF($D190="LPSM",N189,VALUE($C190)*N189))</f>
        <v/>
      </c>
      <c r="P190" s="388"/>
      <c r="Q190" s="178" t="str">
        <f ca="1">IF($C190="","",IF($D190="LPSM",P189,VALUE($C190)*P189))</f>
        <v/>
      </c>
      <c r="R190" s="388"/>
      <c r="S190" s="178" t="str">
        <f ca="1">IF($C190="","",IF($D190="LPSM",R189,VALUE($C190)*R189))</f>
        <v/>
      </c>
      <c r="T190" s="388"/>
      <c r="U190" s="178" t="str">
        <f ca="1">IF($C190="","",IF($D190="LPSM",T189,VALUE($C190)*T189))</f>
        <v/>
      </c>
      <c r="V190" s="388"/>
      <c r="W190" s="178" t="str">
        <f ca="1">IF($C190="","",IF($D190="LPSM",V189,VALUE($C190)*V189))</f>
        <v/>
      </c>
      <c r="X190" s="388"/>
      <c r="Y190" s="178" t="str">
        <f ca="1">IF($C190="","",IF($D190="LPSM",X189,VALUE($C190)*X189))</f>
        <v/>
      </c>
      <c r="Z190" s="388"/>
      <c r="AA190" s="178" t="str">
        <f ca="1">IF($C190="","",IF($D190="LPSM",Z189,VALUE($C190)*Z189))</f>
        <v/>
      </c>
      <c r="AB190" s="388"/>
      <c r="AC190" s="178" t="str">
        <f ca="1">IF($C190="","",IF($D190="LPSM",AB189,VALUE($C190)*AB189))</f>
        <v/>
      </c>
      <c r="AD190" s="388"/>
      <c r="AE190" s="178" t="str">
        <f ca="1">IF($C190="","",IF($D190="LPSM",AD189,VALUE($C190)*AD189))</f>
        <v/>
      </c>
      <c r="AF190" s="388"/>
      <c r="AG190" s="178" t="str">
        <f ca="1">IF($C190="","",IF($D190="LPSM",AF189,VALUE($C190)*AF189))</f>
        <v/>
      </c>
      <c r="AH190" s="388"/>
      <c r="AI190" s="178" t="str">
        <f ca="1">IF($C190="","",IF($D190="LPSM",AH189,VALUE($C190)*AH189))</f>
        <v/>
      </c>
      <c r="AJ190" s="388"/>
      <c r="AK190" s="178" t="str">
        <f ca="1">IF($C190="","",IF($D190="LPSM",AJ189,VALUE($C190)*AJ189))</f>
        <v/>
      </c>
      <c r="AL190" s="388"/>
      <c r="AM190" s="178" t="str">
        <f ca="1">IF($C190="","",IF($D190="LPSM",AL189,VALUE($C190)*AL189))</f>
        <v/>
      </c>
      <c r="AN190" s="388"/>
      <c r="AO190" s="178" t="str">
        <f ca="1">IF($C190="","",IF($D190="LPSM",AN189,VALUE($C190)*AN189))</f>
        <v/>
      </c>
      <c r="AP190" s="388"/>
      <c r="AQ190" s="178" t="str">
        <f ca="1">IF($C190="","",IF($D190="LPSM",AP189,VALUE($C190)*AP189))</f>
        <v/>
      </c>
      <c r="AR190" s="209" t="str">
        <f ca="1">IF(LEN(B190)&gt;0,ISNUMBER(MATCH(B190,Proposed[Item],0)),"")</f>
        <v/>
      </c>
    </row>
    <row r="191" spans="1:44" ht="15" x14ac:dyDescent="0.2">
      <c r="A191" s="276">
        <f t="shared" ca="1" si="2"/>
        <v>92</v>
      </c>
      <c r="B191" s="168" t="str">
        <f ca="1">IFERROR(INDEX(INDIRECT(RangeItems),MATCH($A191,INDIRECT(RangeCount),0)),"")</f>
        <v/>
      </c>
      <c r="C191" s="365" t="str">
        <f ca="1">INDEX(Calcs[Description],$A191)</f>
        <v/>
      </c>
      <c r="D191" s="365"/>
      <c r="E191" s="365"/>
      <c r="F191" s="365"/>
      <c r="G191" s="365"/>
      <c r="H191" s="388"/>
      <c r="I191" s="177"/>
      <c r="J191" s="388"/>
      <c r="K191" s="177"/>
      <c r="L191" s="388"/>
      <c r="M191" s="177"/>
      <c r="N191" s="388"/>
      <c r="O191" s="177"/>
      <c r="P191" s="388"/>
      <c r="Q191" s="177"/>
      <c r="R191" s="388"/>
      <c r="S191" s="177"/>
      <c r="T191" s="388"/>
      <c r="U191" s="177"/>
      <c r="V191" s="388"/>
      <c r="W191" s="177"/>
      <c r="X191" s="388"/>
      <c r="Y191" s="177"/>
      <c r="Z191" s="388"/>
      <c r="AA191" s="177"/>
      <c r="AB191" s="388"/>
      <c r="AC191" s="177"/>
      <c r="AD191" s="388"/>
      <c r="AE191" s="177"/>
      <c r="AF191" s="388"/>
      <c r="AG191" s="177"/>
      <c r="AH191" s="388"/>
      <c r="AI191" s="177"/>
      <c r="AJ191" s="388"/>
      <c r="AK191" s="177"/>
      <c r="AL191" s="388"/>
      <c r="AM191" s="177"/>
      <c r="AN191" s="388"/>
      <c r="AO191" s="177"/>
      <c r="AP191" s="388"/>
      <c r="AQ191" s="177"/>
      <c r="AR191" s="209" t="str">
        <f ca="1">IF(LEN(B191)&gt;0,ISNUMBER(MATCH(B191,Proposed[Item],0)),"")</f>
        <v/>
      </c>
    </row>
    <row r="192" spans="1:44" ht="15" x14ac:dyDescent="0.2">
      <c r="A192" s="276">
        <f t="shared" ca="1" si="2"/>
        <v>92</v>
      </c>
      <c r="B192" s="111" t="str">
        <f ca="1">IF($A192&lt;=NumPayItems,"Line "&amp;INDEX(Calcs[Line],$A192),"")</f>
        <v/>
      </c>
      <c r="C192" s="169" t="str">
        <f ca="1">IFERROR(IF($D192="LPSM","ALL",TEXT(INDEX(INDIRECT(RangeQuantity),MATCH($A192,INDIRECT(RangeCount),0)),"#,##0"&amp;IF(OFFSET(Items[],MATCH($A192,INDIRECT(RangeCount),0)-1,MATCH(Decimals,Items[#Headers],0)-1,1,1)&gt;0,"."&amp;REPT("0",OFFSET(Items[],MATCH($A192,INDIRECT(RangeCount),0)-1,MATCH(Decimals,Items[#Headers],0)-1,1,1)),""))),"")</f>
        <v/>
      </c>
      <c r="D192" s="170" t="str">
        <f ca="1">IFERROR(INDEX(INDIRECT(RangeUnit),MATCH($A192,INDIRECT(RangeCount),0)),"")</f>
        <v/>
      </c>
      <c r="E192" s="170" t="str">
        <f ca="1">IFERROR(IF(INDEX(INDIRECT(RangeContrQty),MATCH($A192,INDIRECT(RangeCount),0)),"(CQ)",""),"")</f>
        <v/>
      </c>
      <c r="F192" s="171" t="str">
        <f ca="1">IFERROR(INDEX(INDIRECT(RangeUnitPrice),MATCH($A192,INDIRECT(RangeCount),0)),"")</f>
        <v/>
      </c>
      <c r="G192" s="171" t="str">
        <f ca="1">IFERROR(VALUE(C192)*F192,F192)</f>
        <v/>
      </c>
      <c r="H192" s="388"/>
      <c r="I192" s="178" t="str">
        <f ca="1">IF($C192="","",IF($D192="LPSM",H191,VALUE($C192)*H191))</f>
        <v/>
      </c>
      <c r="J192" s="388"/>
      <c r="K192" s="178" t="str">
        <f ca="1">IF($C192="","",IF($D192="LPSM",J191,VALUE($C192)*J191))</f>
        <v/>
      </c>
      <c r="L192" s="388"/>
      <c r="M192" s="178" t="str">
        <f ca="1">IF($C192="","",IF($D192="LPSM",L191,VALUE($C192)*L191))</f>
        <v/>
      </c>
      <c r="N192" s="388"/>
      <c r="O192" s="178" t="str">
        <f ca="1">IF($C192="","",IF($D192="LPSM",N191,VALUE($C192)*N191))</f>
        <v/>
      </c>
      <c r="P192" s="388"/>
      <c r="Q192" s="178" t="str">
        <f ca="1">IF($C192="","",IF($D192="LPSM",P191,VALUE($C192)*P191))</f>
        <v/>
      </c>
      <c r="R192" s="388"/>
      <c r="S192" s="178" t="str">
        <f ca="1">IF($C192="","",IF($D192="LPSM",R191,VALUE($C192)*R191))</f>
        <v/>
      </c>
      <c r="T192" s="388"/>
      <c r="U192" s="178" t="str">
        <f ca="1">IF($C192="","",IF($D192="LPSM",T191,VALUE($C192)*T191))</f>
        <v/>
      </c>
      <c r="V192" s="388"/>
      <c r="W192" s="178" t="str">
        <f ca="1">IF($C192="","",IF($D192="LPSM",V191,VALUE($C192)*V191))</f>
        <v/>
      </c>
      <c r="X192" s="388"/>
      <c r="Y192" s="178" t="str">
        <f ca="1">IF($C192="","",IF($D192="LPSM",X191,VALUE($C192)*X191))</f>
        <v/>
      </c>
      <c r="Z192" s="388"/>
      <c r="AA192" s="178" t="str">
        <f ca="1">IF($C192="","",IF($D192="LPSM",Z191,VALUE($C192)*Z191))</f>
        <v/>
      </c>
      <c r="AB192" s="388"/>
      <c r="AC192" s="178" t="str">
        <f ca="1">IF($C192="","",IF($D192="LPSM",AB191,VALUE($C192)*AB191))</f>
        <v/>
      </c>
      <c r="AD192" s="388"/>
      <c r="AE192" s="178" t="str">
        <f ca="1">IF($C192="","",IF($D192="LPSM",AD191,VALUE($C192)*AD191))</f>
        <v/>
      </c>
      <c r="AF192" s="388"/>
      <c r="AG192" s="178" t="str">
        <f ca="1">IF($C192="","",IF($D192="LPSM",AF191,VALUE($C192)*AF191))</f>
        <v/>
      </c>
      <c r="AH192" s="388"/>
      <c r="AI192" s="178" t="str">
        <f ca="1">IF($C192="","",IF($D192="LPSM",AH191,VALUE($C192)*AH191))</f>
        <v/>
      </c>
      <c r="AJ192" s="388"/>
      <c r="AK192" s="178" t="str">
        <f ca="1">IF($C192="","",IF($D192="LPSM",AJ191,VALUE($C192)*AJ191))</f>
        <v/>
      </c>
      <c r="AL192" s="388"/>
      <c r="AM192" s="178" t="str">
        <f ca="1">IF($C192="","",IF($D192="LPSM",AL191,VALUE($C192)*AL191))</f>
        <v/>
      </c>
      <c r="AN192" s="388"/>
      <c r="AO192" s="178" t="str">
        <f ca="1">IF($C192="","",IF($D192="LPSM",AN191,VALUE($C192)*AN191))</f>
        <v/>
      </c>
      <c r="AP192" s="388"/>
      <c r="AQ192" s="178" t="str">
        <f ca="1">IF($C192="","",IF($D192="LPSM",AP191,VALUE($C192)*AP191))</f>
        <v/>
      </c>
      <c r="AR192" s="209" t="str">
        <f ca="1">IF(LEN(B192)&gt;0,ISNUMBER(MATCH(B192,Proposed[Item],0)),"")</f>
        <v/>
      </c>
    </row>
    <row r="193" spans="1:44" ht="15" x14ac:dyDescent="0.2">
      <c r="A193" s="276">
        <f t="shared" ca="1" si="2"/>
        <v>93</v>
      </c>
      <c r="B193" s="168" t="str">
        <f ca="1">IFERROR(INDEX(INDIRECT(RangeItems),MATCH($A193,INDIRECT(RangeCount),0)),"")</f>
        <v/>
      </c>
      <c r="C193" s="365" t="str">
        <f ca="1">INDEX(Calcs[Description],$A193)</f>
        <v/>
      </c>
      <c r="D193" s="365"/>
      <c r="E193" s="365"/>
      <c r="F193" s="365"/>
      <c r="G193" s="365"/>
      <c r="H193" s="388"/>
      <c r="I193" s="177"/>
      <c r="J193" s="388"/>
      <c r="K193" s="177"/>
      <c r="L193" s="388"/>
      <c r="M193" s="177"/>
      <c r="N193" s="388"/>
      <c r="O193" s="177"/>
      <c r="P193" s="388"/>
      <c r="Q193" s="177"/>
      <c r="R193" s="388"/>
      <c r="S193" s="177"/>
      <c r="T193" s="388"/>
      <c r="U193" s="177"/>
      <c r="V193" s="388"/>
      <c r="W193" s="177"/>
      <c r="X193" s="388"/>
      <c r="Y193" s="177"/>
      <c r="Z193" s="388"/>
      <c r="AA193" s="177"/>
      <c r="AB193" s="388"/>
      <c r="AC193" s="177"/>
      <c r="AD193" s="388"/>
      <c r="AE193" s="177"/>
      <c r="AF193" s="388"/>
      <c r="AG193" s="177"/>
      <c r="AH193" s="388"/>
      <c r="AI193" s="177"/>
      <c r="AJ193" s="388"/>
      <c r="AK193" s="177"/>
      <c r="AL193" s="388"/>
      <c r="AM193" s="177"/>
      <c r="AN193" s="388"/>
      <c r="AO193" s="177"/>
      <c r="AP193" s="388"/>
      <c r="AQ193" s="177"/>
      <c r="AR193" s="209" t="str">
        <f ca="1">IF(LEN(B193)&gt;0,ISNUMBER(MATCH(B193,Proposed[Item],0)),"")</f>
        <v/>
      </c>
    </row>
    <row r="194" spans="1:44" ht="15" x14ac:dyDescent="0.2">
      <c r="A194" s="276">
        <f t="shared" ca="1" si="2"/>
        <v>93</v>
      </c>
      <c r="B194" s="111" t="str">
        <f ca="1">IF($A194&lt;=NumPayItems,"Line "&amp;INDEX(Calcs[Line],$A194),"")</f>
        <v/>
      </c>
      <c r="C194" s="169" t="str">
        <f ca="1">IFERROR(IF($D194="LPSM","ALL",TEXT(INDEX(INDIRECT(RangeQuantity),MATCH($A194,INDIRECT(RangeCount),0)),"#,##0"&amp;IF(OFFSET(Items[],MATCH($A194,INDIRECT(RangeCount),0)-1,MATCH(Decimals,Items[#Headers],0)-1,1,1)&gt;0,"."&amp;REPT("0",OFFSET(Items[],MATCH($A194,INDIRECT(RangeCount),0)-1,MATCH(Decimals,Items[#Headers],0)-1,1,1)),""))),"")</f>
        <v/>
      </c>
      <c r="D194" s="170" t="str">
        <f ca="1">IFERROR(INDEX(INDIRECT(RangeUnit),MATCH($A194,INDIRECT(RangeCount),0)),"")</f>
        <v/>
      </c>
      <c r="E194" s="170" t="str">
        <f ca="1">IFERROR(IF(INDEX(INDIRECT(RangeContrQty),MATCH($A194,INDIRECT(RangeCount),0)),"(CQ)",""),"")</f>
        <v/>
      </c>
      <c r="F194" s="171" t="str">
        <f ca="1">IFERROR(INDEX(INDIRECT(RangeUnitPrice),MATCH($A194,INDIRECT(RangeCount),0)),"")</f>
        <v/>
      </c>
      <c r="G194" s="171" t="str">
        <f ca="1">IFERROR(VALUE(C194)*F194,F194)</f>
        <v/>
      </c>
      <c r="H194" s="388"/>
      <c r="I194" s="178" t="str">
        <f ca="1">IF($C194="","",IF($D194="LPSM",H193,VALUE($C194)*H193))</f>
        <v/>
      </c>
      <c r="J194" s="388"/>
      <c r="K194" s="178" t="str">
        <f ca="1">IF($C194="","",IF($D194="LPSM",J193,VALUE($C194)*J193))</f>
        <v/>
      </c>
      <c r="L194" s="388"/>
      <c r="M194" s="178" t="str">
        <f ca="1">IF($C194="","",IF($D194="LPSM",L193,VALUE($C194)*L193))</f>
        <v/>
      </c>
      <c r="N194" s="388"/>
      <c r="O194" s="178" t="str">
        <f ca="1">IF($C194="","",IF($D194="LPSM",N193,VALUE($C194)*N193))</f>
        <v/>
      </c>
      <c r="P194" s="388"/>
      <c r="Q194" s="178" t="str">
        <f ca="1">IF($C194="","",IF($D194="LPSM",P193,VALUE($C194)*P193))</f>
        <v/>
      </c>
      <c r="R194" s="388"/>
      <c r="S194" s="178" t="str">
        <f ca="1">IF($C194="","",IF($D194="LPSM",R193,VALUE($C194)*R193))</f>
        <v/>
      </c>
      <c r="T194" s="388"/>
      <c r="U194" s="178" t="str">
        <f ca="1">IF($C194="","",IF($D194="LPSM",T193,VALUE($C194)*T193))</f>
        <v/>
      </c>
      <c r="V194" s="388"/>
      <c r="W194" s="178" t="str">
        <f ca="1">IF($C194="","",IF($D194="LPSM",V193,VALUE($C194)*V193))</f>
        <v/>
      </c>
      <c r="X194" s="388"/>
      <c r="Y194" s="178" t="str">
        <f ca="1">IF($C194="","",IF($D194="LPSM",X193,VALUE($C194)*X193))</f>
        <v/>
      </c>
      <c r="Z194" s="388"/>
      <c r="AA194" s="178" t="str">
        <f ca="1">IF($C194="","",IF($D194="LPSM",Z193,VALUE($C194)*Z193))</f>
        <v/>
      </c>
      <c r="AB194" s="388"/>
      <c r="AC194" s="178" t="str">
        <f ca="1">IF($C194="","",IF($D194="LPSM",AB193,VALUE($C194)*AB193))</f>
        <v/>
      </c>
      <c r="AD194" s="388"/>
      <c r="AE194" s="178" t="str">
        <f ca="1">IF($C194="","",IF($D194="LPSM",AD193,VALUE($C194)*AD193))</f>
        <v/>
      </c>
      <c r="AF194" s="388"/>
      <c r="AG194" s="178" t="str">
        <f ca="1">IF($C194="","",IF($D194="LPSM",AF193,VALUE($C194)*AF193))</f>
        <v/>
      </c>
      <c r="AH194" s="388"/>
      <c r="AI194" s="178" t="str">
        <f ca="1">IF($C194="","",IF($D194="LPSM",AH193,VALUE($C194)*AH193))</f>
        <v/>
      </c>
      <c r="AJ194" s="388"/>
      <c r="AK194" s="178" t="str">
        <f ca="1">IF($C194="","",IF($D194="LPSM",AJ193,VALUE($C194)*AJ193))</f>
        <v/>
      </c>
      <c r="AL194" s="388"/>
      <c r="AM194" s="178" t="str">
        <f ca="1">IF($C194="","",IF($D194="LPSM",AL193,VALUE($C194)*AL193))</f>
        <v/>
      </c>
      <c r="AN194" s="388"/>
      <c r="AO194" s="178" t="str">
        <f ca="1">IF($C194="","",IF($D194="LPSM",AN193,VALUE($C194)*AN193))</f>
        <v/>
      </c>
      <c r="AP194" s="388"/>
      <c r="AQ194" s="178" t="str">
        <f ca="1">IF($C194="","",IF($D194="LPSM",AP193,VALUE($C194)*AP193))</f>
        <v/>
      </c>
      <c r="AR194" s="209" t="str">
        <f ca="1">IF(LEN(B194)&gt;0,ISNUMBER(MATCH(B194,Proposed[Item],0)),"")</f>
        <v/>
      </c>
    </row>
    <row r="195" spans="1:44" ht="15" x14ac:dyDescent="0.2">
      <c r="A195" s="276">
        <f t="shared" ca="1" si="2"/>
        <v>94</v>
      </c>
      <c r="B195" s="168" t="str">
        <f ca="1">IFERROR(INDEX(INDIRECT(RangeItems),MATCH($A195,INDIRECT(RangeCount),0)),"")</f>
        <v/>
      </c>
      <c r="C195" s="365" t="str">
        <f ca="1">INDEX(Calcs[Description],$A195)</f>
        <v/>
      </c>
      <c r="D195" s="365"/>
      <c r="E195" s="365"/>
      <c r="F195" s="365"/>
      <c r="G195" s="365"/>
      <c r="H195" s="388"/>
      <c r="I195" s="177"/>
      <c r="J195" s="388"/>
      <c r="K195" s="177"/>
      <c r="L195" s="388"/>
      <c r="M195" s="177"/>
      <c r="N195" s="388"/>
      <c r="O195" s="177"/>
      <c r="P195" s="388"/>
      <c r="Q195" s="177"/>
      <c r="R195" s="388"/>
      <c r="S195" s="177"/>
      <c r="T195" s="388"/>
      <c r="U195" s="177"/>
      <c r="V195" s="388"/>
      <c r="W195" s="177"/>
      <c r="X195" s="388"/>
      <c r="Y195" s="177"/>
      <c r="Z195" s="388"/>
      <c r="AA195" s="177"/>
      <c r="AB195" s="388"/>
      <c r="AC195" s="177"/>
      <c r="AD195" s="388"/>
      <c r="AE195" s="177"/>
      <c r="AF195" s="388"/>
      <c r="AG195" s="177"/>
      <c r="AH195" s="388"/>
      <c r="AI195" s="177"/>
      <c r="AJ195" s="388"/>
      <c r="AK195" s="177"/>
      <c r="AL195" s="388"/>
      <c r="AM195" s="177"/>
      <c r="AN195" s="388"/>
      <c r="AO195" s="177"/>
      <c r="AP195" s="388"/>
      <c r="AQ195" s="177"/>
      <c r="AR195" s="209" t="str">
        <f ca="1">IF(LEN(B195)&gt;0,ISNUMBER(MATCH(B195,Proposed[Item],0)),"")</f>
        <v/>
      </c>
    </row>
    <row r="196" spans="1:44" ht="15" x14ac:dyDescent="0.2">
      <c r="A196" s="276">
        <f t="shared" ca="1" si="2"/>
        <v>94</v>
      </c>
      <c r="B196" s="111" t="str">
        <f ca="1">IF($A196&lt;=NumPayItems,"Line "&amp;INDEX(Calcs[Line],$A196),"")</f>
        <v/>
      </c>
      <c r="C196" s="169" t="str">
        <f ca="1">IFERROR(IF($D196="LPSM","ALL",TEXT(INDEX(INDIRECT(RangeQuantity),MATCH($A196,INDIRECT(RangeCount),0)),"#,##0"&amp;IF(OFFSET(Items[],MATCH($A196,INDIRECT(RangeCount),0)-1,MATCH(Decimals,Items[#Headers],0)-1,1,1)&gt;0,"."&amp;REPT("0",OFFSET(Items[],MATCH($A196,INDIRECT(RangeCount),0)-1,MATCH(Decimals,Items[#Headers],0)-1,1,1)),""))),"")</f>
        <v/>
      </c>
      <c r="D196" s="170" t="str">
        <f ca="1">IFERROR(INDEX(INDIRECT(RangeUnit),MATCH($A196,INDIRECT(RangeCount),0)),"")</f>
        <v/>
      </c>
      <c r="E196" s="170" t="str">
        <f ca="1">IFERROR(IF(INDEX(INDIRECT(RangeContrQty),MATCH($A196,INDIRECT(RangeCount),0)),"(CQ)",""),"")</f>
        <v/>
      </c>
      <c r="F196" s="171" t="str">
        <f ca="1">IFERROR(INDEX(INDIRECT(RangeUnitPrice),MATCH($A196,INDIRECT(RangeCount),0)),"")</f>
        <v/>
      </c>
      <c r="G196" s="171" t="str">
        <f ca="1">IFERROR(VALUE(C196)*F196,F196)</f>
        <v/>
      </c>
      <c r="H196" s="388"/>
      <c r="I196" s="178" t="str">
        <f ca="1">IF($C196="","",IF($D196="LPSM",H195,VALUE($C196)*H195))</f>
        <v/>
      </c>
      <c r="J196" s="388"/>
      <c r="K196" s="178" t="str">
        <f ca="1">IF($C196="","",IF($D196="LPSM",J195,VALUE($C196)*J195))</f>
        <v/>
      </c>
      <c r="L196" s="388"/>
      <c r="M196" s="178" t="str">
        <f ca="1">IF($C196="","",IF($D196="LPSM",L195,VALUE($C196)*L195))</f>
        <v/>
      </c>
      <c r="N196" s="388"/>
      <c r="O196" s="178" t="str">
        <f ca="1">IF($C196="","",IF($D196="LPSM",N195,VALUE($C196)*N195))</f>
        <v/>
      </c>
      <c r="P196" s="388"/>
      <c r="Q196" s="178" t="str">
        <f ca="1">IF($C196="","",IF($D196="LPSM",P195,VALUE($C196)*P195))</f>
        <v/>
      </c>
      <c r="R196" s="388"/>
      <c r="S196" s="178" t="str">
        <f ca="1">IF($C196="","",IF($D196="LPSM",R195,VALUE($C196)*R195))</f>
        <v/>
      </c>
      <c r="T196" s="388"/>
      <c r="U196" s="178" t="str">
        <f ca="1">IF($C196="","",IF($D196="LPSM",T195,VALUE($C196)*T195))</f>
        <v/>
      </c>
      <c r="V196" s="388"/>
      <c r="W196" s="178" t="str">
        <f ca="1">IF($C196="","",IF($D196="LPSM",V195,VALUE($C196)*V195))</f>
        <v/>
      </c>
      <c r="X196" s="388"/>
      <c r="Y196" s="178" t="str">
        <f ca="1">IF($C196="","",IF($D196="LPSM",X195,VALUE($C196)*X195))</f>
        <v/>
      </c>
      <c r="Z196" s="388"/>
      <c r="AA196" s="178" t="str">
        <f ca="1">IF($C196="","",IF($D196="LPSM",Z195,VALUE($C196)*Z195))</f>
        <v/>
      </c>
      <c r="AB196" s="388"/>
      <c r="AC196" s="178" t="str">
        <f ca="1">IF($C196="","",IF($D196="LPSM",AB195,VALUE($C196)*AB195))</f>
        <v/>
      </c>
      <c r="AD196" s="388"/>
      <c r="AE196" s="178" t="str">
        <f ca="1">IF($C196="","",IF($D196="LPSM",AD195,VALUE($C196)*AD195))</f>
        <v/>
      </c>
      <c r="AF196" s="388"/>
      <c r="AG196" s="178" t="str">
        <f ca="1">IF($C196="","",IF($D196="LPSM",AF195,VALUE($C196)*AF195))</f>
        <v/>
      </c>
      <c r="AH196" s="388"/>
      <c r="AI196" s="178" t="str">
        <f ca="1">IF($C196="","",IF($D196="LPSM",AH195,VALUE($C196)*AH195))</f>
        <v/>
      </c>
      <c r="AJ196" s="388"/>
      <c r="AK196" s="178" t="str">
        <f ca="1">IF($C196="","",IF($D196="LPSM",AJ195,VALUE($C196)*AJ195))</f>
        <v/>
      </c>
      <c r="AL196" s="388"/>
      <c r="AM196" s="178" t="str">
        <f ca="1">IF($C196="","",IF($D196="LPSM",AL195,VALUE($C196)*AL195))</f>
        <v/>
      </c>
      <c r="AN196" s="388"/>
      <c r="AO196" s="178" t="str">
        <f ca="1">IF($C196="","",IF($D196="LPSM",AN195,VALUE($C196)*AN195))</f>
        <v/>
      </c>
      <c r="AP196" s="388"/>
      <c r="AQ196" s="178" t="str">
        <f ca="1">IF($C196="","",IF($D196="LPSM",AP195,VALUE($C196)*AP195))</f>
        <v/>
      </c>
      <c r="AR196" s="209" t="str">
        <f ca="1">IF(LEN(B196)&gt;0,ISNUMBER(MATCH(B196,Proposed[Item],0)),"")</f>
        <v/>
      </c>
    </row>
    <row r="197" spans="1:44" ht="15" x14ac:dyDescent="0.2">
      <c r="A197" s="276">
        <f t="shared" ca="1" si="2"/>
        <v>95</v>
      </c>
      <c r="B197" s="168" t="str">
        <f ca="1">IFERROR(INDEX(INDIRECT(RangeItems),MATCH($A197,INDIRECT(RangeCount),0)),"")</f>
        <v/>
      </c>
      <c r="C197" s="365" t="str">
        <f ca="1">INDEX(Calcs[Description],$A197)</f>
        <v/>
      </c>
      <c r="D197" s="365"/>
      <c r="E197" s="365"/>
      <c r="F197" s="365"/>
      <c r="G197" s="365"/>
      <c r="H197" s="388"/>
      <c r="I197" s="177"/>
      <c r="J197" s="388"/>
      <c r="K197" s="177"/>
      <c r="L197" s="388"/>
      <c r="M197" s="177"/>
      <c r="N197" s="388"/>
      <c r="O197" s="177"/>
      <c r="P197" s="388"/>
      <c r="Q197" s="177"/>
      <c r="R197" s="388"/>
      <c r="S197" s="177"/>
      <c r="T197" s="388"/>
      <c r="U197" s="177"/>
      <c r="V197" s="388"/>
      <c r="W197" s="177"/>
      <c r="X197" s="388"/>
      <c r="Y197" s="177"/>
      <c r="Z197" s="388"/>
      <c r="AA197" s="177"/>
      <c r="AB197" s="388"/>
      <c r="AC197" s="177"/>
      <c r="AD197" s="388"/>
      <c r="AE197" s="177"/>
      <c r="AF197" s="388"/>
      <c r="AG197" s="177"/>
      <c r="AH197" s="388"/>
      <c r="AI197" s="177"/>
      <c r="AJ197" s="388"/>
      <c r="AK197" s="177"/>
      <c r="AL197" s="388"/>
      <c r="AM197" s="177"/>
      <c r="AN197" s="388"/>
      <c r="AO197" s="177"/>
      <c r="AP197" s="388"/>
      <c r="AQ197" s="177"/>
      <c r="AR197" s="209" t="str">
        <f ca="1">IF(LEN(B197)&gt;0,ISNUMBER(MATCH(B197,Proposed[Item],0)),"")</f>
        <v/>
      </c>
    </row>
    <row r="198" spans="1:44" ht="15" x14ac:dyDescent="0.2">
      <c r="A198" s="276">
        <f t="shared" ca="1" si="2"/>
        <v>95</v>
      </c>
      <c r="B198" s="111" t="str">
        <f ca="1">IF($A198&lt;=NumPayItems,"Line "&amp;INDEX(Calcs[Line],$A198),"")</f>
        <v/>
      </c>
      <c r="C198" s="169" t="str">
        <f ca="1">IFERROR(IF($D198="LPSM","ALL",TEXT(INDEX(INDIRECT(RangeQuantity),MATCH($A198,INDIRECT(RangeCount),0)),"#,##0"&amp;IF(OFFSET(Items[],MATCH($A198,INDIRECT(RangeCount),0)-1,MATCH(Decimals,Items[#Headers],0)-1,1,1)&gt;0,"."&amp;REPT("0",OFFSET(Items[],MATCH($A198,INDIRECT(RangeCount),0)-1,MATCH(Decimals,Items[#Headers],0)-1,1,1)),""))),"")</f>
        <v/>
      </c>
      <c r="D198" s="170" t="str">
        <f ca="1">IFERROR(INDEX(INDIRECT(RangeUnit),MATCH($A198,INDIRECT(RangeCount),0)),"")</f>
        <v/>
      </c>
      <c r="E198" s="170" t="str">
        <f ca="1">IFERROR(IF(INDEX(INDIRECT(RangeContrQty),MATCH($A198,INDIRECT(RangeCount),0)),"(CQ)",""),"")</f>
        <v/>
      </c>
      <c r="F198" s="171" t="str">
        <f ca="1">IFERROR(INDEX(INDIRECT(RangeUnitPrice),MATCH($A198,INDIRECT(RangeCount),0)),"")</f>
        <v/>
      </c>
      <c r="G198" s="171" t="str">
        <f ca="1">IFERROR(VALUE(C198)*F198,F198)</f>
        <v/>
      </c>
      <c r="H198" s="388"/>
      <c r="I198" s="178" t="str">
        <f ca="1">IF($C198="","",IF($D198="LPSM",H197,VALUE($C198)*H197))</f>
        <v/>
      </c>
      <c r="J198" s="388"/>
      <c r="K198" s="178" t="str">
        <f ca="1">IF($C198="","",IF($D198="LPSM",J197,VALUE($C198)*J197))</f>
        <v/>
      </c>
      <c r="L198" s="388"/>
      <c r="M198" s="178" t="str">
        <f ca="1">IF($C198="","",IF($D198="LPSM",L197,VALUE($C198)*L197))</f>
        <v/>
      </c>
      <c r="N198" s="388"/>
      <c r="O198" s="178" t="str">
        <f ca="1">IF($C198="","",IF($D198="LPSM",N197,VALUE($C198)*N197))</f>
        <v/>
      </c>
      <c r="P198" s="388"/>
      <c r="Q198" s="178" t="str">
        <f ca="1">IF($C198="","",IF($D198="LPSM",P197,VALUE($C198)*P197))</f>
        <v/>
      </c>
      <c r="R198" s="388"/>
      <c r="S198" s="178" t="str">
        <f ca="1">IF($C198="","",IF($D198="LPSM",R197,VALUE($C198)*R197))</f>
        <v/>
      </c>
      <c r="T198" s="388"/>
      <c r="U198" s="178" t="str">
        <f ca="1">IF($C198="","",IF($D198="LPSM",T197,VALUE($C198)*T197))</f>
        <v/>
      </c>
      <c r="V198" s="388"/>
      <c r="W198" s="178" t="str">
        <f ca="1">IF($C198="","",IF($D198="LPSM",V197,VALUE($C198)*V197))</f>
        <v/>
      </c>
      <c r="X198" s="388"/>
      <c r="Y198" s="178" t="str">
        <f ca="1">IF($C198="","",IF($D198="LPSM",X197,VALUE($C198)*X197))</f>
        <v/>
      </c>
      <c r="Z198" s="388"/>
      <c r="AA198" s="178" t="str">
        <f ca="1">IF($C198="","",IF($D198="LPSM",Z197,VALUE($C198)*Z197))</f>
        <v/>
      </c>
      <c r="AB198" s="388"/>
      <c r="AC198" s="178" t="str">
        <f ca="1">IF($C198="","",IF($D198="LPSM",AB197,VALUE($C198)*AB197))</f>
        <v/>
      </c>
      <c r="AD198" s="388"/>
      <c r="AE198" s="178" t="str">
        <f ca="1">IF($C198="","",IF($D198="LPSM",AD197,VALUE($C198)*AD197))</f>
        <v/>
      </c>
      <c r="AF198" s="388"/>
      <c r="AG198" s="178" t="str">
        <f ca="1">IF($C198="","",IF($D198="LPSM",AF197,VALUE($C198)*AF197))</f>
        <v/>
      </c>
      <c r="AH198" s="388"/>
      <c r="AI198" s="178" t="str">
        <f ca="1">IF($C198="","",IF($D198="LPSM",AH197,VALUE($C198)*AH197))</f>
        <v/>
      </c>
      <c r="AJ198" s="388"/>
      <c r="AK198" s="178" t="str">
        <f ca="1">IF($C198="","",IF($D198="LPSM",AJ197,VALUE($C198)*AJ197))</f>
        <v/>
      </c>
      <c r="AL198" s="388"/>
      <c r="AM198" s="178" t="str">
        <f ca="1">IF($C198="","",IF($D198="LPSM",AL197,VALUE($C198)*AL197))</f>
        <v/>
      </c>
      <c r="AN198" s="388"/>
      <c r="AO198" s="178" t="str">
        <f ca="1">IF($C198="","",IF($D198="LPSM",AN197,VALUE($C198)*AN197))</f>
        <v/>
      </c>
      <c r="AP198" s="388"/>
      <c r="AQ198" s="178" t="str">
        <f ca="1">IF($C198="","",IF($D198="LPSM",AP197,VALUE($C198)*AP197))</f>
        <v/>
      </c>
      <c r="AR198" s="209" t="str">
        <f ca="1">IF(LEN(B198)&gt;0,ISNUMBER(MATCH(B198,Proposed[Item],0)),"")</f>
        <v/>
      </c>
    </row>
    <row r="199" spans="1:44" ht="15" x14ac:dyDescent="0.2">
      <c r="A199" s="276">
        <f t="shared" ca="1" si="2"/>
        <v>96</v>
      </c>
      <c r="B199" s="168" t="str">
        <f ca="1">IFERROR(INDEX(INDIRECT(RangeItems),MATCH($A199,INDIRECT(RangeCount),0)),"")</f>
        <v/>
      </c>
      <c r="C199" s="365" t="str">
        <f ca="1">INDEX(Calcs[Description],$A199)</f>
        <v/>
      </c>
      <c r="D199" s="365"/>
      <c r="E199" s="365"/>
      <c r="F199" s="365"/>
      <c r="G199" s="365"/>
      <c r="H199" s="388"/>
      <c r="I199" s="177"/>
      <c r="J199" s="388"/>
      <c r="K199" s="177"/>
      <c r="L199" s="388"/>
      <c r="M199" s="177"/>
      <c r="N199" s="388"/>
      <c r="O199" s="177"/>
      <c r="P199" s="388"/>
      <c r="Q199" s="177"/>
      <c r="R199" s="388"/>
      <c r="S199" s="177"/>
      <c r="T199" s="388"/>
      <c r="U199" s="177"/>
      <c r="V199" s="388"/>
      <c r="W199" s="177"/>
      <c r="X199" s="388"/>
      <c r="Y199" s="177"/>
      <c r="Z199" s="388"/>
      <c r="AA199" s="177"/>
      <c r="AB199" s="388"/>
      <c r="AC199" s="177"/>
      <c r="AD199" s="388"/>
      <c r="AE199" s="177"/>
      <c r="AF199" s="388"/>
      <c r="AG199" s="177"/>
      <c r="AH199" s="388"/>
      <c r="AI199" s="177"/>
      <c r="AJ199" s="388"/>
      <c r="AK199" s="177"/>
      <c r="AL199" s="388"/>
      <c r="AM199" s="177"/>
      <c r="AN199" s="388"/>
      <c r="AO199" s="177"/>
      <c r="AP199" s="388"/>
      <c r="AQ199" s="177"/>
      <c r="AR199" s="209" t="str">
        <f ca="1">IF(LEN(B199)&gt;0,ISNUMBER(MATCH(B199,Proposed[Item],0)),"")</f>
        <v/>
      </c>
    </row>
    <row r="200" spans="1:44" ht="15" x14ac:dyDescent="0.2">
      <c r="A200" s="276">
        <f t="shared" ca="1" si="2"/>
        <v>96</v>
      </c>
      <c r="B200" s="111" t="str">
        <f ca="1">IF($A200&lt;=NumPayItems,"Line "&amp;INDEX(Calcs[Line],$A200),"")</f>
        <v/>
      </c>
      <c r="C200" s="169" t="str">
        <f ca="1">IFERROR(IF($D200="LPSM","ALL",TEXT(INDEX(INDIRECT(RangeQuantity),MATCH($A200,INDIRECT(RangeCount),0)),"#,##0"&amp;IF(OFFSET(Items[],MATCH($A200,INDIRECT(RangeCount),0)-1,MATCH(Decimals,Items[#Headers],0)-1,1,1)&gt;0,"."&amp;REPT("0",OFFSET(Items[],MATCH($A200,INDIRECT(RangeCount),0)-1,MATCH(Decimals,Items[#Headers],0)-1,1,1)),""))),"")</f>
        <v/>
      </c>
      <c r="D200" s="170" t="str">
        <f ca="1">IFERROR(INDEX(INDIRECT(RangeUnit),MATCH($A200,INDIRECT(RangeCount),0)),"")</f>
        <v/>
      </c>
      <c r="E200" s="170" t="str">
        <f ca="1">IFERROR(IF(INDEX(INDIRECT(RangeContrQty),MATCH($A200,INDIRECT(RangeCount),0)),"(CQ)",""),"")</f>
        <v/>
      </c>
      <c r="F200" s="171" t="str">
        <f ca="1">IFERROR(INDEX(INDIRECT(RangeUnitPrice),MATCH($A200,INDIRECT(RangeCount),0)),"")</f>
        <v/>
      </c>
      <c r="G200" s="171" t="str">
        <f ca="1">IFERROR(VALUE(C200)*F200,F200)</f>
        <v/>
      </c>
      <c r="H200" s="388"/>
      <c r="I200" s="178" t="str">
        <f ca="1">IF($C200="","",IF($D200="LPSM",H199,VALUE($C200)*H199))</f>
        <v/>
      </c>
      <c r="J200" s="388"/>
      <c r="K200" s="178" t="str">
        <f ca="1">IF($C200="","",IF($D200="LPSM",J199,VALUE($C200)*J199))</f>
        <v/>
      </c>
      <c r="L200" s="388"/>
      <c r="M200" s="178" t="str">
        <f ca="1">IF($C200="","",IF($D200="LPSM",L199,VALUE($C200)*L199))</f>
        <v/>
      </c>
      <c r="N200" s="388"/>
      <c r="O200" s="178" t="str">
        <f ca="1">IF($C200="","",IF($D200="LPSM",N199,VALUE($C200)*N199))</f>
        <v/>
      </c>
      <c r="P200" s="388"/>
      <c r="Q200" s="178" t="str">
        <f ca="1">IF($C200="","",IF($D200="LPSM",P199,VALUE($C200)*P199))</f>
        <v/>
      </c>
      <c r="R200" s="388"/>
      <c r="S200" s="178" t="str">
        <f ca="1">IF($C200="","",IF($D200="LPSM",R199,VALUE($C200)*R199))</f>
        <v/>
      </c>
      <c r="T200" s="388"/>
      <c r="U200" s="178" t="str">
        <f ca="1">IF($C200="","",IF($D200="LPSM",T199,VALUE($C200)*T199))</f>
        <v/>
      </c>
      <c r="V200" s="388"/>
      <c r="W200" s="178" t="str">
        <f ca="1">IF($C200="","",IF($D200="LPSM",V199,VALUE($C200)*V199))</f>
        <v/>
      </c>
      <c r="X200" s="388"/>
      <c r="Y200" s="178" t="str">
        <f ca="1">IF($C200="","",IF($D200="LPSM",X199,VALUE($C200)*X199))</f>
        <v/>
      </c>
      <c r="Z200" s="388"/>
      <c r="AA200" s="178" t="str">
        <f ca="1">IF($C200="","",IF($D200="LPSM",Z199,VALUE($C200)*Z199))</f>
        <v/>
      </c>
      <c r="AB200" s="388"/>
      <c r="AC200" s="178" t="str">
        <f ca="1">IF($C200="","",IF($D200="LPSM",AB199,VALUE($C200)*AB199))</f>
        <v/>
      </c>
      <c r="AD200" s="388"/>
      <c r="AE200" s="178" t="str">
        <f ca="1">IF($C200="","",IF($D200="LPSM",AD199,VALUE($C200)*AD199))</f>
        <v/>
      </c>
      <c r="AF200" s="388"/>
      <c r="AG200" s="178" t="str">
        <f ca="1">IF($C200="","",IF($D200="LPSM",AF199,VALUE($C200)*AF199))</f>
        <v/>
      </c>
      <c r="AH200" s="388"/>
      <c r="AI200" s="178" t="str">
        <f ca="1">IF($C200="","",IF($D200="LPSM",AH199,VALUE($C200)*AH199))</f>
        <v/>
      </c>
      <c r="AJ200" s="388"/>
      <c r="AK200" s="178" t="str">
        <f ca="1">IF($C200="","",IF($D200="LPSM",AJ199,VALUE($C200)*AJ199))</f>
        <v/>
      </c>
      <c r="AL200" s="388"/>
      <c r="AM200" s="178" t="str">
        <f ca="1">IF($C200="","",IF($D200="LPSM",AL199,VALUE($C200)*AL199))</f>
        <v/>
      </c>
      <c r="AN200" s="388"/>
      <c r="AO200" s="178" t="str">
        <f ca="1">IF($C200="","",IF($D200="LPSM",AN199,VALUE($C200)*AN199))</f>
        <v/>
      </c>
      <c r="AP200" s="388"/>
      <c r="AQ200" s="178" t="str">
        <f ca="1">IF($C200="","",IF($D200="LPSM",AP199,VALUE($C200)*AP199))</f>
        <v/>
      </c>
      <c r="AR200" s="209" t="str">
        <f ca="1">IF(LEN(B200)&gt;0,ISNUMBER(MATCH(B200,Proposed[Item],0)),"")</f>
        <v/>
      </c>
    </row>
    <row r="201" spans="1:44" ht="15" x14ac:dyDescent="0.2">
      <c r="A201" s="276">
        <f t="shared" ref="A201:A264" ca="1" si="3">OFFSET(A201,-2,0)+1</f>
        <v>97</v>
      </c>
      <c r="B201" s="168" t="str">
        <f ca="1">IFERROR(INDEX(INDIRECT(RangeItems),MATCH($A201,INDIRECT(RangeCount),0)),"")</f>
        <v/>
      </c>
      <c r="C201" s="365" t="str">
        <f ca="1">INDEX(Calcs[Description],$A201)</f>
        <v/>
      </c>
      <c r="D201" s="365"/>
      <c r="E201" s="365"/>
      <c r="F201" s="365"/>
      <c r="G201" s="365"/>
      <c r="H201" s="388"/>
      <c r="I201" s="177"/>
      <c r="J201" s="388"/>
      <c r="K201" s="177"/>
      <c r="L201" s="388"/>
      <c r="M201" s="177"/>
      <c r="N201" s="388"/>
      <c r="O201" s="177"/>
      <c r="P201" s="388"/>
      <c r="Q201" s="177"/>
      <c r="R201" s="388"/>
      <c r="S201" s="177"/>
      <c r="T201" s="388"/>
      <c r="U201" s="177"/>
      <c r="V201" s="388"/>
      <c r="W201" s="177"/>
      <c r="X201" s="388"/>
      <c r="Y201" s="177"/>
      <c r="Z201" s="388"/>
      <c r="AA201" s="177"/>
      <c r="AB201" s="388"/>
      <c r="AC201" s="177"/>
      <c r="AD201" s="388"/>
      <c r="AE201" s="177"/>
      <c r="AF201" s="388"/>
      <c r="AG201" s="177"/>
      <c r="AH201" s="388"/>
      <c r="AI201" s="177"/>
      <c r="AJ201" s="388"/>
      <c r="AK201" s="177"/>
      <c r="AL201" s="388"/>
      <c r="AM201" s="177"/>
      <c r="AN201" s="388"/>
      <c r="AO201" s="177"/>
      <c r="AP201" s="388"/>
      <c r="AQ201" s="177"/>
      <c r="AR201" s="209" t="str">
        <f ca="1">IF(LEN(B201)&gt;0,ISNUMBER(MATCH(B201,Proposed[Item],0)),"")</f>
        <v/>
      </c>
    </row>
    <row r="202" spans="1:44" ht="15" x14ac:dyDescent="0.2">
      <c r="A202" s="276">
        <f t="shared" ca="1" si="3"/>
        <v>97</v>
      </c>
      <c r="B202" s="111" t="str">
        <f ca="1">IF($A202&lt;=NumPayItems,"Line "&amp;INDEX(Calcs[Line],$A202),"")</f>
        <v/>
      </c>
      <c r="C202" s="169" t="str">
        <f ca="1">IFERROR(IF($D202="LPSM","ALL",TEXT(INDEX(INDIRECT(RangeQuantity),MATCH($A202,INDIRECT(RangeCount),0)),"#,##0"&amp;IF(OFFSET(Items[],MATCH($A202,INDIRECT(RangeCount),0)-1,MATCH(Decimals,Items[#Headers],0)-1,1,1)&gt;0,"."&amp;REPT("0",OFFSET(Items[],MATCH($A202,INDIRECT(RangeCount),0)-1,MATCH(Decimals,Items[#Headers],0)-1,1,1)),""))),"")</f>
        <v/>
      </c>
      <c r="D202" s="170" t="str">
        <f ca="1">IFERROR(INDEX(INDIRECT(RangeUnit),MATCH($A202,INDIRECT(RangeCount),0)),"")</f>
        <v/>
      </c>
      <c r="E202" s="170" t="str">
        <f ca="1">IFERROR(IF(INDEX(INDIRECT(RangeContrQty),MATCH($A202,INDIRECT(RangeCount),0)),"(CQ)",""),"")</f>
        <v/>
      </c>
      <c r="F202" s="171" t="str">
        <f ca="1">IFERROR(INDEX(INDIRECT(RangeUnitPrice),MATCH($A202,INDIRECT(RangeCount),0)),"")</f>
        <v/>
      </c>
      <c r="G202" s="171" t="str">
        <f ca="1">IFERROR(VALUE(C202)*F202,F202)</f>
        <v/>
      </c>
      <c r="H202" s="388"/>
      <c r="I202" s="178" t="str">
        <f ca="1">IF($C202="","",IF($D202="LPSM",H201,VALUE($C202)*H201))</f>
        <v/>
      </c>
      <c r="J202" s="388"/>
      <c r="K202" s="178" t="str">
        <f ca="1">IF($C202="","",IF($D202="LPSM",J201,VALUE($C202)*J201))</f>
        <v/>
      </c>
      <c r="L202" s="388"/>
      <c r="M202" s="178" t="str">
        <f ca="1">IF($C202="","",IF($D202="LPSM",L201,VALUE($C202)*L201))</f>
        <v/>
      </c>
      <c r="N202" s="388"/>
      <c r="O202" s="178" t="str">
        <f ca="1">IF($C202="","",IF($D202="LPSM",N201,VALUE($C202)*N201))</f>
        <v/>
      </c>
      <c r="P202" s="388"/>
      <c r="Q202" s="178" t="str">
        <f ca="1">IF($C202="","",IF($D202="LPSM",P201,VALUE($C202)*P201))</f>
        <v/>
      </c>
      <c r="R202" s="388"/>
      <c r="S202" s="178" t="str">
        <f ca="1">IF($C202="","",IF($D202="LPSM",R201,VALUE($C202)*R201))</f>
        <v/>
      </c>
      <c r="T202" s="388"/>
      <c r="U202" s="178" t="str">
        <f ca="1">IF($C202="","",IF($D202="LPSM",T201,VALUE($C202)*T201))</f>
        <v/>
      </c>
      <c r="V202" s="388"/>
      <c r="W202" s="178" t="str">
        <f ca="1">IF($C202="","",IF($D202="LPSM",V201,VALUE($C202)*V201))</f>
        <v/>
      </c>
      <c r="X202" s="388"/>
      <c r="Y202" s="178" t="str">
        <f ca="1">IF($C202="","",IF($D202="LPSM",X201,VALUE($C202)*X201))</f>
        <v/>
      </c>
      <c r="Z202" s="388"/>
      <c r="AA202" s="178" t="str">
        <f ca="1">IF($C202="","",IF($D202="LPSM",Z201,VALUE($C202)*Z201))</f>
        <v/>
      </c>
      <c r="AB202" s="388"/>
      <c r="AC202" s="178" t="str">
        <f ca="1">IF($C202="","",IF($D202="LPSM",AB201,VALUE($C202)*AB201))</f>
        <v/>
      </c>
      <c r="AD202" s="388"/>
      <c r="AE202" s="178" t="str">
        <f ca="1">IF($C202="","",IF($D202="LPSM",AD201,VALUE($C202)*AD201))</f>
        <v/>
      </c>
      <c r="AF202" s="388"/>
      <c r="AG202" s="178" t="str">
        <f ca="1">IF($C202="","",IF($D202="LPSM",AF201,VALUE($C202)*AF201))</f>
        <v/>
      </c>
      <c r="AH202" s="388"/>
      <c r="AI202" s="178" t="str">
        <f ca="1">IF($C202="","",IF($D202="LPSM",AH201,VALUE($C202)*AH201))</f>
        <v/>
      </c>
      <c r="AJ202" s="388"/>
      <c r="AK202" s="178" t="str">
        <f ca="1">IF($C202="","",IF($D202="LPSM",AJ201,VALUE($C202)*AJ201))</f>
        <v/>
      </c>
      <c r="AL202" s="388"/>
      <c r="AM202" s="178" t="str">
        <f ca="1">IF($C202="","",IF($D202="LPSM",AL201,VALUE($C202)*AL201))</f>
        <v/>
      </c>
      <c r="AN202" s="388"/>
      <c r="AO202" s="178" t="str">
        <f ca="1">IF($C202="","",IF($D202="LPSM",AN201,VALUE($C202)*AN201))</f>
        <v/>
      </c>
      <c r="AP202" s="388"/>
      <c r="AQ202" s="178" t="str">
        <f ca="1">IF($C202="","",IF($D202="LPSM",AP201,VALUE($C202)*AP201))</f>
        <v/>
      </c>
      <c r="AR202" s="209" t="str">
        <f ca="1">IF(LEN(B202)&gt;0,ISNUMBER(MATCH(B202,Proposed[Item],0)),"")</f>
        <v/>
      </c>
    </row>
    <row r="203" spans="1:44" ht="15" x14ac:dyDescent="0.2">
      <c r="A203" s="276">
        <f t="shared" ca="1" si="3"/>
        <v>98</v>
      </c>
      <c r="B203" s="168" t="str">
        <f ca="1">IFERROR(INDEX(INDIRECT(RangeItems),MATCH($A203,INDIRECT(RangeCount),0)),"")</f>
        <v/>
      </c>
      <c r="C203" s="365" t="str">
        <f ca="1">INDEX(Calcs[Description],$A203)</f>
        <v/>
      </c>
      <c r="D203" s="365"/>
      <c r="E203" s="365"/>
      <c r="F203" s="365"/>
      <c r="G203" s="365"/>
      <c r="H203" s="388"/>
      <c r="I203" s="177"/>
      <c r="J203" s="388"/>
      <c r="K203" s="177"/>
      <c r="L203" s="388"/>
      <c r="M203" s="177"/>
      <c r="N203" s="388"/>
      <c r="O203" s="177"/>
      <c r="P203" s="388"/>
      <c r="Q203" s="177"/>
      <c r="R203" s="388"/>
      <c r="S203" s="177"/>
      <c r="T203" s="388"/>
      <c r="U203" s="177"/>
      <c r="V203" s="388"/>
      <c r="W203" s="177"/>
      <c r="X203" s="388"/>
      <c r="Y203" s="177"/>
      <c r="Z203" s="388"/>
      <c r="AA203" s="177"/>
      <c r="AB203" s="388"/>
      <c r="AC203" s="177"/>
      <c r="AD203" s="388"/>
      <c r="AE203" s="177"/>
      <c r="AF203" s="388"/>
      <c r="AG203" s="177"/>
      <c r="AH203" s="388"/>
      <c r="AI203" s="177"/>
      <c r="AJ203" s="388"/>
      <c r="AK203" s="177"/>
      <c r="AL203" s="388"/>
      <c r="AM203" s="177"/>
      <c r="AN203" s="388"/>
      <c r="AO203" s="177"/>
      <c r="AP203" s="388"/>
      <c r="AQ203" s="177"/>
      <c r="AR203" s="209" t="str">
        <f ca="1">IF(LEN(B203)&gt;0,ISNUMBER(MATCH(B203,Proposed[Item],0)),"")</f>
        <v/>
      </c>
    </row>
    <row r="204" spans="1:44" ht="15" x14ac:dyDescent="0.2">
      <c r="A204" s="276">
        <f t="shared" ca="1" si="3"/>
        <v>98</v>
      </c>
      <c r="B204" s="111" t="str">
        <f ca="1">IF($A204&lt;=NumPayItems,"Line "&amp;INDEX(Calcs[Line],$A204),"")</f>
        <v/>
      </c>
      <c r="C204" s="169" t="str">
        <f ca="1">IFERROR(IF($D204="LPSM","ALL",TEXT(INDEX(INDIRECT(RangeQuantity),MATCH($A204,INDIRECT(RangeCount),0)),"#,##0"&amp;IF(OFFSET(Items[],MATCH($A204,INDIRECT(RangeCount),0)-1,MATCH(Decimals,Items[#Headers],0)-1,1,1)&gt;0,"."&amp;REPT("0",OFFSET(Items[],MATCH($A204,INDIRECT(RangeCount),0)-1,MATCH(Decimals,Items[#Headers],0)-1,1,1)),""))),"")</f>
        <v/>
      </c>
      <c r="D204" s="170" t="str">
        <f ca="1">IFERROR(INDEX(INDIRECT(RangeUnit),MATCH($A204,INDIRECT(RangeCount),0)),"")</f>
        <v/>
      </c>
      <c r="E204" s="170" t="str">
        <f ca="1">IFERROR(IF(INDEX(INDIRECT(RangeContrQty),MATCH($A204,INDIRECT(RangeCount),0)),"(CQ)",""),"")</f>
        <v/>
      </c>
      <c r="F204" s="171" t="str">
        <f ca="1">IFERROR(INDEX(INDIRECT(RangeUnitPrice),MATCH($A204,INDIRECT(RangeCount),0)),"")</f>
        <v/>
      </c>
      <c r="G204" s="171" t="str">
        <f ca="1">IFERROR(VALUE(C204)*F204,F204)</f>
        <v/>
      </c>
      <c r="H204" s="388"/>
      <c r="I204" s="178" t="str">
        <f ca="1">IF($C204="","",IF($D204="LPSM",H203,VALUE($C204)*H203))</f>
        <v/>
      </c>
      <c r="J204" s="388"/>
      <c r="K204" s="178" t="str">
        <f ca="1">IF($C204="","",IF($D204="LPSM",J203,VALUE($C204)*J203))</f>
        <v/>
      </c>
      <c r="L204" s="388"/>
      <c r="M204" s="178" t="str">
        <f ca="1">IF($C204="","",IF($D204="LPSM",L203,VALUE($C204)*L203))</f>
        <v/>
      </c>
      <c r="N204" s="388"/>
      <c r="O204" s="178" t="str">
        <f ca="1">IF($C204="","",IF($D204="LPSM",N203,VALUE($C204)*N203))</f>
        <v/>
      </c>
      <c r="P204" s="388"/>
      <c r="Q204" s="178" t="str">
        <f ca="1">IF($C204="","",IF($D204="LPSM",P203,VALUE($C204)*P203))</f>
        <v/>
      </c>
      <c r="R204" s="388"/>
      <c r="S204" s="178" t="str">
        <f ca="1">IF($C204="","",IF($D204="LPSM",R203,VALUE($C204)*R203))</f>
        <v/>
      </c>
      <c r="T204" s="388"/>
      <c r="U204" s="178" t="str">
        <f ca="1">IF($C204="","",IF($D204="LPSM",T203,VALUE($C204)*T203))</f>
        <v/>
      </c>
      <c r="V204" s="388"/>
      <c r="W204" s="178" t="str">
        <f ca="1">IF($C204="","",IF($D204="LPSM",V203,VALUE($C204)*V203))</f>
        <v/>
      </c>
      <c r="X204" s="388"/>
      <c r="Y204" s="178" t="str">
        <f ca="1">IF($C204="","",IF($D204="LPSM",X203,VALUE($C204)*X203))</f>
        <v/>
      </c>
      <c r="Z204" s="388"/>
      <c r="AA204" s="178" t="str">
        <f ca="1">IF($C204="","",IF($D204="LPSM",Z203,VALUE($C204)*Z203))</f>
        <v/>
      </c>
      <c r="AB204" s="388"/>
      <c r="AC204" s="178" t="str">
        <f ca="1">IF($C204="","",IF($D204="LPSM",AB203,VALUE($C204)*AB203))</f>
        <v/>
      </c>
      <c r="AD204" s="388"/>
      <c r="AE204" s="178" t="str">
        <f ca="1">IF($C204="","",IF($D204="LPSM",AD203,VALUE($C204)*AD203))</f>
        <v/>
      </c>
      <c r="AF204" s="388"/>
      <c r="AG204" s="178" t="str">
        <f ca="1">IF($C204="","",IF($D204="LPSM",AF203,VALUE($C204)*AF203))</f>
        <v/>
      </c>
      <c r="AH204" s="388"/>
      <c r="AI204" s="178" t="str">
        <f ca="1">IF($C204="","",IF($D204="LPSM",AH203,VALUE($C204)*AH203))</f>
        <v/>
      </c>
      <c r="AJ204" s="388"/>
      <c r="AK204" s="178" t="str">
        <f ca="1">IF($C204="","",IF($D204="LPSM",AJ203,VALUE($C204)*AJ203))</f>
        <v/>
      </c>
      <c r="AL204" s="388"/>
      <c r="AM204" s="178" t="str">
        <f ca="1">IF($C204="","",IF($D204="LPSM",AL203,VALUE($C204)*AL203))</f>
        <v/>
      </c>
      <c r="AN204" s="388"/>
      <c r="AO204" s="178" t="str">
        <f ca="1">IF($C204="","",IF($D204="LPSM",AN203,VALUE($C204)*AN203))</f>
        <v/>
      </c>
      <c r="AP204" s="388"/>
      <c r="AQ204" s="178" t="str">
        <f ca="1">IF($C204="","",IF($D204="LPSM",AP203,VALUE($C204)*AP203))</f>
        <v/>
      </c>
      <c r="AR204" s="209" t="str">
        <f ca="1">IF(LEN(B204)&gt;0,ISNUMBER(MATCH(B204,Proposed[Item],0)),"")</f>
        <v/>
      </c>
    </row>
    <row r="205" spans="1:44" ht="15" x14ac:dyDescent="0.2">
      <c r="A205" s="276">
        <f t="shared" ca="1" si="3"/>
        <v>99</v>
      </c>
      <c r="B205" s="168" t="str">
        <f ca="1">IFERROR(INDEX(INDIRECT(RangeItems),MATCH($A205,INDIRECT(RangeCount),0)),"")</f>
        <v/>
      </c>
      <c r="C205" s="365" t="str">
        <f ca="1">INDEX(Calcs[Description],$A205)</f>
        <v/>
      </c>
      <c r="D205" s="365"/>
      <c r="E205" s="365"/>
      <c r="F205" s="365"/>
      <c r="G205" s="365"/>
      <c r="H205" s="388"/>
      <c r="I205" s="177"/>
      <c r="J205" s="388"/>
      <c r="K205" s="177"/>
      <c r="L205" s="388"/>
      <c r="M205" s="177"/>
      <c r="N205" s="388"/>
      <c r="O205" s="177"/>
      <c r="P205" s="388"/>
      <c r="Q205" s="177"/>
      <c r="R205" s="388"/>
      <c r="S205" s="177"/>
      <c r="T205" s="388"/>
      <c r="U205" s="177"/>
      <c r="V205" s="388"/>
      <c r="W205" s="177"/>
      <c r="X205" s="388"/>
      <c r="Y205" s="177"/>
      <c r="Z205" s="388"/>
      <c r="AA205" s="177"/>
      <c r="AB205" s="388"/>
      <c r="AC205" s="177"/>
      <c r="AD205" s="388"/>
      <c r="AE205" s="177"/>
      <c r="AF205" s="388"/>
      <c r="AG205" s="177"/>
      <c r="AH205" s="388"/>
      <c r="AI205" s="177"/>
      <c r="AJ205" s="388"/>
      <c r="AK205" s="177"/>
      <c r="AL205" s="388"/>
      <c r="AM205" s="177"/>
      <c r="AN205" s="388"/>
      <c r="AO205" s="177"/>
      <c r="AP205" s="388"/>
      <c r="AQ205" s="177"/>
      <c r="AR205" s="209" t="str">
        <f ca="1">IF(LEN(B205)&gt;0,ISNUMBER(MATCH(B205,Proposed[Item],0)),"")</f>
        <v/>
      </c>
    </row>
    <row r="206" spans="1:44" ht="15" x14ac:dyDescent="0.2">
      <c r="A206" s="276">
        <f t="shared" ca="1" si="3"/>
        <v>99</v>
      </c>
      <c r="B206" s="111" t="str">
        <f ca="1">IF($A206&lt;=NumPayItems,"Line "&amp;INDEX(Calcs[Line],$A206),"")</f>
        <v/>
      </c>
      <c r="C206" s="169" t="str">
        <f ca="1">IFERROR(IF($D206="LPSM","ALL",TEXT(INDEX(INDIRECT(RangeQuantity),MATCH($A206,INDIRECT(RangeCount),0)),"#,##0"&amp;IF(OFFSET(Items[],MATCH($A206,INDIRECT(RangeCount),0)-1,MATCH(Decimals,Items[#Headers],0)-1,1,1)&gt;0,"."&amp;REPT("0",OFFSET(Items[],MATCH($A206,INDIRECT(RangeCount),0)-1,MATCH(Decimals,Items[#Headers],0)-1,1,1)),""))),"")</f>
        <v/>
      </c>
      <c r="D206" s="170" t="str">
        <f ca="1">IFERROR(INDEX(INDIRECT(RangeUnit),MATCH($A206,INDIRECT(RangeCount),0)),"")</f>
        <v/>
      </c>
      <c r="E206" s="170" t="str">
        <f ca="1">IFERROR(IF(INDEX(INDIRECT(RangeContrQty),MATCH($A206,INDIRECT(RangeCount),0)),"(CQ)",""),"")</f>
        <v/>
      </c>
      <c r="F206" s="171" t="str">
        <f ca="1">IFERROR(INDEX(INDIRECT(RangeUnitPrice),MATCH($A206,INDIRECT(RangeCount),0)),"")</f>
        <v/>
      </c>
      <c r="G206" s="171" t="str">
        <f ca="1">IFERROR(VALUE(C206)*F206,F206)</f>
        <v/>
      </c>
      <c r="H206" s="388"/>
      <c r="I206" s="178" t="str">
        <f ca="1">IF($C206="","",IF($D206="LPSM",H205,VALUE($C206)*H205))</f>
        <v/>
      </c>
      <c r="J206" s="388"/>
      <c r="K206" s="178" t="str">
        <f ca="1">IF($C206="","",IF($D206="LPSM",J205,VALUE($C206)*J205))</f>
        <v/>
      </c>
      <c r="L206" s="388"/>
      <c r="M206" s="178" t="str">
        <f ca="1">IF($C206="","",IF($D206="LPSM",L205,VALUE($C206)*L205))</f>
        <v/>
      </c>
      <c r="N206" s="388"/>
      <c r="O206" s="178" t="str">
        <f ca="1">IF($C206="","",IF($D206="LPSM",N205,VALUE($C206)*N205))</f>
        <v/>
      </c>
      <c r="P206" s="388"/>
      <c r="Q206" s="178" t="str">
        <f ca="1">IF($C206="","",IF($D206="LPSM",P205,VALUE($C206)*P205))</f>
        <v/>
      </c>
      <c r="R206" s="388"/>
      <c r="S206" s="178" t="str">
        <f ca="1">IF($C206="","",IF($D206="LPSM",R205,VALUE($C206)*R205))</f>
        <v/>
      </c>
      <c r="T206" s="388"/>
      <c r="U206" s="178" t="str">
        <f ca="1">IF($C206="","",IF($D206="LPSM",T205,VALUE($C206)*T205))</f>
        <v/>
      </c>
      <c r="V206" s="388"/>
      <c r="W206" s="178" t="str">
        <f ca="1">IF($C206="","",IF($D206="LPSM",V205,VALUE($C206)*V205))</f>
        <v/>
      </c>
      <c r="X206" s="388"/>
      <c r="Y206" s="178" t="str">
        <f ca="1">IF($C206="","",IF($D206="LPSM",X205,VALUE($C206)*X205))</f>
        <v/>
      </c>
      <c r="Z206" s="388"/>
      <c r="AA206" s="178" t="str">
        <f ca="1">IF($C206="","",IF($D206="LPSM",Z205,VALUE($C206)*Z205))</f>
        <v/>
      </c>
      <c r="AB206" s="388"/>
      <c r="AC206" s="178" t="str">
        <f ca="1">IF($C206="","",IF($D206="LPSM",AB205,VALUE($C206)*AB205))</f>
        <v/>
      </c>
      <c r="AD206" s="388"/>
      <c r="AE206" s="178" t="str">
        <f ca="1">IF($C206="","",IF($D206="LPSM",AD205,VALUE($C206)*AD205))</f>
        <v/>
      </c>
      <c r="AF206" s="388"/>
      <c r="AG206" s="178" t="str">
        <f ca="1">IF($C206="","",IF($D206="LPSM",AF205,VALUE($C206)*AF205))</f>
        <v/>
      </c>
      <c r="AH206" s="388"/>
      <c r="AI206" s="178" t="str">
        <f ca="1">IF($C206="","",IF($D206="LPSM",AH205,VALUE($C206)*AH205))</f>
        <v/>
      </c>
      <c r="AJ206" s="388"/>
      <c r="AK206" s="178" t="str">
        <f ca="1">IF($C206="","",IF($D206="LPSM",AJ205,VALUE($C206)*AJ205))</f>
        <v/>
      </c>
      <c r="AL206" s="388"/>
      <c r="AM206" s="178" t="str">
        <f ca="1">IF($C206="","",IF($D206="LPSM",AL205,VALUE($C206)*AL205))</f>
        <v/>
      </c>
      <c r="AN206" s="388"/>
      <c r="AO206" s="178" t="str">
        <f ca="1">IF($C206="","",IF($D206="LPSM",AN205,VALUE($C206)*AN205))</f>
        <v/>
      </c>
      <c r="AP206" s="388"/>
      <c r="AQ206" s="178" t="str">
        <f ca="1">IF($C206="","",IF($D206="LPSM",AP205,VALUE($C206)*AP205))</f>
        <v/>
      </c>
      <c r="AR206" s="209" t="str">
        <f ca="1">IF(LEN(B206)&gt;0,ISNUMBER(MATCH(B206,Proposed[Item],0)),"")</f>
        <v/>
      </c>
    </row>
    <row r="207" spans="1:44" ht="15" x14ac:dyDescent="0.2">
      <c r="A207" s="276">
        <f t="shared" ca="1" si="3"/>
        <v>100</v>
      </c>
      <c r="B207" s="168" t="str">
        <f ca="1">IFERROR(INDEX(INDIRECT(RangeItems),MATCH($A207,INDIRECT(RangeCount),0)),"")</f>
        <v/>
      </c>
      <c r="C207" s="365" t="str">
        <f ca="1">INDEX(Calcs[Description],$A207)</f>
        <v/>
      </c>
      <c r="D207" s="365"/>
      <c r="E207" s="365"/>
      <c r="F207" s="365"/>
      <c r="G207" s="365"/>
      <c r="H207" s="388"/>
      <c r="I207" s="177"/>
      <c r="J207" s="388"/>
      <c r="K207" s="177"/>
      <c r="L207" s="388"/>
      <c r="M207" s="177"/>
      <c r="N207" s="388"/>
      <c r="O207" s="177"/>
      <c r="P207" s="388"/>
      <c r="Q207" s="177"/>
      <c r="R207" s="388"/>
      <c r="S207" s="177"/>
      <c r="T207" s="388"/>
      <c r="U207" s="177"/>
      <c r="V207" s="388"/>
      <c r="W207" s="177"/>
      <c r="X207" s="388"/>
      <c r="Y207" s="177"/>
      <c r="Z207" s="388"/>
      <c r="AA207" s="177"/>
      <c r="AB207" s="388"/>
      <c r="AC207" s="177"/>
      <c r="AD207" s="388"/>
      <c r="AE207" s="177"/>
      <c r="AF207" s="388"/>
      <c r="AG207" s="177"/>
      <c r="AH207" s="388"/>
      <c r="AI207" s="177"/>
      <c r="AJ207" s="388"/>
      <c r="AK207" s="177"/>
      <c r="AL207" s="388"/>
      <c r="AM207" s="177"/>
      <c r="AN207" s="388"/>
      <c r="AO207" s="177"/>
      <c r="AP207" s="388"/>
      <c r="AQ207" s="177"/>
      <c r="AR207" s="209" t="str">
        <f ca="1">IF(LEN(B207)&gt;0,ISNUMBER(MATCH(B207,Proposed[Item],0)),"")</f>
        <v/>
      </c>
    </row>
    <row r="208" spans="1:44" ht="15" x14ac:dyDescent="0.2">
      <c r="A208" s="276">
        <f t="shared" ca="1" si="3"/>
        <v>100</v>
      </c>
      <c r="B208" s="111" t="str">
        <f ca="1">IF($A208&lt;=NumPayItems,"Line "&amp;INDEX(Calcs[Line],$A208),"")</f>
        <v/>
      </c>
      <c r="C208" s="169" t="str">
        <f ca="1">IFERROR(IF($D208="LPSM","ALL",TEXT(INDEX(INDIRECT(RangeQuantity),MATCH($A208,INDIRECT(RangeCount),0)),"#,##0"&amp;IF(OFFSET(Items[],MATCH($A208,INDIRECT(RangeCount),0)-1,MATCH(Decimals,Items[#Headers],0)-1,1,1)&gt;0,"."&amp;REPT("0",OFFSET(Items[],MATCH($A208,INDIRECT(RangeCount),0)-1,MATCH(Decimals,Items[#Headers],0)-1,1,1)),""))),"")</f>
        <v/>
      </c>
      <c r="D208" s="170" t="str">
        <f ca="1">IFERROR(INDEX(INDIRECT(RangeUnit),MATCH($A208,INDIRECT(RangeCount),0)),"")</f>
        <v/>
      </c>
      <c r="E208" s="170" t="str">
        <f ca="1">IFERROR(IF(INDEX(INDIRECT(RangeContrQty),MATCH($A208,INDIRECT(RangeCount),0)),"(CQ)",""),"")</f>
        <v/>
      </c>
      <c r="F208" s="171" t="str">
        <f ca="1">IFERROR(INDEX(INDIRECT(RangeUnitPrice),MATCH($A208,INDIRECT(RangeCount),0)),"")</f>
        <v/>
      </c>
      <c r="G208" s="171" t="str">
        <f ca="1">IFERROR(VALUE(C208)*F208,F208)</f>
        <v/>
      </c>
      <c r="H208" s="388"/>
      <c r="I208" s="178" t="str">
        <f ca="1">IF($C208="","",IF($D208="LPSM",H207,VALUE($C208)*H207))</f>
        <v/>
      </c>
      <c r="J208" s="388"/>
      <c r="K208" s="178" t="str">
        <f ca="1">IF($C208="","",IF($D208="LPSM",J207,VALUE($C208)*J207))</f>
        <v/>
      </c>
      <c r="L208" s="388"/>
      <c r="M208" s="178" t="str">
        <f ca="1">IF($C208="","",IF($D208="LPSM",L207,VALUE($C208)*L207))</f>
        <v/>
      </c>
      <c r="N208" s="388"/>
      <c r="O208" s="178" t="str">
        <f ca="1">IF($C208="","",IF($D208="LPSM",N207,VALUE($C208)*N207))</f>
        <v/>
      </c>
      <c r="P208" s="388"/>
      <c r="Q208" s="178" t="str">
        <f ca="1">IF($C208="","",IF($D208="LPSM",P207,VALUE($C208)*P207))</f>
        <v/>
      </c>
      <c r="R208" s="388"/>
      <c r="S208" s="178" t="str">
        <f ca="1">IF($C208="","",IF($D208="LPSM",R207,VALUE($C208)*R207))</f>
        <v/>
      </c>
      <c r="T208" s="388"/>
      <c r="U208" s="178" t="str">
        <f ca="1">IF($C208="","",IF($D208="LPSM",T207,VALUE($C208)*T207))</f>
        <v/>
      </c>
      <c r="V208" s="388"/>
      <c r="W208" s="178" t="str">
        <f ca="1">IF($C208="","",IF($D208="LPSM",V207,VALUE($C208)*V207))</f>
        <v/>
      </c>
      <c r="X208" s="388"/>
      <c r="Y208" s="178" t="str">
        <f ca="1">IF($C208="","",IF($D208="LPSM",X207,VALUE($C208)*X207))</f>
        <v/>
      </c>
      <c r="Z208" s="388"/>
      <c r="AA208" s="178" t="str">
        <f ca="1">IF($C208="","",IF($D208="LPSM",Z207,VALUE($C208)*Z207))</f>
        <v/>
      </c>
      <c r="AB208" s="388"/>
      <c r="AC208" s="178" t="str">
        <f ca="1">IF($C208="","",IF($D208="LPSM",AB207,VALUE($C208)*AB207))</f>
        <v/>
      </c>
      <c r="AD208" s="388"/>
      <c r="AE208" s="178" t="str">
        <f ca="1">IF($C208="","",IF($D208="LPSM",AD207,VALUE($C208)*AD207))</f>
        <v/>
      </c>
      <c r="AF208" s="388"/>
      <c r="AG208" s="178" t="str">
        <f ca="1">IF($C208="","",IF($D208="LPSM",AF207,VALUE($C208)*AF207))</f>
        <v/>
      </c>
      <c r="AH208" s="388"/>
      <c r="AI208" s="178" t="str">
        <f ca="1">IF($C208="","",IF($D208="LPSM",AH207,VALUE($C208)*AH207))</f>
        <v/>
      </c>
      <c r="AJ208" s="388"/>
      <c r="AK208" s="178" t="str">
        <f ca="1">IF($C208="","",IF($D208="LPSM",AJ207,VALUE($C208)*AJ207))</f>
        <v/>
      </c>
      <c r="AL208" s="388"/>
      <c r="AM208" s="178" t="str">
        <f ca="1">IF($C208="","",IF($D208="LPSM",AL207,VALUE($C208)*AL207))</f>
        <v/>
      </c>
      <c r="AN208" s="388"/>
      <c r="AO208" s="178" t="str">
        <f ca="1">IF($C208="","",IF($D208="LPSM",AN207,VALUE($C208)*AN207))</f>
        <v/>
      </c>
      <c r="AP208" s="388"/>
      <c r="AQ208" s="178" t="str">
        <f ca="1">IF($C208="","",IF($D208="LPSM",AP207,VALUE($C208)*AP207))</f>
        <v/>
      </c>
      <c r="AR208" s="209" t="str">
        <f ca="1">IF(LEN(B208)&gt;0,ISNUMBER(MATCH(B208,Proposed[Item],0)),"")</f>
        <v/>
      </c>
    </row>
    <row r="209" spans="1:44" ht="15" x14ac:dyDescent="0.2">
      <c r="A209" s="276">
        <f t="shared" ca="1" si="3"/>
        <v>101</v>
      </c>
      <c r="B209" s="168" t="str">
        <f ca="1">IFERROR(INDEX(INDIRECT(RangeItems),MATCH($A209,INDIRECT(RangeCount),0)),"")</f>
        <v/>
      </c>
      <c r="C209" s="365" t="str">
        <f ca="1">INDEX(Calcs[Description],$A209)</f>
        <v/>
      </c>
      <c r="D209" s="365"/>
      <c r="E209" s="365"/>
      <c r="F209" s="365"/>
      <c r="G209" s="365"/>
      <c r="H209" s="388"/>
      <c r="I209" s="177"/>
      <c r="J209" s="388"/>
      <c r="K209" s="177"/>
      <c r="L209" s="388"/>
      <c r="M209" s="177"/>
      <c r="N209" s="388"/>
      <c r="O209" s="177"/>
      <c r="P209" s="388"/>
      <c r="Q209" s="177"/>
      <c r="R209" s="388"/>
      <c r="S209" s="177"/>
      <c r="T209" s="388"/>
      <c r="U209" s="177"/>
      <c r="V209" s="388"/>
      <c r="W209" s="177"/>
      <c r="X209" s="388"/>
      <c r="Y209" s="177"/>
      <c r="Z209" s="388"/>
      <c r="AA209" s="177"/>
      <c r="AB209" s="388"/>
      <c r="AC209" s="177"/>
      <c r="AD209" s="388"/>
      <c r="AE209" s="177"/>
      <c r="AF209" s="388"/>
      <c r="AG209" s="177"/>
      <c r="AH209" s="388"/>
      <c r="AI209" s="177"/>
      <c r="AJ209" s="388"/>
      <c r="AK209" s="177"/>
      <c r="AL209" s="388"/>
      <c r="AM209" s="177"/>
      <c r="AN209" s="388"/>
      <c r="AO209" s="177"/>
      <c r="AP209" s="388"/>
      <c r="AQ209" s="177"/>
      <c r="AR209" s="209" t="str">
        <f ca="1">IF(LEN(B209)&gt;0,ISNUMBER(MATCH(B209,Proposed[Item],0)),"")</f>
        <v/>
      </c>
    </row>
    <row r="210" spans="1:44" ht="15" x14ac:dyDescent="0.2">
      <c r="A210" s="276">
        <f t="shared" ca="1" si="3"/>
        <v>101</v>
      </c>
      <c r="B210" s="111" t="str">
        <f ca="1">IF($A210&lt;=NumPayItems,"Line "&amp;INDEX(Calcs[Line],$A210),"")</f>
        <v/>
      </c>
      <c r="C210" s="169" t="str">
        <f ca="1">IFERROR(IF($D210="LPSM","ALL",TEXT(INDEX(INDIRECT(RangeQuantity),MATCH($A210,INDIRECT(RangeCount),0)),"#,##0"&amp;IF(OFFSET(Items[],MATCH($A210,INDIRECT(RangeCount),0)-1,MATCH(Decimals,Items[#Headers],0)-1,1,1)&gt;0,"."&amp;REPT("0",OFFSET(Items[],MATCH($A210,INDIRECT(RangeCount),0)-1,MATCH(Decimals,Items[#Headers],0)-1,1,1)),""))),"")</f>
        <v/>
      </c>
      <c r="D210" s="170" t="str">
        <f ca="1">IFERROR(INDEX(INDIRECT(RangeUnit),MATCH($A210,INDIRECT(RangeCount),0)),"")</f>
        <v/>
      </c>
      <c r="E210" s="170" t="str">
        <f ca="1">IFERROR(IF(INDEX(INDIRECT(RangeContrQty),MATCH($A210,INDIRECT(RangeCount),0)),"(CQ)",""),"")</f>
        <v/>
      </c>
      <c r="F210" s="171" t="str">
        <f ca="1">IFERROR(INDEX(INDIRECT(RangeUnitPrice),MATCH($A210,INDIRECT(RangeCount),0)),"")</f>
        <v/>
      </c>
      <c r="G210" s="171" t="str">
        <f ca="1">IFERROR(VALUE(C210)*F210,F210)</f>
        <v/>
      </c>
      <c r="H210" s="388"/>
      <c r="I210" s="178" t="str">
        <f ca="1">IF($C210="","",IF($D210="LPSM",H209,VALUE($C210)*H209))</f>
        <v/>
      </c>
      <c r="J210" s="388"/>
      <c r="K210" s="178" t="str">
        <f ca="1">IF($C210="","",IF($D210="LPSM",J209,VALUE($C210)*J209))</f>
        <v/>
      </c>
      <c r="L210" s="388"/>
      <c r="M210" s="178" t="str">
        <f ca="1">IF($C210="","",IF($D210="LPSM",L209,VALUE($C210)*L209))</f>
        <v/>
      </c>
      <c r="N210" s="388"/>
      <c r="O210" s="178" t="str">
        <f ca="1">IF($C210="","",IF($D210="LPSM",N209,VALUE($C210)*N209))</f>
        <v/>
      </c>
      <c r="P210" s="388"/>
      <c r="Q210" s="178" t="str">
        <f ca="1">IF($C210="","",IF($D210="LPSM",P209,VALUE($C210)*P209))</f>
        <v/>
      </c>
      <c r="R210" s="388"/>
      <c r="S210" s="178" t="str">
        <f ca="1">IF($C210="","",IF($D210="LPSM",R209,VALUE($C210)*R209))</f>
        <v/>
      </c>
      <c r="T210" s="388"/>
      <c r="U210" s="178" t="str">
        <f ca="1">IF($C210="","",IF($D210="LPSM",T209,VALUE($C210)*T209))</f>
        <v/>
      </c>
      <c r="V210" s="388"/>
      <c r="W210" s="178" t="str">
        <f ca="1">IF($C210="","",IF($D210="LPSM",V209,VALUE($C210)*V209))</f>
        <v/>
      </c>
      <c r="X210" s="388"/>
      <c r="Y210" s="178" t="str">
        <f ca="1">IF($C210="","",IF($D210="LPSM",X209,VALUE($C210)*X209))</f>
        <v/>
      </c>
      <c r="Z210" s="388"/>
      <c r="AA210" s="178" t="str">
        <f ca="1">IF($C210="","",IF($D210="LPSM",Z209,VALUE($C210)*Z209))</f>
        <v/>
      </c>
      <c r="AB210" s="388"/>
      <c r="AC210" s="178" t="str">
        <f ca="1">IF($C210="","",IF($D210="LPSM",AB209,VALUE($C210)*AB209))</f>
        <v/>
      </c>
      <c r="AD210" s="388"/>
      <c r="AE210" s="178" t="str">
        <f ca="1">IF($C210="","",IF($D210="LPSM",AD209,VALUE($C210)*AD209))</f>
        <v/>
      </c>
      <c r="AF210" s="388"/>
      <c r="AG210" s="178" t="str">
        <f ca="1">IF($C210="","",IF($D210="LPSM",AF209,VALUE($C210)*AF209))</f>
        <v/>
      </c>
      <c r="AH210" s="388"/>
      <c r="AI210" s="178" t="str">
        <f ca="1">IF($C210="","",IF($D210="LPSM",AH209,VALUE($C210)*AH209))</f>
        <v/>
      </c>
      <c r="AJ210" s="388"/>
      <c r="AK210" s="178" t="str">
        <f ca="1">IF($C210="","",IF($D210="LPSM",AJ209,VALUE($C210)*AJ209))</f>
        <v/>
      </c>
      <c r="AL210" s="388"/>
      <c r="AM210" s="178" t="str">
        <f ca="1">IF($C210="","",IF($D210="LPSM",AL209,VALUE($C210)*AL209))</f>
        <v/>
      </c>
      <c r="AN210" s="388"/>
      <c r="AO210" s="178" t="str">
        <f ca="1">IF($C210="","",IF($D210="LPSM",AN209,VALUE($C210)*AN209))</f>
        <v/>
      </c>
      <c r="AP210" s="388"/>
      <c r="AQ210" s="178" t="str">
        <f ca="1">IF($C210="","",IF($D210="LPSM",AP209,VALUE($C210)*AP209))</f>
        <v/>
      </c>
      <c r="AR210" s="209" t="str">
        <f ca="1">IF(LEN(B210)&gt;0,ISNUMBER(MATCH(B210,Proposed[Item],0)),"")</f>
        <v/>
      </c>
    </row>
    <row r="211" spans="1:44" ht="15" x14ac:dyDescent="0.2">
      <c r="A211" s="276">
        <f t="shared" ca="1" si="3"/>
        <v>102</v>
      </c>
      <c r="B211" s="168" t="str">
        <f ca="1">IFERROR(INDEX(INDIRECT(RangeItems),MATCH($A211,INDIRECT(RangeCount),0)),"")</f>
        <v/>
      </c>
      <c r="C211" s="365" t="str">
        <f ca="1">INDEX(Calcs[Description],$A211)</f>
        <v/>
      </c>
      <c r="D211" s="365"/>
      <c r="E211" s="365"/>
      <c r="F211" s="365"/>
      <c r="G211" s="365"/>
      <c r="H211" s="388"/>
      <c r="I211" s="177"/>
      <c r="J211" s="388"/>
      <c r="K211" s="177"/>
      <c r="L211" s="388"/>
      <c r="M211" s="177"/>
      <c r="N211" s="388"/>
      <c r="O211" s="177"/>
      <c r="P211" s="388"/>
      <c r="Q211" s="177"/>
      <c r="R211" s="388"/>
      <c r="S211" s="177"/>
      <c r="T211" s="388"/>
      <c r="U211" s="177"/>
      <c r="V211" s="388"/>
      <c r="W211" s="177"/>
      <c r="X211" s="388"/>
      <c r="Y211" s="177"/>
      <c r="Z211" s="388"/>
      <c r="AA211" s="177"/>
      <c r="AB211" s="388"/>
      <c r="AC211" s="177"/>
      <c r="AD211" s="388"/>
      <c r="AE211" s="177"/>
      <c r="AF211" s="388"/>
      <c r="AG211" s="177"/>
      <c r="AH211" s="388"/>
      <c r="AI211" s="177"/>
      <c r="AJ211" s="388"/>
      <c r="AK211" s="177"/>
      <c r="AL211" s="388"/>
      <c r="AM211" s="177"/>
      <c r="AN211" s="388"/>
      <c r="AO211" s="177"/>
      <c r="AP211" s="388"/>
      <c r="AQ211" s="177"/>
      <c r="AR211" s="209" t="str">
        <f ca="1">IF(LEN(B211)&gt;0,ISNUMBER(MATCH(B211,Proposed[Item],0)),"")</f>
        <v/>
      </c>
    </row>
    <row r="212" spans="1:44" ht="15" x14ac:dyDescent="0.2">
      <c r="A212" s="276">
        <f t="shared" ca="1" si="3"/>
        <v>102</v>
      </c>
      <c r="B212" s="111" t="str">
        <f ca="1">IF($A212&lt;=NumPayItems,"Line "&amp;INDEX(Calcs[Line],$A212),"")</f>
        <v/>
      </c>
      <c r="C212" s="169" t="str">
        <f ca="1">IFERROR(IF($D212="LPSM","ALL",TEXT(INDEX(INDIRECT(RangeQuantity),MATCH($A212,INDIRECT(RangeCount),0)),"#,##0"&amp;IF(OFFSET(Items[],MATCH($A212,INDIRECT(RangeCount),0)-1,MATCH(Decimals,Items[#Headers],0)-1,1,1)&gt;0,"."&amp;REPT("0",OFFSET(Items[],MATCH($A212,INDIRECT(RangeCount),0)-1,MATCH(Decimals,Items[#Headers],0)-1,1,1)),""))),"")</f>
        <v/>
      </c>
      <c r="D212" s="170" t="str">
        <f ca="1">IFERROR(INDEX(INDIRECT(RangeUnit),MATCH($A212,INDIRECT(RangeCount),0)),"")</f>
        <v/>
      </c>
      <c r="E212" s="170" t="str">
        <f ca="1">IFERROR(IF(INDEX(INDIRECT(RangeContrQty),MATCH($A212,INDIRECT(RangeCount),0)),"(CQ)",""),"")</f>
        <v/>
      </c>
      <c r="F212" s="171" t="str">
        <f ca="1">IFERROR(INDEX(INDIRECT(RangeUnitPrice),MATCH($A212,INDIRECT(RangeCount),0)),"")</f>
        <v/>
      </c>
      <c r="G212" s="171" t="str">
        <f ca="1">IFERROR(VALUE(C212)*F212,F212)</f>
        <v/>
      </c>
      <c r="H212" s="388"/>
      <c r="I212" s="178" t="str">
        <f ca="1">IF($C212="","",IF($D212="LPSM",H211,VALUE($C212)*H211))</f>
        <v/>
      </c>
      <c r="J212" s="388"/>
      <c r="K212" s="178" t="str">
        <f ca="1">IF($C212="","",IF($D212="LPSM",J211,VALUE($C212)*J211))</f>
        <v/>
      </c>
      <c r="L212" s="388"/>
      <c r="M212" s="178" t="str">
        <f ca="1">IF($C212="","",IF($D212="LPSM",L211,VALUE($C212)*L211))</f>
        <v/>
      </c>
      <c r="N212" s="388"/>
      <c r="O212" s="178" t="str">
        <f ca="1">IF($C212="","",IF($D212="LPSM",N211,VALUE($C212)*N211))</f>
        <v/>
      </c>
      <c r="P212" s="388"/>
      <c r="Q212" s="178" t="str">
        <f ca="1">IF($C212="","",IF($D212="LPSM",P211,VALUE($C212)*P211))</f>
        <v/>
      </c>
      <c r="R212" s="388"/>
      <c r="S212" s="178" t="str">
        <f ca="1">IF($C212="","",IF($D212="LPSM",R211,VALUE($C212)*R211))</f>
        <v/>
      </c>
      <c r="T212" s="388"/>
      <c r="U212" s="178" t="str">
        <f ca="1">IF($C212="","",IF($D212="LPSM",T211,VALUE($C212)*T211))</f>
        <v/>
      </c>
      <c r="V212" s="388"/>
      <c r="W212" s="178" t="str">
        <f ca="1">IF($C212="","",IF($D212="LPSM",V211,VALUE($C212)*V211))</f>
        <v/>
      </c>
      <c r="X212" s="388"/>
      <c r="Y212" s="178" t="str">
        <f ca="1">IF($C212="","",IF($D212="LPSM",X211,VALUE($C212)*X211))</f>
        <v/>
      </c>
      <c r="Z212" s="388"/>
      <c r="AA212" s="178" t="str">
        <f ca="1">IF($C212="","",IF($D212="LPSM",Z211,VALUE($C212)*Z211))</f>
        <v/>
      </c>
      <c r="AB212" s="388"/>
      <c r="AC212" s="178" t="str">
        <f ca="1">IF($C212="","",IF($D212="LPSM",AB211,VALUE($C212)*AB211))</f>
        <v/>
      </c>
      <c r="AD212" s="388"/>
      <c r="AE212" s="178" t="str">
        <f ca="1">IF($C212="","",IF($D212="LPSM",AD211,VALUE($C212)*AD211))</f>
        <v/>
      </c>
      <c r="AF212" s="388"/>
      <c r="AG212" s="178" t="str">
        <f ca="1">IF($C212="","",IF($D212="LPSM",AF211,VALUE($C212)*AF211))</f>
        <v/>
      </c>
      <c r="AH212" s="388"/>
      <c r="AI212" s="178" t="str">
        <f ca="1">IF($C212="","",IF($D212="LPSM",AH211,VALUE($C212)*AH211))</f>
        <v/>
      </c>
      <c r="AJ212" s="388"/>
      <c r="AK212" s="178" t="str">
        <f ca="1">IF($C212="","",IF($D212="LPSM",AJ211,VALUE($C212)*AJ211))</f>
        <v/>
      </c>
      <c r="AL212" s="388"/>
      <c r="AM212" s="178" t="str">
        <f ca="1">IF($C212="","",IF($D212="LPSM",AL211,VALUE($C212)*AL211))</f>
        <v/>
      </c>
      <c r="AN212" s="388"/>
      <c r="AO212" s="178" t="str">
        <f ca="1">IF($C212="","",IF($D212="LPSM",AN211,VALUE($C212)*AN211))</f>
        <v/>
      </c>
      <c r="AP212" s="388"/>
      <c r="AQ212" s="178" t="str">
        <f ca="1">IF($C212="","",IF($D212="LPSM",AP211,VALUE($C212)*AP211))</f>
        <v/>
      </c>
      <c r="AR212" s="209" t="str">
        <f ca="1">IF(LEN(B212)&gt;0,ISNUMBER(MATCH(B212,Proposed[Item],0)),"")</f>
        <v/>
      </c>
    </row>
    <row r="213" spans="1:44" ht="15" x14ac:dyDescent="0.2">
      <c r="A213" s="276">
        <f t="shared" ca="1" si="3"/>
        <v>103</v>
      </c>
      <c r="B213" s="168" t="str">
        <f ca="1">IFERROR(INDEX(INDIRECT(RangeItems),MATCH($A213,INDIRECT(RangeCount),0)),"")</f>
        <v/>
      </c>
      <c r="C213" s="365" t="str">
        <f ca="1">INDEX(Calcs[Description],$A213)</f>
        <v/>
      </c>
      <c r="D213" s="365"/>
      <c r="E213" s="365"/>
      <c r="F213" s="365"/>
      <c r="G213" s="365"/>
      <c r="H213" s="388"/>
      <c r="I213" s="177"/>
      <c r="J213" s="388"/>
      <c r="K213" s="177"/>
      <c r="L213" s="388"/>
      <c r="M213" s="177"/>
      <c r="N213" s="388"/>
      <c r="O213" s="177"/>
      <c r="P213" s="388"/>
      <c r="Q213" s="177"/>
      <c r="R213" s="388"/>
      <c r="S213" s="177"/>
      <c r="T213" s="388"/>
      <c r="U213" s="177"/>
      <c r="V213" s="388"/>
      <c r="W213" s="177"/>
      <c r="X213" s="388"/>
      <c r="Y213" s="177"/>
      <c r="Z213" s="388"/>
      <c r="AA213" s="177"/>
      <c r="AB213" s="388"/>
      <c r="AC213" s="177"/>
      <c r="AD213" s="388"/>
      <c r="AE213" s="177"/>
      <c r="AF213" s="388"/>
      <c r="AG213" s="177"/>
      <c r="AH213" s="388"/>
      <c r="AI213" s="177"/>
      <c r="AJ213" s="388"/>
      <c r="AK213" s="177"/>
      <c r="AL213" s="388"/>
      <c r="AM213" s="177"/>
      <c r="AN213" s="388"/>
      <c r="AO213" s="177"/>
      <c r="AP213" s="388"/>
      <c r="AQ213" s="177"/>
      <c r="AR213" s="209" t="str">
        <f ca="1">IF(LEN(B213)&gt;0,ISNUMBER(MATCH(B213,Proposed[Item],0)),"")</f>
        <v/>
      </c>
    </row>
    <row r="214" spans="1:44" ht="15" x14ac:dyDescent="0.2">
      <c r="A214" s="276">
        <f t="shared" ca="1" si="3"/>
        <v>103</v>
      </c>
      <c r="B214" s="111" t="str">
        <f ca="1">IF($A214&lt;=NumPayItems,"Line "&amp;INDEX(Calcs[Line],$A214),"")</f>
        <v/>
      </c>
      <c r="C214" s="169" t="str">
        <f ca="1">IFERROR(IF($D214="LPSM","ALL",TEXT(INDEX(INDIRECT(RangeQuantity),MATCH($A214,INDIRECT(RangeCount),0)),"#,##0"&amp;IF(OFFSET(Items[],MATCH($A214,INDIRECT(RangeCount),0)-1,MATCH(Decimals,Items[#Headers],0)-1,1,1)&gt;0,"."&amp;REPT("0",OFFSET(Items[],MATCH($A214,INDIRECT(RangeCount),0)-1,MATCH(Decimals,Items[#Headers],0)-1,1,1)),""))),"")</f>
        <v/>
      </c>
      <c r="D214" s="170" t="str">
        <f ca="1">IFERROR(INDEX(INDIRECT(RangeUnit),MATCH($A214,INDIRECT(RangeCount),0)),"")</f>
        <v/>
      </c>
      <c r="E214" s="170" t="str">
        <f ca="1">IFERROR(IF(INDEX(INDIRECT(RangeContrQty),MATCH($A214,INDIRECT(RangeCount),0)),"(CQ)",""),"")</f>
        <v/>
      </c>
      <c r="F214" s="171" t="str">
        <f ca="1">IFERROR(INDEX(INDIRECT(RangeUnitPrice),MATCH($A214,INDIRECT(RangeCount),0)),"")</f>
        <v/>
      </c>
      <c r="G214" s="171" t="str">
        <f ca="1">IFERROR(VALUE(C214)*F214,F214)</f>
        <v/>
      </c>
      <c r="H214" s="388"/>
      <c r="I214" s="178" t="str">
        <f ca="1">IF($C214="","",IF($D214="LPSM",H213,VALUE($C214)*H213))</f>
        <v/>
      </c>
      <c r="J214" s="388"/>
      <c r="K214" s="178" t="str">
        <f ca="1">IF($C214="","",IF($D214="LPSM",J213,VALUE($C214)*J213))</f>
        <v/>
      </c>
      <c r="L214" s="388"/>
      <c r="M214" s="178" t="str">
        <f ca="1">IF($C214="","",IF($D214="LPSM",L213,VALUE($C214)*L213))</f>
        <v/>
      </c>
      <c r="N214" s="388"/>
      <c r="O214" s="178" t="str">
        <f ca="1">IF($C214="","",IF($D214="LPSM",N213,VALUE($C214)*N213))</f>
        <v/>
      </c>
      <c r="P214" s="388"/>
      <c r="Q214" s="178" t="str">
        <f ca="1">IF($C214="","",IF($D214="LPSM",P213,VALUE($C214)*P213))</f>
        <v/>
      </c>
      <c r="R214" s="388"/>
      <c r="S214" s="178" t="str">
        <f ca="1">IF($C214="","",IF($D214="LPSM",R213,VALUE($C214)*R213))</f>
        <v/>
      </c>
      <c r="T214" s="388"/>
      <c r="U214" s="178" t="str">
        <f ca="1">IF($C214="","",IF($D214="LPSM",T213,VALUE($C214)*T213))</f>
        <v/>
      </c>
      <c r="V214" s="388"/>
      <c r="W214" s="178" t="str">
        <f ca="1">IF($C214="","",IF($D214="LPSM",V213,VALUE($C214)*V213))</f>
        <v/>
      </c>
      <c r="X214" s="388"/>
      <c r="Y214" s="178" t="str">
        <f ca="1">IF($C214="","",IF($D214="LPSM",X213,VALUE($C214)*X213))</f>
        <v/>
      </c>
      <c r="Z214" s="388"/>
      <c r="AA214" s="178" t="str">
        <f ca="1">IF($C214="","",IF($D214="LPSM",Z213,VALUE($C214)*Z213))</f>
        <v/>
      </c>
      <c r="AB214" s="388"/>
      <c r="AC214" s="178" t="str">
        <f ca="1">IF($C214="","",IF($D214="LPSM",AB213,VALUE($C214)*AB213))</f>
        <v/>
      </c>
      <c r="AD214" s="388"/>
      <c r="AE214" s="178" t="str">
        <f ca="1">IF($C214="","",IF($D214="LPSM",AD213,VALUE($C214)*AD213))</f>
        <v/>
      </c>
      <c r="AF214" s="388"/>
      <c r="AG214" s="178" t="str">
        <f ca="1">IF($C214="","",IF($D214="LPSM",AF213,VALUE($C214)*AF213))</f>
        <v/>
      </c>
      <c r="AH214" s="388"/>
      <c r="AI214" s="178" t="str">
        <f ca="1">IF($C214="","",IF($D214="LPSM",AH213,VALUE($C214)*AH213))</f>
        <v/>
      </c>
      <c r="AJ214" s="388"/>
      <c r="AK214" s="178" t="str">
        <f ca="1">IF($C214="","",IF($D214="LPSM",AJ213,VALUE($C214)*AJ213))</f>
        <v/>
      </c>
      <c r="AL214" s="388"/>
      <c r="AM214" s="178" t="str">
        <f ca="1">IF($C214="","",IF($D214="LPSM",AL213,VALUE($C214)*AL213))</f>
        <v/>
      </c>
      <c r="AN214" s="388"/>
      <c r="AO214" s="178" t="str">
        <f ca="1">IF($C214="","",IF($D214="LPSM",AN213,VALUE($C214)*AN213))</f>
        <v/>
      </c>
      <c r="AP214" s="388"/>
      <c r="AQ214" s="178" t="str">
        <f ca="1">IF($C214="","",IF($D214="LPSM",AP213,VALUE($C214)*AP213))</f>
        <v/>
      </c>
      <c r="AR214" s="209" t="str">
        <f ca="1">IF(LEN(B214)&gt;0,ISNUMBER(MATCH(B214,Proposed[Item],0)),"")</f>
        <v/>
      </c>
    </row>
    <row r="215" spans="1:44" ht="15" x14ac:dyDescent="0.2">
      <c r="A215" s="276">
        <f t="shared" ca="1" si="3"/>
        <v>104</v>
      </c>
      <c r="B215" s="168" t="str">
        <f ca="1">IFERROR(INDEX(INDIRECT(RangeItems),MATCH($A215,INDIRECT(RangeCount),0)),"")</f>
        <v/>
      </c>
      <c r="C215" s="365" t="str">
        <f ca="1">INDEX(Calcs[Description],$A215)</f>
        <v/>
      </c>
      <c r="D215" s="365"/>
      <c r="E215" s="365"/>
      <c r="F215" s="365"/>
      <c r="G215" s="365"/>
      <c r="H215" s="388"/>
      <c r="I215" s="177"/>
      <c r="J215" s="388"/>
      <c r="K215" s="177"/>
      <c r="L215" s="388"/>
      <c r="M215" s="177"/>
      <c r="N215" s="388"/>
      <c r="O215" s="177"/>
      <c r="P215" s="388"/>
      <c r="Q215" s="177"/>
      <c r="R215" s="388"/>
      <c r="S215" s="177"/>
      <c r="T215" s="388"/>
      <c r="U215" s="177"/>
      <c r="V215" s="388"/>
      <c r="W215" s="177"/>
      <c r="X215" s="388"/>
      <c r="Y215" s="177"/>
      <c r="Z215" s="388"/>
      <c r="AA215" s="177"/>
      <c r="AB215" s="388"/>
      <c r="AC215" s="177"/>
      <c r="AD215" s="388"/>
      <c r="AE215" s="177"/>
      <c r="AF215" s="388"/>
      <c r="AG215" s="177"/>
      <c r="AH215" s="388"/>
      <c r="AI215" s="177"/>
      <c r="AJ215" s="388"/>
      <c r="AK215" s="177"/>
      <c r="AL215" s="388"/>
      <c r="AM215" s="177"/>
      <c r="AN215" s="388"/>
      <c r="AO215" s="177"/>
      <c r="AP215" s="388"/>
      <c r="AQ215" s="177"/>
      <c r="AR215" s="209" t="str">
        <f ca="1">IF(LEN(B215)&gt;0,ISNUMBER(MATCH(B215,Proposed[Item],0)),"")</f>
        <v/>
      </c>
    </row>
    <row r="216" spans="1:44" ht="15" x14ac:dyDescent="0.2">
      <c r="A216" s="276">
        <f t="shared" ca="1" si="3"/>
        <v>104</v>
      </c>
      <c r="B216" s="111" t="str">
        <f ca="1">IF($A216&lt;=NumPayItems,"Line "&amp;INDEX(Calcs[Line],$A216),"")</f>
        <v/>
      </c>
      <c r="C216" s="169" t="str">
        <f ca="1">IFERROR(IF($D216="LPSM","ALL",TEXT(INDEX(INDIRECT(RangeQuantity),MATCH($A216,INDIRECT(RangeCount),0)),"#,##0"&amp;IF(OFFSET(Items[],MATCH($A216,INDIRECT(RangeCount),0)-1,MATCH(Decimals,Items[#Headers],0)-1,1,1)&gt;0,"."&amp;REPT("0",OFFSET(Items[],MATCH($A216,INDIRECT(RangeCount),0)-1,MATCH(Decimals,Items[#Headers],0)-1,1,1)),""))),"")</f>
        <v/>
      </c>
      <c r="D216" s="170" t="str">
        <f ca="1">IFERROR(INDEX(INDIRECT(RangeUnit),MATCH($A216,INDIRECT(RangeCount),0)),"")</f>
        <v/>
      </c>
      <c r="E216" s="170" t="str">
        <f ca="1">IFERROR(IF(INDEX(INDIRECT(RangeContrQty),MATCH($A216,INDIRECT(RangeCount),0)),"(CQ)",""),"")</f>
        <v/>
      </c>
      <c r="F216" s="171" t="str">
        <f ca="1">IFERROR(INDEX(INDIRECT(RangeUnitPrice),MATCH($A216,INDIRECT(RangeCount),0)),"")</f>
        <v/>
      </c>
      <c r="G216" s="171" t="str">
        <f ca="1">IFERROR(VALUE(C216)*F216,F216)</f>
        <v/>
      </c>
      <c r="H216" s="388"/>
      <c r="I216" s="178" t="str">
        <f ca="1">IF($C216="","",IF($D216="LPSM",H215,VALUE($C216)*H215))</f>
        <v/>
      </c>
      <c r="J216" s="388"/>
      <c r="K216" s="178" t="str">
        <f ca="1">IF($C216="","",IF($D216="LPSM",J215,VALUE($C216)*J215))</f>
        <v/>
      </c>
      <c r="L216" s="388"/>
      <c r="M216" s="178" t="str">
        <f ca="1">IF($C216="","",IF($D216="LPSM",L215,VALUE($C216)*L215))</f>
        <v/>
      </c>
      <c r="N216" s="388"/>
      <c r="O216" s="178" t="str">
        <f ca="1">IF($C216="","",IF($D216="LPSM",N215,VALUE($C216)*N215))</f>
        <v/>
      </c>
      <c r="P216" s="388"/>
      <c r="Q216" s="178" t="str">
        <f ca="1">IF($C216="","",IF($D216="LPSM",P215,VALUE($C216)*P215))</f>
        <v/>
      </c>
      <c r="R216" s="388"/>
      <c r="S216" s="178" t="str">
        <f ca="1">IF($C216="","",IF($D216="LPSM",R215,VALUE($C216)*R215))</f>
        <v/>
      </c>
      <c r="T216" s="388"/>
      <c r="U216" s="178" t="str">
        <f ca="1">IF($C216="","",IF($D216="LPSM",T215,VALUE($C216)*T215))</f>
        <v/>
      </c>
      <c r="V216" s="388"/>
      <c r="W216" s="178" t="str">
        <f ca="1">IF($C216="","",IF($D216="LPSM",V215,VALUE($C216)*V215))</f>
        <v/>
      </c>
      <c r="X216" s="388"/>
      <c r="Y216" s="178" t="str">
        <f ca="1">IF($C216="","",IF($D216="LPSM",X215,VALUE($C216)*X215))</f>
        <v/>
      </c>
      <c r="Z216" s="388"/>
      <c r="AA216" s="178" t="str">
        <f ca="1">IF($C216="","",IF($D216="LPSM",Z215,VALUE($C216)*Z215))</f>
        <v/>
      </c>
      <c r="AB216" s="388"/>
      <c r="AC216" s="178" t="str">
        <f ca="1">IF($C216="","",IF($D216="LPSM",AB215,VALUE($C216)*AB215))</f>
        <v/>
      </c>
      <c r="AD216" s="388"/>
      <c r="AE216" s="178" t="str">
        <f ca="1">IF($C216="","",IF($D216="LPSM",AD215,VALUE($C216)*AD215))</f>
        <v/>
      </c>
      <c r="AF216" s="388"/>
      <c r="AG216" s="178" t="str">
        <f ca="1">IF($C216="","",IF($D216="LPSM",AF215,VALUE($C216)*AF215))</f>
        <v/>
      </c>
      <c r="AH216" s="388"/>
      <c r="AI216" s="178" t="str">
        <f ca="1">IF($C216="","",IF($D216="LPSM",AH215,VALUE($C216)*AH215))</f>
        <v/>
      </c>
      <c r="AJ216" s="388"/>
      <c r="AK216" s="178" t="str">
        <f ca="1">IF($C216="","",IF($D216="LPSM",AJ215,VALUE($C216)*AJ215))</f>
        <v/>
      </c>
      <c r="AL216" s="388"/>
      <c r="AM216" s="178" t="str">
        <f ca="1">IF($C216="","",IF($D216="LPSM",AL215,VALUE($C216)*AL215))</f>
        <v/>
      </c>
      <c r="AN216" s="388"/>
      <c r="AO216" s="178" t="str">
        <f ca="1">IF($C216="","",IF($D216="LPSM",AN215,VALUE($C216)*AN215))</f>
        <v/>
      </c>
      <c r="AP216" s="388"/>
      <c r="AQ216" s="178" t="str">
        <f ca="1">IF($C216="","",IF($D216="LPSM",AP215,VALUE($C216)*AP215))</f>
        <v/>
      </c>
      <c r="AR216" s="209" t="str">
        <f ca="1">IF(LEN(B216)&gt;0,ISNUMBER(MATCH(B216,Proposed[Item],0)),"")</f>
        <v/>
      </c>
    </row>
    <row r="217" spans="1:44" ht="15" x14ac:dyDescent="0.2">
      <c r="A217" s="276">
        <f t="shared" ca="1" si="3"/>
        <v>105</v>
      </c>
      <c r="B217" s="168" t="str">
        <f ca="1">IFERROR(INDEX(INDIRECT(RangeItems),MATCH($A217,INDIRECT(RangeCount),0)),"")</f>
        <v/>
      </c>
      <c r="C217" s="365" t="str">
        <f ca="1">INDEX(Calcs[Description],$A217)</f>
        <v/>
      </c>
      <c r="D217" s="365"/>
      <c r="E217" s="365"/>
      <c r="F217" s="365"/>
      <c r="G217" s="365"/>
      <c r="H217" s="388"/>
      <c r="I217" s="177"/>
      <c r="J217" s="388"/>
      <c r="K217" s="177"/>
      <c r="L217" s="388"/>
      <c r="M217" s="177"/>
      <c r="N217" s="388"/>
      <c r="O217" s="177"/>
      <c r="P217" s="388"/>
      <c r="Q217" s="177"/>
      <c r="R217" s="388"/>
      <c r="S217" s="177"/>
      <c r="T217" s="388"/>
      <c r="U217" s="177"/>
      <c r="V217" s="388"/>
      <c r="W217" s="177"/>
      <c r="X217" s="388"/>
      <c r="Y217" s="177"/>
      <c r="Z217" s="388"/>
      <c r="AA217" s="177"/>
      <c r="AB217" s="388"/>
      <c r="AC217" s="177"/>
      <c r="AD217" s="388"/>
      <c r="AE217" s="177"/>
      <c r="AF217" s="388"/>
      <c r="AG217" s="177"/>
      <c r="AH217" s="388"/>
      <c r="AI217" s="177"/>
      <c r="AJ217" s="388"/>
      <c r="AK217" s="177"/>
      <c r="AL217" s="388"/>
      <c r="AM217" s="177"/>
      <c r="AN217" s="388"/>
      <c r="AO217" s="177"/>
      <c r="AP217" s="388"/>
      <c r="AQ217" s="177"/>
      <c r="AR217" s="209" t="str">
        <f ca="1">IF(LEN(B217)&gt;0,ISNUMBER(MATCH(B217,Proposed[Item],0)),"")</f>
        <v/>
      </c>
    </row>
    <row r="218" spans="1:44" ht="15" x14ac:dyDescent="0.2">
      <c r="A218" s="276">
        <f t="shared" ca="1" si="3"/>
        <v>105</v>
      </c>
      <c r="B218" s="111" t="str">
        <f ca="1">IF($A218&lt;=NumPayItems,"Line "&amp;INDEX(Calcs[Line],$A218),"")</f>
        <v/>
      </c>
      <c r="C218" s="169" t="str">
        <f ca="1">IFERROR(IF($D218="LPSM","ALL",TEXT(INDEX(INDIRECT(RangeQuantity),MATCH($A218,INDIRECT(RangeCount),0)),"#,##0"&amp;IF(OFFSET(Items[],MATCH($A218,INDIRECT(RangeCount),0)-1,MATCH(Decimals,Items[#Headers],0)-1,1,1)&gt;0,"."&amp;REPT("0",OFFSET(Items[],MATCH($A218,INDIRECT(RangeCount),0)-1,MATCH(Decimals,Items[#Headers],0)-1,1,1)),""))),"")</f>
        <v/>
      </c>
      <c r="D218" s="170" t="str">
        <f ca="1">IFERROR(INDEX(INDIRECT(RangeUnit),MATCH($A218,INDIRECT(RangeCount),0)),"")</f>
        <v/>
      </c>
      <c r="E218" s="170" t="str">
        <f ca="1">IFERROR(IF(INDEX(INDIRECT(RangeContrQty),MATCH($A218,INDIRECT(RangeCount),0)),"(CQ)",""),"")</f>
        <v/>
      </c>
      <c r="F218" s="171" t="str">
        <f ca="1">IFERROR(INDEX(INDIRECT(RangeUnitPrice),MATCH($A218,INDIRECT(RangeCount),0)),"")</f>
        <v/>
      </c>
      <c r="G218" s="171" t="str">
        <f ca="1">IFERROR(VALUE(C218)*F218,F218)</f>
        <v/>
      </c>
      <c r="H218" s="388"/>
      <c r="I218" s="178" t="str">
        <f ca="1">IF($C218="","",IF($D218="LPSM",H217,VALUE($C218)*H217))</f>
        <v/>
      </c>
      <c r="J218" s="388"/>
      <c r="K218" s="178" t="str">
        <f ca="1">IF($C218="","",IF($D218="LPSM",J217,VALUE($C218)*J217))</f>
        <v/>
      </c>
      <c r="L218" s="388"/>
      <c r="M218" s="178" t="str">
        <f ca="1">IF($C218="","",IF($D218="LPSM",L217,VALUE($C218)*L217))</f>
        <v/>
      </c>
      <c r="N218" s="388"/>
      <c r="O218" s="178" t="str">
        <f ca="1">IF($C218="","",IF($D218="LPSM",N217,VALUE($C218)*N217))</f>
        <v/>
      </c>
      <c r="P218" s="388"/>
      <c r="Q218" s="178" t="str">
        <f ca="1">IF($C218="","",IF($D218="LPSM",P217,VALUE($C218)*P217))</f>
        <v/>
      </c>
      <c r="R218" s="388"/>
      <c r="S218" s="178" t="str">
        <f ca="1">IF($C218="","",IF($D218="LPSM",R217,VALUE($C218)*R217))</f>
        <v/>
      </c>
      <c r="T218" s="388"/>
      <c r="U218" s="178" t="str">
        <f ca="1">IF($C218="","",IF($D218="LPSM",T217,VALUE($C218)*T217))</f>
        <v/>
      </c>
      <c r="V218" s="388"/>
      <c r="W218" s="178" t="str">
        <f ca="1">IF($C218="","",IF($D218="LPSM",V217,VALUE($C218)*V217))</f>
        <v/>
      </c>
      <c r="X218" s="388"/>
      <c r="Y218" s="178" t="str">
        <f ca="1">IF($C218="","",IF($D218="LPSM",X217,VALUE($C218)*X217))</f>
        <v/>
      </c>
      <c r="Z218" s="388"/>
      <c r="AA218" s="178" t="str">
        <f ca="1">IF($C218="","",IF($D218="LPSM",Z217,VALUE($C218)*Z217))</f>
        <v/>
      </c>
      <c r="AB218" s="388"/>
      <c r="AC218" s="178" t="str">
        <f ca="1">IF($C218="","",IF($D218="LPSM",AB217,VALUE($C218)*AB217))</f>
        <v/>
      </c>
      <c r="AD218" s="388"/>
      <c r="AE218" s="178" t="str">
        <f ca="1">IF($C218="","",IF($D218="LPSM",AD217,VALUE($C218)*AD217))</f>
        <v/>
      </c>
      <c r="AF218" s="388"/>
      <c r="AG218" s="178" t="str">
        <f ca="1">IF($C218="","",IF($D218="LPSM",AF217,VALUE($C218)*AF217))</f>
        <v/>
      </c>
      <c r="AH218" s="388"/>
      <c r="AI218" s="178" t="str">
        <f ca="1">IF($C218="","",IF($D218="LPSM",AH217,VALUE($C218)*AH217))</f>
        <v/>
      </c>
      <c r="AJ218" s="388"/>
      <c r="AK218" s="178" t="str">
        <f ca="1">IF($C218="","",IF($D218="LPSM",AJ217,VALUE($C218)*AJ217))</f>
        <v/>
      </c>
      <c r="AL218" s="388"/>
      <c r="AM218" s="178" t="str">
        <f ca="1">IF($C218="","",IF($D218="LPSM",AL217,VALUE($C218)*AL217))</f>
        <v/>
      </c>
      <c r="AN218" s="388"/>
      <c r="AO218" s="178" t="str">
        <f ca="1">IF($C218="","",IF($D218="LPSM",AN217,VALUE($C218)*AN217))</f>
        <v/>
      </c>
      <c r="AP218" s="388"/>
      <c r="AQ218" s="178" t="str">
        <f ca="1">IF($C218="","",IF($D218="LPSM",AP217,VALUE($C218)*AP217))</f>
        <v/>
      </c>
      <c r="AR218" s="209" t="str">
        <f ca="1">IF(LEN(B218)&gt;0,ISNUMBER(MATCH(B218,Proposed[Item],0)),"")</f>
        <v/>
      </c>
    </row>
    <row r="219" spans="1:44" ht="15" x14ac:dyDescent="0.2">
      <c r="A219" s="276">
        <f t="shared" ca="1" si="3"/>
        <v>106</v>
      </c>
      <c r="B219" s="168" t="str">
        <f ca="1">IFERROR(INDEX(INDIRECT(RangeItems),MATCH($A219,INDIRECT(RangeCount),0)),"")</f>
        <v/>
      </c>
      <c r="C219" s="365" t="str">
        <f ca="1">INDEX(Calcs[Description],$A219)</f>
        <v/>
      </c>
      <c r="D219" s="365"/>
      <c r="E219" s="365"/>
      <c r="F219" s="365"/>
      <c r="G219" s="365"/>
      <c r="H219" s="388"/>
      <c r="I219" s="177"/>
      <c r="J219" s="388"/>
      <c r="K219" s="177"/>
      <c r="L219" s="388"/>
      <c r="M219" s="177"/>
      <c r="N219" s="388"/>
      <c r="O219" s="177"/>
      <c r="P219" s="388"/>
      <c r="Q219" s="177"/>
      <c r="R219" s="388"/>
      <c r="S219" s="177"/>
      <c r="T219" s="388"/>
      <c r="U219" s="177"/>
      <c r="V219" s="388"/>
      <c r="W219" s="177"/>
      <c r="X219" s="388"/>
      <c r="Y219" s="177"/>
      <c r="Z219" s="388"/>
      <c r="AA219" s="177"/>
      <c r="AB219" s="388"/>
      <c r="AC219" s="177"/>
      <c r="AD219" s="388"/>
      <c r="AE219" s="177"/>
      <c r="AF219" s="388"/>
      <c r="AG219" s="177"/>
      <c r="AH219" s="388"/>
      <c r="AI219" s="177"/>
      <c r="AJ219" s="388"/>
      <c r="AK219" s="177"/>
      <c r="AL219" s="388"/>
      <c r="AM219" s="177"/>
      <c r="AN219" s="388"/>
      <c r="AO219" s="177"/>
      <c r="AP219" s="388"/>
      <c r="AQ219" s="177"/>
      <c r="AR219" s="209" t="str">
        <f ca="1">IF(LEN(B219)&gt;0,ISNUMBER(MATCH(B219,Proposed[Item],0)),"")</f>
        <v/>
      </c>
    </row>
    <row r="220" spans="1:44" ht="15" x14ac:dyDescent="0.2">
      <c r="A220" s="276">
        <f t="shared" ca="1" si="3"/>
        <v>106</v>
      </c>
      <c r="B220" s="111" t="str">
        <f ca="1">IF($A220&lt;=NumPayItems,"Line "&amp;INDEX(Calcs[Line],$A220),"")</f>
        <v/>
      </c>
      <c r="C220" s="169" t="str">
        <f ca="1">IFERROR(IF($D220="LPSM","ALL",TEXT(INDEX(INDIRECT(RangeQuantity),MATCH($A220,INDIRECT(RangeCount),0)),"#,##0"&amp;IF(OFFSET(Items[],MATCH($A220,INDIRECT(RangeCount),0)-1,MATCH(Decimals,Items[#Headers],0)-1,1,1)&gt;0,"."&amp;REPT("0",OFFSET(Items[],MATCH($A220,INDIRECT(RangeCount),0)-1,MATCH(Decimals,Items[#Headers],0)-1,1,1)),""))),"")</f>
        <v/>
      </c>
      <c r="D220" s="170" t="str">
        <f ca="1">IFERROR(INDEX(INDIRECT(RangeUnit),MATCH($A220,INDIRECT(RangeCount),0)),"")</f>
        <v/>
      </c>
      <c r="E220" s="170" t="str">
        <f ca="1">IFERROR(IF(INDEX(INDIRECT(RangeContrQty),MATCH($A220,INDIRECT(RangeCount),0)),"(CQ)",""),"")</f>
        <v/>
      </c>
      <c r="F220" s="171" t="str">
        <f ca="1">IFERROR(INDEX(INDIRECT(RangeUnitPrice),MATCH($A220,INDIRECT(RangeCount),0)),"")</f>
        <v/>
      </c>
      <c r="G220" s="171" t="str">
        <f ca="1">IFERROR(VALUE(C220)*F220,F220)</f>
        <v/>
      </c>
      <c r="H220" s="388"/>
      <c r="I220" s="178" t="str">
        <f ca="1">IF($C220="","",IF($D220="LPSM",H219,VALUE($C220)*H219))</f>
        <v/>
      </c>
      <c r="J220" s="388"/>
      <c r="K220" s="178" t="str">
        <f ca="1">IF($C220="","",IF($D220="LPSM",J219,VALUE($C220)*J219))</f>
        <v/>
      </c>
      <c r="L220" s="388"/>
      <c r="M220" s="178" t="str">
        <f ca="1">IF($C220="","",IF($D220="LPSM",L219,VALUE($C220)*L219))</f>
        <v/>
      </c>
      <c r="N220" s="388"/>
      <c r="O220" s="178" t="str">
        <f ca="1">IF($C220="","",IF($D220="LPSM",N219,VALUE($C220)*N219))</f>
        <v/>
      </c>
      <c r="P220" s="388"/>
      <c r="Q220" s="178" t="str">
        <f ca="1">IF($C220="","",IF($D220="LPSM",P219,VALUE($C220)*P219))</f>
        <v/>
      </c>
      <c r="R220" s="388"/>
      <c r="S220" s="178" t="str">
        <f ca="1">IF($C220="","",IF($D220="LPSM",R219,VALUE($C220)*R219))</f>
        <v/>
      </c>
      <c r="T220" s="388"/>
      <c r="U220" s="178" t="str">
        <f ca="1">IF($C220="","",IF($D220="LPSM",T219,VALUE($C220)*T219))</f>
        <v/>
      </c>
      <c r="V220" s="388"/>
      <c r="W220" s="178" t="str">
        <f ca="1">IF($C220="","",IF($D220="LPSM",V219,VALUE($C220)*V219))</f>
        <v/>
      </c>
      <c r="X220" s="388"/>
      <c r="Y220" s="178" t="str">
        <f ca="1">IF($C220="","",IF($D220="LPSM",X219,VALUE($C220)*X219))</f>
        <v/>
      </c>
      <c r="Z220" s="388"/>
      <c r="AA220" s="178" t="str">
        <f ca="1">IF($C220="","",IF($D220="LPSM",Z219,VALUE($C220)*Z219))</f>
        <v/>
      </c>
      <c r="AB220" s="388"/>
      <c r="AC220" s="178" t="str">
        <f ca="1">IF($C220="","",IF($D220="LPSM",AB219,VALUE($C220)*AB219))</f>
        <v/>
      </c>
      <c r="AD220" s="388"/>
      <c r="AE220" s="178" t="str">
        <f ca="1">IF($C220="","",IF($D220="LPSM",AD219,VALUE($C220)*AD219))</f>
        <v/>
      </c>
      <c r="AF220" s="388"/>
      <c r="AG220" s="178" t="str">
        <f ca="1">IF($C220="","",IF($D220="LPSM",AF219,VALUE($C220)*AF219))</f>
        <v/>
      </c>
      <c r="AH220" s="388"/>
      <c r="AI220" s="178" t="str">
        <f ca="1">IF($C220="","",IF($D220="LPSM",AH219,VALUE($C220)*AH219))</f>
        <v/>
      </c>
      <c r="AJ220" s="388"/>
      <c r="AK220" s="178" t="str">
        <f ca="1">IF($C220="","",IF($D220="LPSM",AJ219,VALUE($C220)*AJ219))</f>
        <v/>
      </c>
      <c r="AL220" s="388"/>
      <c r="AM220" s="178" t="str">
        <f ca="1">IF($C220="","",IF($D220="LPSM",AL219,VALUE($C220)*AL219))</f>
        <v/>
      </c>
      <c r="AN220" s="388"/>
      <c r="AO220" s="178" t="str">
        <f ca="1">IF($C220="","",IF($D220="LPSM",AN219,VALUE($C220)*AN219))</f>
        <v/>
      </c>
      <c r="AP220" s="388"/>
      <c r="AQ220" s="178" t="str">
        <f ca="1">IF($C220="","",IF($D220="LPSM",AP219,VALUE($C220)*AP219))</f>
        <v/>
      </c>
      <c r="AR220" s="209" t="str">
        <f ca="1">IF(LEN(B220)&gt;0,ISNUMBER(MATCH(B220,Proposed[Item],0)),"")</f>
        <v/>
      </c>
    </row>
    <row r="221" spans="1:44" ht="15" x14ac:dyDescent="0.2">
      <c r="A221" s="276">
        <f t="shared" ca="1" si="3"/>
        <v>107</v>
      </c>
      <c r="B221" s="168" t="str">
        <f ca="1">IFERROR(INDEX(INDIRECT(RangeItems),MATCH($A221,INDIRECT(RangeCount),0)),"")</f>
        <v/>
      </c>
      <c r="C221" s="365" t="str">
        <f ca="1">INDEX(Calcs[Description],$A221)</f>
        <v/>
      </c>
      <c r="D221" s="365"/>
      <c r="E221" s="365"/>
      <c r="F221" s="365"/>
      <c r="G221" s="365"/>
      <c r="H221" s="388"/>
      <c r="I221" s="177"/>
      <c r="J221" s="388"/>
      <c r="K221" s="177"/>
      <c r="L221" s="388"/>
      <c r="M221" s="177"/>
      <c r="N221" s="388"/>
      <c r="O221" s="177"/>
      <c r="P221" s="388"/>
      <c r="Q221" s="177"/>
      <c r="R221" s="388"/>
      <c r="S221" s="177"/>
      <c r="T221" s="388"/>
      <c r="U221" s="177"/>
      <c r="V221" s="388"/>
      <c r="W221" s="177"/>
      <c r="X221" s="388"/>
      <c r="Y221" s="177"/>
      <c r="Z221" s="388"/>
      <c r="AA221" s="177"/>
      <c r="AB221" s="388"/>
      <c r="AC221" s="177"/>
      <c r="AD221" s="388"/>
      <c r="AE221" s="177"/>
      <c r="AF221" s="388"/>
      <c r="AG221" s="177"/>
      <c r="AH221" s="388"/>
      <c r="AI221" s="177"/>
      <c r="AJ221" s="388"/>
      <c r="AK221" s="177"/>
      <c r="AL221" s="388"/>
      <c r="AM221" s="177"/>
      <c r="AN221" s="388"/>
      <c r="AO221" s="177"/>
      <c r="AP221" s="388"/>
      <c r="AQ221" s="177"/>
      <c r="AR221" s="209" t="str">
        <f ca="1">IF(LEN(B221)&gt;0,ISNUMBER(MATCH(B221,Proposed[Item],0)),"")</f>
        <v/>
      </c>
    </row>
    <row r="222" spans="1:44" ht="15" x14ac:dyDescent="0.2">
      <c r="A222" s="276">
        <f t="shared" ca="1" si="3"/>
        <v>107</v>
      </c>
      <c r="B222" s="111" t="str">
        <f ca="1">IF($A222&lt;=NumPayItems,"Line "&amp;INDEX(Calcs[Line],$A222),"")</f>
        <v/>
      </c>
      <c r="C222" s="169" t="str">
        <f ca="1">IFERROR(IF($D222="LPSM","ALL",TEXT(INDEX(INDIRECT(RangeQuantity),MATCH($A222,INDIRECT(RangeCount),0)),"#,##0"&amp;IF(OFFSET(Items[],MATCH($A222,INDIRECT(RangeCount),0)-1,MATCH(Decimals,Items[#Headers],0)-1,1,1)&gt;0,"."&amp;REPT("0",OFFSET(Items[],MATCH($A222,INDIRECT(RangeCount),0)-1,MATCH(Decimals,Items[#Headers],0)-1,1,1)),""))),"")</f>
        <v/>
      </c>
      <c r="D222" s="170" t="str">
        <f ca="1">IFERROR(INDEX(INDIRECT(RangeUnit),MATCH($A222,INDIRECT(RangeCount),0)),"")</f>
        <v/>
      </c>
      <c r="E222" s="170" t="str">
        <f ca="1">IFERROR(IF(INDEX(INDIRECT(RangeContrQty),MATCH($A222,INDIRECT(RangeCount),0)),"(CQ)",""),"")</f>
        <v/>
      </c>
      <c r="F222" s="171" t="str">
        <f ca="1">IFERROR(INDEX(INDIRECT(RangeUnitPrice),MATCH($A222,INDIRECT(RangeCount),0)),"")</f>
        <v/>
      </c>
      <c r="G222" s="171" t="str">
        <f ca="1">IFERROR(VALUE(C222)*F222,F222)</f>
        <v/>
      </c>
      <c r="H222" s="388"/>
      <c r="I222" s="178" t="str">
        <f ca="1">IF($C222="","",IF($D222="LPSM",H221,VALUE($C222)*H221))</f>
        <v/>
      </c>
      <c r="J222" s="388"/>
      <c r="K222" s="178" t="str">
        <f ca="1">IF($C222="","",IF($D222="LPSM",J221,VALUE($C222)*J221))</f>
        <v/>
      </c>
      <c r="L222" s="388"/>
      <c r="M222" s="178" t="str">
        <f ca="1">IF($C222="","",IF($D222="LPSM",L221,VALUE($C222)*L221))</f>
        <v/>
      </c>
      <c r="N222" s="388"/>
      <c r="O222" s="178" t="str">
        <f ca="1">IF($C222="","",IF($D222="LPSM",N221,VALUE($C222)*N221))</f>
        <v/>
      </c>
      <c r="P222" s="388"/>
      <c r="Q222" s="178" t="str">
        <f ca="1">IF($C222="","",IF($D222="LPSM",P221,VALUE($C222)*P221))</f>
        <v/>
      </c>
      <c r="R222" s="388"/>
      <c r="S222" s="178" t="str">
        <f ca="1">IF($C222="","",IF($D222="LPSM",R221,VALUE($C222)*R221))</f>
        <v/>
      </c>
      <c r="T222" s="388"/>
      <c r="U222" s="178" t="str">
        <f ca="1">IF($C222="","",IF($D222="LPSM",T221,VALUE($C222)*T221))</f>
        <v/>
      </c>
      <c r="V222" s="388"/>
      <c r="W222" s="178" t="str">
        <f ca="1">IF($C222="","",IF($D222="LPSM",V221,VALUE($C222)*V221))</f>
        <v/>
      </c>
      <c r="X222" s="388"/>
      <c r="Y222" s="178" t="str">
        <f ca="1">IF($C222="","",IF($D222="LPSM",X221,VALUE($C222)*X221))</f>
        <v/>
      </c>
      <c r="Z222" s="388"/>
      <c r="AA222" s="178" t="str">
        <f ca="1">IF($C222="","",IF($D222="LPSM",Z221,VALUE($C222)*Z221))</f>
        <v/>
      </c>
      <c r="AB222" s="388"/>
      <c r="AC222" s="178" t="str">
        <f ca="1">IF($C222="","",IF($D222="LPSM",AB221,VALUE($C222)*AB221))</f>
        <v/>
      </c>
      <c r="AD222" s="388"/>
      <c r="AE222" s="178" t="str">
        <f ca="1">IF($C222="","",IF($D222="LPSM",AD221,VALUE($C222)*AD221))</f>
        <v/>
      </c>
      <c r="AF222" s="388"/>
      <c r="AG222" s="178" t="str">
        <f ca="1">IF($C222="","",IF($D222="LPSM",AF221,VALUE($C222)*AF221))</f>
        <v/>
      </c>
      <c r="AH222" s="388"/>
      <c r="AI222" s="178" t="str">
        <f ca="1">IF($C222="","",IF($D222="LPSM",AH221,VALUE($C222)*AH221))</f>
        <v/>
      </c>
      <c r="AJ222" s="388"/>
      <c r="AK222" s="178" t="str">
        <f ca="1">IF($C222="","",IF($D222="LPSM",AJ221,VALUE($C222)*AJ221))</f>
        <v/>
      </c>
      <c r="AL222" s="388"/>
      <c r="AM222" s="178" t="str">
        <f ca="1">IF($C222="","",IF($D222="LPSM",AL221,VALUE($C222)*AL221))</f>
        <v/>
      </c>
      <c r="AN222" s="388"/>
      <c r="AO222" s="178" t="str">
        <f ca="1">IF($C222="","",IF($D222="LPSM",AN221,VALUE($C222)*AN221))</f>
        <v/>
      </c>
      <c r="AP222" s="388"/>
      <c r="AQ222" s="178" t="str">
        <f ca="1">IF($C222="","",IF($D222="LPSM",AP221,VALUE($C222)*AP221))</f>
        <v/>
      </c>
      <c r="AR222" s="209" t="str">
        <f ca="1">IF(LEN(B222)&gt;0,ISNUMBER(MATCH(B222,Proposed[Item],0)),"")</f>
        <v/>
      </c>
    </row>
    <row r="223" spans="1:44" ht="15" x14ac:dyDescent="0.2">
      <c r="A223" s="276">
        <f t="shared" ca="1" si="3"/>
        <v>108</v>
      </c>
      <c r="B223" s="168" t="str">
        <f ca="1">IFERROR(INDEX(INDIRECT(RangeItems),MATCH($A223,INDIRECT(RangeCount),0)),"")</f>
        <v/>
      </c>
      <c r="C223" s="365" t="str">
        <f ca="1">INDEX(Calcs[Description],$A223)</f>
        <v/>
      </c>
      <c r="D223" s="365"/>
      <c r="E223" s="365"/>
      <c r="F223" s="365"/>
      <c r="G223" s="365"/>
      <c r="H223" s="388"/>
      <c r="I223" s="177"/>
      <c r="J223" s="388"/>
      <c r="K223" s="177"/>
      <c r="L223" s="388"/>
      <c r="M223" s="177"/>
      <c r="N223" s="388"/>
      <c r="O223" s="177"/>
      <c r="P223" s="388"/>
      <c r="Q223" s="177"/>
      <c r="R223" s="388"/>
      <c r="S223" s="177"/>
      <c r="T223" s="388"/>
      <c r="U223" s="177"/>
      <c r="V223" s="388"/>
      <c r="W223" s="177"/>
      <c r="X223" s="388"/>
      <c r="Y223" s="177"/>
      <c r="Z223" s="388"/>
      <c r="AA223" s="177"/>
      <c r="AB223" s="388"/>
      <c r="AC223" s="177"/>
      <c r="AD223" s="388"/>
      <c r="AE223" s="177"/>
      <c r="AF223" s="388"/>
      <c r="AG223" s="177"/>
      <c r="AH223" s="388"/>
      <c r="AI223" s="177"/>
      <c r="AJ223" s="388"/>
      <c r="AK223" s="177"/>
      <c r="AL223" s="388"/>
      <c r="AM223" s="177"/>
      <c r="AN223" s="388"/>
      <c r="AO223" s="177"/>
      <c r="AP223" s="388"/>
      <c r="AQ223" s="177"/>
      <c r="AR223" s="209" t="str">
        <f ca="1">IF(LEN(B223)&gt;0,ISNUMBER(MATCH(B223,Proposed[Item],0)),"")</f>
        <v/>
      </c>
    </row>
    <row r="224" spans="1:44" ht="15" x14ac:dyDescent="0.2">
      <c r="A224" s="276">
        <f t="shared" ca="1" si="3"/>
        <v>108</v>
      </c>
      <c r="B224" s="111" t="str">
        <f ca="1">IF($A224&lt;=NumPayItems,"Line "&amp;INDEX(Calcs[Line],$A224),"")</f>
        <v/>
      </c>
      <c r="C224" s="169" t="str">
        <f ca="1">IFERROR(IF($D224="LPSM","ALL",TEXT(INDEX(INDIRECT(RangeQuantity),MATCH($A224,INDIRECT(RangeCount),0)),"#,##0"&amp;IF(OFFSET(Items[],MATCH($A224,INDIRECT(RangeCount),0)-1,MATCH(Decimals,Items[#Headers],0)-1,1,1)&gt;0,"."&amp;REPT("0",OFFSET(Items[],MATCH($A224,INDIRECT(RangeCount),0)-1,MATCH(Decimals,Items[#Headers],0)-1,1,1)),""))),"")</f>
        <v/>
      </c>
      <c r="D224" s="170" t="str">
        <f ca="1">IFERROR(INDEX(INDIRECT(RangeUnit),MATCH($A224,INDIRECT(RangeCount),0)),"")</f>
        <v/>
      </c>
      <c r="E224" s="170" t="str">
        <f ca="1">IFERROR(IF(INDEX(INDIRECT(RangeContrQty),MATCH($A224,INDIRECT(RangeCount),0)),"(CQ)",""),"")</f>
        <v/>
      </c>
      <c r="F224" s="171" t="str">
        <f ca="1">IFERROR(INDEX(INDIRECT(RangeUnitPrice),MATCH($A224,INDIRECT(RangeCount),0)),"")</f>
        <v/>
      </c>
      <c r="G224" s="171" t="str">
        <f ca="1">IFERROR(VALUE(C224)*F224,F224)</f>
        <v/>
      </c>
      <c r="H224" s="388"/>
      <c r="I224" s="178" t="str">
        <f ca="1">IF($C224="","",IF($D224="LPSM",H223,VALUE($C224)*H223))</f>
        <v/>
      </c>
      <c r="J224" s="388"/>
      <c r="K224" s="178" t="str">
        <f ca="1">IF($C224="","",IF($D224="LPSM",J223,VALUE($C224)*J223))</f>
        <v/>
      </c>
      <c r="L224" s="388"/>
      <c r="M224" s="178" t="str">
        <f ca="1">IF($C224="","",IF($D224="LPSM",L223,VALUE($C224)*L223))</f>
        <v/>
      </c>
      <c r="N224" s="388"/>
      <c r="O224" s="178" t="str">
        <f ca="1">IF($C224="","",IF($D224="LPSM",N223,VALUE($C224)*N223))</f>
        <v/>
      </c>
      <c r="P224" s="388"/>
      <c r="Q224" s="178" t="str">
        <f ca="1">IF($C224="","",IF($D224="LPSM",P223,VALUE($C224)*P223))</f>
        <v/>
      </c>
      <c r="R224" s="388"/>
      <c r="S224" s="178" t="str">
        <f ca="1">IF($C224="","",IF($D224="LPSM",R223,VALUE($C224)*R223))</f>
        <v/>
      </c>
      <c r="T224" s="388"/>
      <c r="U224" s="178" t="str">
        <f ca="1">IF($C224="","",IF($D224="LPSM",T223,VALUE($C224)*T223))</f>
        <v/>
      </c>
      <c r="V224" s="388"/>
      <c r="W224" s="178" t="str">
        <f ca="1">IF($C224="","",IF($D224="LPSM",V223,VALUE($C224)*V223))</f>
        <v/>
      </c>
      <c r="X224" s="388"/>
      <c r="Y224" s="178" t="str">
        <f ca="1">IF($C224="","",IF($D224="LPSM",X223,VALUE($C224)*X223))</f>
        <v/>
      </c>
      <c r="Z224" s="388"/>
      <c r="AA224" s="178" t="str">
        <f ca="1">IF($C224="","",IF($D224="LPSM",Z223,VALUE($C224)*Z223))</f>
        <v/>
      </c>
      <c r="AB224" s="388"/>
      <c r="AC224" s="178" t="str">
        <f ca="1">IF($C224="","",IF($D224="LPSM",AB223,VALUE($C224)*AB223))</f>
        <v/>
      </c>
      <c r="AD224" s="388"/>
      <c r="AE224" s="178" t="str">
        <f ca="1">IF($C224="","",IF($D224="LPSM",AD223,VALUE($C224)*AD223))</f>
        <v/>
      </c>
      <c r="AF224" s="388"/>
      <c r="AG224" s="178" t="str">
        <f ca="1">IF($C224="","",IF($D224="LPSM",AF223,VALUE($C224)*AF223))</f>
        <v/>
      </c>
      <c r="AH224" s="388"/>
      <c r="AI224" s="178" t="str">
        <f ca="1">IF($C224="","",IF($D224="LPSM",AH223,VALUE($C224)*AH223))</f>
        <v/>
      </c>
      <c r="AJ224" s="388"/>
      <c r="AK224" s="178" t="str">
        <f ca="1">IF($C224="","",IF($D224="LPSM",AJ223,VALUE($C224)*AJ223))</f>
        <v/>
      </c>
      <c r="AL224" s="388"/>
      <c r="AM224" s="178" t="str">
        <f ca="1">IF($C224="","",IF($D224="LPSM",AL223,VALUE($C224)*AL223))</f>
        <v/>
      </c>
      <c r="AN224" s="388"/>
      <c r="AO224" s="178" t="str">
        <f ca="1">IF($C224="","",IF($D224="LPSM",AN223,VALUE($C224)*AN223))</f>
        <v/>
      </c>
      <c r="AP224" s="388"/>
      <c r="AQ224" s="178" t="str">
        <f ca="1">IF($C224="","",IF($D224="LPSM",AP223,VALUE($C224)*AP223))</f>
        <v/>
      </c>
      <c r="AR224" s="209" t="str">
        <f ca="1">IF(LEN(B224)&gt;0,ISNUMBER(MATCH(B224,Proposed[Item],0)),"")</f>
        <v/>
      </c>
    </row>
    <row r="225" spans="1:44" ht="15" x14ac:dyDescent="0.2">
      <c r="A225" s="276">
        <f t="shared" ca="1" si="3"/>
        <v>109</v>
      </c>
      <c r="B225" s="168" t="str">
        <f ca="1">IFERROR(INDEX(INDIRECT(RangeItems),MATCH($A225,INDIRECT(RangeCount),0)),"")</f>
        <v/>
      </c>
      <c r="C225" s="365" t="str">
        <f ca="1">INDEX(Calcs[Description],$A225)</f>
        <v/>
      </c>
      <c r="D225" s="365"/>
      <c r="E225" s="365"/>
      <c r="F225" s="365"/>
      <c r="G225" s="365"/>
      <c r="H225" s="388"/>
      <c r="I225" s="177"/>
      <c r="J225" s="388"/>
      <c r="K225" s="177"/>
      <c r="L225" s="388"/>
      <c r="M225" s="177"/>
      <c r="N225" s="388"/>
      <c r="O225" s="177"/>
      <c r="P225" s="388"/>
      <c r="Q225" s="177"/>
      <c r="R225" s="388"/>
      <c r="S225" s="177"/>
      <c r="T225" s="388"/>
      <c r="U225" s="177"/>
      <c r="V225" s="388"/>
      <c r="W225" s="177"/>
      <c r="X225" s="388"/>
      <c r="Y225" s="177"/>
      <c r="Z225" s="388"/>
      <c r="AA225" s="177"/>
      <c r="AB225" s="388"/>
      <c r="AC225" s="177"/>
      <c r="AD225" s="388"/>
      <c r="AE225" s="177"/>
      <c r="AF225" s="388"/>
      <c r="AG225" s="177"/>
      <c r="AH225" s="388"/>
      <c r="AI225" s="177"/>
      <c r="AJ225" s="388"/>
      <c r="AK225" s="177"/>
      <c r="AL225" s="388"/>
      <c r="AM225" s="177"/>
      <c r="AN225" s="388"/>
      <c r="AO225" s="177"/>
      <c r="AP225" s="388"/>
      <c r="AQ225" s="177"/>
      <c r="AR225" s="209" t="str">
        <f ca="1">IF(LEN(B225)&gt;0,ISNUMBER(MATCH(B225,Proposed[Item],0)),"")</f>
        <v/>
      </c>
    </row>
    <row r="226" spans="1:44" ht="15" x14ac:dyDescent="0.2">
      <c r="A226" s="276">
        <f t="shared" ca="1" si="3"/>
        <v>109</v>
      </c>
      <c r="B226" s="111" t="str">
        <f ca="1">IF($A226&lt;=NumPayItems,"Line "&amp;INDEX(Calcs[Line],$A226),"")</f>
        <v/>
      </c>
      <c r="C226" s="169" t="str">
        <f ca="1">IFERROR(IF($D226="LPSM","ALL",TEXT(INDEX(INDIRECT(RangeQuantity),MATCH($A226,INDIRECT(RangeCount),0)),"#,##0"&amp;IF(OFFSET(Items[],MATCH($A226,INDIRECT(RangeCount),0)-1,MATCH(Decimals,Items[#Headers],0)-1,1,1)&gt;0,"."&amp;REPT("0",OFFSET(Items[],MATCH($A226,INDIRECT(RangeCount),0)-1,MATCH(Decimals,Items[#Headers],0)-1,1,1)),""))),"")</f>
        <v/>
      </c>
      <c r="D226" s="170" t="str">
        <f ca="1">IFERROR(INDEX(INDIRECT(RangeUnit),MATCH($A226,INDIRECT(RangeCount),0)),"")</f>
        <v/>
      </c>
      <c r="E226" s="170" t="str">
        <f ca="1">IFERROR(IF(INDEX(INDIRECT(RangeContrQty),MATCH($A226,INDIRECT(RangeCount),0)),"(CQ)",""),"")</f>
        <v/>
      </c>
      <c r="F226" s="171" t="str">
        <f ca="1">IFERROR(INDEX(INDIRECT(RangeUnitPrice),MATCH($A226,INDIRECT(RangeCount),0)),"")</f>
        <v/>
      </c>
      <c r="G226" s="171" t="str">
        <f ca="1">IFERROR(VALUE(C226)*F226,F226)</f>
        <v/>
      </c>
      <c r="H226" s="388"/>
      <c r="I226" s="178" t="str">
        <f ca="1">IF($C226="","",IF($D226="LPSM",H225,VALUE($C226)*H225))</f>
        <v/>
      </c>
      <c r="J226" s="388"/>
      <c r="K226" s="178" t="str">
        <f ca="1">IF($C226="","",IF($D226="LPSM",J225,VALUE($C226)*J225))</f>
        <v/>
      </c>
      <c r="L226" s="388"/>
      <c r="M226" s="178" t="str">
        <f ca="1">IF($C226="","",IF($D226="LPSM",L225,VALUE($C226)*L225))</f>
        <v/>
      </c>
      <c r="N226" s="388"/>
      <c r="O226" s="178" t="str">
        <f ca="1">IF($C226="","",IF($D226="LPSM",N225,VALUE($C226)*N225))</f>
        <v/>
      </c>
      <c r="P226" s="388"/>
      <c r="Q226" s="178" t="str">
        <f ca="1">IF($C226="","",IF($D226="LPSM",P225,VALUE($C226)*P225))</f>
        <v/>
      </c>
      <c r="R226" s="388"/>
      <c r="S226" s="178" t="str">
        <f ca="1">IF($C226="","",IF($D226="LPSM",R225,VALUE($C226)*R225))</f>
        <v/>
      </c>
      <c r="T226" s="388"/>
      <c r="U226" s="178" t="str">
        <f ca="1">IF($C226="","",IF($D226="LPSM",T225,VALUE($C226)*T225))</f>
        <v/>
      </c>
      <c r="V226" s="388"/>
      <c r="W226" s="178" t="str">
        <f ca="1">IF($C226="","",IF($D226="LPSM",V225,VALUE($C226)*V225))</f>
        <v/>
      </c>
      <c r="X226" s="388"/>
      <c r="Y226" s="178" t="str">
        <f ca="1">IF($C226="","",IF($D226="LPSM",X225,VALUE($C226)*X225))</f>
        <v/>
      </c>
      <c r="Z226" s="388"/>
      <c r="AA226" s="178" t="str">
        <f ca="1">IF($C226="","",IF($D226="LPSM",Z225,VALUE($C226)*Z225))</f>
        <v/>
      </c>
      <c r="AB226" s="388"/>
      <c r="AC226" s="178" t="str">
        <f ca="1">IF($C226="","",IF($D226="LPSM",AB225,VALUE($C226)*AB225))</f>
        <v/>
      </c>
      <c r="AD226" s="388"/>
      <c r="AE226" s="178" t="str">
        <f ca="1">IF($C226="","",IF($D226="LPSM",AD225,VALUE($C226)*AD225))</f>
        <v/>
      </c>
      <c r="AF226" s="388"/>
      <c r="AG226" s="178" t="str">
        <f ca="1">IF($C226="","",IF($D226="LPSM",AF225,VALUE($C226)*AF225))</f>
        <v/>
      </c>
      <c r="AH226" s="388"/>
      <c r="AI226" s="178" t="str">
        <f ca="1">IF($C226="","",IF($D226="LPSM",AH225,VALUE($C226)*AH225))</f>
        <v/>
      </c>
      <c r="AJ226" s="388"/>
      <c r="AK226" s="178" t="str">
        <f ca="1">IF($C226="","",IF($D226="LPSM",AJ225,VALUE($C226)*AJ225))</f>
        <v/>
      </c>
      <c r="AL226" s="388"/>
      <c r="AM226" s="178" t="str">
        <f ca="1">IF($C226="","",IF($D226="LPSM",AL225,VALUE($C226)*AL225))</f>
        <v/>
      </c>
      <c r="AN226" s="388"/>
      <c r="AO226" s="178" t="str">
        <f ca="1">IF($C226="","",IF($D226="LPSM",AN225,VALUE($C226)*AN225))</f>
        <v/>
      </c>
      <c r="AP226" s="388"/>
      <c r="AQ226" s="178" t="str">
        <f ca="1">IF($C226="","",IF($D226="LPSM",AP225,VALUE($C226)*AP225))</f>
        <v/>
      </c>
      <c r="AR226" s="209" t="str">
        <f ca="1">IF(LEN(B226)&gt;0,ISNUMBER(MATCH(B226,Proposed[Item],0)),"")</f>
        <v/>
      </c>
    </row>
    <row r="227" spans="1:44" ht="15" x14ac:dyDescent="0.2">
      <c r="A227" s="276">
        <f t="shared" ca="1" si="3"/>
        <v>110</v>
      </c>
      <c r="B227" s="168" t="str">
        <f ca="1">IFERROR(INDEX(INDIRECT(RangeItems),MATCH($A227,INDIRECT(RangeCount),0)),"")</f>
        <v/>
      </c>
      <c r="C227" s="365" t="str">
        <f ca="1">INDEX(Calcs[Description],$A227)</f>
        <v/>
      </c>
      <c r="D227" s="365"/>
      <c r="E227" s="365"/>
      <c r="F227" s="365"/>
      <c r="G227" s="365"/>
      <c r="H227" s="388"/>
      <c r="I227" s="177"/>
      <c r="J227" s="388"/>
      <c r="K227" s="177"/>
      <c r="L227" s="388"/>
      <c r="M227" s="177"/>
      <c r="N227" s="388"/>
      <c r="O227" s="177"/>
      <c r="P227" s="388"/>
      <c r="Q227" s="177"/>
      <c r="R227" s="388"/>
      <c r="S227" s="177"/>
      <c r="T227" s="388"/>
      <c r="U227" s="177"/>
      <c r="V227" s="388"/>
      <c r="W227" s="177"/>
      <c r="X227" s="388"/>
      <c r="Y227" s="177"/>
      <c r="Z227" s="388"/>
      <c r="AA227" s="177"/>
      <c r="AB227" s="388"/>
      <c r="AC227" s="177"/>
      <c r="AD227" s="388"/>
      <c r="AE227" s="177"/>
      <c r="AF227" s="388"/>
      <c r="AG227" s="177"/>
      <c r="AH227" s="388"/>
      <c r="AI227" s="177"/>
      <c r="AJ227" s="388"/>
      <c r="AK227" s="177"/>
      <c r="AL227" s="388"/>
      <c r="AM227" s="177"/>
      <c r="AN227" s="388"/>
      <c r="AO227" s="177"/>
      <c r="AP227" s="388"/>
      <c r="AQ227" s="177"/>
      <c r="AR227" s="209" t="str">
        <f ca="1">IF(LEN(B227)&gt;0,ISNUMBER(MATCH(B227,Proposed[Item],0)),"")</f>
        <v/>
      </c>
    </row>
    <row r="228" spans="1:44" ht="15" x14ac:dyDescent="0.2">
      <c r="A228" s="276">
        <f t="shared" ca="1" si="3"/>
        <v>110</v>
      </c>
      <c r="B228" s="111" t="str">
        <f ca="1">IF($A228&lt;=NumPayItems,"Line "&amp;INDEX(Calcs[Line],$A228),"")</f>
        <v/>
      </c>
      <c r="C228" s="169" t="str">
        <f ca="1">IFERROR(IF($D228="LPSM","ALL",TEXT(INDEX(INDIRECT(RangeQuantity),MATCH($A228,INDIRECT(RangeCount),0)),"#,##0"&amp;IF(OFFSET(Items[],MATCH($A228,INDIRECT(RangeCount),0)-1,MATCH(Decimals,Items[#Headers],0)-1,1,1)&gt;0,"."&amp;REPT("0",OFFSET(Items[],MATCH($A228,INDIRECT(RangeCount),0)-1,MATCH(Decimals,Items[#Headers],0)-1,1,1)),""))),"")</f>
        <v/>
      </c>
      <c r="D228" s="170" t="str">
        <f ca="1">IFERROR(INDEX(INDIRECT(RangeUnit),MATCH($A228,INDIRECT(RangeCount),0)),"")</f>
        <v/>
      </c>
      <c r="E228" s="170" t="str">
        <f ca="1">IFERROR(IF(INDEX(INDIRECT(RangeContrQty),MATCH($A228,INDIRECT(RangeCount),0)),"(CQ)",""),"")</f>
        <v/>
      </c>
      <c r="F228" s="171" t="str">
        <f ca="1">IFERROR(INDEX(INDIRECT(RangeUnitPrice),MATCH($A228,INDIRECT(RangeCount),0)),"")</f>
        <v/>
      </c>
      <c r="G228" s="171" t="str">
        <f ca="1">IFERROR(VALUE(C228)*F228,F228)</f>
        <v/>
      </c>
      <c r="H228" s="388"/>
      <c r="I228" s="178" t="str">
        <f ca="1">IF($C228="","",IF($D228="LPSM",H227,VALUE($C228)*H227))</f>
        <v/>
      </c>
      <c r="J228" s="388"/>
      <c r="K228" s="178" t="str">
        <f ca="1">IF($C228="","",IF($D228="LPSM",J227,VALUE($C228)*J227))</f>
        <v/>
      </c>
      <c r="L228" s="388"/>
      <c r="M228" s="178" t="str">
        <f ca="1">IF($C228="","",IF($D228="LPSM",L227,VALUE($C228)*L227))</f>
        <v/>
      </c>
      <c r="N228" s="388"/>
      <c r="O228" s="178" t="str">
        <f ca="1">IF($C228="","",IF($D228="LPSM",N227,VALUE($C228)*N227))</f>
        <v/>
      </c>
      <c r="P228" s="388"/>
      <c r="Q228" s="178" t="str">
        <f ca="1">IF($C228="","",IF($D228="LPSM",P227,VALUE($C228)*P227))</f>
        <v/>
      </c>
      <c r="R228" s="388"/>
      <c r="S228" s="178" t="str">
        <f ca="1">IF($C228="","",IF($D228="LPSM",R227,VALUE($C228)*R227))</f>
        <v/>
      </c>
      <c r="T228" s="388"/>
      <c r="U228" s="178" t="str">
        <f ca="1">IF($C228="","",IF($D228="LPSM",T227,VALUE($C228)*T227))</f>
        <v/>
      </c>
      <c r="V228" s="388"/>
      <c r="W228" s="178" t="str">
        <f ca="1">IF($C228="","",IF($D228="LPSM",V227,VALUE($C228)*V227))</f>
        <v/>
      </c>
      <c r="X228" s="388"/>
      <c r="Y228" s="178" t="str">
        <f ca="1">IF($C228="","",IF($D228="LPSM",X227,VALUE($C228)*X227))</f>
        <v/>
      </c>
      <c r="Z228" s="388"/>
      <c r="AA228" s="178" t="str">
        <f ca="1">IF($C228="","",IF($D228="LPSM",Z227,VALUE($C228)*Z227))</f>
        <v/>
      </c>
      <c r="AB228" s="388"/>
      <c r="AC228" s="178" t="str">
        <f ca="1">IF($C228="","",IF($D228="LPSM",AB227,VALUE($C228)*AB227))</f>
        <v/>
      </c>
      <c r="AD228" s="388"/>
      <c r="AE228" s="178" t="str">
        <f ca="1">IF($C228="","",IF($D228="LPSM",AD227,VALUE($C228)*AD227))</f>
        <v/>
      </c>
      <c r="AF228" s="388"/>
      <c r="AG228" s="178" t="str">
        <f ca="1">IF($C228="","",IF($D228="LPSM",AF227,VALUE($C228)*AF227))</f>
        <v/>
      </c>
      <c r="AH228" s="388"/>
      <c r="AI228" s="178" t="str">
        <f ca="1">IF($C228="","",IF($D228="LPSM",AH227,VALUE($C228)*AH227))</f>
        <v/>
      </c>
      <c r="AJ228" s="388"/>
      <c r="AK228" s="178" t="str">
        <f ca="1">IF($C228="","",IF($D228="LPSM",AJ227,VALUE($C228)*AJ227))</f>
        <v/>
      </c>
      <c r="AL228" s="388"/>
      <c r="AM228" s="178" t="str">
        <f ca="1">IF($C228="","",IF($D228="LPSM",AL227,VALUE($C228)*AL227))</f>
        <v/>
      </c>
      <c r="AN228" s="388"/>
      <c r="AO228" s="178" t="str">
        <f ca="1">IF($C228="","",IF($D228="LPSM",AN227,VALUE($C228)*AN227))</f>
        <v/>
      </c>
      <c r="AP228" s="388"/>
      <c r="AQ228" s="178" t="str">
        <f ca="1">IF($C228="","",IF($D228="LPSM",AP227,VALUE($C228)*AP227))</f>
        <v/>
      </c>
      <c r="AR228" s="209" t="str">
        <f ca="1">IF(LEN(B228)&gt;0,ISNUMBER(MATCH(B228,Proposed[Item],0)),"")</f>
        <v/>
      </c>
    </row>
    <row r="229" spans="1:44" ht="15" x14ac:dyDescent="0.2">
      <c r="A229" s="276">
        <f t="shared" ca="1" si="3"/>
        <v>111</v>
      </c>
      <c r="B229" s="168" t="str">
        <f ca="1">IFERROR(INDEX(INDIRECT(RangeItems),MATCH($A229,INDIRECT(RangeCount),0)),"")</f>
        <v/>
      </c>
      <c r="C229" s="365" t="str">
        <f ca="1">INDEX(Calcs[Description],$A229)</f>
        <v/>
      </c>
      <c r="D229" s="365"/>
      <c r="E229" s="365"/>
      <c r="F229" s="365"/>
      <c r="G229" s="365"/>
      <c r="H229" s="388"/>
      <c r="I229" s="177"/>
      <c r="J229" s="388"/>
      <c r="K229" s="177"/>
      <c r="L229" s="388"/>
      <c r="M229" s="177"/>
      <c r="N229" s="388"/>
      <c r="O229" s="177"/>
      <c r="P229" s="388"/>
      <c r="Q229" s="177"/>
      <c r="R229" s="388"/>
      <c r="S229" s="177"/>
      <c r="T229" s="388"/>
      <c r="U229" s="177"/>
      <c r="V229" s="388"/>
      <c r="W229" s="177"/>
      <c r="X229" s="388"/>
      <c r="Y229" s="177"/>
      <c r="Z229" s="388"/>
      <c r="AA229" s="177"/>
      <c r="AB229" s="388"/>
      <c r="AC229" s="177"/>
      <c r="AD229" s="388"/>
      <c r="AE229" s="177"/>
      <c r="AF229" s="388"/>
      <c r="AG229" s="177"/>
      <c r="AH229" s="388"/>
      <c r="AI229" s="177"/>
      <c r="AJ229" s="388"/>
      <c r="AK229" s="177"/>
      <c r="AL229" s="388"/>
      <c r="AM229" s="177"/>
      <c r="AN229" s="388"/>
      <c r="AO229" s="177"/>
      <c r="AP229" s="388"/>
      <c r="AQ229" s="177"/>
      <c r="AR229" s="209" t="str">
        <f ca="1">IF(LEN(B229)&gt;0,ISNUMBER(MATCH(B229,Proposed[Item],0)),"")</f>
        <v/>
      </c>
    </row>
    <row r="230" spans="1:44" ht="15" x14ac:dyDescent="0.2">
      <c r="A230" s="276">
        <f t="shared" ca="1" si="3"/>
        <v>111</v>
      </c>
      <c r="B230" s="111" t="str">
        <f ca="1">IF($A230&lt;=NumPayItems,"Line "&amp;INDEX(Calcs[Line],$A230),"")</f>
        <v/>
      </c>
      <c r="C230" s="169" t="str">
        <f ca="1">IFERROR(IF($D230="LPSM","ALL",TEXT(INDEX(INDIRECT(RangeQuantity),MATCH($A230,INDIRECT(RangeCount),0)),"#,##0"&amp;IF(OFFSET(Items[],MATCH($A230,INDIRECT(RangeCount),0)-1,MATCH(Decimals,Items[#Headers],0)-1,1,1)&gt;0,"."&amp;REPT("0",OFFSET(Items[],MATCH($A230,INDIRECT(RangeCount),0)-1,MATCH(Decimals,Items[#Headers],0)-1,1,1)),""))),"")</f>
        <v/>
      </c>
      <c r="D230" s="170" t="str">
        <f ca="1">IFERROR(INDEX(INDIRECT(RangeUnit),MATCH($A230,INDIRECT(RangeCount),0)),"")</f>
        <v/>
      </c>
      <c r="E230" s="170" t="str">
        <f ca="1">IFERROR(IF(INDEX(INDIRECT(RangeContrQty),MATCH($A230,INDIRECT(RangeCount),0)),"(CQ)",""),"")</f>
        <v/>
      </c>
      <c r="F230" s="171" t="str">
        <f ca="1">IFERROR(INDEX(INDIRECT(RangeUnitPrice),MATCH($A230,INDIRECT(RangeCount),0)),"")</f>
        <v/>
      </c>
      <c r="G230" s="171" t="str">
        <f ca="1">IFERROR(VALUE(C230)*F230,F230)</f>
        <v/>
      </c>
      <c r="H230" s="388"/>
      <c r="I230" s="178" t="str">
        <f ca="1">IF($C230="","",IF($D230="LPSM",H229,VALUE($C230)*H229))</f>
        <v/>
      </c>
      <c r="J230" s="388"/>
      <c r="K230" s="178" t="str">
        <f ca="1">IF($C230="","",IF($D230="LPSM",J229,VALUE($C230)*J229))</f>
        <v/>
      </c>
      <c r="L230" s="388"/>
      <c r="M230" s="178" t="str">
        <f ca="1">IF($C230="","",IF($D230="LPSM",L229,VALUE($C230)*L229))</f>
        <v/>
      </c>
      <c r="N230" s="388"/>
      <c r="O230" s="178" t="str">
        <f ca="1">IF($C230="","",IF($D230="LPSM",N229,VALUE($C230)*N229))</f>
        <v/>
      </c>
      <c r="P230" s="388"/>
      <c r="Q230" s="178" t="str">
        <f ca="1">IF($C230="","",IF($D230="LPSM",P229,VALUE($C230)*P229))</f>
        <v/>
      </c>
      <c r="R230" s="388"/>
      <c r="S230" s="178" t="str">
        <f ca="1">IF($C230="","",IF($D230="LPSM",R229,VALUE($C230)*R229))</f>
        <v/>
      </c>
      <c r="T230" s="388"/>
      <c r="U230" s="178" t="str">
        <f ca="1">IF($C230="","",IF($D230="LPSM",T229,VALUE($C230)*T229))</f>
        <v/>
      </c>
      <c r="V230" s="388"/>
      <c r="W230" s="178" t="str">
        <f ca="1">IF($C230="","",IF($D230="LPSM",V229,VALUE($C230)*V229))</f>
        <v/>
      </c>
      <c r="X230" s="388"/>
      <c r="Y230" s="178" t="str">
        <f ca="1">IF($C230="","",IF($D230="LPSM",X229,VALUE($C230)*X229))</f>
        <v/>
      </c>
      <c r="Z230" s="388"/>
      <c r="AA230" s="178" t="str">
        <f ca="1">IF($C230="","",IF($D230="LPSM",Z229,VALUE($C230)*Z229))</f>
        <v/>
      </c>
      <c r="AB230" s="388"/>
      <c r="AC230" s="178" t="str">
        <f ca="1">IF($C230="","",IF($D230="LPSM",AB229,VALUE($C230)*AB229))</f>
        <v/>
      </c>
      <c r="AD230" s="388"/>
      <c r="AE230" s="178" t="str">
        <f ca="1">IF($C230="","",IF($D230="LPSM",AD229,VALUE($C230)*AD229))</f>
        <v/>
      </c>
      <c r="AF230" s="388"/>
      <c r="AG230" s="178" t="str">
        <f ca="1">IF($C230="","",IF($D230="LPSM",AF229,VALUE($C230)*AF229))</f>
        <v/>
      </c>
      <c r="AH230" s="388"/>
      <c r="AI230" s="178" t="str">
        <f ca="1">IF($C230="","",IF($D230="LPSM",AH229,VALUE($C230)*AH229))</f>
        <v/>
      </c>
      <c r="AJ230" s="388"/>
      <c r="AK230" s="178" t="str">
        <f ca="1">IF($C230="","",IF($D230="LPSM",AJ229,VALUE($C230)*AJ229))</f>
        <v/>
      </c>
      <c r="AL230" s="388"/>
      <c r="AM230" s="178" t="str">
        <f ca="1">IF($C230="","",IF($D230="LPSM",AL229,VALUE($C230)*AL229))</f>
        <v/>
      </c>
      <c r="AN230" s="388"/>
      <c r="AO230" s="178" t="str">
        <f ca="1">IF($C230="","",IF($D230="LPSM",AN229,VALUE($C230)*AN229))</f>
        <v/>
      </c>
      <c r="AP230" s="388"/>
      <c r="AQ230" s="178" t="str">
        <f ca="1">IF($C230="","",IF($D230="LPSM",AP229,VALUE($C230)*AP229))</f>
        <v/>
      </c>
      <c r="AR230" s="209" t="str">
        <f ca="1">IF(LEN(B230)&gt;0,ISNUMBER(MATCH(B230,Proposed[Item],0)),"")</f>
        <v/>
      </c>
    </row>
    <row r="231" spans="1:44" ht="15" x14ac:dyDescent="0.2">
      <c r="A231" s="276">
        <f t="shared" ca="1" si="3"/>
        <v>112</v>
      </c>
      <c r="B231" s="168" t="str">
        <f ca="1">IFERROR(INDEX(INDIRECT(RangeItems),MATCH($A231,INDIRECT(RangeCount),0)),"")</f>
        <v/>
      </c>
      <c r="C231" s="365" t="str">
        <f ca="1">INDEX(Calcs[Description],$A231)</f>
        <v/>
      </c>
      <c r="D231" s="365"/>
      <c r="E231" s="365"/>
      <c r="F231" s="365"/>
      <c r="G231" s="365"/>
      <c r="H231" s="388"/>
      <c r="I231" s="177"/>
      <c r="J231" s="388"/>
      <c r="K231" s="177"/>
      <c r="L231" s="388"/>
      <c r="M231" s="177"/>
      <c r="N231" s="388"/>
      <c r="O231" s="177"/>
      <c r="P231" s="388"/>
      <c r="Q231" s="177"/>
      <c r="R231" s="388"/>
      <c r="S231" s="177"/>
      <c r="T231" s="388"/>
      <c r="U231" s="177"/>
      <c r="V231" s="388"/>
      <c r="W231" s="177"/>
      <c r="X231" s="388"/>
      <c r="Y231" s="177"/>
      <c r="Z231" s="388"/>
      <c r="AA231" s="177"/>
      <c r="AB231" s="388"/>
      <c r="AC231" s="177"/>
      <c r="AD231" s="388"/>
      <c r="AE231" s="177"/>
      <c r="AF231" s="388"/>
      <c r="AG231" s="177"/>
      <c r="AH231" s="388"/>
      <c r="AI231" s="177"/>
      <c r="AJ231" s="388"/>
      <c r="AK231" s="177"/>
      <c r="AL231" s="388"/>
      <c r="AM231" s="177"/>
      <c r="AN231" s="388"/>
      <c r="AO231" s="177"/>
      <c r="AP231" s="388"/>
      <c r="AQ231" s="177"/>
      <c r="AR231" s="209" t="str">
        <f ca="1">IF(LEN(B231)&gt;0,ISNUMBER(MATCH(B231,Proposed[Item],0)),"")</f>
        <v/>
      </c>
    </row>
    <row r="232" spans="1:44" ht="15" x14ac:dyDescent="0.2">
      <c r="A232" s="276">
        <f t="shared" ca="1" si="3"/>
        <v>112</v>
      </c>
      <c r="B232" s="111" t="str">
        <f ca="1">IF($A232&lt;=NumPayItems,"Line "&amp;INDEX(Calcs[Line],$A232),"")</f>
        <v/>
      </c>
      <c r="C232" s="169" t="str">
        <f ca="1">IFERROR(IF($D232="LPSM","ALL",TEXT(INDEX(INDIRECT(RangeQuantity),MATCH($A232,INDIRECT(RangeCount),0)),"#,##0"&amp;IF(OFFSET(Items[],MATCH($A232,INDIRECT(RangeCount),0)-1,MATCH(Decimals,Items[#Headers],0)-1,1,1)&gt;0,"."&amp;REPT("0",OFFSET(Items[],MATCH($A232,INDIRECT(RangeCount),0)-1,MATCH(Decimals,Items[#Headers],0)-1,1,1)),""))),"")</f>
        <v/>
      </c>
      <c r="D232" s="170" t="str">
        <f ca="1">IFERROR(INDEX(INDIRECT(RangeUnit),MATCH($A232,INDIRECT(RangeCount),0)),"")</f>
        <v/>
      </c>
      <c r="E232" s="170" t="str">
        <f ca="1">IFERROR(IF(INDEX(INDIRECT(RangeContrQty),MATCH($A232,INDIRECT(RangeCount),0)),"(CQ)",""),"")</f>
        <v/>
      </c>
      <c r="F232" s="171" t="str">
        <f ca="1">IFERROR(INDEX(INDIRECT(RangeUnitPrice),MATCH($A232,INDIRECT(RangeCount),0)),"")</f>
        <v/>
      </c>
      <c r="G232" s="171" t="str">
        <f ca="1">IFERROR(VALUE(C232)*F232,F232)</f>
        <v/>
      </c>
      <c r="H232" s="388"/>
      <c r="I232" s="178" t="str">
        <f ca="1">IF($C232="","",IF($D232="LPSM",H231,VALUE($C232)*H231))</f>
        <v/>
      </c>
      <c r="J232" s="388"/>
      <c r="K232" s="178" t="str">
        <f ca="1">IF($C232="","",IF($D232="LPSM",J231,VALUE($C232)*J231))</f>
        <v/>
      </c>
      <c r="L232" s="388"/>
      <c r="M232" s="178" t="str">
        <f ca="1">IF($C232="","",IF($D232="LPSM",L231,VALUE($C232)*L231))</f>
        <v/>
      </c>
      <c r="N232" s="388"/>
      <c r="O232" s="178" t="str">
        <f ca="1">IF($C232="","",IF($D232="LPSM",N231,VALUE($C232)*N231))</f>
        <v/>
      </c>
      <c r="P232" s="388"/>
      <c r="Q232" s="178" t="str">
        <f ca="1">IF($C232="","",IF($D232="LPSM",P231,VALUE($C232)*P231))</f>
        <v/>
      </c>
      <c r="R232" s="388"/>
      <c r="S232" s="178" t="str">
        <f ca="1">IF($C232="","",IF($D232="LPSM",R231,VALUE($C232)*R231))</f>
        <v/>
      </c>
      <c r="T232" s="388"/>
      <c r="U232" s="178" t="str">
        <f ca="1">IF($C232="","",IF($D232="LPSM",T231,VALUE($C232)*T231))</f>
        <v/>
      </c>
      <c r="V232" s="388"/>
      <c r="W232" s="178" t="str">
        <f ca="1">IF($C232="","",IF($D232="LPSM",V231,VALUE($C232)*V231))</f>
        <v/>
      </c>
      <c r="X232" s="388"/>
      <c r="Y232" s="178" t="str">
        <f ca="1">IF($C232="","",IF($D232="LPSM",X231,VALUE($C232)*X231))</f>
        <v/>
      </c>
      <c r="Z232" s="388"/>
      <c r="AA232" s="178" t="str">
        <f ca="1">IF($C232="","",IF($D232="LPSM",Z231,VALUE($C232)*Z231))</f>
        <v/>
      </c>
      <c r="AB232" s="388"/>
      <c r="AC232" s="178" t="str">
        <f ca="1">IF($C232="","",IF($D232="LPSM",AB231,VALUE($C232)*AB231))</f>
        <v/>
      </c>
      <c r="AD232" s="388"/>
      <c r="AE232" s="178" t="str">
        <f ca="1">IF($C232="","",IF($D232="LPSM",AD231,VALUE($C232)*AD231))</f>
        <v/>
      </c>
      <c r="AF232" s="388"/>
      <c r="AG232" s="178" t="str">
        <f ca="1">IF($C232="","",IF($D232="LPSM",AF231,VALUE($C232)*AF231))</f>
        <v/>
      </c>
      <c r="AH232" s="388"/>
      <c r="AI232" s="178" t="str">
        <f ca="1">IF($C232="","",IF($D232="LPSM",AH231,VALUE($C232)*AH231))</f>
        <v/>
      </c>
      <c r="AJ232" s="388"/>
      <c r="AK232" s="178" t="str">
        <f ca="1">IF($C232="","",IF($D232="LPSM",AJ231,VALUE($C232)*AJ231))</f>
        <v/>
      </c>
      <c r="AL232" s="388"/>
      <c r="AM232" s="178" t="str">
        <f ca="1">IF($C232="","",IF($D232="LPSM",AL231,VALUE($C232)*AL231))</f>
        <v/>
      </c>
      <c r="AN232" s="388"/>
      <c r="AO232" s="178" t="str">
        <f ca="1">IF($C232="","",IF($D232="LPSM",AN231,VALUE($C232)*AN231))</f>
        <v/>
      </c>
      <c r="AP232" s="388"/>
      <c r="AQ232" s="178" t="str">
        <f ca="1">IF($C232="","",IF($D232="LPSM",AP231,VALUE($C232)*AP231))</f>
        <v/>
      </c>
      <c r="AR232" s="209" t="str">
        <f ca="1">IF(LEN(B232)&gt;0,ISNUMBER(MATCH(B232,Proposed[Item],0)),"")</f>
        <v/>
      </c>
    </row>
    <row r="233" spans="1:44" ht="15" x14ac:dyDescent="0.2">
      <c r="A233" s="276">
        <f t="shared" ca="1" si="3"/>
        <v>113</v>
      </c>
      <c r="B233" s="168" t="str">
        <f ca="1">IFERROR(INDEX(INDIRECT(RangeItems),MATCH($A233,INDIRECT(RangeCount),0)),"")</f>
        <v/>
      </c>
      <c r="C233" s="365" t="str">
        <f ca="1">INDEX(Calcs[Description],$A233)</f>
        <v/>
      </c>
      <c r="D233" s="365"/>
      <c r="E233" s="365"/>
      <c r="F233" s="365"/>
      <c r="G233" s="365"/>
      <c r="H233" s="388"/>
      <c r="I233" s="177"/>
      <c r="J233" s="388"/>
      <c r="K233" s="177"/>
      <c r="L233" s="388"/>
      <c r="M233" s="177"/>
      <c r="N233" s="388"/>
      <c r="O233" s="177"/>
      <c r="P233" s="388"/>
      <c r="Q233" s="177"/>
      <c r="R233" s="388"/>
      <c r="S233" s="177"/>
      <c r="T233" s="388"/>
      <c r="U233" s="177"/>
      <c r="V233" s="388"/>
      <c r="W233" s="177"/>
      <c r="X233" s="388"/>
      <c r="Y233" s="177"/>
      <c r="Z233" s="388"/>
      <c r="AA233" s="177"/>
      <c r="AB233" s="388"/>
      <c r="AC233" s="177"/>
      <c r="AD233" s="388"/>
      <c r="AE233" s="177"/>
      <c r="AF233" s="388"/>
      <c r="AG233" s="177"/>
      <c r="AH233" s="388"/>
      <c r="AI233" s="177"/>
      <c r="AJ233" s="388"/>
      <c r="AK233" s="177"/>
      <c r="AL233" s="388"/>
      <c r="AM233" s="177"/>
      <c r="AN233" s="388"/>
      <c r="AO233" s="177"/>
      <c r="AP233" s="388"/>
      <c r="AQ233" s="177"/>
      <c r="AR233" s="209" t="str">
        <f ca="1">IF(LEN(B233)&gt;0,ISNUMBER(MATCH(B233,Proposed[Item],0)),"")</f>
        <v/>
      </c>
    </row>
    <row r="234" spans="1:44" ht="15" x14ac:dyDescent="0.2">
      <c r="A234" s="276">
        <f t="shared" ca="1" si="3"/>
        <v>113</v>
      </c>
      <c r="B234" s="111" t="str">
        <f ca="1">IF($A234&lt;=NumPayItems,"Line "&amp;INDEX(Calcs[Line],$A234),"")</f>
        <v/>
      </c>
      <c r="C234" s="169" t="str">
        <f ca="1">IFERROR(IF($D234="LPSM","ALL",TEXT(INDEX(INDIRECT(RangeQuantity),MATCH($A234,INDIRECT(RangeCount),0)),"#,##0"&amp;IF(OFFSET(Items[],MATCH($A234,INDIRECT(RangeCount),0)-1,MATCH(Decimals,Items[#Headers],0)-1,1,1)&gt;0,"."&amp;REPT("0",OFFSET(Items[],MATCH($A234,INDIRECT(RangeCount),0)-1,MATCH(Decimals,Items[#Headers],0)-1,1,1)),""))),"")</f>
        <v/>
      </c>
      <c r="D234" s="170" t="str">
        <f ca="1">IFERROR(INDEX(INDIRECT(RangeUnit),MATCH($A234,INDIRECT(RangeCount),0)),"")</f>
        <v/>
      </c>
      <c r="E234" s="170" t="str">
        <f ca="1">IFERROR(IF(INDEX(INDIRECT(RangeContrQty),MATCH($A234,INDIRECT(RangeCount),0)),"(CQ)",""),"")</f>
        <v/>
      </c>
      <c r="F234" s="171" t="str">
        <f ca="1">IFERROR(INDEX(INDIRECT(RangeUnitPrice),MATCH($A234,INDIRECT(RangeCount),0)),"")</f>
        <v/>
      </c>
      <c r="G234" s="171" t="str">
        <f ca="1">IFERROR(VALUE(C234)*F234,F234)</f>
        <v/>
      </c>
      <c r="H234" s="388"/>
      <c r="I234" s="178" t="str">
        <f ca="1">IF($C234="","",IF($D234="LPSM",H233,VALUE($C234)*H233))</f>
        <v/>
      </c>
      <c r="J234" s="388"/>
      <c r="K234" s="178" t="str">
        <f ca="1">IF($C234="","",IF($D234="LPSM",J233,VALUE($C234)*J233))</f>
        <v/>
      </c>
      <c r="L234" s="388"/>
      <c r="M234" s="178" t="str">
        <f ca="1">IF($C234="","",IF($D234="LPSM",L233,VALUE($C234)*L233))</f>
        <v/>
      </c>
      <c r="N234" s="388"/>
      <c r="O234" s="178" t="str">
        <f ca="1">IF($C234="","",IF($D234="LPSM",N233,VALUE($C234)*N233))</f>
        <v/>
      </c>
      <c r="P234" s="388"/>
      <c r="Q234" s="178" t="str">
        <f ca="1">IF($C234="","",IF($D234="LPSM",P233,VALUE($C234)*P233))</f>
        <v/>
      </c>
      <c r="R234" s="388"/>
      <c r="S234" s="178" t="str">
        <f ca="1">IF($C234="","",IF($D234="LPSM",R233,VALUE($C234)*R233))</f>
        <v/>
      </c>
      <c r="T234" s="388"/>
      <c r="U234" s="178" t="str">
        <f ca="1">IF($C234="","",IF($D234="LPSM",T233,VALUE($C234)*T233))</f>
        <v/>
      </c>
      <c r="V234" s="388"/>
      <c r="W234" s="178" t="str">
        <f ca="1">IF($C234="","",IF($D234="LPSM",V233,VALUE($C234)*V233))</f>
        <v/>
      </c>
      <c r="X234" s="388"/>
      <c r="Y234" s="178" t="str">
        <f ca="1">IF($C234="","",IF($D234="LPSM",X233,VALUE($C234)*X233))</f>
        <v/>
      </c>
      <c r="Z234" s="388"/>
      <c r="AA234" s="178" t="str">
        <f ca="1">IF($C234="","",IF($D234="LPSM",Z233,VALUE($C234)*Z233))</f>
        <v/>
      </c>
      <c r="AB234" s="388"/>
      <c r="AC234" s="178" t="str">
        <f ca="1">IF($C234="","",IF($D234="LPSM",AB233,VALUE($C234)*AB233))</f>
        <v/>
      </c>
      <c r="AD234" s="388"/>
      <c r="AE234" s="178" t="str">
        <f ca="1">IF($C234="","",IF($D234="LPSM",AD233,VALUE($C234)*AD233))</f>
        <v/>
      </c>
      <c r="AF234" s="388"/>
      <c r="AG234" s="178" t="str">
        <f ca="1">IF($C234="","",IF($D234="LPSM",AF233,VALUE($C234)*AF233))</f>
        <v/>
      </c>
      <c r="AH234" s="388"/>
      <c r="AI234" s="178" t="str">
        <f ca="1">IF($C234="","",IF($D234="LPSM",AH233,VALUE($C234)*AH233))</f>
        <v/>
      </c>
      <c r="AJ234" s="388"/>
      <c r="AK234" s="178" t="str">
        <f ca="1">IF($C234="","",IF($D234="LPSM",AJ233,VALUE($C234)*AJ233))</f>
        <v/>
      </c>
      <c r="AL234" s="388"/>
      <c r="AM234" s="178" t="str">
        <f ca="1">IF($C234="","",IF($D234="LPSM",AL233,VALUE($C234)*AL233))</f>
        <v/>
      </c>
      <c r="AN234" s="388"/>
      <c r="AO234" s="178" t="str">
        <f ca="1">IF($C234="","",IF($D234="LPSM",AN233,VALUE($C234)*AN233))</f>
        <v/>
      </c>
      <c r="AP234" s="388"/>
      <c r="AQ234" s="178" t="str">
        <f ca="1">IF($C234="","",IF($D234="LPSM",AP233,VALUE($C234)*AP233))</f>
        <v/>
      </c>
      <c r="AR234" s="209" t="str">
        <f ca="1">IF(LEN(B234)&gt;0,ISNUMBER(MATCH(B234,Proposed[Item],0)),"")</f>
        <v/>
      </c>
    </row>
    <row r="235" spans="1:44" ht="15" x14ac:dyDescent="0.2">
      <c r="A235" s="276">
        <f t="shared" ca="1" si="3"/>
        <v>114</v>
      </c>
      <c r="B235" s="168" t="str">
        <f ca="1">IFERROR(INDEX(INDIRECT(RangeItems),MATCH($A235,INDIRECT(RangeCount),0)),"")</f>
        <v/>
      </c>
      <c r="C235" s="365" t="str">
        <f ca="1">INDEX(Calcs[Description],$A235)</f>
        <v/>
      </c>
      <c r="D235" s="365"/>
      <c r="E235" s="365"/>
      <c r="F235" s="365"/>
      <c r="G235" s="365"/>
      <c r="H235" s="388"/>
      <c r="I235" s="177"/>
      <c r="J235" s="388"/>
      <c r="K235" s="177"/>
      <c r="L235" s="388"/>
      <c r="M235" s="177"/>
      <c r="N235" s="388"/>
      <c r="O235" s="177"/>
      <c r="P235" s="388"/>
      <c r="Q235" s="177"/>
      <c r="R235" s="388"/>
      <c r="S235" s="177"/>
      <c r="T235" s="388"/>
      <c r="U235" s="177"/>
      <c r="V235" s="388"/>
      <c r="W235" s="177"/>
      <c r="X235" s="388"/>
      <c r="Y235" s="177"/>
      <c r="Z235" s="388"/>
      <c r="AA235" s="177"/>
      <c r="AB235" s="388"/>
      <c r="AC235" s="177"/>
      <c r="AD235" s="388"/>
      <c r="AE235" s="177"/>
      <c r="AF235" s="388"/>
      <c r="AG235" s="177"/>
      <c r="AH235" s="388"/>
      <c r="AI235" s="177"/>
      <c r="AJ235" s="388"/>
      <c r="AK235" s="177"/>
      <c r="AL235" s="388"/>
      <c r="AM235" s="177"/>
      <c r="AN235" s="388"/>
      <c r="AO235" s="177"/>
      <c r="AP235" s="388"/>
      <c r="AQ235" s="177"/>
      <c r="AR235" s="209" t="str">
        <f ca="1">IF(LEN(B235)&gt;0,ISNUMBER(MATCH(B235,Proposed[Item],0)),"")</f>
        <v/>
      </c>
    </row>
    <row r="236" spans="1:44" ht="15" x14ac:dyDescent="0.2">
      <c r="A236" s="276">
        <f t="shared" ca="1" si="3"/>
        <v>114</v>
      </c>
      <c r="B236" s="111" t="str">
        <f ca="1">IF($A236&lt;=NumPayItems,"Line "&amp;INDEX(Calcs[Line],$A236),"")</f>
        <v/>
      </c>
      <c r="C236" s="169" t="str">
        <f ca="1">IFERROR(IF($D236="LPSM","ALL",TEXT(INDEX(INDIRECT(RangeQuantity),MATCH($A236,INDIRECT(RangeCount),0)),"#,##0"&amp;IF(OFFSET(Items[],MATCH($A236,INDIRECT(RangeCount),0)-1,MATCH(Decimals,Items[#Headers],0)-1,1,1)&gt;0,"."&amp;REPT("0",OFFSET(Items[],MATCH($A236,INDIRECT(RangeCount),0)-1,MATCH(Decimals,Items[#Headers],0)-1,1,1)),""))),"")</f>
        <v/>
      </c>
      <c r="D236" s="170" t="str">
        <f ca="1">IFERROR(INDEX(INDIRECT(RangeUnit),MATCH($A236,INDIRECT(RangeCount),0)),"")</f>
        <v/>
      </c>
      <c r="E236" s="170" t="str">
        <f ca="1">IFERROR(IF(INDEX(INDIRECT(RangeContrQty),MATCH($A236,INDIRECT(RangeCount),0)),"(CQ)",""),"")</f>
        <v/>
      </c>
      <c r="F236" s="171" t="str">
        <f ca="1">IFERROR(INDEX(INDIRECT(RangeUnitPrice),MATCH($A236,INDIRECT(RangeCount),0)),"")</f>
        <v/>
      </c>
      <c r="G236" s="171" t="str">
        <f ca="1">IFERROR(VALUE(C236)*F236,F236)</f>
        <v/>
      </c>
      <c r="H236" s="388"/>
      <c r="I236" s="178" t="str">
        <f ca="1">IF($C236="","",IF($D236="LPSM",H235,VALUE($C236)*H235))</f>
        <v/>
      </c>
      <c r="J236" s="388"/>
      <c r="K236" s="178" t="str">
        <f ca="1">IF($C236="","",IF($D236="LPSM",J235,VALUE($C236)*J235))</f>
        <v/>
      </c>
      <c r="L236" s="388"/>
      <c r="M236" s="178" t="str">
        <f ca="1">IF($C236="","",IF($D236="LPSM",L235,VALUE($C236)*L235))</f>
        <v/>
      </c>
      <c r="N236" s="388"/>
      <c r="O236" s="178" t="str">
        <f ca="1">IF($C236="","",IF($D236="LPSM",N235,VALUE($C236)*N235))</f>
        <v/>
      </c>
      <c r="P236" s="388"/>
      <c r="Q236" s="178" t="str">
        <f ca="1">IF($C236="","",IF($D236="LPSM",P235,VALUE($C236)*P235))</f>
        <v/>
      </c>
      <c r="R236" s="388"/>
      <c r="S236" s="178" t="str">
        <f ca="1">IF($C236="","",IF($D236="LPSM",R235,VALUE($C236)*R235))</f>
        <v/>
      </c>
      <c r="T236" s="388"/>
      <c r="U236" s="178" t="str">
        <f ca="1">IF($C236="","",IF($D236="LPSM",T235,VALUE($C236)*T235))</f>
        <v/>
      </c>
      <c r="V236" s="388"/>
      <c r="W236" s="178" t="str">
        <f ca="1">IF($C236="","",IF($D236="LPSM",V235,VALUE($C236)*V235))</f>
        <v/>
      </c>
      <c r="X236" s="388"/>
      <c r="Y236" s="178" t="str">
        <f ca="1">IF($C236="","",IF($D236="LPSM",X235,VALUE($C236)*X235))</f>
        <v/>
      </c>
      <c r="Z236" s="388"/>
      <c r="AA236" s="178" t="str">
        <f ca="1">IF($C236="","",IF($D236="LPSM",Z235,VALUE($C236)*Z235))</f>
        <v/>
      </c>
      <c r="AB236" s="388"/>
      <c r="AC236" s="178" t="str">
        <f ca="1">IF($C236="","",IF($D236="LPSM",AB235,VALUE($C236)*AB235))</f>
        <v/>
      </c>
      <c r="AD236" s="388"/>
      <c r="AE236" s="178" t="str">
        <f ca="1">IF($C236="","",IF($D236="LPSM",AD235,VALUE($C236)*AD235))</f>
        <v/>
      </c>
      <c r="AF236" s="388"/>
      <c r="AG236" s="178" t="str">
        <f ca="1">IF($C236="","",IF($D236="LPSM",AF235,VALUE($C236)*AF235))</f>
        <v/>
      </c>
      <c r="AH236" s="388"/>
      <c r="AI236" s="178" t="str">
        <f ca="1">IF($C236="","",IF($D236="LPSM",AH235,VALUE($C236)*AH235))</f>
        <v/>
      </c>
      <c r="AJ236" s="388"/>
      <c r="AK236" s="178" t="str">
        <f ca="1">IF($C236="","",IF($D236="LPSM",AJ235,VALUE($C236)*AJ235))</f>
        <v/>
      </c>
      <c r="AL236" s="388"/>
      <c r="AM236" s="178" t="str">
        <f ca="1">IF($C236="","",IF($D236="LPSM",AL235,VALUE($C236)*AL235))</f>
        <v/>
      </c>
      <c r="AN236" s="388"/>
      <c r="AO236" s="178" t="str">
        <f ca="1">IF($C236="","",IF($D236="LPSM",AN235,VALUE($C236)*AN235))</f>
        <v/>
      </c>
      <c r="AP236" s="388"/>
      <c r="AQ236" s="178" t="str">
        <f ca="1">IF($C236="","",IF($D236="LPSM",AP235,VALUE($C236)*AP235))</f>
        <v/>
      </c>
      <c r="AR236" s="209" t="str">
        <f ca="1">IF(LEN(B236)&gt;0,ISNUMBER(MATCH(B236,Proposed[Item],0)),"")</f>
        <v/>
      </c>
    </row>
    <row r="237" spans="1:44" ht="15" x14ac:dyDescent="0.2">
      <c r="A237" s="276">
        <f t="shared" ca="1" si="3"/>
        <v>115</v>
      </c>
      <c r="B237" s="168" t="str">
        <f ca="1">IFERROR(INDEX(INDIRECT(RangeItems),MATCH($A237,INDIRECT(RangeCount),0)),"")</f>
        <v/>
      </c>
      <c r="C237" s="365" t="str">
        <f ca="1">INDEX(Calcs[Description],$A237)</f>
        <v/>
      </c>
      <c r="D237" s="365"/>
      <c r="E237" s="365"/>
      <c r="F237" s="365"/>
      <c r="G237" s="365"/>
      <c r="H237" s="388"/>
      <c r="I237" s="177"/>
      <c r="J237" s="388"/>
      <c r="K237" s="177"/>
      <c r="L237" s="388"/>
      <c r="M237" s="177"/>
      <c r="N237" s="388"/>
      <c r="O237" s="177"/>
      <c r="P237" s="388"/>
      <c r="Q237" s="177"/>
      <c r="R237" s="388"/>
      <c r="S237" s="177"/>
      <c r="T237" s="388"/>
      <c r="U237" s="177"/>
      <c r="V237" s="388"/>
      <c r="W237" s="177"/>
      <c r="X237" s="388"/>
      <c r="Y237" s="177"/>
      <c r="Z237" s="388"/>
      <c r="AA237" s="177"/>
      <c r="AB237" s="388"/>
      <c r="AC237" s="177"/>
      <c r="AD237" s="388"/>
      <c r="AE237" s="177"/>
      <c r="AF237" s="388"/>
      <c r="AG237" s="177"/>
      <c r="AH237" s="388"/>
      <c r="AI237" s="177"/>
      <c r="AJ237" s="388"/>
      <c r="AK237" s="177"/>
      <c r="AL237" s="388"/>
      <c r="AM237" s="177"/>
      <c r="AN237" s="388"/>
      <c r="AO237" s="177"/>
      <c r="AP237" s="388"/>
      <c r="AQ237" s="177"/>
      <c r="AR237" s="209" t="str">
        <f ca="1">IF(LEN(B237)&gt;0,ISNUMBER(MATCH(B237,Proposed[Item],0)),"")</f>
        <v/>
      </c>
    </row>
    <row r="238" spans="1:44" ht="15" x14ac:dyDescent="0.2">
      <c r="A238" s="276">
        <f t="shared" ca="1" si="3"/>
        <v>115</v>
      </c>
      <c r="B238" s="111" t="str">
        <f ca="1">IF($A238&lt;=NumPayItems,"Line "&amp;INDEX(Calcs[Line],$A238),"")</f>
        <v/>
      </c>
      <c r="C238" s="169" t="str">
        <f ca="1">IFERROR(IF($D238="LPSM","ALL",TEXT(INDEX(INDIRECT(RangeQuantity),MATCH($A238,INDIRECT(RangeCount),0)),"#,##0"&amp;IF(OFFSET(Items[],MATCH($A238,INDIRECT(RangeCount),0)-1,MATCH(Decimals,Items[#Headers],0)-1,1,1)&gt;0,"."&amp;REPT("0",OFFSET(Items[],MATCH($A238,INDIRECT(RangeCount),0)-1,MATCH(Decimals,Items[#Headers],0)-1,1,1)),""))),"")</f>
        <v/>
      </c>
      <c r="D238" s="170" t="str">
        <f ca="1">IFERROR(INDEX(INDIRECT(RangeUnit),MATCH($A238,INDIRECT(RangeCount),0)),"")</f>
        <v/>
      </c>
      <c r="E238" s="170" t="str">
        <f ca="1">IFERROR(IF(INDEX(INDIRECT(RangeContrQty),MATCH($A238,INDIRECT(RangeCount),0)),"(CQ)",""),"")</f>
        <v/>
      </c>
      <c r="F238" s="171" t="str">
        <f ca="1">IFERROR(INDEX(INDIRECT(RangeUnitPrice),MATCH($A238,INDIRECT(RangeCount),0)),"")</f>
        <v/>
      </c>
      <c r="G238" s="171" t="str">
        <f ca="1">IFERROR(VALUE(C238)*F238,F238)</f>
        <v/>
      </c>
      <c r="H238" s="388"/>
      <c r="I238" s="178" t="str">
        <f ca="1">IF($C238="","",IF($D238="LPSM",H237,VALUE($C238)*H237))</f>
        <v/>
      </c>
      <c r="J238" s="388"/>
      <c r="K238" s="178" t="str">
        <f ca="1">IF($C238="","",IF($D238="LPSM",J237,VALUE($C238)*J237))</f>
        <v/>
      </c>
      <c r="L238" s="388"/>
      <c r="M238" s="178" t="str">
        <f ca="1">IF($C238="","",IF($D238="LPSM",L237,VALUE($C238)*L237))</f>
        <v/>
      </c>
      <c r="N238" s="388"/>
      <c r="O238" s="178" t="str">
        <f ca="1">IF($C238="","",IF($D238="LPSM",N237,VALUE($C238)*N237))</f>
        <v/>
      </c>
      <c r="P238" s="388"/>
      <c r="Q238" s="178" t="str">
        <f ca="1">IF($C238="","",IF($D238="LPSM",P237,VALUE($C238)*P237))</f>
        <v/>
      </c>
      <c r="R238" s="388"/>
      <c r="S238" s="178" t="str">
        <f ca="1">IF($C238="","",IF($D238="LPSM",R237,VALUE($C238)*R237))</f>
        <v/>
      </c>
      <c r="T238" s="388"/>
      <c r="U238" s="178" t="str">
        <f ca="1">IF($C238="","",IF($D238="LPSM",T237,VALUE($C238)*T237))</f>
        <v/>
      </c>
      <c r="V238" s="388"/>
      <c r="W238" s="178" t="str">
        <f ca="1">IF($C238="","",IF($D238="LPSM",V237,VALUE($C238)*V237))</f>
        <v/>
      </c>
      <c r="X238" s="388"/>
      <c r="Y238" s="178" t="str">
        <f ca="1">IF($C238="","",IF($D238="LPSM",X237,VALUE($C238)*X237))</f>
        <v/>
      </c>
      <c r="Z238" s="388"/>
      <c r="AA238" s="178" t="str">
        <f ca="1">IF($C238="","",IF($D238="LPSM",Z237,VALUE($C238)*Z237))</f>
        <v/>
      </c>
      <c r="AB238" s="388"/>
      <c r="AC238" s="178" t="str">
        <f ca="1">IF($C238="","",IF($D238="LPSM",AB237,VALUE($C238)*AB237))</f>
        <v/>
      </c>
      <c r="AD238" s="388"/>
      <c r="AE238" s="178" t="str">
        <f ca="1">IF($C238="","",IF($D238="LPSM",AD237,VALUE($C238)*AD237))</f>
        <v/>
      </c>
      <c r="AF238" s="388"/>
      <c r="AG238" s="178" t="str">
        <f ca="1">IF($C238="","",IF($D238="LPSM",AF237,VALUE($C238)*AF237))</f>
        <v/>
      </c>
      <c r="AH238" s="388"/>
      <c r="AI238" s="178" t="str">
        <f ca="1">IF($C238="","",IF($D238="LPSM",AH237,VALUE($C238)*AH237))</f>
        <v/>
      </c>
      <c r="AJ238" s="388"/>
      <c r="AK238" s="178" t="str">
        <f ca="1">IF($C238="","",IF($D238="LPSM",AJ237,VALUE($C238)*AJ237))</f>
        <v/>
      </c>
      <c r="AL238" s="388"/>
      <c r="AM238" s="178" t="str">
        <f ca="1">IF($C238="","",IF($D238="LPSM",AL237,VALUE($C238)*AL237))</f>
        <v/>
      </c>
      <c r="AN238" s="388"/>
      <c r="AO238" s="178" t="str">
        <f ca="1">IF($C238="","",IF($D238="LPSM",AN237,VALUE($C238)*AN237))</f>
        <v/>
      </c>
      <c r="AP238" s="388"/>
      <c r="AQ238" s="178" t="str">
        <f ca="1">IF($C238="","",IF($D238="LPSM",AP237,VALUE($C238)*AP237))</f>
        <v/>
      </c>
      <c r="AR238" s="209" t="str">
        <f ca="1">IF(LEN(B238)&gt;0,ISNUMBER(MATCH(B238,Proposed[Item],0)),"")</f>
        <v/>
      </c>
    </row>
    <row r="239" spans="1:44" ht="15" x14ac:dyDescent="0.2">
      <c r="A239" s="276">
        <f t="shared" ca="1" si="3"/>
        <v>116</v>
      </c>
      <c r="B239" s="168" t="str">
        <f ca="1">IFERROR(INDEX(INDIRECT(RangeItems),MATCH($A239,INDIRECT(RangeCount),0)),"")</f>
        <v/>
      </c>
      <c r="C239" s="365" t="str">
        <f ca="1">INDEX(Calcs[Description],$A239)</f>
        <v/>
      </c>
      <c r="D239" s="365"/>
      <c r="E239" s="365"/>
      <c r="F239" s="365"/>
      <c r="G239" s="365"/>
      <c r="H239" s="388"/>
      <c r="I239" s="177"/>
      <c r="J239" s="388"/>
      <c r="K239" s="177"/>
      <c r="L239" s="388"/>
      <c r="M239" s="177"/>
      <c r="N239" s="388"/>
      <c r="O239" s="177"/>
      <c r="P239" s="388"/>
      <c r="Q239" s="177"/>
      <c r="R239" s="388"/>
      <c r="S239" s="177"/>
      <c r="T239" s="388"/>
      <c r="U239" s="177"/>
      <c r="V239" s="388"/>
      <c r="W239" s="177"/>
      <c r="X239" s="388"/>
      <c r="Y239" s="177"/>
      <c r="Z239" s="388"/>
      <c r="AA239" s="177"/>
      <c r="AB239" s="388"/>
      <c r="AC239" s="177"/>
      <c r="AD239" s="388"/>
      <c r="AE239" s="177"/>
      <c r="AF239" s="388"/>
      <c r="AG239" s="177"/>
      <c r="AH239" s="388"/>
      <c r="AI239" s="177"/>
      <c r="AJ239" s="388"/>
      <c r="AK239" s="177"/>
      <c r="AL239" s="388"/>
      <c r="AM239" s="177"/>
      <c r="AN239" s="388"/>
      <c r="AO239" s="177"/>
      <c r="AP239" s="388"/>
      <c r="AQ239" s="177"/>
      <c r="AR239" s="209" t="str">
        <f ca="1">IF(LEN(B239)&gt;0,ISNUMBER(MATCH(B239,Proposed[Item],0)),"")</f>
        <v/>
      </c>
    </row>
    <row r="240" spans="1:44" ht="15" x14ac:dyDescent="0.2">
      <c r="A240" s="276">
        <f t="shared" ca="1" si="3"/>
        <v>116</v>
      </c>
      <c r="B240" s="111" t="str">
        <f ca="1">IF($A240&lt;=NumPayItems,"Line "&amp;INDEX(Calcs[Line],$A240),"")</f>
        <v/>
      </c>
      <c r="C240" s="169" t="str">
        <f ca="1">IFERROR(IF($D240="LPSM","ALL",TEXT(INDEX(INDIRECT(RangeQuantity),MATCH($A240,INDIRECT(RangeCount),0)),"#,##0"&amp;IF(OFFSET(Items[],MATCH($A240,INDIRECT(RangeCount),0)-1,MATCH(Decimals,Items[#Headers],0)-1,1,1)&gt;0,"."&amp;REPT("0",OFFSET(Items[],MATCH($A240,INDIRECT(RangeCount),0)-1,MATCH(Decimals,Items[#Headers],0)-1,1,1)),""))),"")</f>
        <v/>
      </c>
      <c r="D240" s="170" t="str">
        <f ca="1">IFERROR(INDEX(INDIRECT(RangeUnit),MATCH($A240,INDIRECT(RangeCount),0)),"")</f>
        <v/>
      </c>
      <c r="E240" s="170" t="str">
        <f ca="1">IFERROR(IF(INDEX(INDIRECT(RangeContrQty),MATCH($A240,INDIRECT(RangeCount),0)),"(CQ)",""),"")</f>
        <v/>
      </c>
      <c r="F240" s="171" t="str">
        <f ca="1">IFERROR(INDEX(INDIRECT(RangeUnitPrice),MATCH($A240,INDIRECT(RangeCount),0)),"")</f>
        <v/>
      </c>
      <c r="G240" s="171" t="str">
        <f ca="1">IFERROR(VALUE(C240)*F240,F240)</f>
        <v/>
      </c>
      <c r="H240" s="388"/>
      <c r="I240" s="178" t="str">
        <f ca="1">IF($C240="","",IF($D240="LPSM",H239,VALUE($C240)*H239))</f>
        <v/>
      </c>
      <c r="J240" s="388"/>
      <c r="K240" s="178" t="str">
        <f ca="1">IF($C240="","",IF($D240="LPSM",J239,VALUE($C240)*J239))</f>
        <v/>
      </c>
      <c r="L240" s="388"/>
      <c r="M240" s="178" t="str">
        <f ca="1">IF($C240="","",IF($D240="LPSM",L239,VALUE($C240)*L239))</f>
        <v/>
      </c>
      <c r="N240" s="388"/>
      <c r="O240" s="178" t="str">
        <f ca="1">IF($C240="","",IF($D240="LPSM",N239,VALUE($C240)*N239))</f>
        <v/>
      </c>
      <c r="P240" s="388"/>
      <c r="Q240" s="178" t="str">
        <f ca="1">IF($C240="","",IF($D240="LPSM",P239,VALUE($C240)*P239))</f>
        <v/>
      </c>
      <c r="R240" s="388"/>
      <c r="S240" s="178" t="str">
        <f ca="1">IF($C240="","",IF($D240="LPSM",R239,VALUE($C240)*R239))</f>
        <v/>
      </c>
      <c r="T240" s="388"/>
      <c r="U240" s="178" t="str">
        <f ca="1">IF($C240="","",IF($D240="LPSM",T239,VALUE($C240)*T239))</f>
        <v/>
      </c>
      <c r="V240" s="388"/>
      <c r="W240" s="178" t="str">
        <f ca="1">IF($C240="","",IF($D240="LPSM",V239,VALUE($C240)*V239))</f>
        <v/>
      </c>
      <c r="X240" s="388"/>
      <c r="Y240" s="178" t="str">
        <f ca="1">IF($C240="","",IF($D240="LPSM",X239,VALUE($C240)*X239))</f>
        <v/>
      </c>
      <c r="Z240" s="388"/>
      <c r="AA240" s="178" t="str">
        <f ca="1">IF($C240="","",IF($D240="LPSM",Z239,VALUE($C240)*Z239))</f>
        <v/>
      </c>
      <c r="AB240" s="388"/>
      <c r="AC240" s="178" t="str">
        <f ca="1">IF($C240="","",IF($D240="LPSM",AB239,VALUE($C240)*AB239))</f>
        <v/>
      </c>
      <c r="AD240" s="388"/>
      <c r="AE240" s="178" t="str">
        <f ca="1">IF($C240="","",IF($D240="LPSM",AD239,VALUE($C240)*AD239))</f>
        <v/>
      </c>
      <c r="AF240" s="388"/>
      <c r="AG240" s="178" t="str">
        <f ca="1">IF($C240="","",IF($D240="LPSM",AF239,VALUE($C240)*AF239))</f>
        <v/>
      </c>
      <c r="AH240" s="388"/>
      <c r="AI240" s="178" t="str">
        <f ca="1">IF($C240="","",IF($D240="LPSM",AH239,VALUE($C240)*AH239))</f>
        <v/>
      </c>
      <c r="AJ240" s="388"/>
      <c r="AK240" s="178" t="str">
        <f ca="1">IF($C240="","",IF($D240="LPSM",AJ239,VALUE($C240)*AJ239))</f>
        <v/>
      </c>
      <c r="AL240" s="388"/>
      <c r="AM240" s="178" t="str">
        <f ca="1">IF($C240="","",IF($D240="LPSM",AL239,VALUE($C240)*AL239))</f>
        <v/>
      </c>
      <c r="AN240" s="388"/>
      <c r="AO240" s="178" t="str">
        <f ca="1">IF($C240="","",IF($D240="LPSM",AN239,VALUE($C240)*AN239))</f>
        <v/>
      </c>
      <c r="AP240" s="388"/>
      <c r="AQ240" s="178" t="str">
        <f ca="1">IF($C240="","",IF($D240="LPSM",AP239,VALUE($C240)*AP239))</f>
        <v/>
      </c>
      <c r="AR240" s="209" t="str">
        <f ca="1">IF(LEN(B240)&gt;0,ISNUMBER(MATCH(B240,Proposed[Item],0)),"")</f>
        <v/>
      </c>
    </row>
    <row r="241" spans="1:44" ht="15" x14ac:dyDescent="0.2">
      <c r="A241" s="276">
        <f t="shared" ca="1" si="3"/>
        <v>117</v>
      </c>
      <c r="B241" s="168" t="str">
        <f ca="1">IFERROR(INDEX(INDIRECT(RangeItems),MATCH($A241,INDIRECT(RangeCount),0)),"")</f>
        <v/>
      </c>
      <c r="C241" s="365" t="str">
        <f ca="1">INDEX(Calcs[Description],$A241)</f>
        <v/>
      </c>
      <c r="D241" s="365"/>
      <c r="E241" s="365"/>
      <c r="F241" s="365"/>
      <c r="G241" s="365"/>
      <c r="H241" s="388"/>
      <c r="I241" s="177"/>
      <c r="J241" s="388"/>
      <c r="K241" s="177"/>
      <c r="L241" s="388"/>
      <c r="M241" s="177"/>
      <c r="N241" s="388"/>
      <c r="O241" s="177"/>
      <c r="P241" s="388"/>
      <c r="Q241" s="177"/>
      <c r="R241" s="388"/>
      <c r="S241" s="177"/>
      <c r="T241" s="388"/>
      <c r="U241" s="177"/>
      <c r="V241" s="388"/>
      <c r="W241" s="177"/>
      <c r="X241" s="388"/>
      <c r="Y241" s="177"/>
      <c r="Z241" s="388"/>
      <c r="AA241" s="177"/>
      <c r="AB241" s="388"/>
      <c r="AC241" s="177"/>
      <c r="AD241" s="388"/>
      <c r="AE241" s="177"/>
      <c r="AF241" s="388"/>
      <c r="AG241" s="177"/>
      <c r="AH241" s="388"/>
      <c r="AI241" s="177"/>
      <c r="AJ241" s="388"/>
      <c r="AK241" s="177"/>
      <c r="AL241" s="388"/>
      <c r="AM241" s="177"/>
      <c r="AN241" s="388"/>
      <c r="AO241" s="177"/>
      <c r="AP241" s="388"/>
      <c r="AQ241" s="177"/>
      <c r="AR241" s="209" t="str">
        <f ca="1">IF(LEN(B241)&gt;0,ISNUMBER(MATCH(B241,Proposed[Item],0)),"")</f>
        <v/>
      </c>
    </row>
    <row r="242" spans="1:44" ht="15" x14ac:dyDescent="0.2">
      <c r="A242" s="276">
        <f t="shared" ca="1" si="3"/>
        <v>117</v>
      </c>
      <c r="B242" s="111" t="str">
        <f ca="1">IF($A242&lt;=NumPayItems,"Line "&amp;INDEX(Calcs[Line],$A242),"")</f>
        <v/>
      </c>
      <c r="C242" s="169" t="str">
        <f ca="1">IFERROR(IF($D242="LPSM","ALL",TEXT(INDEX(INDIRECT(RangeQuantity),MATCH($A242,INDIRECT(RangeCount),0)),"#,##0"&amp;IF(OFFSET(Items[],MATCH($A242,INDIRECT(RangeCount),0)-1,MATCH(Decimals,Items[#Headers],0)-1,1,1)&gt;0,"."&amp;REPT("0",OFFSET(Items[],MATCH($A242,INDIRECT(RangeCount),0)-1,MATCH(Decimals,Items[#Headers],0)-1,1,1)),""))),"")</f>
        <v/>
      </c>
      <c r="D242" s="170" t="str">
        <f ca="1">IFERROR(INDEX(INDIRECT(RangeUnit),MATCH($A242,INDIRECT(RangeCount),0)),"")</f>
        <v/>
      </c>
      <c r="E242" s="170" t="str">
        <f ca="1">IFERROR(IF(INDEX(INDIRECT(RangeContrQty),MATCH($A242,INDIRECT(RangeCount),0)),"(CQ)",""),"")</f>
        <v/>
      </c>
      <c r="F242" s="171" t="str">
        <f ca="1">IFERROR(INDEX(INDIRECT(RangeUnitPrice),MATCH($A242,INDIRECT(RangeCount),0)),"")</f>
        <v/>
      </c>
      <c r="G242" s="171" t="str">
        <f ca="1">IFERROR(VALUE(C242)*F242,F242)</f>
        <v/>
      </c>
      <c r="H242" s="388"/>
      <c r="I242" s="178" t="str">
        <f ca="1">IF($C242="","",IF($D242="LPSM",H241,VALUE($C242)*H241))</f>
        <v/>
      </c>
      <c r="J242" s="388"/>
      <c r="K242" s="178" t="str">
        <f ca="1">IF($C242="","",IF($D242="LPSM",J241,VALUE($C242)*J241))</f>
        <v/>
      </c>
      <c r="L242" s="388"/>
      <c r="M242" s="178" t="str">
        <f ca="1">IF($C242="","",IF($D242="LPSM",L241,VALUE($C242)*L241))</f>
        <v/>
      </c>
      <c r="N242" s="388"/>
      <c r="O242" s="178" t="str">
        <f ca="1">IF($C242="","",IF($D242="LPSM",N241,VALUE($C242)*N241))</f>
        <v/>
      </c>
      <c r="P242" s="388"/>
      <c r="Q242" s="178" t="str">
        <f ca="1">IF($C242="","",IF($D242="LPSM",P241,VALUE($C242)*P241))</f>
        <v/>
      </c>
      <c r="R242" s="388"/>
      <c r="S242" s="178" t="str">
        <f ca="1">IF($C242="","",IF($D242="LPSM",R241,VALUE($C242)*R241))</f>
        <v/>
      </c>
      <c r="T242" s="388"/>
      <c r="U242" s="178" t="str">
        <f ca="1">IF($C242="","",IF($D242="LPSM",T241,VALUE($C242)*T241))</f>
        <v/>
      </c>
      <c r="V242" s="388"/>
      <c r="W242" s="178" t="str">
        <f ca="1">IF($C242="","",IF($D242="LPSM",V241,VALUE($C242)*V241))</f>
        <v/>
      </c>
      <c r="X242" s="388"/>
      <c r="Y242" s="178" t="str">
        <f ca="1">IF($C242="","",IF($D242="LPSM",X241,VALUE($C242)*X241))</f>
        <v/>
      </c>
      <c r="Z242" s="388"/>
      <c r="AA242" s="178" t="str">
        <f ca="1">IF($C242="","",IF($D242="LPSM",Z241,VALUE($C242)*Z241))</f>
        <v/>
      </c>
      <c r="AB242" s="388"/>
      <c r="AC242" s="178" t="str">
        <f ca="1">IF($C242="","",IF($D242="LPSM",AB241,VALUE($C242)*AB241))</f>
        <v/>
      </c>
      <c r="AD242" s="388"/>
      <c r="AE242" s="178" t="str">
        <f ca="1">IF($C242="","",IF($D242="LPSM",AD241,VALUE($C242)*AD241))</f>
        <v/>
      </c>
      <c r="AF242" s="388"/>
      <c r="AG242" s="178" t="str">
        <f ca="1">IF($C242="","",IF($D242="LPSM",AF241,VALUE($C242)*AF241))</f>
        <v/>
      </c>
      <c r="AH242" s="388"/>
      <c r="AI242" s="178" t="str">
        <f ca="1">IF($C242="","",IF($D242="LPSM",AH241,VALUE($C242)*AH241))</f>
        <v/>
      </c>
      <c r="AJ242" s="388"/>
      <c r="AK242" s="178" t="str">
        <f ca="1">IF($C242="","",IF($D242="LPSM",AJ241,VALUE($C242)*AJ241))</f>
        <v/>
      </c>
      <c r="AL242" s="388"/>
      <c r="AM242" s="178" t="str">
        <f ca="1">IF($C242="","",IF($D242="LPSM",AL241,VALUE($C242)*AL241))</f>
        <v/>
      </c>
      <c r="AN242" s="388"/>
      <c r="AO242" s="178" t="str">
        <f ca="1">IF($C242="","",IF($D242="LPSM",AN241,VALUE($C242)*AN241))</f>
        <v/>
      </c>
      <c r="AP242" s="388"/>
      <c r="AQ242" s="178" t="str">
        <f ca="1">IF($C242="","",IF($D242="LPSM",AP241,VALUE($C242)*AP241))</f>
        <v/>
      </c>
      <c r="AR242" s="209" t="str">
        <f ca="1">IF(LEN(B242)&gt;0,ISNUMBER(MATCH(B242,Proposed[Item],0)),"")</f>
        <v/>
      </c>
    </row>
    <row r="243" spans="1:44" ht="15" x14ac:dyDescent="0.2">
      <c r="A243" s="276">
        <f t="shared" ca="1" si="3"/>
        <v>118</v>
      </c>
      <c r="B243" s="168" t="str">
        <f ca="1">IFERROR(INDEX(INDIRECT(RangeItems),MATCH($A243,INDIRECT(RangeCount),0)),"")</f>
        <v/>
      </c>
      <c r="C243" s="365" t="str">
        <f ca="1">INDEX(Calcs[Description],$A243)</f>
        <v/>
      </c>
      <c r="D243" s="365"/>
      <c r="E243" s="365"/>
      <c r="F243" s="365"/>
      <c r="G243" s="365"/>
      <c r="H243" s="388"/>
      <c r="I243" s="177"/>
      <c r="J243" s="388"/>
      <c r="K243" s="177"/>
      <c r="L243" s="388"/>
      <c r="M243" s="177"/>
      <c r="N243" s="388"/>
      <c r="O243" s="177"/>
      <c r="P243" s="388"/>
      <c r="Q243" s="177"/>
      <c r="R243" s="388"/>
      <c r="S243" s="177"/>
      <c r="T243" s="388"/>
      <c r="U243" s="177"/>
      <c r="V243" s="388"/>
      <c r="W243" s="177"/>
      <c r="X243" s="388"/>
      <c r="Y243" s="177"/>
      <c r="Z243" s="388"/>
      <c r="AA243" s="177"/>
      <c r="AB243" s="388"/>
      <c r="AC243" s="177"/>
      <c r="AD243" s="388"/>
      <c r="AE243" s="177"/>
      <c r="AF243" s="388"/>
      <c r="AG243" s="177"/>
      <c r="AH243" s="388"/>
      <c r="AI243" s="177"/>
      <c r="AJ243" s="388"/>
      <c r="AK243" s="177"/>
      <c r="AL243" s="388"/>
      <c r="AM243" s="177"/>
      <c r="AN243" s="388"/>
      <c r="AO243" s="177"/>
      <c r="AP243" s="388"/>
      <c r="AQ243" s="177"/>
      <c r="AR243" s="209" t="str">
        <f ca="1">IF(LEN(B243)&gt;0,ISNUMBER(MATCH(B243,Proposed[Item],0)),"")</f>
        <v/>
      </c>
    </row>
    <row r="244" spans="1:44" ht="15" x14ac:dyDescent="0.2">
      <c r="A244" s="276">
        <f t="shared" ca="1" si="3"/>
        <v>118</v>
      </c>
      <c r="B244" s="111" t="str">
        <f ca="1">IF($A244&lt;=NumPayItems,"Line "&amp;INDEX(Calcs[Line],$A244),"")</f>
        <v/>
      </c>
      <c r="C244" s="169" t="str">
        <f ca="1">IFERROR(IF($D244="LPSM","ALL",TEXT(INDEX(INDIRECT(RangeQuantity),MATCH($A244,INDIRECT(RangeCount),0)),"#,##0"&amp;IF(OFFSET(Items[],MATCH($A244,INDIRECT(RangeCount),0)-1,MATCH(Decimals,Items[#Headers],0)-1,1,1)&gt;0,"."&amp;REPT("0",OFFSET(Items[],MATCH($A244,INDIRECT(RangeCount),0)-1,MATCH(Decimals,Items[#Headers],0)-1,1,1)),""))),"")</f>
        <v/>
      </c>
      <c r="D244" s="170" t="str">
        <f ca="1">IFERROR(INDEX(INDIRECT(RangeUnit),MATCH($A244,INDIRECT(RangeCount),0)),"")</f>
        <v/>
      </c>
      <c r="E244" s="170" t="str">
        <f ca="1">IFERROR(IF(INDEX(INDIRECT(RangeContrQty),MATCH($A244,INDIRECT(RangeCount),0)),"(CQ)",""),"")</f>
        <v/>
      </c>
      <c r="F244" s="171" t="str">
        <f ca="1">IFERROR(INDEX(INDIRECT(RangeUnitPrice),MATCH($A244,INDIRECT(RangeCount),0)),"")</f>
        <v/>
      </c>
      <c r="G244" s="171" t="str">
        <f ca="1">IFERROR(VALUE(C244)*F244,F244)</f>
        <v/>
      </c>
      <c r="H244" s="388"/>
      <c r="I244" s="178" t="str">
        <f ca="1">IF($C244="","",IF($D244="LPSM",H243,VALUE($C244)*H243))</f>
        <v/>
      </c>
      <c r="J244" s="388"/>
      <c r="K244" s="178" t="str">
        <f ca="1">IF($C244="","",IF($D244="LPSM",J243,VALUE($C244)*J243))</f>
        <v/>
      </c>
      <c r="L244" s="388"/>
      <c r="M244" s="178" t="str">
        <f ca="1">IF($C244="","",IF($D244="LPSM",L243,VALUE($C244)*L243))</f>
        <v/>
      </c>
      <c r="N244" s="388"/>
      <c r="O244" s="178" t="str">
        <f ca="1">IF($C244="","",IF($D244="LPSM",N243,VALUE($C244)*N243))</f>
        <v/>
      </c>
      <c r="P244" s="388"/>
      <c r="Q244" s="178" t="str">
        <f ca="1">IF($C244="","",IF($D244="LPSM",P243,VALUE($C244)*P243))</f>
        <v/>
      </c>
      <c r="R244" s="388"/>
      <c r="S244" s="178" t="str">
        <f ca="1">IF($C244="","",IF($D244="LPSM",R243,VALUE($C244)*R243))</f>
        <v/>
      </c>
      <c r="T244" s="388"/>
      <c r="U244" s="178" t="str">
        <f ca="1">IF($C244="","",IF($D244="LPSM",T243,VALUE($C244)*T243))</f>
        <v/>
      </c>
      <c r="V244" s="388"/>
      <c r="W244" s="178" t="str">
        <f ca="1">IF($C244="","",IF($D244="LPSM",V243,VALUE($C244)*V243))</f>
        <v/>
      </c>
      <c r="X244" s="388"/>
      <c r="Y244" s="178" t="str">
        <f ca="1">IF($C244="","",IF($D244="LPSM",X243,VALUE($C244)*X243))</f>
        <v/>
      </c>
      <c r="Z244" s="388"/>
      <c r="AA244" s="178" t="str">
        <f ca="1">IF($C244="","",IF($D244="LPSM",Z243,VALUE($C244)*Z243))</f>
        <v/>
      </c>
      <c r="AB244" s="388"/>
      <c r="AC244" s="178" t="str">
        <f ca="1">IF($C244="","",IF($D244="LPSM",AB243,VALUE($C244)*AB243))</f>
        <v/>
      </c>
      <c r="AD244" s="388"/>
      <c r="AE244" s="178" t="str">
        <f ca="1">IF($C244="","",IF($D244="LPSM",AD243,VALUE($C244)*AD243))</f>
        <v/>
      </c>
      <c r="AF244" s="388"/>
      <c r="AG244" s="178" t="str">
        <f ca="1">IF($C244="","",IF($D244="LPSM",AF243,VALUE($C244)*AF243))</f>
        <v/>
      </c>
      <c r="AH244" s="388"/>
      <c r="AI244" s="178" t="str">
        <f ca="1">IF($C244="","",IF($D244="LPSM",AH243,VALUE($C244)*AH243))</f>
        <v/>
      </c>
      <c r="AJ244" s="388"/>
      <c r="AK244" s="178" t="str">
        <f ca="1">IF($C244="","",IF($D244="LPSM",AJ243,VALUE($C244)*AJ243))</f>
        <v/>
      </c>
      <c r="AL244" s="388"/>
      <c r="AM244" s="178" t="str">
        <f ca="1">IF($C244="","",IF($D244="LPSM",AL243,VALUE($C244)*AL243))</f>
        <v/>
      </c>
      <c r="AN244" s="388"/>
      <c r="AO244" s="178" t="str">
        <f ca="1">IF($C244="","",IF($D244="LPSM",AN243,VALUE($C244)*AN243))</f>
        <v/>
      </c>
      <c r="AP244" s="388"/>
      <c r="AQ244" s="178" t="str">
        <f ca="1">IF($C244="","",IF($D244="LPSM",AP243,VALUE($C244)*AP243))</f>
        <v/>
      </c>
      <c r="AR244" s="209" t="str">
        <f ca="1">IF(LEN(B244)&gt;0,ISNUMBER(MATCH(B244,Proposed[Item],0)),"")</f>
        <v/>
      </c>
    </row>
    <row r="245" spans="1:44" ht="15" x14ac:dyDescent="0.2">
      <c r="A245" s="276">
        <f t="shared" ca="1" si="3"/>
        <v>119</v>
      </c>
      <c r="B245" s="168" t="str">
        <f ca="1">IFERROR(INDEX(INDIRECT(RangeItems),MATCH($A245,INDIRECT(RangeCount),0)),"")</f>
        <v/>
      </c>
      <c r="C245" s="365" t="str">
        <f ca="1">INDEX(Calcs[Description],$A245)</f>
        <v/>
      </c>
      <c r="D245" s="365"/>
      <c r="E245" s="365"/>
      <c r="F245" s="365"/>
      <c r="G245" s="365"/>
      <c r="H245" s="388"/>
      <c r="I245" s="177"/>
      <c r="J245" s="388"/>
      <c r="K245" s="177"/>
      <c r="L245" s="388"/>
      <c r="M245" s="177"/>
      <c r="N245" s="388"/>
      <c r="O245" s="177"/>
      <c r="P245" s="388"/>
      <c r="Q245" s="177"/>
      <c r="R245" s="388"/>
      <c r="S245" s="177"/>
      <c r="T245" s="388"/>
      <c r="U245" s="177"/>
      <c r="V245" s="388"/>
      <c r="W245" s="177"/>
      <c r="X245" s="388"/>
      <c r="Y245" s="177"/>
      <c r="Z245" s="388"/>
      <c r="AA245" s="177"/>
      <c r="AB245" s="388"/>
      <c r="AC245" s="177"/>
      <c r="AD245" s="388"/>
      <c r="AE245" s="177"/>
      <c r="AF245" s="388"/>
      <c r="AG245" s="177"/>
      <c r="AH245" s="388"/>
      <c r="AI245" s="177"/>
      <c r="AJ245" s="388"/>
      <c r="AK245" s="177"/>
      <c r="AL245" s="388"/>
      <c r="AM245" s="177"/>
      <c r="AN245" s="388"/>
      <c r="AO245" s="177"/>
      <c r="AP245" s="388"/>
      <c r="AQ245" s="177"/>
      <c r="AR245" s="209" t="str">
        <f ca="1">IF(LEN(B245)&gt;0,ISNUMBER(MATCH(B245,Proposed[Item],0)),"")</f>
        <v/>
      </c>
    </row>
    <row r="246" spans="1:44" ht="15" x14ac:dyDescent="0.2">
      <c r="A246" s="276">
        <f t="shared" ca="1" si="3"/>
        <v>119</v>
      </c>
      <c r="B246" s="111" t="str">
        <f ca="1">IF($A246&lt;=NumPayItems,"Line "&amp;INDEX(Calcs[Line],$A246),"")</f>
        <v/>
      </c>
      <c r="C246" s="169" t="str">
        <f ca="1">IFERROR(IF($D246="LPSM","ALL",TEXT(INDEX(INDIRECT(RangeQuantity),MATCH($A246,INDIRECT(RangeCount),0)),"#,##0"&amp;IF(OFFSET(Items[],MATCH($A246,INDIRECT(RangeCount),0)-1,MATCH(Decimals,Items[#Headers],0)-1,1,1)&gt;0,"."&amp;REPT("0",OFFSET(Items[],MATCH($A246,INDIRECT(RangeCount),0)-1,MATCH(Decimals,Items[#Headers],0)-1,1,1)),""))),"")</f>
        <v/>
      </c>
      <c r="D246" s="170" t="str">
        <f ca="1">IFERROR(INDEX(INDIRECT(RangeUnit),MATCH($A246,INDIRECT(RangeCount),0)),"")</f>
        <v/>
      </c>
      <c r="E246" s="170" t="str">
        <f ca="1">IFERROR(IF(INDEX(INDIRECT(RangeContrQty),MATCH($A246,INDIRECT(RangeCount),0)),"(CQ)",""),"")</f>
        <v/>
      </c>
      <c r="F246" s="171" t="str">
        <f ca="1">IFERROR(INDEX(INDIRECT(RangeUnitPrice),MATCH($A246,INDIRECT(RangeCount),0)),"")</f>
        <v/>
      </c>
      <c r="G246" s="171" t="str">
        <f ca="1">IFERROR(VALUE(C246)*F246,F246)</f>
        <v/>
      </c>
      <c r="H246" s="388"/>
      <c r="I246" s="178" t="str">
        <f ca="1">IF($C246="","",IF($D246="LPSM",H245,VALUE($C246)*H245))</f>
        <v/>
      </c>
      <c r="J246" s="388"/>
      <c r="K246" s="178" t="str">
        <f ca="1">IF($C246="","",IF($D246="LPSM",J245,VALUE($C246)*J245))</f>
        <v/>
      </c>
      <c r="L246" s="388"/>
      <c r="M246" s="178" t="str">
        <f ca="1">IF($C246="","",IF($D246="LPSM",L245,VALUE($C246)*L245))</f>
        <v/>
      </c>
      <c r="N246" s="388"/>
      <c r="O246" s="178" t="str">
        <f ca="1">IF($C246="","",IF($D246="LPSM",N245,VALUE($C246)*N245))</f>
        <v/>
      </c>
      <c r="P246" s="388"/>
      <c r="Q246" s="178" t="str">
        <f ca="1">IF($C246="","",IF($D246="LPSM",P245,VALUE($C246)*P245))</f>
        <v/>
      </c>
      <c r="R246" s="388"/>
      <c r="S246" s="178" t="str">
        <f ca="1">IF($C246="","",IF($D246="LPSM",R245,VALUE($C246)*R245))</f>
        <v/>
      </c>
      <c r="T246" s="388"/>
      <c r="U246" s="178" t="str">
        <f ca="1">IF($C246="","",IF($D246="LPSM",T245,VALUE($C246)*T245))</f>
        <v/>
      </c>
      <c r="V246" s="388"/>
      <c r="W246" s="178" t="str">
        <f ca="1">IF($C246="","",IF($D246="LPSM",V245,VALUE($C246)*V245))</f>
        <v/>
      </c>
      <c r="X246" s="388"/>
      <c r="Y246" s="178" t="str">
        <f ca="1">IF($C246="","",IF($D246="LPSM",X245,VALUE($C246)*X245))</f>
        <v/>
      </c>
      <c r="Z246" s="388"/>
      <c r="AA246" s="178" t="str">
        <f ca="1">IF($C246="","",IF($D246="LPSM",Z245,VALUE($C246)*Z245))</f>
        <v/>
      </c>
      <c r="AB246" s="388"/>
      <c r="AC246" s="178" t="str">
        <f ca="1">IF($C246="","",IF($D246="LPSM",AB245,VALUE($C246)*AB245))</f>
        <v/>
      </c>
      <c r="AD246" s="388"/>
      <c r="AE246" s="178" t="str">
        <f ca="1">IF($C246="","",IF($D246="LPSM",AD245,VALUE($C246)*AD245))</f>
        <v/>
      </c>
      <c r="AF246" s="388"/>
      <c r="AG246" s="178" t="str">
        <f ca="1">IF($C246="","",IF($D246="LPSM",AF245,VALUE($C246)*AF245))</f>
        <v/>
      </c>
      <c r="AH246" s="388"/>
      <c r="AI246" s="178" t="str">
        <f ca="1">IF($C246="","",IF($D246="LPSM",AH245,VALUE($C246)*AH245))</f>
        <v/>
      </c>
      <c r="AJ246" s="388"/>
      <c r="AK246" s="178" t="str">
        <f ca="1">IF($C246="","",IF($D246="LPSM",AJ245,VALUE($C246)*AJ245))</f>
        <v/>
      </c>
      <c r="AL246" s="388"/>
      <c r="AM246" s="178" t="str">
        <f ca="1">IF($C246="","",IF($D246="LPSM",AL245,VALUE($C246)*AL245))</f>
        <v/>
      </c>
      <c r="AN246" s="388"/>
      <c r="AO246" s="178" t="str">
        <f ca="1">IF($C246="","",IF($D246="LPSM",AN245,VALUE($C246)*AN245))</f>
        <v/>
      </c>
      <c r="AP246" s="388"/>
      <c r="AQ246" s="178" t="str">
        <f ca="1">IF($C246="","",IF($D246="LPSM",AP245,VALUE($C246)*AP245))</f>
        <v/>
      </c>
      <c r="AR246" s="209" t="str">
        <f ca="1">IF(LEN(B246)&gt;0,ISNUMBER(MATCH(B246,Proposed[Item],0)),"")</f>
        <v/>
      </c>
    </row>
    <row r="247" spans="1:44" ht="15" x14ac:dyDescent="0.2">
      <c r="A247" s="276">
        <f t="shared" ca="1" si="3"/>
        <v>120</v>
      </c>
      <c r="B247" s="168" t="str">
        <f ca="1">IFERROR(INDEX(INDIRECT(RangeItems),MATCH($A247,INDIRECT(RangeCount),0)),"")</f>
        <v/>
      </c>
      <c r="C247" s="365" t="str">
        <f ca="1">INDEX(Calcs[Description],$A247)</f>
        <v/>
      </c>
      <c r="D247" s="365"/>
      <c r="E247" s="365"/>
      <c r="F247" s="365"/>
      <c r="G247" s="365"/>
      <c r="H247" s="388"/>
      <c r="I247" s="177"/>
      <c r="J247" s="388"/>
      <c r="K247" s="177"/>
      <c r="L247" s="388"/>
      <c r="M247" s="177"/>
      <c r="N247" s="388"/>
      <c r="O247" s="177"/>
      <c r="P247" s="388"/>
      <c r="Q247" s="177"/>
      <c r="R247" s="388"/>
      <c r="S247" s="177"/>
      <c r="T247" s="388"/>
      <c r="U247" s="177"/>
      <c r="V247" s="388"/>
      <c r="W247" s="177"/>
      <c r="X247" s="388"/>
      <c r="Y247" s="177"/>
      <c r="Z247" s="388"/>
      <c r="AA247" s="177"/>
      <c r="AB247" s="388"/>
      <c r="AC247" s="177"/>
      <c r="AD247" s="388"/>
      <c r="AE247" s="177"/>
      <c r="AF247" s="388"/>
      <c r="AG247" s="177"/>
      <c r="AH247" s="388"/>
      <c r="AI247" s="177"/>
      <c r="AJ247" s="388"/>
      <c r="AK247" s="177"/>
      <c r="AL247" s="388"/>
      <c r="AM247" s="177"/>
      <c r="AN247" s="388"/>
      <c r="AO247" s="177"/>
      <c r="AP247" s="388"/>
      <c r="AQ247" s="177"/>
      <c r="AR247" s="209" t="str">
        <f ca="1">IF(LEN(B247)&gt;0,ISNUMBER(MATCH(B247,Proposed[Item],0)),"")</f>
        <v/>
      </c>
    </row>
    <row r="248" spans="1:44" ht="15" x14ac:dyDescent="0.2">
      <c r="A248" s="276">
        <f t="shared" ca="1" si="3"/>
        <v>120</v>
      </c>
      <c r="B248" s="111" t="str">
        <f ca="1">IF($A248&lt;=NumPayItems,"Line "&amp;INDEX(Calcs[Line],$A248),"")</f>
        <v/>
      </c>
      <c r="C248" s="169" t="str">
        <f ca="1">IFERROR(IF($D248="LPSM","ALL",TEXT(INDEX(INDIRECT(RangeQuantity),MATCH($A248,INDIRECT(RangeCount),0)),"#,##0"&amp;IF(OFFSET(Items[],MATCH($A248,INDIRECT(RangeCount),0)-1,MATCH(Decimals,Items[#Headers],0)-1,1,1)&gt;0,"."&amp;REPT("0",OFFSET(Items[],MATCH($A248,INDIRECT(RangeCount),0)-1,MATCH(Decimals,Items[#Headers],0)-1,1,1)),""))),"")</f>
        <v/>
      </c>
      <c r="D248" s="170" t="str">
        <f ca="1">IFERROR(INDEX(INDIRECT(RangeUnit),MATCH($A248,INDIRECT(RangeCount),0)),"")</f>
        <v/>
      </c>
      <c r="E248" s="170" t="str">
        <f ca="1">IFERROR(IF(INDEX(INDIRECT(RangeContrQty),MATCH($A248,INDIRECT(RangeCount),0)),"(CQ)",""),"")</f>
        <v/>
      </c>
      <c r="F248" s="171" t="str">
        <f ca="1">IFERROR(INDEX(INDIRECT(RangeUnitPrice),MATCH($A248,INDIRECT(RangeCount),0)),"")</f>
        <v/>
      </c>
      <c r="G248" s="171" t="str">
        <f ca="1">IFERROR(VALUE(C248)*F248,F248)</f>
        <v/>
      </c>
      <c r="H248" s="388"/>
      <c r="I248" s="178" t="str">
        <f ca="1">IF($C248="","",IF($D248="LPSM",H247,VALUE($C248)*H247))</f>
        <v/>
      </c>
      <c r="J248" s="388"/>
      <c r="K248" s="178" t="str">
        <f ca="1">IF($C248="","",IF($D248="LPSM",J247,VALUE($C248)*J247))</f>
        <v/>
      </c>
      <c r="L248" s="388"/>
      <c r="M248" s="178" t="str">
        <f ca="1">IF($C248="","",IF($D248="LPSM",L247,VALUE($C248)*L247))</f>
        <v/>
      </c>
      <c r="N248" s="388"/>
      <c r="O248" s="178" t="str">
        <f ca="1">IF($C248="","",IF($D248="LPSM",N247,VALUE($C248)*N247))</f>
        <v/>
      </c>
      <c r="P248" s="388"/>
      <c r="Q248" s="178" t="str">
        <f ca="1">IF($C248="","",IF($D248="LPSM",P247,VALUE($C248)*P247))</f>
        <v/>
      </c>
      <c r="R248" s="388"/>
      <c r="S248" s="178" t="str">
        <f ca="1">IF($C248="","",IF($D248="LPSM",R247,VALUE($C248)*R247))</f>
        <v/>
      </c>
      <c r="T248" s="388"/>
      <c r="U248" s="178" t="str">
        <f ca="1">IF($C248="","",IF($D248="LPSM",T247,VALUE($C248)*T247))</f>
        <v/>
      </c>
      <c r="V248" s="388"/>
      <c r="W248" s="178" t="str">
        <f ca="1">IF($C248="","",IF($D248="LPSM",V247,VALUE($C248)*V247))</f>
        <v/>
      </c>
      <c r="X248" s="388"/>
      <c r="Y248" s="178" t="str">
        <f ca="1">IF($C248="","",IF($D248="LPSM",X247,VALUE($C248)*X247))</f>
        <v/>
      </c>
      <c r="Z248" s="388"/>
      <c r="AA248" s="178" t="str">
        <f ca="1">IF($C248="","",IF($D248="LPSM",Z247,VALUE($C248)*Z247))</f>
        <v/>
      </c>
      <c r="AB248" s="388"/>
      <c r="AC248" s="178" t="str">
        <f ca="1">IF($C248="","",IF($D248="LPSM",AB247,VALUE($C248)*AB247))</f>
        <v/>
      </c>
      <c r="AD248" s="388"/>
      <c r="AE248" s="178" t="str">
        <f ca="1">IF($C248="","",IF($D248="LPSM",AD247,VALUE($C248)*AD247))</f>
        <v/>
      </c>
      <c r="AF248" s="388"/>
      <c r="AG248" s="178" t="str">
        <f ca="1">IF($C248="","",IF($D248="LPSM",AF247,VALUE($C248)*AF247))</f>
        <v/>
      </c>
      <c r="AH248" s="388"/>
      <c r="AI248" s="178" t="str">
        <f ca="1">IF($C248="","",IF($D248="LPSM",AH247,VALUE($C248)*AH247))</f>
        <v/>
      </c>
      <c r="AJ248" s="388"/>
      <c r="AK248" s="178" t="str">
        <f ca="1">IF($C248="","",IF($D248="LPSM",AJ247,VALUE($C248)*AJ247))</f>
        <v/>
      </c>
      <c r="AL248" s="388"/>
      <c r="AM248" s="178" t="str">
        <f ca="1">IF($C248="","",IF($D248="LPSM",AL247,VALUE($C248)*AL247))</f>
        <v/>
      </c>
      <c r="AN248" s="388"/>
      <c r="AO248" s="178" t="str">
        <f ca="1">IF($C248="","",IF($D248="LPSM",AN247,VALUE($C248)*AN247))</f>
        <v/>
      </c>
      <c r="AP248" s="388"/>
      <c r="AQ248" s="178" t="str">
        <f ca="1">IF($C248="","",IF($D248="LPSM",AP247,VALUE($C248)*AP247))</f>
        <v/>
      </c>
      <c r="AR248" s="209" t="str">
        <f ca="1">IF(LEN(B248)&gt;0,ISNUMBER(MATCH(B248,Proposed[Item],0)),"")</f>
        <v/>
      </c>
    </row>
    <row r="249" spans="1:44" ht="15" x14ac:dyDescent="0.2">
      <c r="A249" s="276">
        <f t="shared" ca="1" si="3"/>
        <v>121</v>
      </c>
      <c r="B249" s="168" t="str">
        <f ca="1">IFERROR(INDEX(INDIRECT(RangeItems),MATCH($A249,INDIRECT(RangeCount),0)),"")</f>
        <v/>
      </c>
      <c r="C249" s="365" t="str">
        <f ca="1">INDEX(Calcs[Description],$A249)</f>
        <v/>
      </c>
      <c r="D249" s="365"/>
      <c r="E249" s="365"/>
      <c r="F249" s="365"/>
      <c r="G249" s="365"/>
      <c r="H249" s="388"/>
      <c r="I249" s="177"/>
      <c r="J249" s="388"/>
      <c r="K249" s="177"/>
      <c r="L249" s="388"/>
      <c r="M249" s="177"/>
      <c r="N249" s="388"/>
      <c r="O249" s="177"/>
      <c r="P249" s="388"/>
      <c r="Q249" s="177"/>
      <c r="R249" s="388"/>
      <c r="S249" s="177"/>
      <c r="T249" s="388"/>
      <c r="U249" s="177"/>
      <c r="V249" s="388"/>
      <c r="W249" s="177"/>
      <c r="X249" s="388"/>
      <c r="Y249" s="177"/>
      <c r="Z249" s="388"/>
      <c r="AA249" s="177"/>
      <c r="AB249" s="388"/>
      <c r="AC249" s="177"/>
      <c r="AD249" s="388"/>
      <c r="AE249" s="177"/>
      <c r="AF249" s="388"/>
      <c r="AG249" s="177"/>
      <c r="AH249" s="388"/>
      <c r="AI249" s="177"/>
      <c r="AJ249" s="388"/>
      <c r="AK249" s="177"/>
      <c r="AL249" s="388"/>
      <c r="AM249" s="177"/>
      <c r="AN249" s="388"/>
      <c r="AO249" s="177"/>
      <c r="AP249" s="388"/>
      <c r="AQ249" s="177"/>
      <c r="AR249" s="209" t="str">
        <f ca="1">IF(LEN(B249)&gt;0,ISNUMBER(MATCH(B249,Proposed[Item],0)),"")</f>
        <v/>
      </c>
    </row>
    <row r="250" spans="1:44" ht="15" x14ac:dyDescent="0.2">
      <c r="A250" s="276">
        <f t="shared" ca="1" si="3"/>
        <v>121</v>
      </c>
      <c r="B250" s="111" t="str">
        <f ca="1">IF($A250&lt;=NumPayItems,"Line "&amp;INDEX(Calcs[Line],$A250),"")</f>
        <v/>
      </c>
      <c r="C250" s="169" t="str">
        <f ca="1">IFERROR(IF($D250="LPSM","ALL",TEXT(INDEX(INDIRECT(RangeQuantity),MATCH($A250,INDIRECT(RangeCount),0)),"#,##0"&amp;IF(OFFSET(Items[],MATCH($A250,INDIRECT(RangeCount),0)-1,MATCH(Decimals,Items[#Headers],0)-1,1,1)&gt;0,"."&amp;REPT("0",OFFSET(Items[],MATCH($A250,INDIRECT(RangeCount),0)-1,MATCH(Decimals,Items[#Headers],0)-1,1,1)),""))),"")</f>
        <v/>
      </c>
      <c r="D250" s="170" t="str">
        <f ca="1">IFERROR(INDEX(INDIRECT(RangeUnit),MATCH($A250,INDIRECT(RangeCount),0)),"")</f>
        <v/>
      </c>
      <c r="E250" s="170" t="str">
        <f ca="1">IFERROR(IF(INDEX(INDIRECT(RangeContrQty),MATCH($A250,INDIRECT(RangeCount),0)),"(CQ)",""),"")</f>
        <v/>
      </c>
      <c r="F250" s="171" t="str">
        <f ca="1">IFERROR(INDEX(INDIRECT(RangeUnitPrice),MATCH($A250,INDIRECT(RangeCount),0)),"")</f>
        <v/>
      </c>
      <c r="G250" s="171" t="str">
        <f ca="1">IFERROR(VALUE(C250)*F250,F250)</f>
        <v/>
      </c>
      <c r="H250" s="388"/>
      <c r="I250" s="178" t="str">
        <f ca="1">IF($C250="","",IF($D250="LPSM",H249,VALUE($C250)*H249))</f>
        <v/>
      </c>
      <c r="J250" s="388"/>
      <c r="K250" s="178" t="str">
        <f ca="1">IF($C250="","",IF($D250="LPSM",J249,VALUE($C250)*J249))</f>
        <v/>
      </c>
      <c r="L250" s="388"/>
      <c r="M250" s="178" t="str">
        <f ca="1">IF($C250="","",IF($D250="LPSM",L249,VALUE($C250)*L249))</f>
        <v/>
      </c>
      <c r="N250" s="388"/>
      <c r="O250" s="178" t="str">
        <f ca="1">IF($C250="","",IF($D250="LPSM",N249,VALUE($C250)*N249))</f>
        <v/>
      </c>
      <c r="P250" s="388"/>
      <c r="Q250" s="178" t="str">
        <f ca="1">IF($C250="","",IF($D250="LPSM",P249,VALUE($C250)*P249))</f>
        <v/>
      </c>
      <c r="R250" s="388"/>
      <c r="S250" s="178" t="str">
        <f ca="1">IF($C250="","",IF($D250="LPSM",R249,VALUE($C250)*R249))</f>
        <v/>
      </c>
      <c r="T250" s="388"/>
      <c r="U250" s="178" t="str">
        <f ca="1">IF($C250="","",IF($D250="LPSM",T249,VALUE($C250)*T249))</f>
        <v/>
      </c>
      <c r="V250" s="388"/>
      <c r="W250" s="178" t="str">
        <f ca="1">IF($C250="","",IF($D250="LPSM",V249,VALUE($C250)*V249))</f>
        <v/>
      </c>
      <c r="X250" s="388"/>
      <c r="Y250" s="178" t="str">
        <f ca="1">IF($C250="","",IF($D250="LPSM",X249,VALUE($C250)*X249))</f>
        <v/>
      </c>
      <c r="Z250" s="388"/>
      <c r="AA250" s="178" t="str">
        <f ca="1">IF($C250="","",IF($D250="LPSM",Z249,VALUE($C250)*Z249))</f>
        <v/>
      </c>
      <c r="AB250" s="388"/>
      <c r="AC250" s="178" t="str">
        <f ca="1">IF($C250="","",IF($D250="LPSM",AB249,VALUE($C250)*AB249))</f>
        <v/>
      </c>
      <c r="AD250" s="388"/>
      <c r="AE250" s="178" t="str">
        <f ca="1">IF($C250="","",IF($D250="LPSM",AD249,VALUE($C250)*AD249))</f>
        <v/>
      </c>
      <c r="AF250" s="388"/>
      <c r="AG250" s="178" t="str">
        <f ca="1">IF($C250="","",IF($D250="LPSM",AF249,VALUE($C250)*AF249))</f>
        <v/>
      </c>
      <c r="AH250" s="388"/>
      <c r="AI250" s="178" t="str">
        <f ca="1">IF($C250="","",IF($D250="LPSM",AH249,VALUE($C250)*AH249))</f>
        <v/>
      </c>
      <c r="AJ250" s="388"/>
      <c r="AK250" s="178" t="str">
        <f ca="1">IF($C250="","",IF($D250="LPSM",AJ249,VALUE($C250)*AJ249))</f>
        <v/>
      </c>
      <c r="AL250" s="388"/>
      <c r="AM250" s="178" t="str">
        <f ca="1">IF($C250="","",IF($D250="LPSM",AL249,VALUE($C250)*AL249))</f>
        <v/>
      </c>
      <c r="AN250" s="388"/>
      <c r="AO250" s="178" t="str">
        <f ca="1">IF($C250="","",IF($D250="LPSM",AN249,VALUE($C250)*AN249))</f>
        <v/>
      </c>
      <c r="AP250" s="388"/>
      <c r="AQ250" s="178" t="str">
        <f ca="1">IF($C250="","",IF($D250="LPSM",AP249,VALUE($C250)*AP249))</f>
        <v/>
      </c>
      <c r="AR250" s="209" t="str">
        <f ca="1">IF(LEN(B250)&gt;0,ISNUMBER(MATCH(B250,Proposed[Item],0)),"")</f>
        <v/>
      </c>
    </row>
    <row r="251" spans="1:44" ht="15" x14ac:dyDescent="0.2">
      <c r="A251" s="276">
        <f t="shared" ca="1" si="3"/>
        <v>122</v>
      </c>
      <c r="B251" s="168" t="str">
        <f ca="1">IFERROR(INDEX(INDIRECT(RangeItems),MATCH($A251,INDIRECT(RangeCount),0)),"")</f>
        <v/>
      </c>
      <c r="C251" s="365" t="str">
        <f ca="1">INDEX(Calcs[Description],$A251)</f>
        <v/>
      </c>
      <c r="D251" s="365"/>
      <c r="E251" s="365"/>
      <c r="F251" s="365"/>
      <c r="G251" s="365"/>
      <c r="H251" s="388"/>
      <c r="I251" s="177"/>
      <c r="J251" s="388"/>
      <c r="K251" s="177"/>
      <c r="L251" s="388"/>
      <c r="M251" s="177"/>
      <c r="N251" s="388"/>
      <c r="O251" s="177"/>
      <c r="P251" s="388"/>
      <c r="Q251" s="177"/>
      <c r="R251" s="388"/>
      <c r="S251" s="177"/>
      <c r="T251" s="388"/>
      <c r="U251" s="177"/>
      <c r="V251" s="388"/>
      <c r="W251" s="177"/>
      <c r="X251" s="388"/>
      <c r="Y251" s="177"/>
      <c r="Z251" s="388"/>
      <c r="AA251" s="177"/>
      <c r="AB251" s="388"/>
      <c r="AC251" s="177"/>
      <c r="AD251" s="388"/>
      <c r="AE251" s="177"/>
      <c r="AF251" s="388"/>
      <c r="AG251" s="177"/>
      <c r="AH251" s="388"/>
      <c r="AI251" s="177"/>
      <c r="AJ251" s="388"/>
      <c r="AK251" s="177"/>
      <c r="AL251" s="388"/>
      <c r="AM251" s="177"/>
      <c r="AN251" s="388"/>
      <c r="AO251" s="177"/>
      <c r="AP251" s="388"/>
      <c r="AQ251" s="177"/>
      <c r="AR251" s="209" t="str">
        <f ca="1">IF(LEN(B251)&gt;0,ISNUMBER(MATCH(B251,Proposed[Item],0)),"")</f>
        <v/>
      </c>
    </row>
    <row r="252" spans="1:44" ht="15" x14ac:dyDescent="0.2">
      <c r="A252" s="276">
        <f t="shared" ca="1" si="3"/>
        <v>122</v>
      </c>
      <c r="B252" s="111" t="str">
        <f ca="1">IF($A252&lt;=NumPayItems,"Line "&amp;INDEX(Calcs[Line],$A252),"")</f>
        <v/>
      </c>
      <c r="C252" s="169" t="str">
        <f ca="1">IFERROR(IF($D252="LPSM","ALL",TEXT(INDEX(INDIRECT(RangeQuantity),MATCH($A252,INDIRECT(RangeCount),0)),"#,##0"&amp;IF(OFFSET(Items[],MATCH($A252,INDIRECT(RangeCount),0)-1,MATCH(Decimals,Items[#Headers],0)-1,1,1)&gt;0,"."&amp;REPT("0",OFFSET(Items[],MATCH($A252,INDIRECT(RangeCount),0)-1,MATCH(Decimals,Items[#Headers],0)-1,1,1)),""))),"")</f>
        <v/>
      </c>
      <c r="D252" s="170" t="str">
        <f ca="1">IFERROR(INDEX(INDIRECT(RangeUnit),MATCH($A252,INDIRECT(RangeCount),0)),"")</f>
        <v/>
      </c>
      <c r="E252" s="170" t="str">
        <f ca="1">IFERROR(IF(INDEX(INDIRECT(RangeContrQty),MATCH($A252,INDIRECT(RangeCount),0)),"(CQ)",""),"")</f>
        <v/>
      </c>
      <c r="F252" s="171" t="str">
        <f ca="1">IFERROR(INDEX(INDIRECT(RangeUnitPrice),MATCH($A252,INDIRECT(RangeCount),0)),"")</f>
        <v/>
      </c>
      <c r="G252" s="171" t="str">
        <f ca="1">IFERROR(VALUE(C252)*F252,F252)</f>
        <v/>
      </c>
      <c r="H252" s="388"/>
      <c r="I252" s="178" t="str">
        <f ca="1">IF($C252="","",IF($D252="LPSM",H251,VALUE($C252)*H251))</f>
        <v/>
      </c>
      <c r="J252" s="388"/>
      <c r="K252" s="178" t="str">
        <f ca="1">IF($C252="","",IF($D252="LPSM",J251,VALUE($C252)*J251))</f>
        <v/>
      </c>
      <c r="L252" s="388"/>
      <c r="M252" s="178" t="str">
        <f ca="1">IF($C252="","",IF($D252="LPSM",L251,VALUE($C252)*L251))</f>
        <v/>
      </c>
      <c r="N252" s="388"/>
      <c r="O252" s="178" t="str">
        <f ca="1">IF($C252="","",IF($D252="LPSM",N251,VALUE($C252)*N251))</f>
        <v/>
      </c>
      <c r="P252" s="388"/>
      <c r="Q252" s="178" t="str">
        <f ca="1">IF($C252="","",IF($D252="LPSM",P251,VALUE($C252)*P251))</f>
        <v/>
      </c>
      <c r="R252" s="388"/>
      <c r="S252" s="178" t="str">
        <f ca="1">IF($C252="","",IF($D252="LPSM",R251,VALUE($C252)*R251))</f>
        <v/>
      </c>
      <c r="T252" s="388"/>
      <c r="U252" s="178" t="str">
        <f ca="1">IF($C252="","",IF($D252="LPSM",T251,VALUE($C252)*T251))</f>
        <v/>
      </c>
      <c r="V252" s="388"/>
      <c r="W252" s="178" t="str">
        <f ca="1">IF($C252="","",IF($D252="LPSM",V251,VALUE($C252)*V251))</f>
        <v/>
      </c>
      <c r="X252" s="388"/>
      <c r="Y252" s="178" t="str">
        <f ca="1">IF($C252="","",IF($D252="LPSM",X251,VALUE($C252)*X251))</f>
        <v/>
      </c>
      <c r="Z252" s="388"/>
      <c r="AA252" s="178" t="str">
        <f ca="1">IF($C252="","",IF($D252="LPSM",Z251,VALUE($C252)*Z251))</f>
        <v/>
      </c>
      <c r="AB252" s="388"/>
      <c r="AC252" s="178" t="str">
        <f ca="1">IF($C252="","",IF($D252="LPSM",AB251,VALUE($C252)*AB251))</f>
        <v/>
      </c>
      <c r="AD252" s="388"/>
      <c r="AE252" s="178" t="str">
        <f ca="1">IF($C252="","",IF($D252="LPSM",AD251,VALUE($C252)*AD251))</f>
        <v/>
      </c>
      <c r="AF252" s="388"/>
      <c r="AG252" s="178" t="str">
        <f ca="1">IF($C252="","",IF($D252="LPSM",AF251,VALUE($C252)*AF251))</f>
        <v/>
      </c>
      <c r="AH252" s="388"/>
      <c r="AI252" s="178" t="str">
        <f ca="1">IF($C252="","",IF($D252="LPSM",AH251,VALUE($C252)*AH251))</f>
        <v/>
      </c>
      <c r="AJ252" s="388"/>
      <c r="AK252" s="178" t="str">
        <f ca="1">IF($C252="","",IF($D252="LPSM",AJ251,VALUE($C252)*AJ251))</f>
        <v/>
      </c>
      <c r="AL252" s="388"/>
      <c r="AM252" s="178" t="str">
        <f ca="1">IF($C252="","",IF($D252="LPSM",AL251,VALUE($C252)*AL251))</f>
        <v/>
      </c>
      <c r="AN252" s="388"/>
      <c r="AO252" s="178" t="str">
        <f ca="1">IF($C252="","",IF($D252="LPSM",AN251,VALUE($C252)*AN251))</f>
        <v/>
      </c>
      <c r="AP252" s="388"/>
      <c r="AQ252" s="178" t="str">
        <f ca="1">IF($C252="","",IF($D252="LPSM",AP251,VALUE($C252)*AP251))</f>
        <v/>
      </c>
      <c r="AR252" s="209" t="str">
        <f ca="1">IF(LEN(B252)&gt;0,ISNUMBER(MATCH(B252,Proposed[Item],0)),"")</f>
        <v/>
      </c>
    </row>
    <row r="253" spans="1:44" ht="15" x14ac:dyDescent="0.2">
      <c r="A253" s="276">
        <f t="shared" ca="1" si="3"/>
        <v>123</v>
      </c>
      <c r="B253" s="168" t="str">
        <f ca="1">IFERROR(INDEX(INDIRECT(RangeItems),MATCH($A253,INDIRECT(RangeCount),0)),"")</f>
        <v/>
      </c>
      <c r="C253" s="365" t="str">
        <f ca="1">INDEX(Calcs[Description],$A253)</f>
        <v/>
      </c>
      <c r="D253" s="365"/>
      <c r="E253" s="365"/>
      <c r="F253" s="365"/>
      <c r="G253" s="365"/>
      <c r="H253" s="388"/>
      <c r="I253" s="177"/>
      <c r="J253" s="388"/>
      <c r="K253" s="177"/>
      <c r="L253" s="388"/>
      <c r="M253" s="177"/>
      <c r="N253" s="388"/>
      <c r="O253" s="177"/>
      <c r="P253" s="388"/>
      <c r="Q253" s="177"/>
      <c r="R253" s="388"/>
      <c r="S253" s="177"/>
      <c r="T253" s="388"/>
      <c r="U253" s="177"/>
      <c r="V253" s="388"/>
      <c r="W253" s="177"/>
      <c r="X253" s="388"/>
      <c r="Y253" s="177"/>
      <c r="Z253" s="388"/>
      <c r="AA253" s="177"/>
      <c r="AB253" s="388"/>
      <c r="AC253" s="177"/>
      <c r="AD253" s="388"/>
      <c r="AE253" s="177"/>
      <c r="AF253" s="388"/>
      <c r="AG253" s="177"/>
      <c r="AH253" s="388"/>
      <c r="AI253" s="177"/>
      <c r="AJ253" s="388"/>
      <c r="AK253" s="177"/>
      <c r="AL253" s="388"/>
      <c r="AM253" s="177"/>
      <c r="AN253" s="388"/>
      <c r="AO253" s="177"/>
      <c r="AP253" s="388"/>
      <c r="AQ253" s="177"/>
      <c r="AR253" s="209" t="str">
        <f ca="1">IF(LEN(B253)&gt;0,ISNUMBER(MATCH(B253,Proposed[Item],0)),"")</f>
        <v/>
      </c>
    </row>
    <row r="254" spans="1:44" ht="15" x14ac:dyDescent="0.2">
      <c r="A254" s="276">
        <f t="shared" ca="1" si="3"/>
        <v>123</v>
      </c>
      <c r="B254" s="111" t="str">
        <f ca="1">IF($A254&lt;=NumPayItems,"Line "&amp;INDEX(Calcs[Line],$A254),"")</f>
        <v/>
      </c>
      <c r="C254" s="169" t="str">
        <f ca="1">IFERROR(IF($D254="LPSM","ALL",TEXT(INDEX(INDIRECT(RangeQuantity),MATCH($A254,INDIRECT(RangeCount),0)),"#,##0"&amp;IF(OFFSET(Items[],MATCH($A254,INDIRECT(RangeCount),0)-1,MATCH(Decimals,Items[#Headers],0)-1,1,1)&gt;0,"."&amp;REPT("0",OFFSET(Items[],MATCH($A254,INDIRECT(RangeCount),0)-1,MATCH(Decimals,Items[#Headers],0)-1,1,1)),""))),"")</f>
        <v/>
      </c>
      <c r="D254" s="170" t="str">
        <f ca="1">IFERROR(INDEX(INDIRECT(RangeUnit),MATCH($A254,INDIRECT(RangeCount),0)),"")</f>
        <v/>
      </c>
      <c r="E254" s="170" t="str">
        <f ca="1">IFERROR(IF(INDEX(INDIRECT(RangeContrQty),MATCH($A254,INDIRECT(RangeCount),0)),"(CQ)",""),"")</f>
        <v/>
      </c>
      <c r="F254" s="171" t="str">
        <f ca="1">IFERROR(INDEX(INDIRECT(RangeUnitPrice),MATCH($A254,INDIRECT(RangeCount),0)),"")</f>
        <v/>
      </c>
      <c r="G254" s="171" t="str">
        <f ca="1">IFERROR(VALUE(C254)*F254,F254)</f>
        <v/>
      </c>
      <c r="H254" s="388"/>
      <c r="I254" s="178" t="str">
        <f ca="1">IF($C254="","",IF($D254="LPSM",H253,VALUE($C254)*H253))</f>
        <v/>
      </c>
      <c r="J254" s="388"/>
      <c r="K254" s="178" t="str">
        <f ca="1">IF($C254="","",IF($D254="LPSM",J253,VALUE($C254)*J253))</f>
        <v/>
      </c>
      <c r="L254" s="388"/>
      <c r="M254" s="178" t="str">
        <f ca="1">IF($C254="","",IF($D254="LPSM",L253,VALUE($C254)*L253))</f>
        <v/>
      </c>
      <c r="N254" s="388"/>
      <c r="O254" s="178" t="str">
        <f ca="1">IF($C254="","",IF($D254="LPSM",N253,VALUE($C254)*N253))</f>
        <v/>
      </c>
      <c r="P254" s="388"/>
      <c r="Q254" s="178" t="str">
        <f ca="1">IF($C254="","",IF($D254="LPSM",P253,VALUE($C254)*P253))</f>
        <v/>
      </c>
      <c r="R254" s="388"/>
      <c r="S254" s="178" t="str">
        <f ca="1">IF($C254="","",IF($D254="LPSM",R253,VALUE($C254)*R253))</f>
        <v/>
      </c>
      <c r="T254" s="388"/>
      <c r="U254" s="178" t="str">
        <f ca="1">IF($C254="","",IF($D254="LPSM",T253,VALUE($C254)*T253))</f>
        <v/>
      </c>
      <c r="V254" s="388"/>
      <c r="W254" s="178" t="str">
        <f ca="1">IF($C254="","",IF($D254="LPSM",V253,VALUE($C254)*V253))</f>
        <v/>
      </c>
      <c r="X254" s="388"/>
      <c r="Y254" s="178" t="str">
        <f ca="1">IF($C254="","",IF($D254="LPSM",X253,VALUE($C254)*X253))</f>
        <v/>
      </c>
      <c r="Z254" s="388"/>
      <c r="AA254" s="178" t="str">
        <f ca="1">IF($C254="","",IF($D254="LPSM",Z253,VALUE($C254)*Z253))</f>
        <v/>
      </c>
      <c r="AB254" s="388"/>
      <c r="AC254" s="178" t="str">
        <f ca="1">IF($C254="","",IF($D254="LPSM",AB253,VALUE($C254)*AB253))</f>
        <v/>
      </c>
      <c r="AD254" s="388"/>
      <c r="AE254" s="178" t="str">
        <f ca="1">IF($C254="","",IF($D254="LPSM",AD253,VALUE($C254)*AD253))</f>
        <v/>
      </c>
      <c r="AF254" s="388"/>
      <c r="AG254" s="178" t="str">
        <f ca="1">IF($C254="","",IF($D254="LPSM",AF253,VALUE($C254)*AF253))</f>
        <v/>
      </c>
      <c r="AH254" s="388"/>
      <c r="AI254" s="178" t="str">
        <f ca="1">IF($C254="","",IF($D254="LPSM",AH253,VALUE($C254)*AH253))</f>
        <v/>
      </c>
      <c r="AJ254" s="388"/>
      <c r="AK254" s="178" t="str">
        <f ca="1">IF($C254="","",IF($D254="LPSM",AJ253,VALUE($C254)*AJ253))</f>
        <v/>
      </c>
      <c r="AL254" s="388"/>
      <c r="AM254" s="178" t="str">
        <f ca="1">IF($C254="","",IF($D254="LPSM",AL253,VALUE($C254)*AL253))</f>
        <v/>
      </c>
      <c r="AN254" s="388"/>
      <c r="AO254" s="178" t="str">
        <f ca="1">IF($C254="","",IF($D254="LPSM",AN253,VALUE($C254)*AN253))</f>
        <v/>
      </c>
      <c r="AP254" s="388"/>
      <c r="AQ254" s="178" t="str">
        <f ca="1">IF($C254="","",IF($D254="LPSM",AP253,VALUE($C254)*AP253))</f>
        <v/>
      </c>
      <c r="AR254" s="209" t="str">
        <f ca="1">IF(LEN(B254)&gt;0,ISNUMBER(MATCH(B254,Proposed[Item],0)),"")</f>
        <v/>
      </c>
    </row>
    <row r="255" spans="1:44" ht="15" x14ac:dyDescent="0.2">
      <c r="A255" s="276">
        <f t="shared" ca="1" si="3"/>
        <v>124</v>
      </c>
      <c r="B255" s="168" t="str">
        <f ca="1">IFERROR(INDEX(INDIRECT(RangeItems),MATCH($A255,INDIRECT(RangeCount),0)),"")</f>
        <v/>
      </c>
      <c r="C255" s="365" t="str">
        <f ca="1">INDEX(Calcs[Description],$A255)</f>
        <v/>
      </c>
      <c r="D255" s="365"/>
      <c r="E255" s="365"/>
      <c r="F255" s="365"/>
      <c r="G255" s="365"/>
      <c r="H255" s="388"/>
      <c r="I255" s="177"/>
      <c r="J255" s="388"/>
      <c r="K255" s="177"/>
      <c r="L255" s="388"/>
      <c r="M255" s="177"/>
      <c r="N255" s="388"/>
      <c r="O255" s="177"/>
      <c r="P255" s="388"/>
      <c r="Q255" s="177"/>
      <c r="R255" s="388"/>
      <c r="S255" s="177"/>
      <c r="T255" s="388"/>
      <c r="U255" s="177"/>
      <c r="V255" s="388"/>
      <c r="W255" s="177"/>
      <c r="X255" s="388"/>
      <c r="Y255" s="177"/>
      <c r="Z255" s="388"/>
      <c r="AA255" s="177"/>
      <c r="AB255" s="388"/>
      <c r="AC255" s="177"/>
      <c r="AD255" s="388"/>
      <c r="AE255" s="177"/>
      <c r="AF255" s="388"/>
      <c r="AG255" s="177"/>
      <c r="AH255" s="388"/>
      <c r="AI255" s="177"/>
      <c r="AJ255" s="388"/>
      <c r="AK255" s="177"/>
      <c r="AL255" s="388"/>
      <c r="AM255" s="177"/>
      <c r="AN255" s="388"/>
      <c r="AO255" s="177"/>
      <c r="AP255" s="388"/>
      <c r="AQ255" s="177"/>
      <c r="AR255" s="209" t="str">
        <f ca="1">IF(LEN(B255)&gt;0,ISNUMBER(MATCH(B255,Proposed[Item],0)),"")</f>
        <v/>
      </c>
    </row>
    <row r="256" spans="1:44" ht="15" x14ac:dyDescent="0.2">
      <c r="A256" s="276">
        <f t="shared" ca="1" si="3"/>
        <v>124</v>
      </c>
      <c r="B256" s="111" t="str">
        <f ca="1">IF($A256&lt;=NumPayItems,"Line "&amp;INDEX(Calcs[Line],$A256),"")</f>
        <v/>
      </c>
      <c r="C256" s="169" t="str">
        <f ca="1">IFERROR(IF($D256="LPSM","ALL",TEXT(INDEX(INDIRECT(RangeQuantity),MATCH($A256,INDIRECT(RangeCount),0)),"#,##0"&amp;IF(OFFSET(Items[],MATCH($A256,INDIRECT(RangeCount),0)-1,MATCH(Decimals,Items[#Headers],0)-1,1,1)&gt;0,"."&amp;REPT("0",OFFSET(Items[],MATCH($A256,INDIRECT(RangeCount),0)-1,MATCH(Decimals,Items[#Headers],0)-1,1,1)),""))),"")</f>
        <v/>
      </c>
      <c r="D256" s="170" t="str">
        <f ca="1">IFERROR(INDEX(INDIRECT(RangeUnit),MATCH($A256,INDIRECT(RangeCount),0)),"")</f>
        <v/>
      </c>
      <c r="E256" s="170" t="str">
        <f ca="1">IFERROR(IF(INDEX(INDIRECT(RangeContrQty),MATCH($A256,INDIRECT(RangeCount),0)),"(CQ)",""),"")</f>
        <v/>
      </c>
      <c r="F256" s="171" t="str">
        <f ca="1">IFERROR(INDEX(INDIRECT(RangeUnitPrice),MATCH($A256,INDIRECT(RangeCount),0)),"")</f>
        <v/>
      </c>
      <c r="G256" s="171" t="str">
        <f ca="1">IFERROR(VALUE(C256)*F256,F256)</f>
        <v/>
      </c>
      <c r="H256" s="388"/>
      <c r="I256" s="178" t="str">
        <f ca="1">IF($C256="","",IF($D256="LPSM",H255,VALUE($C256)*H255))</f>
        <v/>
      </c>
      <c r="J256" s="388"/>
      <c r="K256" s="178" t="str">
        <f ca="1">IF($C256="","",IF($D256="LPSM",J255,VALUE($C256)*J255))</f>
        <v/>
      </c>
      <c r="L256" s="388"/>
      <c r="M256" s="178" t="str">
        <f ca="1">IF($C256="","",IF($D256="LPSM",L255,VALUE($C256)*L255))</f>
        <v/>
      </c>
      <c r="N256" s="388"/>
      <c r="O256" s="178" t="str">
        <f ca="1">IF($C256="","",IF($D256="LPSM",N255,VALUE($C256)*N255))</f>
        <v/>
      </c>
      <c r="P256" s="388"/>
      <c r="Q256" s="178" t="str">
        <f ca="1">IF($C256="","",IF($D256="LPSM",P255,VALUE($C256)*P255))</f>
        <v/>
      </c>
      <c r="R256" s="388"/>
      <c r="S256" s="178" t="str">
        <f ca="1">IF($C256="","",IF($D256="LPSM",R255,VALUE($C256)*R255))</f>
        <v/>
      </c>
      <c r="T256" s="388"/>
      <c r="U256" s="178" t="str">
        <f ca="1">IF($C256="","",IF($D256="LPSM",T255,VALUE($C256)*T255))</f>
        <v/>
      </c>
      <c r="V256" s="388"/>
      <c r="W256" s="178" t="str">
        <f ca="1">IF($C256="","",IF($D256="LPSM",V255,VALUE($C256)*V255))</f>
        <v/>
      </c>
      <c r="X256" s="388"/>
      <c r="Y256" s="178" t="str">
        <f ca="1">IF($C256="","",IF($D256="LPSM",X255,VALUE($C256)*X255))</f>
        <v/>
      </c>
      <c r="Z256" s="388"/>
      <c r="AA256" s="178" t="str">
        <f ca="1">IF($C256="","",IF($D256="LPSM",Z255,VALUE($C256)*Z255))</f>
        <v/>
      </c>
      <c r="AB256" s="388"/>
      <c r="AC256" s="178" t="str">
        <f ca="1">IF($C256="","",IF($D256="LPSM",AB255,VALUE($C256)*AB255))</f>
        <v/>
      </c>
      <c r="AD256" s="388"/>
      <c r="AE256" s="178" t="str">
        <f ca="1">IF($C256="","",IF($D256="LPSM",AD255,VALUE($C256)*AD255))</f>
        <v/>
      </c>
      <c r="AF256" s="388"/>
      <c r="AG256" s="178" t="str">
        <f ca="1">IF($C256="","",IF($D256="LPSM",AF255,VALUE($C256)*AF255))</f>
        <v/>
      </c>
      <c r="AH256" s="388"/>
      <c r="AI256" s="178" t="str">
        <f ca="1">IF($C256="","",IF($D256="LPSM",AH255,VALUE($C256)*AH255))</f>
        <v/>
      </c>
      <c r="AJ256" s="388"/>
      <c r="AK256" s="178" t="str">
        <f ca="1">IF($C256="","",IF($D256="LPSM",AJ255,VALUE($C256)*AJ255))</f>
        <v/>
      </c>
      <c r="AL256" s="388"/>
      <c r="AM256" s="178" t="str">
        <f ca="1">IF($C256="","",IF($D256="LPSM",AL255,VALUE($C256)*AL255))</f>
        <v/>
      </c>
      <c r="AN256" s="388"/>
      <c r="AO256" s="178" t="str">
        <f ca="1">IF($C256="","",IF($D256="LPSM",AN255,VALUE($C256)*AN255))</f>
        <v/>
      </c>
      <c r="AP256" s="388"/>
      <c r="AQ256" s="178" t="str">
        <f ca="1">IF($C256="","",IF($D256="LPSM",AP255,VALUE($C256)*AP255))</f>
        <v/>
      </c>
      <c r="AR256" s="209" t="str">
        <f ca="1">IF(LEN(B256)&gt;0,ISNUMBER(MATCH(B256,Proposed[Item],0)),"")</f>
        <v/>
      </c>
    </row>
    <row r="257" spans="1:44" ht="15" x14ac:dyDescent="0.2">
      <c r="A257" s="276">
        <f t="shared" ca="1" si="3"/>
        <v>125</v>
      </c>
      <c r="B257" s="168" t="str">
        <f ca="1">IFERROR(INDEX(INDIRECT(RangeItems),MATCH($A257,INDIRECT(RangeCount),0)),"")</f>
        <v/>
      </c>
      <c r="C257" s="365" t="str">
        <f ca="1">INDEX(Calcs[Description],$A257)</f>
        <v/>
      </c>
      <c r="D257" s="365"/>
      <c r="E257" s="365"/>
      <c r="F257" s="365"/>
      <c r="G257" s="365"/>
      <c r="H257" s="388"/>
      <c r="I257" s="177"/>
      <c r="J257" s="388"/>
      <c r="K257" s="177"/>
      <c r="L257" s="388"/>
      <c r="M257" s="177"/>
      <c r="N257" s="388"/>
      <c r="O257" s="177"/>
      <c r="P257" s="388"/>
      <c r="Q257" s="177"/>
      <c r="R257" s="388"/>
      <c r="S257" s="177"/>
      <c r="T257" s="388"/>
      <c r="U257" s="177"/>
      <c r="V257" s="388"/>
      <c r="W257" s="177"/>
      <c r="X257" s="388"/>
      <c r="Y257" s="177"/>
      <c r="Z257" s="388"/>
      <c r="AA257" s="177"/>
      <c r="AB257" s="388"/>
      <c r="AC257" s="177"/>
      <c r="AD257" s="388"/>
      <c r="AE257" s="177"/>
      <c r="AF257" s="388"/>
      <c r="AG257" s="177"/>
      <c r="AH257" s="388"/>
      <c r="AI257" s="177"/>
      <c r="AJ257" s="388"/>
      <c r="AK257" s="177"/>
      <c r="AL257" s="388"/>
      <c r="AM257" s="177"/>
      <c r="AN257" s="388"/>
      <c r="AO257" s="177"/>
      <c r="AP257" s="388"/>
      <c r="AQ257" s="177"/>
      <c r="AR257" s="209" t="str">
        <f ca="1">IF(LEN(B257)&gt;0,ISNUMBER(MATCH(B257,Proposed[Item],0)),"")</f>
        <v/>
      </c>
    </row>
    <row r="258" spans="1:44" ht="15" x14ac:dyDescent="0.2">
      <c r="A258" s="276">
        <f t="shared" ca="1" si="3"/>
        <v>125</v>
      </c>
      <c r="B258" s="111" t="str">
        <f ca="1">IF($A258&lt;=NumPayItems,"Line "&amp;INDEX(Calcs[Line],$A258),"")</f>
        <v/>
      </c>
      <c r="C258" s="169" t="str">
        <f ca="1">IFERROR(IF($D258="LPSM","ALL",TEXT(INDEX(INDIRECT(RangeQuantity),MATCH($A258,INDIRECT(RangeCount),0)),"#,##0"&amp;IF(OFFSET(Items[],MATCH($A258,INDIRECT(RangeCount),0)-1,MATCH(Decimals,Items[#Headers],0)-1,1,1)&gt;0,"."&amp;REPT("0",OFFSET(Items[],MATCH($A258,INDIRECT(RangeCount),0)-1,MATCH(Decimals,Items[#Headers],0)-1,1,1)),""))),"")</f>
        <v/>
      </c>
      <c r="D258" s="170" t="str">
        <f ca="1">IFERROR(INDEX(INDIRECT(RangeUnit),MATCH($A258,INDIRECT(RangeCount),0)),"")</f>
        <v/>
      </c>
      <c r="E258" s="170" t="str">
        <f ca="1">IFERROR(IF(INDEX(INDIRECT(RangeContrQty),MATCH($A258,INDIRECT(RangeCount),0)),"(CQ)",""),"")</f>
        <v/>
      </c>
      <c r="F258" s="171" t="str">
        <f ca="1">IFERROR(INDEX(INDIRECT(RangeUnitPrice),MATCH($A258,INDIRECT(RangeCount),0)),"")</f>
        <v/>
      </c>
      <c r="G258" s="171" t="str">
        <f ca="1">IFERROR(VALUE(C258)*F258,F258)</f>
        <v/>
      </c>
      <c r="H258" s="388"/>
      <c r="I258" s="178" t="str">
        <f ca="1">IF($C258="","",IF($D258="LPSM",H257,VALUE($C258)*H257))</f>
        <v/>
      </c>
      <c r="J258" s="388"/>
      <c r="K258" s="178" t="str">
        <f ca="1">IF($C258="","",IF($D258="LPSM",J257,VALUE($C258)*J257))</f>
        <v/>
      </c>
      <c r="L258" s="388"/>
      <c r="M258" s="178" t="str">
        <f ca="1">IF($C258="","",IF($D258="LPSM",L257,VALUE($C258)*L257))</f>
        <v/>
      </c>
      <c r="N258" s="388"/>
      <c r="O258" s="178" t="str">
        <f ca="1">IF($C258="","",IF($D258="LPSM",N257,VALUE($C258)*N257))</f>
        <v/>
      </c>
      <c r="P258" s="388"/>
      <c r="Q258" s="178" t="str">
        <f ca="1">IF($C258="","",IF($D258="LPSM",P257,VALUE($C258)*P257))</f>
        <v/>
      </c>
      <c r="R258" s="388"/>
      <c r="S258" s="178" t="str">
        <f ca="1">IF($C258="","",IF($D258="LPSM",R257,VALUE($C258)*R257))</f>
        <v/>
      </c>
      <c r="T258" s="388"/>
      <c r="U258" s="178" t="str">
        <f ca="1">IF($C258="","",IF($D258="LPSM",T257,VALUE($C258)*T257))</f>
        <v/>
      </c>
      <c r="V258" s="388"/>
      <c r="W258" s="178" t="str">
        <f ca="1">IF($C258="","",IF($D258="LPSM",V257,VALUE($C258)*V257))</f>
        <v/>
      </c>
      <c r="X258" s="388"/>
      <c r="Y258" s="178" t="str">
        <f ca="1">IF($C258="","",IF($D258="LPSM",X257,VALUE($C258)*X257))</f>
        <v/>
      </c>
      <c r="Z258" s="388"/>
      <c r="AA258" s="178" t="str">
        <f ca="1">IF($C258="","",IF($D258="LPSM",Z257,VALUE($C258)*Z257))</f>
        <v/>
      </c>
      <c r="AB258" s="388"/>
      <c r="AC258" s="178" t="str">
        <f ca="1">IF($C258="","",IF($D258="LPSM",AB257,VALUE($C258)*AB257))</f>
        <v/>
      </c>
      <c r="AD258" s="388"/>
      <c r="AE258" s="178" t="str">
        <f ca="1">IF($C258="","",IF($D258="LPSM",AD257,VALUE($C258)*AD257))</f>
        <v/>
      </c>
      <c r="AF258" s="388"/>
      <c r="AG258" s="178" t="str">
        <f ca="1">IF($C258="","",IF($D258="LPSM",AF257,VALUE($C258)*AF257))</f>
        <v/>
      </c>
      <c r="AH258" s="388"/>
      <c r="AI258" s="178" t="str">
        <f ca="1">IF($C258="","",IF($D258="LPSM",AH257,VALUE($C258)*AH257))</f>
        <v/>
      </c>
      <c r="AJ258" s="388"/>
      <c r="AK258" s="178" t="str">
        <f ca="1">IF($C258="","",IF($D258="LPSM",AJ257,VALUE($C258)*AJ257))</f>
        <v/>
      </c>
      <c r="AL258" s="388"/>
      <c r="AM258" s="178" t="str">
        <f ca="1">IF($C258="","",IF($D258="LPSM",AL257,VALUE($C258)*AL257))</f>
        <v/>
      </c>
      <c r="AN258" s="388"/>
      <c r="AO258" s="178" t="str">
        <f ca="1">IF($C258="","",IF($D258="LPSM",AN257,VALUE($C258)*AN257))</f>
        <v/>
      </c>
      <c r="AP258" s="388"/>
      <c r="AQ258" s="178" t="str">
        <f ca="1">IF($C258="","",IF($D258="LPSM",AP257,VALUE($C258)*AP257))</f>
        <v/>
      </c>
      <c r="AR258" s="209" t="str">
        <f ca="1">IF(LEN(B258)&gt;0,ISNUMBER(MATCH(B258,Proposed[Item],0)),"")</f>
        <v/>
      </c>
    </row>
    <row r="259" spans="1:44" ht="15" x14ac:dyDescent="0.2">
      <c r="A259" s="276">
        <f t="shared" ca="1" si="3"/>
        <v>126</v>
      </c>
      <c r="B259" s="168" t="str">
        <f ca="1">IFERROR(INDEX(INDIRECT(RangeItems),MATCH($A259,INDIRECT(RangeCount),0)),"")</f>
        <v/>
      </c>
      <c r="C259" s="365" t="str">
        <f ca="1">INDEX(Calcs[Description],$A259)</f>
        <v/>
      </c>
      <c r="D259" s="365"/>
      <c r="E259" s="365"/>
      <c r="F259" s="365"/>
      <c r="G259" s="365"/>
      <c r="H259" s="388"/>
      <c r="I259" s="177"/>
      <c r="J259" s="388"/>
      <c r="K259" s="177"/>
      <c r="L259" s="388"/>
      <c r="M259" s="177"/>
      <c r="N259" s="388"/>
      <c r="O259" s="177"/>
      <c r="P259" s="388"/>
      <c r="Q259" s="177"/>
      <c r="R259" s="388"/>
      <c r="S259" s="177"/>
      <c r="T259" s="388"/>
      <c r="U259" s="177"/>
      <c r="V259" s="388"/>
      <c r="W259" s="177"/>
      <c r="X259" s="388"/>
      <c r="Y259" s="177"/>
      <c r="Z259" s="388"/>
      <c r="AA259" s="177"/>
      <c r="AB259" s="388"/>
      <c r="AC259" s="177"/>
      <c r="AD259" s="388"/>
      <c r="AE259" s="177"/>
      <c r="AF259" s="388"/>
      <c r="AG259" s="177"/>
      <c r="AH259" s="388"/>
      <c r="AI259" s="177"/>
      <c r="AJ259" s="388"/>
      <c r="AK259" s="177"/>
      <c r="AL259" s="388"/>
      <c r="AM259" s="177"/>
      <c r="AN259" s="388"/>
      <c r="AO259" s="177"/>
      <c r="AP259" s="388"/>
      <c r="AQ259" s="177"/>
      <c r="AR259" s="209" t="str">
        <f ca="1">IF(LEN(B259)&gt;0,ISNUMBER(MATCH(B259,Proposed[Item],0)),"")</f>
        <v/>
      </c>
    </row>
    <row r="260" spans="1:44" ht="15" x14ac:dyDescent="0.2">
      <c r="A260" s="276">
        <f t="shared" ca="1" si="3"/>
        <v>126</v>
      </c>
      <c r="B260" s="111" t="str">
        <f ca="1">IF($A260&lt;=NumPayItems,"Line "&amp;INDEX(Calcs[Line],$A260),"")</f>
        <v/>
      </c>
      <c r="C260" s="169" t="str">
        <f ca="1">IFERROR(IF($D260="LPSM","ALL",TEXT(INDEX(INDIRECT(RangeQuantity),MATCH($A260,INDIRECT(RangeCount),0)),"#,##0"&amp;IF(OFFSET(Items[],MATCH($A260,INDIRECT(RangeCount),0)-1,MATCH(Decimals,Items[#Headers],0)-1,1,1)&gt;0,"."&amp;REPT("0",OFFSET(Items[],MATCH($A260,INDIRECT(RangeCount),0)-1,MATCH(Decimals,Items[#Headers],0)-1,1,1)),""))),"")</f>
        <v/>
      </c>
      <c r="D260" s="170" t="str">
        <f ca="1">IFERROR(INDEX(INDIRECT(RangeUnit),MATCH($A260,INDIRECT(RangeCount),0)),"")</f>
        <v/>
      </c>
      <c r="E260" s="170" t="str">
        <f ca="1">IFERROR(IF(INDEX(INDIRECT(RangeContrQty),MATCH($A260,INDIRECT(RangeCount),0)),"(CQ)",""),"")</f>
        <v/>
      </c>
      <c r="F260" s="171" t="str">
        <f ca="1">IFERROR(INDEX(INDIRECT(RangeUnitPrice),MATCH($A260,INDIRECT(RangeCount),0)),"")</f>
        <v/>
      </c>
      <c r="G260" s="171" t="str">
        <f ca="1">IFERROR(VALUE(C260)*F260,F260)</f>
        <v/>
      </c>
      <c r="H260" s="388"/>
      <c r="I260" s="178" t="str">
        <f ca="1">IF($C260="","",IF($D260="LPSM",H259,VALUE($C260)*H259))</f>
        <v/>
      </c>
      <c r="J260" s="388"/>
      <c r="K260" s="178" t="str">
        <f ca="1">IF($C260="","",IF($D260="LPSM",J259,VALUE($C260)*J259))</f>
        <v/>
      </c>
      <c r="L260" s="388"/>
      <c r="M260" s="178" t="str">
        <f ca="1">IF($C260="","",IF($D260="LPSM",L259,VALUE($C260)*L259))</f>
        <v/>
      </c>
      <c r="N260" s="388"/>
      <c r="O260" s="178" t="str">
        <f ca="1">IF($C260="","",IF($D260="LPSM",N259,VALUE($C260)*N259))</f>
        <v/>
      </c>
      <c r="P260" s="388"/>
      <c r="Q260" s="178" t="str">
        <f ca="1">IF($C260="","",IF($D260="LPSM",P259,VALUE($C260)*P259))</f>
        <v/>
      </c>
      <c r="R260" s="388"/>
      <c r="S260" s="178" t="str">
        <f ca="1">IF($C260="","",IF($D260="LPSM",R259,VALUE($C260)*R259))</f>
        <v/>
      </c>
      <c r="T260" s="388"/>
      <c r="U260" s="178" t="str">
        <f ca="1">IF($C260="","",IF($D260="LPSM",T259,VALUE($C260)*T259))</f>
        <v/>
      </c>
      <c r="V260" s="388"/>
      <c r="W260" s="178" t="str">
        <f ca="1">IF($C260="","",IF($D260="LPSM",V259,VALUE($C260)*V259))</f>
        <v/>
      </c>
      <c r="X260" s="388"/>
      <c r="Y260" s="178" t="str">
        <f ca="1">IF($C260="","",IF($D260="LPSM",X259,VALUE($C260)*X259))</f>
        <v/>
      </c>
      <c r="Z260" s="388"/>
      <c r="AA260" s="178" t="str">
        <f ca="1">IF($C260="","",IF($D260="LPSM",Z259,VALUE($C260)*Z259))</f>
        <v/>
      </c>
      <c r="AB260" s="388"/>
      <c r="AC260" s="178" t="str">
        <f ca="1">IF($C260="","",IF($D260="LPSM",AB259,VALUE($C260)*AB259))</f>
        <v/>
      </c>
      <c r="AD260" s="388"/>
      <c r="AE260" s="178" t="str">
        <f ca="1">IF($C260="","",IF($D260="LPSM",AD259,VALUE($C260)*AD259))</f>
        <v/>
      </c>
      <c r="AF260" s="388"/>
      <c r="AG260" s="178" t="str">
        <f ca="1">IF($C260="","",IF($D260="LPSM",AF259,VALUE($C260)*AF259))</f>
        <v/>
      </c>
      <c r="AH260" s="388"/>
      <c r="AI260" s="178" t="str">
        <f ca="1">IF($C260="","",IF($D260="LPSM",AH259,VALUE($C260)*AH259))</f>
        <v/>
      </c>
      <c r="AJ260" s="388"/>
      <c r="AK260" s="178" t="str">
        <f ca="1">IF($C260="","",IF($D260="LPSM",AJ259,VALUE($C260)*AJ259))</f>
        <v/>
      </c>
      <c r="AL260" s="388"/>
      <c r="AM260" s="178" t="str">
        <f ca="1">IF($C260="","",IF($D260="LPSM",AL259,VALUE($C260)*AL259))</f>
        <v/>
      </c>
      <c r="AN260" s="388"/>
      <c r="AO260" s="178" t="str">
        <f ca="1">IF($C260="","",IF($D260="LPSM",AN259,VALUE($C260)*AN259))</f>
        <v/>
      </c>
      <c r="AP260" s="388"/>
      <c r="AQ260" s="178" t="str">
        <f ca="1">IF($C260="","",IF($D260="LPSM",AP259,VALUE($C260)*AP259))</f>
        <v/>
      </c>
      <c r="AR260" s="209" t="str">
        <f ca="1">IF(LEN(B260)&gt;0,ISNUMBER(MATCH(B260,Proposed[Item],0)),"")</f>
        <v/>
      </c>
    </row>
    <row r="261" spans="1:44" ht="15" x14ac:dyDescent="0.2">
      <c r="A261" s="276">
        <f t="shared" ca="1" si="3"/>
        <v>127</v>
      </c>
      <c r="B261" s="168" t="str">
        <f ca="1">IFERROR(INDEX(INDIRECT(RangeItems),MATCH($A261,INDIRECT(RangeCount),0)),"")</f>
        <v/>
      </c>
      <c r="C261" s="365" t="str">
        <f ca="1">INDEX(Calcs[Description],$A261)</f>
        <v/>
      </c>
      <c r="D261" s="365"/>
      <c r="E261" s="365"/>
      <c r="F261" s="365"/>
      <c r="G261" s="365"/>
      <c r="H261" s="388"/>
      <c r="I261" s="177"/>
      <c r="J261" s="388"/>
      <c r="K261" s="177"/>
      <c r="L261" s="388"/>
      <c r="M261" s="177"/>
      <c r="N261" s="388"/>
      <c r="O261" s="177"/>
      <c r="P261" s="388"/>
      <c r="Q261" s="177"/>
      <c r="R261" s="388"/>
      <c r="S261" s="177"/>
      <c r="T261" s="388"/>
      <c r="U261" s="177"/>
      <c r="V261" s="388"/>
      <c r="W261" s="177"/>
      <c r="X261" s="388"/>
      <c r="Y261" s="177"/>
      <c r="Z261" s="388"/>
      <c r="AA261" s="177"/>
      <c r="AB261" s="388"/>
      <c r="AC261" s="177"/>
      <c r="AD261" s="388"/>
      <c r="AE261" s="177"/>
      <c r="AF261" s="388"/>
      <c r="AG261" s="177"/>
      <c r="AH261" s="388"/>
      <c r="AI261" s="177"/>
      <c r="AJ261" s="388"/>
      <c r="AK261" s="177"/>
      <c r="AL261" s="388"/>
      <c r="AM261" s="177"/>
      <c r="AN261" s="388"/>
      <c r="AO261" s="177"/>
      <c r="AP261" s="388"/>
      <c r="AQ261" s="177"/>
      <c r="AR261" s="209" t="str">
        <f ca="1">IF(LEN(B261)&gt;0,ISNUMBER(MATCH(B261,Proposed[Item],0)),"")</f>
        <v/>
      </c>
    </row>
    <row r="262" spans="1:44" ht="15" x14ac:dyDescent="0.2">
      <c r="A262" s="276">
        <f t="shared" ca="1" si="3"/>
        <v>127</v>
      </c>
      <c r="B262" s="111" t="str">
        <f ca="1">IF($A262&lt;=NumPayItems,"Line "&amp;INDEX(Calcs[Line],$A262),"")</f>
        <v/>
      </c>
      <c r="C262" s="169" t="str">
        <f ca="1">IFERROR(IF($D262="LPSM","ALL",TEXT(INDEX(INDIRECT(RangeQuantity),MATCH($A262,INDIRECT(RangeCount),0)),"#,##0"&amp;IF(OFFSET(Items[],MATCH($A262,INDIRECT(RangeCount),0)-1,MATCH(Decimals,Items[#Headers],0)-1,1,1)&gt;0,"."&amp;REPT("0",OFFSET(Items[],MATCH($A262,INDIRECT(RangeCount),0)-1,MATCH(Decimals,Items[#Headers],0)-1,1,1)),""))),"")</f>
        <v/>
      </c>
      <c r="D262" s="170" t="str">
        <f ca="1">IFERROR(INDEX(INDIRECT(RangeUnit),MATCH($A262,INDIRECT(RangeCount),0)),"")</f>
        <v/>
      </c>
      <c r="E262" s="170" t="str">
        <f ca="1">IFERROR(IF(INDEX(INDIRECT(RangeContrQty),MATCH($A262,INDIRECT(RangeCount),0)),"(CQ)",""),"")</f>
        <v/>
      </c>
      <c r="F262" s="171" t="str">
        <f ca="1">IFERROR(INDEX(INDIRECT(RangeUnitPrice),MATCH($A262,INDIRECT(RangeCount),0)),"")</f>
        <v/>
      </c>
      <c r="G262" s="171" t="str">
        <f ca="1">IFERROR(VALUE(C262)*F262,F262)</f>
        <v/>
      </c>
      <c r="H262" s="388"/>
      <c r="I262" s="178" t="str">
        <f ca="1">IF($C262="","",IF($D262="LPSM",H261,VALUE($C262)*H261))</f>
        <v/>
      </c>
      <c r="J262" s="388"/>
      <c r="K262" s="178" t="str">
        <f ca="1">IF($C262="","",IF($D262="LPSM",J261,VALUE($C262)*J261))</f>
        <v/>
      </c>
      <c r="L262" s="388"/>
      <c r="M262" s="178" t="str">
        <f ca="1">IF($C262="","",IF($D262="LPSM",L261,VALUE($C262)*L261))</f>
        <v/>
      </c>
      <c r="N262" s="388"/>
      <c r="O262" s="178" t="str">
        <f ca="1">IF($C262="","",IF($D262="LPSM",N261,VALUE($C262)*N261))</f>
        <v/>
      </c>
      <c r="P262" s="388"/>
      <c r="Q262" s="178" t="str">
        <f ca="1">IF($C262="","",IF($D262="LPSM",P261,VALUE($C262)*P261))</f>
        <v/>
      </c>
      <c r="R262" s="388"/>
      <c r="S262" s="178" t="str">
        <f ca="1">IF($C262="","",IF($D262="LPSM",R261,VALUE($C262)*R261))</f>
        <v/>
      </c>
      <c r="T262" s="388"/>
      <c r="U262" s="178" t="str">
        <f ca="1">IF($C262="","",IF($D262="LPSM",T261,VALUE($C262)*T261))</f>
        <v/>
      </c>
      <c r="V262" s="388"/>
      <c r="W262" s="178" t="str">
        <f ca="1">IF($C262="","",IF($D262="LPSM",V261,VALUE($C262)*V261))</f>
        <v/>
      </c>
      <c r="X262" s="388"/>
      <c r="Y262" s="178" t="str">
        <f ca="1">IF($C262="","",IF($D262="LPSM",X261,VALUE($C262)*X261))</f>
        <v/>
      </c>
      <c r="Z262" s="388"/>
      <c r="AA262" s="178" t="str">
        <f ca="1">IF($C262="","",IF($D262="LPSM",Z261,VALUE($C262)*Z261))</f>
        <v/>
      </c>
      <c r="AB262" s="388"/>
      <c r="AC262" s="178" t="str">
        <f ca="1">IF($C262="","",IF($D262="LPSM",AB261,VALUE($C262)*AB261))</f>
        <v/>
      </c>
      <c r="AD262" s="388"/>
      <c r="AE262" s="178" t="str">
        <f ca="1">IF($C262="","",IF($D262="LPSM",AD261,VALUE($C262)*AD261))</f>
        <v/>
      </c>
      <c r="AF262" s="388"/>
      <c r="AG262" s="178" t="str">
        <f ca="1">IF($C262="","",IF($D262="LPSM",AF261,VALUE($C262)*AF261))</f>
        <v/>
      </c>
      <c r="AH262" s="388"/>
      <c r="AI262" s="178" t="str">
        <f ca="1">IF($C262="","",IF($D262="LPSM",AH261,VALUE($C262)*AH261))</f>
        <v/>
      </c>
      <c r="AJ262" s="388"/>
      <c r="AK262" s="178" t="str">
        <f ca="1">IF($C262="","",IF($D262="LPSM",AJ261,VALUE($C262)*AJ261))</f>
        <v/>
      </c>
      <c r="AL262" s="388"/>
      <c r="AM262" s="178" t="str">
        <f ca="1">IF($C262="","",IF($D262="LPSM",AL261,VALUE($C262)*AL261))</f>
        <v/>
      </c>
      <c r="AN262" s="388"/>
      <c r="AO262" s="178" t="str">
        <f ca="1">IF($C262="","",IF($D262="LPSM",AN261,VALUE($C262)*AN261))</f>
        <v/>
      </c>
      <c r="AP262" s="388"/>
      <c r="AQ262" s="178" t="str">
        <f ca="1">IF($C262="","",IF($D262="LPSM",AP261,VALUE($C262)*AP261))</f>
        <v/>
      </c>
      <c r="AR262" s="209" t="str">
        <f ca="1">IF(LEN(B262)&gt;0,ISNUMBER(MATCH(B262,Proposed[Item],0)),"")</f>
        <v/>
      </c>
    </row>
    <row r="263" spans="1:44" ht="15" x14ac:dyDescent="0.2">
      <c r="A263" s="276">
        <f t="shared" ca="1" si="3"/>
        <v>128</v>
      </c>
      <c r="B263" s="168" t="str">
        <f ca="1">IFERROR(INDEX(INDIRECT(RangeItems),MATCH($A263,INDIRECT(RangeCount),0)),"")</f>
        <v/>
      </c>
      <c r="C263" s="365" t="str">
        <f ca="1">INDEX(Calcs[Description],$A263)</f>
        <v/>
      </c>
      <c r="D263" s="365"/>
      <c r="E263" s="365"/>
      <c r="F263" s="365"/>
      <c r="G263" s="365"/>
      <c r="H263" s="388"/>
      <c r="I263" s="177"/>
      <c r="J263" s="388"/>
      <c r="K263" s="177"/>
      <c r="L263" s="388"/>
      <c r="M263" s="177"/>
      <c r="N263" s="388"/>
      <c r="O263" s="177"/>
      <c r="P263" s="388"/>
      <c r="Q263" s="177"/>
      <c r="R263" s="388"/>
      <c r="S263" s="177"/>
      <c r="T263" s="388"/>
      <c r="U263" s="177"/>
      <c r="V263" s="388"/>
      <c r="W263" s="177"/>
      <c r="X263" s="388"/>
      <c r="Y263" s="177"/>
      <c r="Z263" s="388"/>
      <c r="AA263" s="177"/>
      <c r="AB263" s="388"/>
      <c r="AC263" s="177"/>
      <c r="AD263" s="388"/>
      <c r="AE263" s="177"/>
      <c r="AF263" s="388"/>
      <c r="AG263" s="177"/>
      <c r="AH263" s="388"/>
      <c r="AI263" s="177"/>
      <c r="AJ263" s="388"/>
      <c r="AK263" s="177"/>
      <c r="AL263" s="388"/>
      <c r="AM263" s="177"/>
      <c r="AN263" s="388"/>
      <c r="AO263" s="177"/>
      <c r="AP263" s="388"/>
      <c r="AQ263" s="177"/>
      <c r="AR263" s="209" t="str">
        <f ca="1">IF(LEN(B263)&gt;0,ISNUMBER(MATCH(B263,Proposed[Item],0)),"")</f>
        <v/>
      </c>
    </row>
    <row r="264" spans="1:44" ht="15" x14ac:dyDescent="0.2">
      <c r="A264" s="276">
        <f t="shared" ca="1" si="3"/>
        <v>128</v>
      </c>
      <c r="B264" s="111" t="str">
        <f ca="1">IF($A264&lt;=NumPayItems,"Line "&amp;INDEX(Calcs[Line],$A264),"")</f>
        <v/>
      </c>
      <c r="C264" s="169" t="str">
        <f ca="1">IFERROR(IF($D264="LPSM","ALL",TEXT(INDEX(INDIRECT(RangeQuantity),MATCH($A264,INDIRECT(RangeCount),0)),"#,##0"&amp;IF(OFFSET(Items[],MATCH($A264,INDIRECT(RangeCount),0)-1,MATCH(Decimals,Items[#Headers],0)-1,1,1)&gt;0,"."&amp;REPT("0",OFFSET(Items[],MATCH($A264,INDIRECT(RangeCount),0)-1,MATCH(Decimals,Items[#Headers],0)-1,1,1)),""))),"")</f>
        <v/>
      </c>
      <c r="D264" s="170" t="str">
        <f ca="1">IFERROR(INDEX(INDIRECT(RangeUnit),MATCH($A264,INDIRECT(RangeCount),0)),"")</f>
        <v/>
      </c>
      <c r="E264" s="170" t="str">
        <f ca="1">IFERROR(IF(INDEX(INDIRECT(RangeContrQty),MATCH($A264,INDIRECT(RangeCount),0)),"(CQ)",""),"")</f>
        <v/>
      </c>
      <c r="F264" s="171" t="str">
        <f ca="1">IFERROR(INDEX(INDIRECT(RangeUnitPrice),MATCH($A264,INDIRECT(RangeCount),0)),"")</f>
        <v/>
      </c>
      <c r="G264" s="171" t="str">
        <f ca="1">IFERROR(VALUE(C264)*F264,F264)</f>
        <v/>
      </c>
      <c r="H264" s="388"/>
      <c r="I264" s="178" t="str">
        <f ca="1">IF($C264="","",IF($D264="LPSM",H263,VALUE($C264)*H263))</f>
        <v/>
      </c>
      <c r="J264" s="388"/>
      <c r="K264" s="178" t="str">
        <f ca="1">IF($C264="","",IF($D264="LPSM",J263,VALUE($C264)*J263))</f>
        <v/>
      </c>
      <c r="L264" s="388"/>
      <c r="M264" s="178" t="str">
        <f ca="1">IF($C264="","",IF($D264="LPSM",L263,VALUE($C264)*L263))</f>
        <v/>
      </c>
      <c r="N264" s="388"/>
      <c r="O264" s="178" t="str">
        <f ca="1">IF($C264="","",IF($D264="LPSM",N263,VALUE($C264)*N263))</f>
        <v/>
      </c>
      <c r="P264" s="388"/>
      <c r="Q264" s="178" t="str">
        <f ca="1">IF($C264="","",IF($D264="LPSM",P263,VALUE($C264)*P263))</f>
        <v/>
      </c>
      <c r="R264" s="388"/>
      <c r="S264" s="178" t="str">
        <f ca="1">IF($C264="","",IF($D264="LPSM",R263,VALUE($C264)*R263))</f>
        <v/>
      </c>
      <c r="T264" s="388"/>
      <c r="U264" s="178" t="str">
        <f ca="1">IF($C264="","",IF($D264="LPSM",T263,VALUE($C264)*T263))</f>
        <v/>
      </c>
      <c r="V264" s="388"/>
      <c r="W264" s="178" t="str">
        <f ca="1">IF($C264="","",IF($D264="LPSM",V263,VALUE($C264)*V263))</f>
        <v/>
      </c>
      <c r="X264" s="388"/>
      <c r="Y264" s="178" t="str">
        <f ca="1">IF($C264="","",IF($D264="LPSM",X263,VALUE($C264)*X263))</f>
        <v/>
      </c>
      <c r="Z264" s="388"/>
      <c r="AA264" s="178" t="str">
        <f ca="1">IF($C264="","",IF($D264="LPSM",Z263,VALUE($C264)*Z263))</f>
        <v/>
      </c>
      <c r="AB264" s="388"/>
      <c r="AC264" s="178" t="str">
        <f ca="1">IF($C264="","",IF($D264="LPSM",AB263,VALUE($C264)*AB263))</f>
        <v/>
      </c>
      <c r="AD264" s="388"/>
      <c r="AE264" s="178" t="str">
        <f ca="1">IF($C264="","",IF($D264="LPSM",AD263,VALUE($C264)*AD263))</f>
        <v/>
      </c>
      <c r="AF264" s="388"/>
      <c r="AG264" s="178" t="str">
        <f ca="1">IF($C264="","",IF($D264="LPSM",AF263,VALUE($C264)*AF263))</f>
        <v/>
      </c>
      <c r="AH264" s="388"/>
      <c r="AI264" s="178" t="str">
        <f ca="1">IF($C264="","",IF($D264="LPSM",AH263,VALUE($C264)*AH263))</f>
        <v/>
      </c>
      <c r="AJ264" s="388"/>
      <c r="AK264" s="178" t="str">
        <f ca="1">IF($C264="","",IF($D264="LPSM",AJ263,VALUE($C264)*AJ263))</f>
        <v/>
      </c>
      <c r="AL264" s="388"/>
      <c r="AM264" s="178" t="str">
        <f ca="1">IF($C264="","",IF($D264="LPSM",AL263,VALUE($C264)*AL263))</f>
        <v/>
      </c>
      <c r="AN264" s="388"/>
      <c r="AO264" s="178" t="str">
        <f ca="1">IF($C264="","",IF($D264="LPSM",AN263,VALUE($C264)*AN263))</f>
        <v/>
      </c>
      <c r="AP264" s="388"/>
      <c r="AQ264" s="178" t="str">
        <f ca="1">IF($C264="","",IF($D264="LPSM",AP263,VALUE($C264)*AP263))</f>
        <v/>
      </c>
      <c r="AR264" s="209" t="str">
        <f ca="1">IF(LEN(B264)&gt;0,ISNUMBER(MATCH(B264,Proposed[Item],0)),"")</f>
        <v/>
      </c>
    </row>
    <row r="265" spans="1:44" ht="15" x14ac:dyDescent="0.2">
      <c r="A265" s="276">
        <f t="shared" ref="A265:A328" ca="1" si="4">OFFSET(A265,-2,0)+1</f>
        <v>129</v>
      </c>
      <c r="B265" s="168" t="str">
        <f ca="1">IFERROR(INDEX(INDIRECT(RangeItems),MATCH($A265,INDIRECT(RangeCount),0)),"")</f>
        <v/>
      </c>
      <c r="C265" s="365" t="str">
        <f ca="1">INDEX(Calcs[Description],$A265)</f>
        <v/>
      </c>
      <c r="D265" s="365"/>
      <c r="E265" s="365"/>
      <c r="F265" s="365"/>
      <c r="G265" s="365"/>
      <c r="H265" s="388"/>
      <c r="I265" s="177"/>
      <c r="J265" s="388"/>
      <c r="K265" s="177"/>
      <c r="L265" s="388"/>
      <c r="M265" s="177"/>
      <c r="N265" s="388"/>
      <c r="O265" s="177"/>
      <c r="P265" s="388"/>
      <c r="Q265" s="177"/>
      <c r="R265" s="388"/>
      <c r="S265" s="177"/>
      <c r="T265" s="388"/>
      <c r="U265" s="177"/>
      <c r="V265" s="388"/>
      <c r="W265" s="177"/>
      <c r="X265" s="388"/>
      <c r="Y265" s="177"/>
      <c r="Z265" s="388"/>
      <c r="AA265" s="177"/>
      <c r="AB265" s="388"/>
      <c r="AC265" s="177"/>
      <c r="AD265" s="388"/>
      <c r="AE265" s="177"/>
      <c r="AF265" s="388"/>
      <c r="AG265" s="177"/>
      <c r="AH265" s="388"/>
      <c r="AI265" s="177"/>
      <c r="AJ265" s="388"/>
      <c r="AK265" s="177"/>
      <c r="AL265" s="388"/>
      <c r="AM265" s="177"/>
      <c r="AN265" s="388"/>
      <c r="AO265" s="177"/>
      <c r="AP265" s="388"/>
      <c r="AQ265" s="177"/>
      <c r="AR265" s="209" t="str">
        <f ca="1">IF(LEN(B265)&gt;0,ISNUMBER(MATCH(B265,Proposed[Item],0)),"")</f>
        <v/>
      </c>
    </row>
    <row r="266" spans="1:44" ht="15" x14ac:dyDescent="0.2">
      <c r="A266" s="276">
        <f t="shared" ca="1" si="4"/>
        <v>129</v>
      </c>
      <c r="B266" s="111" t="str">
        <f ca="1">IF($A266&lt;=NumPayItems,"Line "&amp;INDEX(Calcs[Line],$A266),"")</f>
        <v/>
      </c>
      <c r="C266" s="169" t="str">
        <f ca="1">IFERROR(IF($D266="LPSM","ALL",TEXT(INDEX(INDIRECT(RangeQuantity),MATCH($A266,INDIRECT(RangeCount),0)),"#,##0"&amp;IF(OFFSET(Items[],MATCH($A266,INDIRECT(RangeCount),0)-1,MATCH(Decimals,Items[#Headers],0)-1,1,1)&gt;0,"."&amp;REPT("0",OFFSET(Items[],MATCH($A266,INDIRECT(RangeCount),0)-1,MATCH(Decimals,Items[#Headers],0)-1,1,1)),""))),"")</f>
        <v/>
      </c>
      <c r="D266" s="170" t="str">
        <f ca="1">IFERROR(INDEX(INDIRECT(RangeUnit),MATCH($A266,INDIRECT(RangeCount),0)),"")</f>
        <v/>
      </c>
      <c r="E266" s="170" t="str">
        <f ca="1">IFERROR(IF(INDEX(INDIRECT(RangeContrQty),MATCH($A266,INDIRECT(RangeCount),0)),"(CQ)",""),"")</f>
        <v/>
      </c>
      <c r="F266" s="171" t="str">
        <f ca="1">IFERROR(INDEX(INDIRECT(RangeUnitPrice),MATCH($A266,INDIRECT(RangeCount),0)),"")</f>
        <v/>
      </c>
      <c r="G266" s="171" t="str">
        <f ca="1">IFERROR(VALUE(C266)*F266,F266)</f>
        <v/>
      </c>
      <c r="H266" s="388"/>
      <c r="I266" s="178" t="str">
        <f ca="1">IF($C266="","",IF($D266="LPSM",H265,VALUE($C266)*H265))</f>
        <v/>
      </c>
      <c r="J266" s="388"/>
      <c r="K266" s="178" t="str">
        <f ca="1">IF($C266="","",IF($D266="LPSM",J265,VALUE($C266)*J265))</f>
        <v/>
      </c>
      <c r="L266" s="388"/>
      <c r="M266" s="178" t="str">
        <f ca="1">IF($C266="","",IF($D266="LPSM",L265,VALUE($C266)*L265))</f>
        <v/>
      </c>
      <c r="N266" s="388"/>
      <c r="O266" s="178" t="str">
        <f ca="1">IF($C266="","",IF($D266="LPSM",N265,VALUE($C266)*N265))</f>
        <v/>
      </c>
      <c r="P266" s="388"/>
      <c r="Q266" s="178" t="str">
        <f ca="1">IF($C266="","",IF($D266="LPSM",P265,VALUE($C266)*P265))</f>
        <v/>
      </c>
      <c r="R266" s="388"/>
      <c r="S266" s="178" t="str">
        <f ca="1">IF($C266="","",IF($D266="LPSM",R265,VALUE($C266)*R265))</f>
        <v/>
      </c>
      <c r="T266" s="388"/>
      <c r="U266" s="178" t="str">
        <f ca="1">IF($C266="","",IF($D266="LPSM",T265,VALUE($C266)*T265))</f>
        <v/>
      </c>
      <c r="V266" s="388"/>
      <c r="W266" s="178" t="str">
        <f ca="1">IF($C266="","",IF($D266="LPSM",V265,VALUE($C266)*V265))</f>
        <v/>
      </c>
      <c r="X266" s="388"/>
      <c r="Y266" s="178" t="str">
        <f ca="1">IF($C266="","",IF($D266="LPSM",X265,VALUE($C266)*X265))</f>
        <v/>
      </c>
      <c r="Z266" s="388"/>
      <c r="AA266" s="178" t="str">
        <f ca="1">IF($C266="","",IF($D266="LPSM",Z265,VALUE($C266)*Z265))</f>
        <v/>
      </c>
      <c r="AB266" s="388"/>
      <c r="AC266" s="178" t="str">
        <f ca="1">IF($C266="","",IF($D266="LPSM",AB265,VALUE($C266)*AB265))</f>
        <v/>
      </c>
      <c r="AD266" s="388"/>
      <c r="AE266" s="178" t="str">
        <f ca="1">IF($C266="","",IF($D266="LPSM",AD265,VALUE($C266)*AD265))</f>
        <v/>
      </c>
      <c r="AF266" s="388"/>
      <c r="AG266" s="178" t="str">
        <f ca="1">IF($C266="","",IF($D266="LPSM",AF265,VALUE($C266)*AF265))</f>
        <v/>
      </c>
      <c r="AH266" s="388"/>
      <c r="AI266" s="178" t="str">
        <f ca="1">IF($C266="","",IF($D266="LPSM",AH265,VALUE($C266)*AH265))</f>
        <v/>
      </c>
      <c r="AJ266" s="388"/>
      <c r="AK266" s="178" t="str">
        <f ca="1">IF($C266="","",IF($D266="LPSM",AJ265,VALUE($C266)*AJ265))</f>
        <v/>
      </c>
      <c r="AL266" s="388"/>
      <c r="AM266" s="178" t="str">
        <f ca="1">IF($C266="","",IF($D266="LPSM",AL265,VALUE($C266)*AL265))</f>
        <v/>
      </c>
      <c r="AN266" s="388"/>
      <c r="AO266" s="178" t="str">
        <f ca="1">IF($C266="","",IF($D266="LPSM",AN265,VALUE($C266)*AN265))</f>
        <v/>
      </c>
      <c r="AP266" s="388"/>
      <c r="AQ266" s="178" t="str">
        <f ca="1">IF($C266="","",IF($D266="LPSM",AP265,VALUE($C266)*AP265))</f>
        <v/>
      </c>
      <c r="AR266" s="209" t="str">
        <f ca="1">IF(LEN(B266)&gt;0,ISNUMBER(MATCH(B266,Proposed[Item],0)),"")</f>
        <v/>
      </c>
    </row>
    <row r="267" spans="1:44" ht="15" x14ac:dyDescent="0.2">
      <c r="A267" s="276">
        <f t="shared" ca="1" si="4"/>
        <v>130</v>
      </c>
      <c r="B267" s="168" t="str">
        <f ca="1">IFERROR(INDEX(INDIRECT(RangeItems),MATCH($A267,INDIRECT(RangeCount),0)),"")</f>
        <v/>
      </c>
      <c r="C267" s="365" t="str">
        <f ca="1">INDEX(Calcs[Description],$A267)</f>
        <v/>
      </c>
      <c r="D267" s="365"/>
      <c r="E267" s="365"/>
      <c r="F267" s="365"/>
      <c r="G267" s="365"/>
      <c r="H267" s="388"/>
      <c r="I267" s="177"/>
      <c r="J267" s="388"/>
      <c r="K267" s="177"/>
      <c r="L267" s="388"/>
      <c r="M267" s="177"/>
      <c r="N267" s="388"/>
      <c r="O267" s="177"/>
      <c r="P267" s="388"/>
      <c r="Q267" s="177"/>
      <c r="R267" s="388"/>
      <c r="S267" s="177"/>
      <c r="T267" s="388"/>
      <c r="U267" s="177"/>
      <c r="V267" s="388"/>
      <c r="W267" s="177"/>
      <c r="X267" s="388"/>
      <c r="Y267" s="177"/>
      <c r="Z267" s="388"/>
      <c r="AA267" s="177"/>
      <c r="AB267" s="388"/>
      <c r="AC267" s="177"/>
      <c r="AD267" s="388"/>
      <c r="AE267" s="177"/>
      <c r="AF267" s="388"/>
      <c r="AG267" s="177"/>
      <c r="AH267" s="388"/>
      <c r="AI267" s="177"/>
      <c r="AJ267" s="388"/>
      <c r="AK267" s="177"/>
      <c r="AL267" s="388"/>
      <c r="AM267" s="177"/>
      <c r="AN267" s="388"/>
      <c r="AO267" s="177"/>
      <c r="AP267" s="388"/>
      <c r="AQ267" s="177"/>
      <c r="AR267" s="209" t="str">
        <f ca="1">IF(LEN(B267)&gt;0,ISNUMBER(MATCH(B267,Proposed[Item],0)),"")</f>
        <v/>
      </c>
    </row>
    <row r="268" spans="1:44" ht="15" x14ac:dyDescent="0.2">
      <c r="A268" s="276">
        <f t="shared" ca="1" si="4"/>
        <v>130</v>
      </c>
      <c r="B268" s="111" t="str">
        <f ca="1">IF($A268&lt;=NumPayItems,"Line "&amp;INDEX(Calcs[Line],$A268),"")</f>
        <v/>
      </c>
      <c r="C268" s="169" t="str">
        <f ca="1">IFERROR(IF($D268="LPSM","ALL",TEXT(INDEX(INDIRECT(RangeQuantity),MATCH($A268,INDIRECT(RangeCount),0)),"#,##0"&amp;IF(OFFSET(Items[],MATCH($A268,INDIRECT(RangeCount),0)-1,MATCH(Decimals,Items[#Headers],0)-1,1,1)&gt;0,"."&amp;REPT("0",OFFSET(Items[],MATCH($A268,INDIRECT(RangeCount),0)-1,MATCH(Decimals,Items[#Headers],0)-1,1,1)),""))),"")</f>
        <v/>
      </c>
      <c r="D268" s="170" t="str">
        <f ca="1">IFERROR(INDEX(INDIRECT(RangeUnit),MATCH($A268,INDIRECT(RangeCount),0)),"")</f>
        <v/>
      </c>
      <c r="E268" s="170" t="str">
        <f ca="1">IFERROR(IF(INDEX(INDIRECT(RangeContrQty),MATCH($A268,INDIRECT(RangeCount),0)),"(CQ)",""),"")</f>
        <v/>
      </c>
      <c r="F268" s="171" t="str">
        <f ca="1">IFERROR(INDEX(INDIRECT(RangeUnitPrice),MATCH($A268,INDIRECT(RangeCount),0)),"")</f>
        <v/>
      </c>
      <c r="G268" s="171" t="str">
        <f ca="1">IFERROR(VALUE(C268)*F268,F268)</f>
        <v/>
      </c>
      <c r="H268" s="388"/>
      <c r="I268" s="178" t="str">
        <f ca="1">IF($C268="","",IF($D268="LPSM",H267,VALUE($C268)*H267))</f>
        <v/>
      </c>
      <c r="J268" s="388"/>
      <c r="K268" s="178" t="str">
        <f ca="1">IF($C268="","",IF($D268="LPSM",J267,VALUE($C268)*J267))</f>
        <v/>
      </c>
      <c r="L268" s="388"/>
      <c r="M268" s="178" t="str">
        <f ca="1">IF($C268="","",IF($D268="LPSM",L267,VALUE($C268)*L267))</f>
        <v/>
      </c>
      <c r="N268" s="388"/>
      <c r="O268" s="178" t="str">
        <f ca="1">IF($C268="","",IF($D268="LPSM",N267,VALUE($C268)*N267))</f>
        <v/>
      </c>
      <c r="P268" s="388"/>
      <c r="Q268" s="178" t="str">
        <f ca="1">IF($C268="","",IF($D268="LPSM",P267,VALUE($C268)*P267))</f>
        <v/>
      </c>
      <c r="R268" s="388"/>
      <c r="S268" s="178" t="str">
        <f ca="1">IF($C268="","",IF($D268="LPSM",R267,VALUE($C268)*R267))</f>
        <v/>
      </c>
      <c r="T268" s="388"/>
      <c r="U268" s="178" t="str">
        <f ca="1">IF($C268="","",IF($D268="LPSM",T267,VALUE($C268)*T267))</f>
        <v/>
      </c>
      <c r="V268" s="388"/>
      <c r="W268" s="178" t="str">
        <f ca="1">IF($C268="","",IF($D268="LPSM",V267,VALUE($C268)*V267))</f>
        <v/>
      </c>
      <c r="X268" s="388"/>
      <c r="Y268" s="178" t="str">
        <f ca="1">IF($C268="","",IF($D268="LPSM",X267,VALUE($C268)*X267))</f>
        <v/>
      </c>
      <c r="Z268" s="388"/>
      <c r="AA268" s="178" t="str">
        <f ca="1">IF($C268="","",IF($D268="LPSM",Z267,VALUE($C268)*Z267))</f>
        <v/>
      </c>
      <c r="AB268" s="388"/>
      <c r="AC268" s="178" t="str">
        <f ca="1">IF($C268="","",IF($D268="LPSM",AB267,VALUE($C268)*AB267))</f>
        <v/>
      </c>
      <c r="AD268" s="388"/>
      <c r="AE268" s="178" t="str">
        <f ca="1">IF($C268="","",IF($D268="LPSM",AD267,VALUE($C268)*AD267))</f>
        <v/>
      </c>
      <c r="AF268" s="388"/>
      <c r="AG268" s="178" t="str">
        <f ca="1">IF($C268="","",IF($D268="LPSM",AF267,VALUE($C268)*AF267))</f>
        <v/>
      </c>
      <c r="AH268" s="388"/>
      <c r="AI268" s="178" t="str">
        <f ca="1">IF($C268="","",IF($D268="LPSM",AH267,VALUE($C268)*AH267))</f>
        <v/>
      </c>
      <c r="AJ268" s="388"/>
      <c r="AK268" s="178" t="str">
        <f ca="1">IF($C268="","",IF($D268="LPSM",AJ267,VALUE($C268)*AJ267))</f>
        <v/>
      </c>
      <c r="AL268" s="388"/>
      <c r="AM268" s="178" t="str">
        <f ca="1">IF($C268="","",IF($D268="LPSM",AL267,VALUE($C268)*AL267))</f>
        <v/>
      </c>
      <c r="AN268" s="388"/>
      <c r="AO268" s="178" t="str">
        <f ca="1">IF($C268="","",IF($D268="LPSM",AN267,VALUE($C268)*AN267))</f>
        <v/>
      </c>
      <c r="AP268" s="388"/>
      <c r="AQ268" s="178" t="str">
        <f ca="1">IF($C268="","",IF($D268="LPSM",AP267,VALUE($C268)*AP267))</f>
        <v/>
      </c>
      <c r="AR268" s="209" t="str">
        <f ca="1">IF(LEN(B268)&gt;0,ISNUMBER(MATCH(B268,Proposed[Item],0)),"")</f>
        <v/>
      </c>
    </row>
    <row r="269" spans="1:44" ht="15" x14ac:dyDescent="0.2">
      <c r="A269" s="276">
        <f t="shared" ca="1" si="4"/>
        <v>131</v>
      </c>
      <c r="B269" s="168" t="str">
        <f ca="1">IFERROR(INDEX(INDIRECT(RangeItems),MATCH($A269,INDIRECT(RangeCount),0)),"")</f>
        <v/>
      </c>
      <c r="C269" s="365" t="str">
        <f ca="1">INDEX(Calcs[Description],$A269)</f>
        <v/>
      </c>
      <c r="D269" s="365"/>
      <c r="E269" s="365"/>
      <c r="F269" s="365"/>
      <c r="G269" s="365"/>
      <c r="H269" s="388"/>
      <c r="I269" s="177"/>
      <c r="J269" s="388"/>
      <c r="K269" s="177"/>
      <c r="L269" s="388"/>
      <c r="M269" s="177"/>
      <c r="N269" s="388"/>
      <c r="O269" s="177"/>
      <c r="P269" s="388"/>
      <c r="Q269" s="177"/>
      <c r="R269" s="388"/>
      <c r="S269" s="177"/>
      <c r="T269" s="388"/>
      <c r="U269" s="177"/>
      <c r="V269" s="388"/>
      <c r="W269" s="177"/>
      <c r="X269" s="388"/>
      <c r="Y269" s="177"/>
      <c r="Z269" s="388"/>
      <c r="AA269" s="177"/>
      <c r="AB269" s="388"/>
      <c r="AC269" s="177"/>
      <c r="AD269" s="388"/>
      <c r="AE269" s="177"/>
      <c r="AF269" s="388"/>
      <c r="AG269" s="177"/>
      <c r="AH269" s="388"/>
      <c r="AI269" s="177"/>
      <c r="AJ269" s="388"/>
      <c r="AK269" s="177"/>
      <c r="AL269" s="388"/>
      <c r="AM269" s="177"/>
      <c r="AN269" s="388"/>
      <c r="AO269" s="177"/>
      <c r="AP269" s="388"/>
      <c r="AQ269" s="177"/>
      <c r="AR269" s="209" t="str">
        <f ca="1">IF(LEN(B269)&gt;0,ISNUMBER(MATCH(B269,Proposed[Item],0)),"")</f>
        <v/>
      </c>
    </row>
    <row r="270" spans="1:44" ht="15" x14ac:dyDescent="0.2">
      <c r="A270" s="276">
        <f t="shared" ca="1" si="4"/>
        <v>131</v>
      </c>
      <c r="B270" s="111" t="str">
        <f ca="1">IF($A270&lt;=NumPayItems,"Line "&amp;INDEX(Calcs[Line],$A270),"")</f>
        <v/>
      </c>
      <c r="C270" s="169" t="str">
        <f ca="1">IFERROR(IF($D270="LPSM","ALL",TEXT(INDEX(INDIRECT(RangeQuantity),MATCH($A270,INDIRECT(RangeCount),0)),"#,##0"&amp;IF(OFFSET(Items[],MATCH($A270,INDIRECT(RangeCount),0)-1,MATCH(Decimals,Items[#Headers],0)-1,1,1)&gt;0,"."&amp;REPT("0",OFFSET(Items[],MATCH($A270,INDIRECT(RangeCount),0)-1,MATCH(Decimals,Items[#Headers],0)-1,1,1)),""))),"")</f>
        <v/>
      </c>
      <c r="D270" s="170" t="str">
        <f ca="1">IFERROR(INDEX(INDIRECT(RangeUnit),MATCH($A270,INDIRECT(RangeCount),0)),"")</f>
        <v/>
      </c>
      <c r="E270" s="170" t="str">
        <f ca="1">IFERROR(IF(INDEX(INDIRECT(RangeContrQty),MATCH($A270,INDIRECT(RangeCount),0)),"(CQ)",""),"")</f>
        <v/>
      </c>
      <c r="F270" s="171" t="str">
        <f ca="1">IFERROR(INDEX(INDIRECT(RangeUnitPrice),MATCH($A270,INDIRECT(RangeCount),0)),"")</f>
        <v/>
      </c>
      <c r="G270" s="171" t="str">
        <f ca="1">IFERROR(VALUE(C270)*F270,F270)</f>
        <v/>
      </c>
      <c r="H270" s="388"/>
      <c r="I270" s="178" t="str">
        <f ca="1">IF($C270="","",IF($D270="LPSM",H269,VALUE($C270)*H269))</f>
        <v/>
      </c>
      <c r="J270" s="388"/>
      <c r="K270" s="178" t="str">
        <f ca="1">IF($C270="","",IF($D270="LPSM",J269,VALUE($C270)*J269))</f>
        <v/>
      </c>
      <c r="L270" s="388"/>
      <c r="M270" s="178" t="str">
        <f ca="1">IF($C270="","",IF($D270="LPSM",L269,VALUE($C270)*L269))</f>
        <v/>
      </c>
      <c r="N270" s="388"/>
      <c r="O270" s="178" t="str">
        <f ca="1">IF($C270="","",IF($D270="LPSM",N269,VALUE($C270)*N269))</f>
        <v/>
      </c>
      <c r="P270" s="388"/>
      <c r="Q270" s="178" t="str">
        <f ca="1">IF($C270="","",IF($D270="LPSM",P269,VALUE($C270)*P269))</f>
        <v/>
      </c>
      <c r="R270" s="388"/>
      <c r="S270" s="178" t="str">
        <f ca="1">IF($C270="","",IF($D270="LPSM",R269,VALUE($C270)*R269))</f>
        <v/>
      </c>
      <c r="T270" s="388"/>
      <c r="U270" s="178" t="str">
        <f ca="1">IF($C270="","",IF($D270="LPSM",T269,VALUE($C270)*T269))</f>
        <v/>
      </c>
      <c r="V270" s="388"/>
      <c r="W270" s="178" t="str">
        <f ca="1">IF($C270="","",IF($D270="LPSM",V269,VALUE($C270)*V269))</f>
        <v/>
      </c>
      <c r="X270" s="388"/>
      <c r="Y270" s="178" t="str">
        <f ca="1">IF($C270="","",IF($D270="LPSM",X269,VALUE($C270)*X269))</f>
        <v/>
      </c>
      <c r="Z270" s="388"/>
      <c r="AA270" s="178" t="str">
        <f ca="1">IF($C270="","",IF($D270="LPSM",Z269,VALUE($C270)*Z269))</f>
        <v/>
      </c>
      <c r="AB270" s="388"/>
      <c r="AC270" s="178" t="str">
        <f ca="1">IF($C270="","",IF($D270="LPSM",AB269,VALUE($C270)*AB269))</f>
        <v/>
      </c>
      <c r="AD270" s="388"/>
      <c r="AE270" s="178" t="str">
        <f ca="1">IF($C270="","",IF($D270="LPSM",AD269,VALUE($C270)*AD269))</f>
        <v/>
      </c>
      <c r="AF270" s="388"/>
      <c r="AG270" s="178" t="str">
        <f ca="1">IF($C270="","",IF($D270="LPSM",AF269,VALUE($C270)*AF269))</f>
        <v/>
      </c>
      <c r="AH270" s="388"/>
      <c r="AI270" s="178" t="str">
        <f ca="1">IF($C270="","",IF($D270="LPSM",AH269,VALUE($C270)*AH269))</f>
        <v/>
      </c>
      <c r="AJ270" s="388"/>
      <c r="AK270" s="178" t="str">
        <f ca="1">IF($C270="","",IF($D270="LPSM",AJ269,VALUE($C270)*AJ269))</f>
        <v/>
      </c>
      <c r="AL270" s="388"/>
      <c r="AM270" s="178" t="str">
        <f ca="1">IF($C270="","",IF($D270="LPSM",AL269,VALUE($C270)*AL269))</f>
        <v/>
      </c>
      <c r="AN270" s="388"/>
      <c r="AO270" s="178" t="str">
        <f ca="1">IF($C270="","",IF($D270="LPSM",AN269,VALUE($C270)*AN269))</f>
        <v/>
      </c>
      <c r="AP270" s="388"/>
      <c r="AQ270" s="178" t="str">
        <f ca="1">IF($C270="","",IF($D270="LPSM",AP269,VALUE($C270)*AP269))</f>
        <v/>
      </c>
      <c r="AR270" s="209" t="str">
        <f ca="1">IF(LEN(B270)&gt;0,ISNUMBER(MATCH(B270,Proposed[Item],0)),"")</f>
        <v/>
      </c>
    </row>
    <row r="271" spans="1:44" ht="15" x14ac:dyDescent="0.2">
      <c r="A271" s="276">
        <f t="shared" ca="1" si="4"/>
        <v>132</v>
      </c>
      <c r="B271" s="168" t="str">
        <f ca="1">IFERROR(INDEX(INDIRECT(RangeItems),MATCH($A271,INDIRECT(RangeCount),0)),"")</f>
        <v/>
      </c>
      <c r="C271" s="365" t="str">
        <f ca="1">INDEX(Calcs[Description],$A271)</f>
        <v/>
      </c>
      <c r="D271" s="365"/>
      <c r="E271" s="365"/>
      <c r="F271" s="365"/>
      <c r="G271" s="365"/>
      <c r="H271" s="388"/>
      <c r="I271" s="177"/>
      <c r="J271" s="388"/>
      <c r="K271" s="177"/>
      <c r="L271" s="388"/>
      <c r="M271" s="177"/>
      <c r="N271" s="388"/>
      <c r="O271" s="177"/>
      <c r="P271" s="388"/>
      <c r="Q271" s="177"/>
      <c r="R271" s="388"/>
      <c r="S271" s="177"/>
      <c r="T271" s="388"/>
      <c r="U271" s="177"/>
      <c r="V271" s="388"/>
      <c r="W271" s="177"/>
      <c r="X271" s="388"/>
      <c r="Y271" s="177"/>
      <c r="Z271" s="388"/>
      <c r="AA271" s="177"/>
      <c r="AB271" s="388"/>
      <c r="AC271" s="177"/>
      <c r="AD271" s="388"/>
      <c r="AE271" s="177"/>
      <c r="AF271" s="388"/>
      <c r="AG271" s="177"/>
      <c r="AH271" s="388"/>
      <c r="AI271" s="177"/>
      <c r="AJ271" s="388"/>
      <c r="AK271" s="177"/>
      <c r="AL271" s="388"/>
      <c r="AM271" s="177"/>
      <c r="AN271" s="388"/>
      <c r="AO271" s="177"/>
      <c r="AP271" s="388"/>
      <c r="AQ271" s="177"/>
      <c r="AR271" s="209" t="str">
        <f ca="1">IF(LEN(B271)&gt;0,ISNUMBER(MATCH(B271,Proposed[Item],0)),"")</f>
        <v/>
      </c>
    </row>
    <row r="272" spans="1:44" ht="15" x14ac:dyDescent="0.2">
      <c r="A272" s="276">
        <f t="shared" ca="1" si="4"/>
        <v>132</v>
      </c>
      <c r="B272" s="111" t="str">
        <f ca="1">IF($A272&lt;=NumPayItems,"Line "&amp;INDEX(Calcs[Line],$A272),"")</f>
        <v/>
      </c>
      <c r="C272" s="169" t="str">
        <f ca="1">IFERROR(IF($D272="LPSM","ALL",TEXT(INDEX(INDIRECT(RangeQuantity),MATCH($A272,INDIRECT(RangeCount),0)),"#,##0"&amp;IF(OFFSET(Items[],MATCH($A272,INDIRECT(RangeCount),0)-1,MATCH(Decimals,Items[#Headers],0)-1,1,1)&gt;0,"."&amp;REPT("0",OFFSET(Items[],MATCH($A272,INDIRECT(RangeCount),0)-1,MATCH(Decimals,Items[#Headers],0)-1,1,1)),""))),"")</f>
        <v/>
      </c>
      <c r="D272" s="170" t="str">
        <f ca="1">IFERROR(INDEX(INDIRECT(RangeUnit),MATCH($A272,INDIRECT(RangeCount),0)),"")</f>
        <v/>
      </c>
      <c r="E272" s="170" t="str">
        <f ca="1">IFERROR(IF(INDEX(INDIRECT(RangeContrQty),MATCH($A272,INDIRECT(RangeCount),0)),"(CQ)",""),"")</f>
        <v/>
      </c>
      <c r="F272" s="171" t="str">
        <f ca="1">IFERROR(INDEX(INDIRECT(RangeUnitPrice),MATCH($A272,INDIRECT(RangeCount),0)),"")</f>
        <v/>
      </c>
      <c r="G272" s="171" t="str">
        <f ca="1">IFERROR(VALUE(C272)*F272,F272)</f>
        <v/>
      </c>
      <c r="H272" s="388"/>
      <c r="I272" s="178" t="str">
        <f ca="1">IF($C272="","",IF($D272="LPSM",H271,VALUE($C272)*H271))</f>
        <v/>
      </c>
      <c r="J272" s="388"/>
      <c r="K272" s="178" t="str">
        <f ca="1">IF($C272="","",IF($D272="LPSM",J271,VALUE($C272)*J271))</f>
        <v/>
      </c>
      <c r="L272" s="388"/>
      <c r="M272" s="178" t="str">
        <f ca="1">IF($C272="","",IF($D272="LPSM",L271,VALUE($C272)*L271))</f>
        <v/>
      </c>
      <c r="N272" s="388"/>
      <c r="O272" s="178" t="str">
        <f ca="1">IF($C272="","",IF($D272="LPSM",N271,VALUE($C272)*N271))</f>
        <v/>
      </c>
      <c r="P272" s="388"/>
      <c r="Q272" s="178" t="str">
        <f ca="1">IF($C272="","",IF($D272="LPSM",P271,VALUE($C272)*P271))</f>
        <v/>
      </c>
      <c r="R272" s="388"/>
      <c r="S272" s="178" t="str">
        <f ca="1">IF($C272="","",IF($D272="LPSM",R271,VALUE($C272)*R271))</f>
        <v/>
      </c>
      <c r="T272" s="388"/>
      <c r="U272" s="178" t="str">
        <f ca="1">IF($C272="","",IF($D272="LPSM",T271,VALUE($C272)*T271))</f>
        <v/>
      </c>
      <c r="V272" s="388"/>
      <c r="W272" s="178" t="str">
        <f ca="1">IF($C272="","",IF($D272="LPSM",V271,VALUE($C272)*V271))</f>
        <v/>
      </c>
      <c r="X272" s="388"/>
      <c r="Y272" s="178" t="str">
        <f ca="1">IF($C272="","",IF($D272="LPSM",X271,VALUE($C272)*X271))</f>
        <v/>
      </c>
      <c r="Z272" s="388"/>
      <c r="AA272" s="178" t="str">
        <f ca="1">IF($C272="","",IF($D272="LPSM",Z271,VALUE($C272)*Z271))</f>
        <v/>
      </c>
      <c r="AB272" s="388"/>
      <c r="AC272" s="178" t="str">
        <f ca="1">IF($C272="","",IF($D272="LPSM",AB271,VALUE($C272)*AB271))</f>
        <v/>
      </c>
      <c r="AD272" s="388"/>
      <c r="AE272" s="178" t="str">
        <f ca="1">IF($C272="","",IF($D272="LPSM",AD271,VALUE($C272)*AD271))</f>
        <v/>
      </c>
      <c r="AF272" s="388"/>
      <c r="AG272" s="178" t="str">
        <f ca="1">IF($C272="","",IF($D272="LPSM",AF271,VALUE($C272)*AF271))</f>
        <v/>
      </c>
      <c r="AH272" s="388"/>
      <c r="AI272" s="178" t="str">
        <f ca="1">IF($C272="","",IF($D272="LPSM",AH271,VALUE($C272)*AH271))</f>
        <v/>
      </c>
      <c r="AJ272" s="388"/>
      <c r="AK272" s="178" t="str">
        <f ca="1">IF($C272="","",IF($D272="LPSM",AJ271,VALUE($C272)*AJ271))</f>
        <v/>
      </c>
      <c r="AL272" s="388"/>
      <c r="AM272" s="178" t="str">
        <f ca="1">IF($C272="","",IF($D272="LPSM",AL271,VALUE($C272)*AL271))</f>
        <v/>
      </c>
      <c r="AN272" s="388"/>
      <c r="AO272" s="178" t="str">
        <f ca="1">IF($C272="","",IF($D272="LPSM",AN271,VALUE($C272)*AN271))</f>
        <v/>
      </c>
      <c r="AP272" s="388"/>
      <c r="AQ272" s="178" t="str">
        <f ca="1">IF($C272="","",IF($D272="LPSM",AP271,VALUE($C272)*AP271))</f>
        <v/>
      </c>
      <c r="AR272" s="209" t="str">
        <f ca="1">IF(LEN(B272)&gt;0,ISNUMBER(MATCH(B272,Proposed[Item],0)),"")</f>
        <v/>
      </c>
    </row>
    <row r="273" spans="1:44" ht="15" x14ac:dyDescent="0.2">
      <c r="A273" s="276">
        <f t="shared" ca="1" si="4"/>
        <v>133</v>
      </c>
      <c r="B273" s="168" t="str">
        <f ca="1">IFERROR(INDEX(INDIRECT(RangeItems),MATCH($A273,INDIRECT(RangeCount),0)),"")</f>
        <v/>
      </c>
      <c r="C273" s="365" t="str">
        <f ca="1">INDEX(Calcs[Description],$A273)</f>
        <v/>
      </c>
      <c r="D273" s="365"/>
      <c r="E273" s="365"/>
      <c r="F273" s="365"/>
      <c r="G273" s="365"/>
      <c r="H273" s="388"/>
      <c r="I273" s="177"/>
      <c r="J273" s="388"/>
      <c r="K273" s="177"/>
      <c r="L273" s="388"/>
      <c r="M273" s="177"/>
      <c r="N273" s="388"/>
      <c r="O273" s="177"/>
      <c r="P273" s="388"/>
      <c r="Q273" s="177"/>
      <c r="R273" s="388"/>
      <c r="S273" s="177"/>
      <c r="T273" s="388"/>
      <c r="U273" s="177"/>
      <c r="V273" s="388"/>
      <c r="W273" s="177"/>
      <c r="X273" s="388"/>
      <c r="Y273" s="177"/>
      <c r="Z273" s="388"/>
      <c r="AA273" s="177"/>
      <c r="AB273" s="388"/>
      <c r="AC273" s="177"/>
      <c r="AD273" s="388"/>
      <c r="AE273" s="177"/>
      <c r="AF273" s="388"/>
      <c r="AG273" s="177"/>
      <c r="AH273" s="388"/>
      <c r="AI273" s="177"/>
      <c r="AJ273" s="388"/>
      <c r="AK273" s="177"/>
      <c r="AL273" s="388"/>
      <c r="AM273" s="177"/>
      <c r="AN273" s="388"/>
      <c r="AO273" s="177"/>
      <c r="AP273" s="388"/>
      <c r="AQ273" s="177"/>
      <c r="AR273" s="209" t="str">
        <f ca="1">IF(LEN(B273)&gt;0,ISNUMBER(MATCH(B273,Proposed[Item],0)),"")</f>
        <v/>
      </c>
    </row>
    <row r="274" spans="1:44" ht="15" x14ac:dyDescent="0.2">
      <c r="A274" s="276">
        <f t="shared" ca="1" si="4"/>
        <v>133</v>
      </c>
      <c r="B274" s="111" t="str">
        <f ca="1">IF($A274&lt;=NumPayItems,"Line "&amp;INDEX(Calcs[Line],$A274),"")</f>
        <v/>
      </c>
      <c r="C274" s="169" t="str">
        <f ca="1">IFERROR(IF($D274="LPSM","ALL",TEXT(INDEX(INDIRECT(RangeQuantity),MATCH($A274,INDIRECT(RangeCount),0)),"#,##0"&amp;IF(OFFSET(Items[],MATCH($A274,INDIRECT(RangeCount),0)-1,MATCH(Decimals,Items[#Headers],0)-1,1,1)&gt;0,"."&amp;REPT("0",OFFSET(Items[],MATCH($A274,INDIRECT(RangeCount),0)-1,MATCH(Decimals,Items[#Headers],0)-1,1,1)),""))),"")</f>
        <v/>
      </c>
      <c r="D274" s="170" t="str">
        <f ca="1">IFERROR(INDEX(INDIRECT(RangeUnit),MATCH($A274,INDIRECT(RangeCount),0)),"")</f>
        <v/>
      </c>
      <c r="E274" s="170" t="str">
        <f ca="1">IFERROR(IF(INDEX(INDIRECT(RangeContrQty),MATCH($A274,INDIRECT(RangeCount),0)),"(CQ)",""),"")</f>
        <v/>
      </c>
      <c r="F274" s="171" t="str">
        <f ca="1">IFERROR(INDEX(INDIRECT(RangeUnitPrice),MATCH($A274,INDIRECT(RangeCount),0)),"")</f>
        <v/>
      </c>
      <c r="G274" s="171" t="str">
        <f ca="1">IFERROR(VALUE(C274)*F274,F274)</f>
        <v/>
      </c>
      <c r="H274" s="388"/>
      <c r="I274" s="178" t="str">
        <f ca="1">IF($C274="","",IF($D274="LPSM",H273,VALUE($C274)*H273))</f>
        <v/>
      </c>
      <c r="J274" s="388"/>
      <c r="K274" s="178" t="str">
        <f ca="1">IF($C274="","",IF($D274="LPSM",J273,VALUE($C274)*J273))</f>
        <v/>
      </c>
      <c r="L274" s="388"/>
      <c r="M274" s="178" t="str">
        <f ca="1">IF($C274="","",IF($D274="LPSM",L273,VALUE($C274)*L273))</f>
        <v/>
      </c>
      <c r="N274" s="388"/>
      <c r="O274" s="178" t="str">
        <f ca="1">IF($C274="","",IF($D274="LPSM",N273,VALUE($C274)*N273))</f>
        <v/>
      </c>
      <c r="P274" s="388"/>
      <c r="Q274" s="178" t="str">
        <f ca="1">IF($C274="","",IF($D274="LPSM",P273,VALUE($C274)*P273))</f>
        <v/>
      </c>
      <c r="R274" s="388"/>
      <c r="S274" s="178" t="str">
        <f ca="1">IF($C274="","",IF($D274="LPSM",R273,VALUE($C274)*R273))</f>
        <v/>
      </c>
      <c r="T274" s="388"/>
      <c r="U274" s="178" t="str">
        <f ca="1">IF($C274="","",IF($D274="LPSM",T273,VALUE($C274)*T273))</f>
        <v/>
      </c>
      <c r="V274" s="388"/>
      <c r="W274" s="178" t="str">
        <f ca="1">IF($C274="","",IF($D274="LPSM",V273,VALUE($C274)*V273))</f>
        <v/>
      </c>
      <c r="X274" s="388"/>
      <c r="Y274" s="178" t="str">
        <f ca="1">IF($C274="","",IF($D274="LPSM",X273,VALUE($C274)*X273))</f>
        <v/>
      </c>
      <c r="Z274" s="388"/>
      <c r="AA274" s="178" t="str">
        <f ca="1">IF($C274="","",IF($D274="LPSM",Z273,VALUE($C274)*Z273))</f>
        <v/>
      </c>
      <c r="AB274" s="388"/>
      <c r="AC274" s="178" t="str">
        <f ca="1">IF($C274="","",IF($D274="LPSM",AB273,VALUE($C274)*AB273))</f>
        <v/>
      </c>
      <c r="AD274" s="388"/>
      <c r="AE274" s="178" t="str">
        <f ca="1">IF($C274="","",IF($D274="LPSM",AD273,VALUE($C274)*AD273))</f>
        <v/>
      </c>
      <c r="AF274" s="388"/>
      <c r="AG274" s="178" t="str">
        <f ca="1">IF($C274="","",IF($D274="LPSM",AF273,VALUE($C274)*AF273))</f>
        <v/>
      </c>
      <c r="AH274" s="388"/>
      <c r="AI274" s="178" t="str">
        <f ca="1">IF($C274="","",IF($D274="LPSM",AH273,VALUE($C274)*AH273))</f>
        <v/>
      </c>
      <c r="AJ274" s="388"/>
      <c r="AK274" s="178" t="str">
        <f ca="1">IF($C274="","",IF($D274="LPSM",AJ273,VALUE($C274)*AJ273))</f>
        <v/>
      </c>
      <c r="AL274" s="388"/>
      <c r="AM274" s="178" t="str">
        <f ca="1">IF($C274="","",IF($D274="LPSM",AL273,VALUE($C274)*AL273))</f>
        <v/>
      </c>
      <c r="AN274" s="388"/>
      <c r="AO274" s="178" t="str">
        <f ca="1">IF($C274="","",IF($D274="LPSM",AN273,VALUE($C274)*AN273))</f>
        <v/>
      </c>
      <c r="AP274" s="388"/>
      <c r="AQ274" s="178" t="str">
        <f ca="1">IF($C274="","",IF($D274="LPSM",AP273,VALUE($C274)*AP273))</f>
        <v/>
      </c>
      <c r="AR274" s="209" t="str">
        <f ca="1">IF(LEN(B274)&gt;0,ISNUMBER(MATCH(B274,Proposed[Item],0)),"")</f>
        <v/>
      </c>
    </row>
    <row r="275" spans="1:44" ht="15" x14ac:dyDescent="0.2">
      <c r="A275" s="276">
        <f t="shared" ca="1" si="4"/>
        <v>134</v>
      </c>
      <c r="B275" s="168" t="str">
        <f ca="1">IFERROR(INDEX(INDIRECT(RangeItems),MATCH($A275,INDIRECT(RangeCount),0)),"")</f>
        <v/>
      </c>
      <c r="C275" s="365" t="str">
        <f ca="1">INDEX(Calcs[Description],$A275)</f>
        <v/>
      </c>
      <c r="D275" s="365"/>
      <c r="E275" s="365"/>
      <c r="F275" s="365"/>
      <c r="G275" s="365"/>
      <c r="H275" s="388"/>
      <c r="I275" s="177"/>
      <c r="J275" s="388"/>
      <c r="K275" s="177"/>
      <c r="L275" s="388"/>
      <c r="M275" s="177"/>
      <c r="N275" s="388"/>
      <c r="O275" s="177"/>
      <c r="P275" s="388"/>
      <c r="Q275" s="177"/>
      <c r="R275" s="388"/>
      <c r="S275" s="177"/>
      <c r="T275" s="388"/>
      <c r="U275" s="177"/>
      <c r="V275" s="388"/>
      <c r="W275" s="177"/>
      <c r="X275" s="388"/>
      <c r="Y275" s="177"/>
      <c r="Z275" s="388"/>
      <c r="AA275" s="177"/>
      <c r="AB275" s="388"/>
      <c r="AC275" s="177"/>
      <c r="AD275" s="388"/>
      <c r="AE275" s="177"/>
      <c r="AF275" s="388"/>
      <c r="AG275" s="177"/>
      <c r="AH275" s="388"/>
      <c r="AI275" s="177"/>
      <c r="AJ275" s="388"/>
      <c r="AK275" s="177"/>
      <c r="AL275" s="388"/>
      <c r="AM275" s="177"/>
      <c r="AN275" s="388"/>
      <c r="AO275" s="177"/>
      <c r="AP275" s="388"/>
      <c r="AQ275" s="177"/>
      <c r="AR275" s="209" t="str">
        <f ca="1">IF(LEN(B275)&gt;0,ISNUMBER(MATCH(B275,Proposed[Item],0)),"")</f>
        <v/>
      </c>
    </row>
    <row r="276" spans="1:44" ht="15" x14ac:dyDescent="0.2">
      <c r="A276" s="276">
        <f t="shared" ca="1" si="4"/>
        <v>134</v>
      </c>
      <c r="B276" s="111" t="str">
        <f ca="1">IF($A276&lt;=NumPayItems,"Line "&amp;INDEX(Calcs[Line],$A276),"")</f>
        <v/>
      </c>
      <c r="C276" s="169" t="str">
        <f ca="1">IFERROR(IF($D276="LPSM","ALL",TEXT(INDEX(INDIRECT(RangeQuantity),MATCH($A276,INDIRECT(RangeCount),0)),"#,##0"&amp;IF(OFFSET(Items[],MATCH($A276,INDIRECT(RangeCount),0)-1,MATCH(Decimals,Items[#Headers],0)-1,1,1)&gt;0,"."&amp;REPT("0",OFFSET(Items[],MATCH($A276,INDIRECT(RangeCount),0)-1,MATCH(Decimals,Items[#Headers],0)-1,1,1)),""))),"")</f>
        <v/>
      </c>
      <c r="D276" s="170" t="str">
        <f ca="1">IFERROR(INDEX(INDIRECT(RangeUnit),MATCH($A276,INDIRECT(RangeCount),0)),"")</f>
        <v/>
      </c>
      <c r="E276" s="170" t="str">
        <f ca="1">IFERROR(IF(INDEX(INDIRECT(RangeContrQty),MATCH($A276,INDIRECT(RangeCount),0)),"(CQ)",""),"")</f>
        <v/>
      </c>
      <c r="F276" s="171" t="str">
        <f ca="1">IFERROR(INDEX(INDIRECT(RangeUnitPrice),MATCH($A276,INDIRECT(RangeCount),0)),"")</f>
        <v/>
      </c>
      <c r="G276" s="171" t="str">
        <f ca="1">IFERROR(VALUE(C276)*F276,F276)</f>
        <v/>
      </c>
      <c r="H276" s="388"/>
      <c r="I276" s="178" t="str">
        <f ca="1">IF($C276="","",IF($D276="LPSM",H275,VALUE($C276)*H275))</f>
        <v/>
      </c>
      <c r="J276" s="388"/>
      <c r="K276" s="178" t="str">
        <f ca="1">IF($C276="","",IF($D276="LPSM",J275,VALUE($C276)*J275))</f>
        <v/>
      </c>
      <c r="L276" s="388"/>
      <c r="M276" s="178" t="str">
        <f ca="1">IF($C276="","",IF($D276="LPSM",L275,VALUE($C276)*L275))</f>
        <v/>
      </c>
      <c r="N276" s="388"/>
      <c r="O276" s="178" t="str">
        <f ca="1">IF($C276="","",IF($D276="LPSM",N275,VALUE($C276)*N275))</f>
        <v/>
      </c>
      <c r="P276" s="388"/>
      <c r="Q276" s="178" t="str">
        <f ca="1">IF($C276="","",IF($D276="LPSM",P275,VALUE($C276)*P275))</f>
        <v/>
      </c>
      <c r="R276" s="388"/>
      <c r="S276" s="178" t="str">
        <f ca="1">IF($C276="","",IF($D276="LPSM",R275,VALUE($C276)*R275))</f>
        <v/>
      </c>
      <c r="T276" s="388"/>
      <c r="U276" s="178" t="str">
        <f ca="1">IF($C276="","",IF($D276="LPSM",T275,VALUE($C276)*T275))</f>
        <v/>
      </c>
      <c r="V276" s="388"/>
      <c r="W276" s="178" t="str">
        <f ca="1">IF($C276="","",IF($D276="LPSM",V275,VALUE($C276)*V275))</f>
        <v/>
      </c>
      <c r="X276" s="388"/>
      <c r="Y276" s="178" t="str">
        <f ca="1">IF($C276="","",IF($D276="LPSM",X275,VALUE($C276)*X275))</f>
        <v/>
      </c>
      <c r="Z276" s="388"/>
      <c r="AA276" s="178" t="str">
        <f ca="1">IF($C276="","",IF($D276="LPSM",Z275,VALUE($C276)*Z275))</f>
        <v/>
      </c>
      <c r="AB276" s="388"/>
      <c r="AC276" s="178" t="str">
        <f ca="1">IF($C276="","",IF($D276="LPSM",AB275,VALUE($C276)*AB275))</f>
        <v/>
      </c>
      <c r="AD276" s="388"/>
      <c r="AE276" s="178" t="str">
        <f ca="1">IF($C276="","",IF($D276="LPSM",AD275,VALUE($C276)*AD275))</f>
        <v/>
      </c>
      <c r="AF276" s="388"/>
      <c r="AG276" s="178" t="str">
        <f ca="1">IF($C276="","",IF($D276="LPSM",AF275,VALUE($C276)*AF275))</f>
        <v/>
      </c>
      <c r="AH276" s="388"/>
      <c r="AI276" s="178" t="str">
        <f ca="1">IF($C276="","",IF($D276="LPSM",AH275,VALUE($C276)*AH275))</f>
        <v/>
      </c>
      <c r="AJ276" s="388"/>
      <c r="AK276" s="178" t="str">
        <f ca="1">IF($C276="","",IF($D276="LPSM",AJ275,VALUE($C276)*AJ275))</f>
        <v/>
      </c>
      <c r="AL276" s="388"/>
      <c r="AM276" s="178" t="str">
        <f ca="1">IF($C276="","",IF($D276="LPSM",AL275,VALUE($C276)*AL275))</f>
        <v/>
      </c>
      <c r="AN276" s="388"/>
      <c r="AO276" s="178" t="str">
        <f ca="1">IF($C276="","",IF($D276="LPSM",AN275,VALUE($C276)*AN275))</f>
        <v/>
      </c>
      <c r="AP276" s="388"/>
      <c r="AQ276" s="178" t="str">
        <f ca="1">IF($C276="","",IF($D276="LPSM",AP275,VALUE($C276)*AP275))</f>
        <v/>
      </c>
      <c r="AR276" s="209" t="str">
        <f ca="1">IF(LEN(B276)&gt;0,ISNUMBER(MATCH(B276,Proposed[Item],0)),"")</f>
        <v/>
      </c>
    </row>
    <row r="277" spans="1:44" ht="15" x14ac:dyDescent="0.2">
      <c r="A277" s="276">
        <f t="shared" ca="1" si="4"/>
        <v>135</v>
      </c>
      <c r="B277" s="168" t="str">
        <f ca="1">IFERROR(INDEX(INDIRECT(RangeItems),MATCH($A277,INDIRECT(RangeCount),0)),"")</f>
        <v/>
      </c>
      <c r="C277" s="365" t="str">
        <f ca="1">INDEX(Calcs[Description],$A277)</f>
        <v/>
      </c>
      <c r="D277" s="365"/>
      <c r="E277" s="365"/>
      <c r="F277" s="365"/>
      <c r="G277" s="365"/>
      <c r="H277" s="388"/>
      <c r="I277" s="177"/>
      <c r="J277" s="388"/>
      <c r="K277" s="177"/>
      <c r="L277" s="388"/>
      <c r="M277" s="177"/>
      <c r="N277" s="388"/>
      <c r="O277" s="177"/>
      <c r="P277" s="388"/>
      <c r="Q277" s="177"/>
      <c r="R277" s="388"/>
      <c r="S277" s="177"/>
      <c r="T277" s="388"/>
      <c r="U277" s="177"/>
      <c r="V277" s="388"/>
      <c r="W277" s="177"/>
      <c r="X277" s="388"/>
      <c r="Y277" s="177"/>
      <c r="Z277" s="388"/>
      <c r="AA277" s="177"/>
      <c r="AB277" s="388"/>
      <c r="AC277" s="177"/>
      <c r="AD277" s="388"/>
      <c r="AE277" s="177"/>
      <c r="AF277" s="388"/>
      <c r="AG277" s="177"/>
      <c r="AH277" s="388"/>
      <c r="AI277" s="177"/>
      <c r="AJ277" s="388"/>
      <c r="AK277" s="177"/>
      <c r="AL277" s="388"/>
      <c r="AM277" s="177"/>
      <c r="AN277" s="388"/>
      <c r="AO277" s="177"/>
      <c r="AP277" s="388"/>
      <c r="AQ277" s="177"/>
      <c r="AR277" s="209" t="str">
        <f ca="1">IF(LEN(B277)&gt;0,ISNUMBER(MATCH(B277,Proposed[Item],0)),"")</f>
        <v/>
      </c>
    </row>
    <row r="278" spans="1:44" ht="15" x14ac:dyDescent="0.2">
      <c r="A278" s="276">
        <f t="shared" ca="1" si="4"/>
        <v>135</v>
      </c>
      <c r="B278" s="111" t="str">
        <f ca="1">IF($A278&lt;=NumPayItems,"Line "&amp;INDEX(Calcs[Line],$A278),"")</f>
        <v/>
      </c>
      <c r="C278" s="169" t="str">
        <f ca="1">IFERROR(IF($D278="LPSM","ALL",TEXT(INDEX(INDIRECT(RangeQuantity),MATCH($A278,INDIRECT(RangeCount),0)),"#,##0"&amp;IF(OFFSET(Items[],MATCH($A278,INDIRECT(RangeCount),0)-1,MATCH(Decimals,Items[#Headers],0)-1,1,1)&gt;0,"."&amp;REPT("0",OFFSET(Items[],MATCH($A278,INDIRECT(RangeCount),0)-1,MATCH(Decimals,Items[#Headers],0)-1,1,1)),""))),"")</f>
        <v/>
      </c>
      <c r="D278" s="170" t="str">
        <f ca="1">IFERROR(INDEX(INDIRECT(RangeUnit),MATCH($A278,INDIRECT(RangeCount),0)),"")</f>
        <v/>
      </c>
      <c r="E278" s="170" t="str">
        <f ca="1">IFERROR(IF(INDEX(INDIRECT(RangeContrQty),MATCH($A278,INDIRECT(RangeCount),0)),"(CQ)",""),"")</f>
        <v/>
      </c>
      <c r="F278" s="171" t="str">
        <f ca="1">IFERROR(INDEX(INDIRECT(RangeUnitPrice),MATCH($A278,INDIRECT(RangeCount),0)),"")</f>
        <v/>
      </c>
      <c r="G278" s="171" t="str">
        <f ca="1">IFERROR(VALUE(C278)*F278,F278)</f>
        <v/>
      </c>
      <c r="H278" s="388"/>
      <c r="I278" s="178" t="str">
        <f ca="1">IF($C278="","",IF($D278="LPSM",H277,VALUE($C278)*H277))</f>
        <v/>
      </c>
      <c r="J278" s="388"/>
      <c r="K278" s="178" t="str">
        <f ca="1">IF($C278="","",IF($D278="LPSM",J277,VALUE($C278)*J277))</f>
        <v/>
      </c>
      <c r="L278" s="388"/>
      <c r="M278" s="178" t="str">
        <f ca="1">IF($C278="","",IF($D278="LPSM",L277,VALUE($C278)*L277))</f>
        <v/>
      </c>
      <c r="N278" s="388"/>
      <c r="O278" s="178" t="str">
        <f ca="1">IF($C278="","",IF($D278="LPSM",N277,VALUE($C278)*N277))</f>
        <v/>
      </c>
      <c r="P278" s="388"/>
      <c r="Q278" s="178" t="str">
        <f ca="1">IF($C278="","",IF($D278="LPSM",P277,VALUE($C278)*P277))</f>
        <v/>
      </c>
      <c r="R278" s="388"/>
      <c r="S278" s="178" t="str">
        <f ca="1">IF($C278="","",IF($D278="LPSM",R277,VALUE($C278)*R277))</f>
        <v/>
      </c>
      <c r="T278" s="388"/>
      <c r="U278" s="178" t="str">
        <f ca="1">IF($C278="","",IF($D278="LPSM",T277,VALUE($C278)*T277))</f>
        <v/>
      </c>
      <c r="V278" s="388"/>
      <c r="W278" s="178" t="str">
        <f ca="1">IF($C278="","",IF($D278="LPSM",V277,VALUE($C278)*V277))</f>
        <v/>
      </c>
      <c r="X278" s="388"/>
      <c r="Y278" s="178" t="str">
        <f ca="1">IF($C278="","",IF($D278="LPSM",X277,VALUE($C278)*X277))</f>
        <v/>
      </c>
      <c r="Z278" s="388"/>
      <c r="AA278" s="178" t="str">
        <f ca="1">IF($C278="","",IF($D278="LPSM",Z277,VALUE($C278)*Z277))</f>
        <v/>
      </c>
      <c r="AB278" s="388"/>
      <c r="AC278" s="178" t="str">
        <f ca="1">IF($C278="","",IF($D278="LPSM",AB277,VALUE($C278)*AB277))</f>
        <v/>
      </c>
      <c r="AD278" s="388"/>
      <c r="AE278" s="178" t="str">
        <f ca="1">IF($C278="","",IF($D278="LPSM",AD277,VALUE($C278)*AD277))</f>
        <v/>
      </c>
      <c r="AF278" s="388"/>
      <c r="AG278" s="178" t="str">
        <f ca="1">IF($C278="","",IF($D278="LPSM",AF277,VALUE($C278)*AF277))</f>
        <v/>
      </c>
      <c r="AH278" s="388"/>
      <c r="AI278" s="178" t="str">
        <f ca="1">IF($C278="","",IF($D278="LPSM",AH277,VALUE($C278)*AH277))</f>
        <v/>
      </c>
      <c r="AJ278" s="388"/>
      <c r="AK278" s="178" t="str">
        <f ca="1">IF($C278="","",IF($D278="LPSM",AJ277,VALUE($C278)*AJ277))</f>
        <v/>
      </c>
      <c r="AL278" s="388"/>
      <c r="AM278" s="178" t="str">
        <f ca="1">IF($C278="","",IF($D278="LPSM",AL277,VALUE($C278)*AL277))</f>
        <v/>
      </c>
      <c r="AN278" s="388"/>
      <c r="AO278" s="178" t="str">
        <f ca="1">IF($C278="","",IF($D278="LPSM",AN277,VALUE($C278)*AN277))</f>
        <v/>
      </c>
      <c r="AP278" s="388"/>
      <c r="AQ278" s="178" t="str">
        <f ca="1">IF($C278="","",IF($D278="LPSM",AP277,VALUE($C278)*AP277))</f>
        <v/>
      </c>
      <c r="AR278" s="209" t="str">
        <f ca="1">IF(LEN(B278)&gt;0,ISNUMBER(MATCH(B278,Proposed[Item],0)),"")</f>
        <v/>
      </c>
    </row>
    <row r="279" spans="1:44" ht="15" x14ac:dyDescent="0.2">
      <c r="A279" s="276">
        <f t="shared" ca="1" si="4"/>
        <v>136</v>
      </c>
      <c r="B279" s="168" t="str">
        <f ca="1">IFERROR(INDEX(INDIRECT(RangeItems),MATCH($A279,INDIRECT(RangeCount),0)),"")</f>
        <v/>
      </c>
      <c r="C279" s="365" t="str">
        <f ca="1">INDEX(Calcs[Description],$A279)</f>
        <v/>
      </c>
      <c r="D279" s="365"/>
      <c r="E279" s="365"/>
      <c r="F279" s="365"/>
      <c r="G279" s="365"/>
      <c r="H279" s="388"/>
      <c r="I279" s="177"/>
      <c r="J279" s="388"/>
      <c r="K279" s="177"/>
      <c r="L279" s="388"/>
      <c r="M279" s="177"/>
      <c r="N279" s="388"/>
      <c r="O279" s="177"/>
      <c r="P279" s="388"/>
      <c r="Q279" s="177"/>
      <c r="R279" s="388"/>
      <c r="S279" s="177"/>
      <c r="T279" s="388"/>
      <c r="U279" s="177"/>
      <c r="V279" s="388"/>
      <c r="W279" s="177"/>
      <c r="X279" s="388"/>
      <c r="Y279" s="177"/>
      <c r="Z279" s="388"/>
      <c r="AA279" s="177"/>
      <c r="AB279" s="388"/>
      <c r="AC279" s="177"/>
      <c r="AD279" s="388"/>
      <c r="AE279" s="177"/>
      <c r="AF279" s="388"/>
      <c r="AG279" s="177"/>
      <c r="AH279" s="388"/>
      <c r="AI279" s="177"/>
      <c r="AJ279" s="388"/>
      <c r="AK279" s="177"/>
      <c r="AL279" s="388"/>
      <c r="AM279" s="177"/>
      <c r="AN279" s="388"/>
      <c r="AO279" s="177"/>
      <c r="AP279" s="388"/>
      <c r="AQ279" s="177"/>
      <c r="AR279" s="209" t="str">
        <f ca="1">IF(LEN(B279)&gt;0,ISNUMBER(MATCH(B279,Proposed[Item],0)),"")</f>
        <v/>
      </c>
    </row>
    <row r="280" spans="1:44" ht="15" x14ac:dyDescent="0.2">
      <c r="A280" s="276">
        <f t="shared" ca="1" si="4"/>
        <v>136</v>
      </c>
      <c r="B280" s="111" t="str">
        <f ca="1">IF($A280&lt;=NumPayItems,"Line "&amp;INDEX(Calcs[Line],$A280),"")</f>
        <v/>
      </c>
      <c r="C280" s="169" t="str">
        <f ca="1">IFERROR(IF($D280="LPSM","ALL",TEXT(INDEX(INDIRECT(RangeQuantity),MATCH($A280,INDIRECT(RangeCount),0)),"#,##0"&amp;IF(OFFSET(Items[],MATCH($A280,INDIRECT(RangeCount),0)-1,MATCH(Decimals,Items[#Headers],0)-1,1,1)&gt;0,"."&amp;REPT("0",OFFSET(Items[],MATCH($A280,INDIRECT(RangeCount),0)-1,MATCH(Decimals,Items[#Headers],0)-1,1,1)),""))),"")</f>
        <v/>
      </c>
      <c r="D280" s="170" t="str">
        <f ca="1">IFERROR(INDEX(INDIRECT(RangeUnit),MATCH($A280,INDIRECT(RangeCount),0)),"")</f>
        <v/>
      </c>
      <c r="E280" s="170" t="str">
        <f ca="1">IFERROR(IF(INDEX(INDIRECT(RangeContrQty),MATCH($A280,INDIRECT(RangeCount),0)),"(CQ)",""),"")</f>
        <v/>
      </c>
      <c r="F280" s="171" t="str">
        <f ca="1">IFERROR(INDEX(INDIRECT(RangeUnitPrice),MATCH($A280,INDIRECT(RangeCount),0)),"")</f>
        <v/>
      </c>
      <c r="G280" s="171" t="str">
        <f ca="1">IFERROR(VALUE(C280)*F280,F280)</f>
        <v/>
      </c>
      <c r="H280" s="388"/>
      <c r="I280" s="178" t="str">
        <f ca="1">IF($C280="","",IF($D280="LPSM",H279,VALUE($C280)*H279))</f>
        <v/>
      </c>
      <c r="J280" s="388"/>
      <c r="K280" s="178" t="str">
        <f ca="1">IF($C280="","",IF($D280="LPSM",J279,VALUE($C280)*J279))</f>
        <v/>
      </c>
      <c r="L280" s="388"/>
      <c r="M280" s="178" t="str">
        <f ca="1">IF($C280="","",IF($D280="LPSM",L279,VALUE($C280)*L279))</f>
        <v/>
      </c>
      <c r="N280" s="388"/>
      <c r="O280" s="178" t="str">
        <f ca="1">IF($C280="","",IF($D280="LPSM",N279,VALUE($C280)*N279))</f>
        <v/>
      </c>
      <c r="P280" s="388"/>
      <c r="Q280" s="178" t="str">
        <f ca="1">IF($C280="","",IF($D280="LPSM",P279,VALUE($C280)*P279))</f>
        <v/>
      </c>
      <c r="R280" s="388"/>
      <c r="S280" s="178" t="str">
        <f ca="1">IF($C280="","",IF($D280="LPSM",R279,VALUE($C280)*R279))</f>
        <v/>
      </c>
      <c r="T280" s="388"/>
      <c r="U280" s="178" t="str">
        <f ca="1">IF($C280="","",IF($D280="LPSM",T279,VALUE($C280)*T279))</f>
        <v/>
      </c>
      <c r="V280" s="388"/>
      <c r="W280" s="178" t="str">
        <f ca="1">IF($C280="","",IF($D280="LPSM",V279,VALUE($C280)*V279))</f>
        <v/>
      </c>
      <c r="X280" s="388"/>
      <c r="Y280" s="178" t="str">
        <f ca="1">IF($C280="","",IF($D280="LPSM",X279,VALUE($C280)*X279))</f>
        <v/>
      </c>
      <c r="Z280" s="388"/>
      <c r="AA280" s="178" t="str">
        <f ca="1">IF($C280="","",IF($D280="LPSM",Z279,VALUE($C280)*Z279))</f>
        <v/>
      </c>
      <c r="AB280" s="388"/>
      <c r="AC280" s="178" t="str">
        <f ca="1">IF($C280="","",IF($D280="LPSM",AB279,VALUE($C280)*AB279))</f>
        <v/>
      </c>
      <c r="AD280" s="388"/>
      <c r="AE280" s="178" t="str">
        <f ca="1">IF($C280="","",IF($D280="LPSM",AD279,VALUE($C280)*AD279))</f>
        <v/>
      </c>
      <c r="AF280" s="388"/>
      <c r="AG280" s="178" t="str">
        <f ca="1">IF($C280="","",IF($D280="LPSM",AF279,VALUE($C280)*AF279))</f>
        <v/>
      </c>
      <c r="AH280" s="388"/>
      <c r="AI280" s="178" t="str">
        <f ca="1">IF($C280="","",IF($D280="LPSM",AH279,VALUE($C280)*AH279))</f>
        <v/>
      </c>
      <c r="AJ280" s="388"/>
      <c r="AK280" s="178" t="str">
        <f ca="1">IF($C280="","",IF($D280="LPSM",AJ279,VALUE($C280)*AJ279))</f>
        <v/>
      </c>
      <c r="AL280" s="388"/>
      <c r="AM280" s="178" t="str">
        <f ca="1">IF($C280="","",IF($D280="LPSM",AL279,VALUE($C280)*AL279))</f>
        <v/>
      </c>
      <c r="AN280" s="388"/>
      <c r="AO280" s="178" t="str">
        <f ca="1">IF($C280="","",IF($D280="LPSM",AN279,VALUE($C280)*AN279))</f>
        <v/>
      </c>
      <c r="AP280" s="388"/>
      <c r="AQ280" s="178" t="str">
        <f ca="1">IF($C280="","",IF($D280="LPSM",AP279,VALUE($C280)*AP279))</f>
        <v/>
      </c>
      <c r="AR280" s="209" t="str">
        <f ca="1">IF(LEN(B280)&gt;0,ISNUMBER(MATCH(B280,Proposed[Item],0)),"")</f>
        <v/>
      </c>
    </row>
    <row r="281" spans="1:44" ht="15" x14ac:dyDescent="0.2">
      <c r="A281" s="276">
        <f t="shared" ca="1" si="4"/>
        <v>137</v>
      </c>
      <c r="B281" s="168" t="str">
        <f ca="1">IFERROR(INDEX(INDIRECT(RangeItems),MATCH($A281,INDIRECT(RangeCount),0)),"")</f>
        <v/>
      </c>
      <c r="C281" s="365" t="str">
        <f ca="1">INDEX(Calcs[Description],$A281)</f>
        <v/>
      </c>
      <c r="D281" s="365"/>
      <c r="E281" s="365"/>
      <c r="F281" s="365"/>
      <c r="G281" s="365"/>
      <c r="H281" s="388"/>
      <c r="I281" s="177"/>
      <c r="J281" s="388"/>
      <c r="K281" s="177"/>
      <c r="L281" s="388"/>
      <c r="M281" s="177"/>
      <c r="N281" s="388"/>
      <c r="O281" s="177"/>
      <c r="P281" s="388"/>
      <c r="Q281" s="177"/>
      <c r="R281" s="388"/>
      <c r="S281" s="177"/>
      <c r="T281" s="388"/>
      <c r="U281" s="177"/>
      <c r="V281" s="388"/>
      <c r="W281" s="177"/>
      <c r="X281" s="388"/>
      <c r="Y281" s="177"/>
      <c r="Z281" s="388"/>
      <c r="AA281" s="177"/>
      <c r="AB281" s="388"/>
      <c r="AC281" s="177"/>
      <c r="AD281" s="388"/>
      <c r="AE281" s="177"/>
      <c r="AF281" s="388"/>
      <c r="AG281" s="177"/>
      <c r="AH281" s="388"/>
      <c r="AI281" s="177"/>
      <c r="AJ281" s="388"/>
      <c r="AK281" s="177"/>
      <c r="AL281" s="388"/>
      <c r="AM281" s="177"/>
      <c r="AN281" s="388"/>
      <c r="AO281" s="177"/>
      <c r="AP281" s="388"/>
      <c r="AQ281" s="177"/>
      <c r="AR281" s="209" t="str">
        <f ca="1">IF(LEN(B281)&gt;0,ISNUMBER(MATCH(B281,Proposed[Item],0)),"")</f>
        <v/>
      </c>
    </row>
    <row r="282" spans="1:44" ht="15" x14ac:dyDescent="0.2">
      <c r="A282" s="276">
        <f t="shared" ca="1" si="4"/>
        <v>137</v>
      </c>
      <c r="B282" s="111" t="str">
        <f ca="1">IF($A282&lt;=NumPayItems,"Line "&amp;INDEX(Calcs[Line],$A282),"")</f>
        <v/>
      </c>
      <c r="C282" s="169" t="str">
        <f ca="1">IFERROR(IF($D282="LPSM","ALL",TEXT(INDEX(INDIRECT(RangeQuantity),MATCH($A282,INDIRECT(RangeCount),0)),"#,##0"&amp;IF(OFFSET(Items[],MATCH($A282,INDIRECT(RangeCount),0)-1,MATCH(Decimals,Items[#Headers],0)-1,1,1)&gt;0,"."&amp;REPT("0",OFFSET(Items[],MATCH($A282,INDIRECT(RangeCount),0)-1,MATCH(Decimals,Items[#Headers],0)-1,1,1)),""))),"")</f>
        <v/>
      </c>
      <c r="D282" s="170" t="str">
        <f ca="1">IFERROR(INDEX(INDIRECT(RangeUnit),MATCH($A282,INDIRECT(RangeCount),0)),"")</f>
        <v/>
      </c>
      <c r="E282" s="170" t="str">
        <f ca="1">IFERROR(IF(INDEX(INDIRECT(RangeContrQty),MATCH($A282,INDIRECT(RangeCount),0)),"(CQ)",""),"")</f>
        <v/>
      </c>
      <c r="F282" s="171" t="str">
        <f ca="1">IFERROR(INDEX(INDIRECT(RangeUnitPrice),MATCH($A282,INDIRECT(RangeCount),0)),"")</f>
        <v/>
      </c>
      <c r="G282" s="171" t="str">
        <f ca="1">IFERROR(VALUE(C282)*F282,F282)</f>
        <v/>
      </c>
      <c r="H282" s="388"/>
      <c r="I282" s="178" t="str">
        <f ca="1">IF($C282="","",IF($D282="LPSM",H281,VALUE($C282)*H281))</f>
        <v/>
      </c>
      <c r="J282" s="388"/>
      <c r="K282" s="178" t="str">
        <f ca="1">IF($C282="","",IF($D282="LPSM",J281,VALUE($C282)*J281))</f>
        <v/>
      </c>
      <c r="L282" s="388"/>
      <c r="M282" s="178" t="str">
        <f ca="1">IF($C282="","",IF($D282="LPSM",L281,VALUE($C282)*L281))</f>
        <v/>
      </c>
      <c r="N282" s="388"/>
      <c r="O282" s="178" t="str">
        <f ca="1">IF($C282="","",IF($D282="LPSM",N281,VALUE($C282)*N281))</f>
        <v/>
      </c>
      <c r="P282" s="388"/>
      <c r="Q282" s="178" t="str">
        <f ca="1">IF($C282="","",IF($D282="LPSM",P281,VALUE($C282)*P281))</f>
        <v/>
      </c>
      <c r="R282" s="388"/>
      <c r="S282" s="178" t="str">
        <f ca="1">IF($C282="","",IF($D282="LPSM",R281,VALUE($C282)*R281))</f>
        <v/>
      </c>
      <c r="T282" s="388"/>
      <c r="U282" s="178" t="str">
        <f ca="1">IF($C282="","",IF($D282="LPSM",T281,VALUE($C282)*T281))</f>
        <v/>
      </c>
      <c r="V282" s="388"/>
      <c r="W282" s="178" t="str">
        <f ca="1">IF($C282="","",IF($D282="LPSM",V281,VALUE($C282)*V281))</f>
        <v/>
      </c>
      <c r="X282" s="388"/>
      <c r="Y282" s="178" t="str">
        <f ca="1">IF($C282="","",IF($D282="LPSM",X281,VALUE($C282)*X281))</f>
        <v/>
      </c>
      <c r="Z282" s="388"/>
      <c r="AA282" s="178" t="str">
        <f ca="1">IF($C282="","",IF($D282="LPSM",Z281,VALUE($C282)*Z281))</f>
        <v/>
      </c>
      <c r="AB282" s="388"/>
      <c r="AC282" s="178" t="str">
        <f ca="1">IF($C282="","",IF($D282="LPSM",AB281,VALUE($C282)*AB281))</f>
        <v/>
      </c>
      <c r="AD282" s="388"/>
      <c r="AE282" s="178" t="str">
        <f ca="1">IF($C282="","",IF($D282="LPSM",AD281,VALUE($C282)*AD281))</f>
        <v/>
      </c>
      <c r="AF282" s="388"/>
      <c r="AG282" s="178" t="str">
        <f ca="1">IF($C282="","",IF($D282="LPSM",AF281,VALUE($C282)*AF281))</f>
        <v/>
      </c>
      <c r="AH282" s="388"/>
      <c r="AI282" s="178" t="str">
        <f ca="1">IF($C282="","",IF($D282="LPSM",AH281,VALUE($C282)*AH281))</f>
        <v/>
      </c>
      <c r="AJ282" s="388"/>
      <c r="AK282" s="178" t="str">
        <f ca="1">IF($C282="","",IF($D282="LPSM",AJ281,VALUE($C282)*AJ281))</f>
        <v/>
      </c>
      <c r="AL282" s="388"/>
      <c r="AM282" s="178" t="str">
        <f ca="1">IF($C282="","",IF($D282="LPSM",AL281,VALUE($C282)*AL281))</f>
        <v/>
      </c>
      <c r="AN282" s="388"/>
      <c r="AO282" s="178" t="str">
        <f ca="1">IF($C282="","",IF($D282="LPSM",AN281,VALUE($C282)*AN281))</f>
        <v/>
      </c>
      <c r="AP282" s="388"/>
      <c r="AQ282" s="178" t="str">
        <f ca="1">IF($C282="","",IF($D282="LPSM",AP281,VALUE($C282)*AP281))</f>
        <v/>
      </c>
      <c r="AR282" s="209" t="str">
        <f ca="1">IF(LEN(B282)&gt;0,ISNUMBER(MATCH(B282,Proposed[Item],0)),"")</f>
        <v/>
      </c>
    </row>
    <row r="283" spans="1:44" ht="15" x14ac:dyDescent="0.2">
      <c r="A283" s="276">
        <f t="shared" ca="1" si="4"/>
        <v>138</v>
      </c>
      <c r="B283" s="168" t="str">
        <f ca="1">IFERROR(INDEX(INDIRECT(RangeItems),MATCH($A283,INDIRECT(RangeCount),0)),"")</f>
        <v/>
      </c>
      <c r="C283" s="365" t="str">
        <f ca="1">INDEX(Calcs[Description],$A283)</f>
        <v/>
      </c>
      <c r="D283" s="365"/>
      <c r="E283" s="365"/>
      <c r="F283" s="365"/>
      <c r="G283" s="365"/>
      <c r="H283" s="388"/>
      <c r="I283" s="177"/>
      <c r="J283" s="388"/>
      <c r="K283" s="177"/>
      <c r="L283" s="388"/>
      <c r="M283" s="177"/>
      <c r="N283" s="388"/>
      <c r="O283" s="177"/>
      <c r="P283" s="388"/>
      <c r="Q283" s="177"/>
      <c r="R283" s="388"/>
      <c r="S283" s="177"/>
      <c r="T283" s="388"/>
      <c r="U283" s="177"/>
      <c r="V283" s="388"/>
      <c r="W283" s="177"/>
      <c r="X283" s="388"/>
      <c r="Y283" s="177"/>
      <c r="Z283" s="388"/>
      <c r="AA283" s="177"/>
      <c r="AB283" s="388"/>
      <c r="AC283" s="177"/>
      <c r="AD283" s="388"/>
      <c r="AE283" s="177"/>
      <c r="AF283" s="388"/>
      <c r="AG283" s="177"/>
      <c r="AH283" s="388"/>
      <c r="AI283" s="177"/>
      <c r="AJ283" s="388"/>
      <c r="AK283" s="177"/>
      <c r="AL283" s="388"/>
      <c r="AM283" s="177"/>
      <c r="AN283" s="388"/>
      <c r="AO283" s="177"/>
      <c r="AP283" s="388"/>
      <c r="AQ283" s="177"/>
      <c r="AR283" s="209" t="str">
        <f ca="1">IF(LEN(B283)&gt;0,ISNUMBER(MATCH(B283,Proposed[Item],0)),"")</f>
        <v/>
      </c>
    </row>
    <row r="284" spans="1:44" ht="15" x14ac:dyDescent="0.2">
      <c r="A284" s="276">
        <f t="shared" ca="1" si="4"/>
        <v>138</v>
      </c>
      <c r="B284" s="111" t="str">
        <f ca="1">IF($A284&lt;=NumPayItems,"Line "&amp;INDEX(Calcs[Line],$A284),"")</f>
        <v/>
      </c>
      <c r="C284" s="169" t="str">
        <f ca="1">IFERROR(IF($D284="LPSM","ALL",TEXT(INDEX(INDIRECT(RangeQuantity),MATCH($A284,INDIRECT(RangeCount),0)),"#,##0"&amp;IF(OFFSET(Items[],MATCH($A284,INDIRECT(RangeCount),0)-1,MATCH(Decimals,Items[#Headers],0)-1,1,1)&gt;0,"."&amp;REPT("0",OFFSET(Items[],MATCH($A284,INDIRECT(RangeCount),0)-1,MATCH(Decimals,Items[#Headers],0)-1,1,1)),""))),"")</f>
        <v/>
      </c>
      <c r="D284" s="170" t="str">
        <f ca="1">IFERROR(INDEX(INDIRECT(RangeUnit),MATCH($A284,INDIRECT(RangeCount),0)),"")</f>
        <v/>
      </c>
      <c r="E284" s="170" t="str">
        <f ca="1">IFERROR(IF(INDEX(INDIRECT(RangeContrQty),MATCH($A284,INDIRECT(RangeCount),0)),"(CQ)",""),"")</f>
        <v/>
      </c>
      <c r="F284" s="171" t="str">
        <f ca="1">IFERROR(INDEX(INDIRECT(RangeUnitPrice),MATCH($A284,INDIRECT(RangeCount),0)),"")</f>
        <v/>
      </c>
      <c r="G284" s="171" t="str">
        <f ca="1">IFERROR(VALUE(C284)*F284,F284)</f>
        <v/>
      </c>
      <c r="H284" s="388"/>
      <c r="I284" s="178" t="str">
        <f ca="1">IF($C284="","",IF($D284="LPSM",H283,VALUE($C284)*H283))</f>
        <v/>
      </c>
      <c r="J284" s="388"/>
      <c r="K284" s="178" t="str">
        <f ca="1">IF($C284="","",IF($D284="LPSM",J283,VALUE($C284)*J283))</f>
        <v/>
      </c>
      <c r="L284" s="388"/>
      <c r="M284" s="178" t="str">
        <f ca="1">IF($C284="","",IF($D284="LPSM",L283,VALUE($C284)*L283))</f>
        <v/>
      </c>
      <c r="N284" s="388"/>
      <c r="O284" s="178" t="str">
        <f ca="1">IF($C284="","",IF($D284="LPSM",N283,VALUE($C284)*N283))</f>
        <v/>
      </c>
      <c r="P284" s="388"/>
      <c r="Q284" s="178" t="str">
        <f ca="1">IF($C284="","",IF($D284="LPSM",P283,VALUE($C284)*P283))</f>
        <v/>
      </c>
      <c r="R284" s="388"/>
      <c r="S284" s="178" t="str">
        <f ca="1">IF($C284="","",IF($D284="LPSM",R283,VALUE($C284)*R283))</f>
        <v/>
      </c>
      <c r="T284" s="388"/>
      <c r="U284" s="178" t="str">
        <f ca="1">IF($C284="","",IF($D284="LPSM",T283,VALUE($C284)*T283))</f>
        <v/>
      </c>
      <c r="V284" s="388"/>
      <c r="W284" s="178" t="str">
        <f ca="1">IF($C284="","",IF($D284="LPSM",V283,VALUE($C284)*V283))</f>
        <v/>
      </c>
      <c r="X284" s="388"/>
      <c r="Y284" s="178" t="str">
        <f ca="1">IF($C284="","",IF($D284="LPSM",X283,VALUE($C284)*X283))</f>
        <v/>
      </c>
      <c r="Z284" s="388"/>
      <c r="AA284" s="178" t="str">
        <f ca="1">IF($C284="","",IF($D284="LPSM",Z283,VALUE($C284)*Z283))</f>
        <v/>
      </c>
      <c r="AB284" s="388"/>
      <c r="AC284" s="178" t="str">
        <f ca="1">IF($C284="","",IF($D284="LPSM",AB283,VALUE($C284)*AB283))</f>
        <v/>
      </c>
      <c r="AD284" s="388"/>
      <c r="AE284" s="178" t="str">
        <f ca="1">IF($C284="","",IF($D284="LPSM",AD283,VALUE($C284)*AD283))</f>
        <v/>
      </c>
      <c r="AF284" s="388"/>
      <c r="AG284" s="178" t="str">
        <f ca="1">IF($C284="","",IF($D284="LPSM",AF283,VALUE($C284)*AF283))</f>
        <v/>
      </c>
      <c r="AH284" s="388"/>
      <c r="AI284" s="178" t="str">
        <f ca="1">IF($C284="","",IF($D284="LPSM",AH283,VALUE($C284)*AH283))</f>
        <v/>
      </c>
      <c r="AJ284" s="388"/>
      <c r="AK284" s="178" t="str">
        <f ca="1">IF($C284="","",IF($D284="LPSM",AJ283,VALUE($C284)*AJ283))</f>
        <v/>
      </c>
      <c r="AL284" s="388"/>
      <c r="AM284" s="178" t="str">
        <f ca="1">IF($C284="","",IF($D284="LPSM",AL283,VALUE($C284)*AL283))</f>
        <v/>
      </c>
      <c r="AN284" s="388"/>
      <c r="AO284" s="178" t="str">
        <f ca="1">IF($C284="","",IF($D284="LPSM",AN283,VALUE($C284)*AN283))</f>
        <v/>
      </c>
      <c r="AP284" s="388"/>
      <c r="AQ284" s="178" t="str">
        <f ca="1">IF($C284="","",IF($D284="LPSM",AP283,VALUE($C284)*AP283))</f>
        <v/>
      </c>
      <c r="AR284" s="209" t="str">
        <f ca="1">IF(LEN(B284)&gt;0,ISNUMBER(MATCH(B284,Proposed[Item],0)),"")</f>
        <v/>
      </c>
    </row>
    <row r="285" spans="1:44" ht="15" x14ac:dyDescent="0.2">
      <c r="A285" s="276">
        <f t="shared" ca="1" si="4"/>
        <v>139</v>
      </c>
      <c r="B285" s="168" t="str">
        <f ca="1">IFERROR(INDEX(INDIRECT(RangeItems),MATCH($A285,INDIRECT(RangeCount),0)),"")</f>
        <v/>
      </c>
      <c r="C285" s="365" t="str">
        <f ca="1">INDEX(Calcs[Description],$A285)</f>
        <v/>
      </c>
      <c r="D285" s="365"/>
      <c r="E285" s="365"/>
      <c r="F285" s="365"/>
      <c r="G285" s="365"/>
      <c r="H285" s="388"/>
      <c r="I285" s="177"/>
      <c r="J285" s="388"/>
      <c r="K285" s="177"/>
      <c r="L285" s="388"/>
      <c r="M285" s="177"/>
      <c r="N285" s="388"/>
      <c r="O285" s="177"/>
      <c r="P285" s="388"/>
      <c r="Q285" s="177"/>
      <c r="R285" s="388"/>
      <c r="S285" s="177"/>
      <c r="T285" s="388"/>
      <c r="U285" s="177"/>
      <c r="V285" s="388"/>
      <c r="W285" s="177"/>
      <c r="X285" s="388"/>
      <c r="Y285" s="177"/>
      <c r="Z285" s="388"/>
      <c r="AA285" s="177"/>
      <c r="AB285" s="388"/>
      <c r="AC285" s="177"/>
      <c r="AD285" s="388"/>
      <c r="AE285" s="177"/>
      <c r="AF285" s="388"/>
      <c r="AG285" s="177"/>
      <c r="AH285" s="388"/>
      <c r="AI285" s="177"/>
      <c r="AJ285" s="388"/>
      <c r="AK285" s="177"/>
      <c r="AL285" s="388"/>
      <c r="AM285" s="177"/>
      <c r="AN285" s="388"/>
      <c r="AO285" s="177"/>
      <c r="AP285" s="388"/>
      <c r="AQ285" s="177"/>
      <c r="AR285" s="209" t="str">
        <f ca="1">IF(LEN(B285)&gt;0,ISNUMBER(MATCH(B285,Proposed[Item],0)),"")</f>
        <v/>
      </c>
    </row>
    <row r="286" spans="1:44" ht="15" x14ac:dyDescent="0.2">
      <c r="A286" s="276">
        <f t="shared" ca="1" si="4"/>
        <v>139</v>
      </c>
      <c r="B286" s="111" t="str">
        <f ca="1">IF($A286&lt;=NumPayItems,"Line "&amp;INDEX(Calcs[Line],$A286),"")</f>
        <v/>
      </c>
      <c r="C286" s="169" t="str">
        <f ca="1">IFERROR(IF($D286="LPSM","ALL",TEXT(INDEX(INDIRECT(RangeQuantity),MATCH($A286,INDIRECT(RangeCount),0)),"#,##0"&amp;IF(OFFSET(Items[],MATCH($A286,INDIRECT(RangeCount),0)-1,MATCH(Decimals,Items[#Headers],0)-1,1,1)&gt;0,"."&amp;REPT("0",OFFSET(Items[],MATCH($A286,INDIRECT(RangeCount),0)-1,MATCH(Decimals,Items[#Headers],0)-1,1,1)),""))),"")</f>
        <v/>
      </c>
      <c r="D286" s="170" t="str">
        <f ca="1">IFERROR(INDEX(INDIRECT(RangeUnit),MATCH($A286,INDIRECT(RangeCount),0)),"")</f>
        <v/>
      </c>
      <c r="E286" s="170" t="str">
        <f ca="1">IFERROR(IF(INDEX(INDIRECT(RangeContrQty),MATCH($A286,INDIRECT(RangeCount),0)),"(CQ)",""),"")</f>
        <v/>
      </c>
      <c r="F286" s="171" t="str">
        <f ca="1">IFERROR(INDEX(INDIRECT(RangeUnitPrice),MATCH($A286,INDIRECT(RangeCount),0)),"")</f>
        <v/>
      </c>
      <c r="G286" s="171" t="str">
        <f ca="1">IFERROR(VALUE(C286)*F286,F286)</f>
        <v/>
      </c>
      <c r="H286" s="388"/>
      <c r="I286" s="178" t="str">
        <f ca="1">IF($C286="","",IF($D286="LPSM",H285,VALUE($C286)*H285))</f>
        <v/>
      </c>
      <c r="J286" s="388"/>
      <c r="K286" s="178" t="str">
        <f ca="1">IF($C286="","",IF($D286="LPSM",J285,VALUE($C286)*J285))</f>
        <v/>
      </c>
      <c r="L286" s="388"/>
      <c r="M286" s="178" t="str">
        <f ca="1">IF($C286="","",IF($D286="LPSM",L285,VALUE($C286)*L285))</f>
        <v/>
      </c>
      <c r="N286" s="388"/>
      <c r="O286" s="178" t="str">
        <f ca="1">IF($C286="","",IF($D286="LPSM",N285,VALUE($C286)*N285))</f>
        <v/>
      </c>
      <c r="P286" s="388"/>
      <c r="Q286" s="178" t="str">
        <f ca="1">IF($C286="","",IF($D286="LPSM",P285,VALUE($C286)*P285))</f>
        <v/>
      </c>
      <c r="R286" s="388"/>
      <c r="S286" s="178" t="str">
        <f ca="1">IF($C286="","",IF($D286="LPSM",R285,VALUE($C286)*R285))</f>
        <v/>
      </c>
      <c r="T286" s="388"/>
      <c r="U286" s="178" t="str">
        <f ca="1">IF($C286="","",IF($D286="LPSM",T285,VALUE($C286)*T285))</f>
        <v/>
      </c>
      <c r="V286" s="388"/>
      <c r="W286" s="178" t="str">
        <f ca="1">IF($C286="","",IF($D286="LPSM",V285,VALUE($C286)*V285))</f>
        <v/>
      </c>
      <c r="X286" s="388"/>
      <c r="Y286" s="178" t="str">
        <f ca="1">IF($C286="","",IF($D286="LPSM",X285,VALUE($C286)*X285))</f>
        <v/>
      </c>
      <c r="Z286" s="388"/>
      <c r="AA286" s="178" t="str">
        <f ca="1">IF($C286="","",IF($D286="LPSM",Z285,VALUE($C286)*Z285))</f>
        <v/>
      </c>
      <c r="AB286" s="388"/>
      <c r="AC286" s="178" t="str">
        <f ca="1">IF($C286="","",IF($D286="LPSM",AB285,VALUE($C286)*AB285))</f>
        <v/>
      </c>
      <c r="AD286" s="388"/>
      <c r="AE286" s="178" t="str">
        <f ca="1">IF($C286="","",IF($D286="LPSM",AD285,VALUE($C286)*AD285))</f>
        <v/>
      </c>
      <c r="AF286" s="388"/>
      <c r="AG286" s="178" t="str">
        <f ca="1">IF($C286="","",IF($D286="LPSM",AF285,VALUE($C286)*AF285))</f>
        <v/>
      </c>
      <c r="AH286" s="388"/>
      <c r="AI286" s="178" t="str">
        <f ca="1">IF($C286="","",IF($D286="LPSM",AH285,VALUE($C286)*AH285))</f>
        <v/>
      </c>
      <c r="AJ286" s="388"/>
      <c r="AK286" s="178" t="str">
        <f ca="1">IF($C286="","",IF($D286="LPSM",AJ285,VALUE($C286)*AJ285))</f>
        <v/>
      </c>
      <c r="AL286" s="388"/>
      <c r="AM286" s="178" t="str">
        <f ca="1">IF($C286="","",IF($D286="LPSM",AL285,VALUE($C286)*AL285))</f>
        <v/>
      </c>
      <c r="AN286" s="388"/>
      <c r="AO286" s="178" t="str">
        <f ca="1">IF($C286="","",IF($D286="LPSM",AN285,VALUE($C286)*AN285))</f>
        <v/>
      </c>
      <c r="AP286" s="388"/>
      <c r="AQ286" s="178" t="str">
        <f ca="1">IF($C286="","",IF($D286="LPSM",AP285,VALUE($C286)*AP285))</f>
        <v/>
      </c>
      <c r="AR286" s="209" t="str">
        <f ca="1">IF(LEN(B286)&gt;0,ISNUMBER(MATCH(B286,Proposed[Item],0)),"")</f>
        <v/>
      </c>
    </row>
    <row r="287" spans="1:44" ht="15" x14ac:dyDescent="0.2">
      <c r="A287" s="276">
        <f t="shared" ca="1" si="4"/>
        <v>140</v>
      </c>
      <c r="B287" s="168" t="str">
        <f ca="1">IFERROR(INDEX(INDIRECT(RangeItems),MATCH($A287,INDIRECT(RangeCount),0)),"")</f>
        <v/>
      </c>
      <c r="C287" s="365" t="str">
        <f ca="1">INDEX(Calcs[Description],$A287)</f>
        <v/>
      </c>
      <c r="D287" s="365"/>
      <c r="E287" s="365"/>
      <c r="F287" s="365"/>
      <c r="G287" s="365"/>
      <c r="H287" s="388"/>
      <c r="I287" s="177"/>
      <c r="J287" s="388"/>
      <c r="K287" s="177"/>
      <c r="L287" s="388"/>
      <c r="M287" s="177"/>
      <c r="N287" s="388"/>
      <c r="O287" s="177"/>
      <c r="P287" s="388"/>
      <c r="Q287" s="177"/>
      <c r="R287" s="388"/>
      <c r="S287" s="177"/>
      <c r="T287" s="388"/>
      <c r="U287" s="177"/>
      <c r="V287" s="388"/>
      <c r="W287" s="177"/>
      <c r="X287" s="388"/>
      <c r="Y287" s="177"/>
      <c r="Z287" s="388"/>
      <c r="AA287" s="177"/>
      <c r="AB287" s="388"/>
      <c r="AC287" s="177"/>
      <c r="AD287" s="388"/>
      <c r="AE287" s="177"/>
      <c r="AF287" s="388"/>
      <c r="AG287" s="177"/>
      <c r="AH287" s="388"/>
      <c r="AI287" s="177"/>
      <c r="AJ287" s="388"/>
      <c r="AK287" s="177"/>
      <c r="AL287" s="388"/>
      <c r="AM287" s="177"/>
      <c r="AN287" s="388"/>
      <c r="AO287" s="177"/>
      <c r="AP287" s="388"/>
      <c r="AQ287" s="177"/>
      <c r="AR287" s="209" t="str">
        <f ca="1">IF(LEN(B287)&gt;0,ISNUMBER(MATCH(B287,Proposed[Item],0)),"")</f>
        <v/>
      </c>
    </row>
    <row r="288" spans="1:44" ht="15" x14ac:dyDescent="0.2">
      <c r="A288" s="276">
        <f t="shared" ca="1" si="4"/>
        <v>140</v>
      </c>
      <c r="B288" s="111" t="str">
        <f ca="1">IF($A288&lt;=NumPayItems,"Line "&amp;INDEX(Calcs[Line],$A288),"")</f>
        <v/>
      </c>
      <c r="C288" s="169" t="str">
        <f ca="1">IFERROR(IF($D288="LPSM","ALL",TEXT(INDEX(INDIRECT(RangeQuantity),MATCH($A288,INDIRECT(RangeCount),0)),"#,##0"&amp;IF(OFFSET(Items[],MATCH($A288,INDIRECT(RangeCount),0)-1,MATCH(Decimals,Items[#Headers],0)-1,1,1)&gt;0,"."&amp;REPT("0",OFFSET(Items[],MATCH($A288,INDIRECT(RangeCount),0)-1,MATCH(Decimals,Items[#Headers],0)-1,1,1)),""))),"")</f>
        <v/>
      </c>
      <c r="D288" s="170" t="str">
        <f ca="1">IFERROR(INDEX(INDIRECT(RangeUnit),MATCH($A288,INDIRECT(RangeCount),0)),"")</f>
        <v/>
      </c>
      <c r="E288" s="170" t="str">
        <f ca="1">IFERROR(IF(INDEX(INDIRECT(RangeContrQty),MATCH($A288,INDIRECT(RangeCount),0)),"(CQ)",""),"")</f>
        <v/>
      </c>
      <c r="F288" s="171" t="str">
        <f ca="1">IFERROR(INDEX(INDIRECT(RangeUnitPrice),MATCH($A288,INDIRECT(RangeCount),0)),"")</f>
        <v/>
      </c>
      <c r="G288" s="171" t="str">
        <f ca="1">IFERROR(VALUE(C288)*F288,F288)</f>
        <v/>
      </c>
      <c r="H288" s="388"/>
      <c r="I288" s="178" t="str">
        <f ca="1">IF($C288="","",IF($D288="LPSM",H287,VALUE($C288)*H287))</f>
        <v/>
      </c>
      <c r="J288" s="388"/>
      <c r="K288" s="178" t="str">
        <f ca="1">IF($C288="","",IF($D288="LPSM",J287,VALUE($C288)*J287))</f>
        <v/>
      </c>
      <c r="L288" s="388"/>
      <c r="M288" s="178" t="str">
        <f ca="1">IF($C288="","",IF($D288="LPSM",L287,VALUE($C288)*L287))</f>
        <v/>
      </c>
      <c r="N288" s="388"/>
      <c r="O288" s="178" t="str">
        <f ca="1">IF($C288="","",IF($D288="LPSM",N287,VALUE($C288)*N287))</f>
        <v/>
      </c>
      <c r="P288" s="388"/>
      <c r="Q288" s="178" t="str">
        <f ca="1">IF($C288="","",IF($D288="LPSM",P287,VALUE($C288)*P287))</f>
        <v/>
      </c>
      <c r="R288" s="388"/>
      <c r="S288" s="178" t="str">
        <f ca="1">IF($C288="","",IF($D288="LPSM",R287,VALUE($C288)*R287))</f>
        <v/>
      </c>
      <c r="T288" s="388"/>
      <c r="U288" s="178" t="str">
        <f ca="1">IF($C288="","",IF($D288="LPSM",T287,VALUE($C288)*T287))</f>
        <v/>
      </c>
      <c r="V288" s="388"/>
      <c r="W288" s="178" t="str">
        <f ca="1">IF($C288="","",IF($D288="LPSM",V287,VALUE($C288)*V287))</f>
        <v/>
      </c>
      <c r="X288" s="388"/>
      <c r="Y288" s="178" t="str">
        <f ca="1">IF($C288="","",IF($D288="LPSM",X287,VALUE($C288)*X287))</f>
        <v/>
      </c>
      <c r="Z288" s="388"/>
      <c r="AA288" s="178" t="str">
        <f ca="1">IF($C288="","",IF($D288="LPSM",Z287,VALUE($C288)*Z287))</f>
        <v/>
      </c>
      <c r="AB288" s="388"/>
      <c r="AC288" s="178" t="str">
        <f ca="1">IF($C288="","",IF($D288="LPSM",AB287,VALUE($C288)*AB287))</f>
        <v/>
      </c>
      <c r="AD288" s="388"/>
      <c r="AE288" s="178" t="str">
        <f ca="1">IF($C288="","",IF($D288="LPSM",AD287,VALUE($C288)*AD287))</f>
        <v/>
      </c>
      <c r="AF288" s="388"/>
      <c r="AG288" s="178" t="str">
        <f ca="1">IF($C288="","",IF($D288="LPSM",AF287,VALUE($C288)*AF287))</f>
        <v/>
      </c>
      <c r="AH288" s="388"/>
      <c r="AI288" s="178" t="str">
        <f ca="1">IF($C288="","",IF($D288="LPSM",AH287,VALUE($C288)*AH287))</f>
        <v/>
      </c>
      <c r="AJ288" s="388"/>
      <c r="AK288" s="178" t="str">
        <f ca="1">IF($C288="","",IF($D288="LPSM",AJ287,VALUE($C288)*AJ287))</f>
        <v/>
      </c>
      <c r="AL288" s="388"/>
      <c r="AM288" s="178" t="str">
        <f ca="1">IF($C288="","",IF($D288="LPSM",AL287,VALUE($C288)*AL287))</f>
        <v/>
      </c>
      <c r="AN288" s="388"/>
      <c r="AO288" s="178" t="str">
        <f ca="1">IF($C288="","",IF($D288="LPSM",AN287,VALUE($C288)*AN287))</f>
        <v/>
      </c>
      <c r="AP288" s="388"/>
      <c r="AQ288" s="178" t="str">
        <f ca="1">IF($C288="","",IF($D288="LPSM",AP287,VALUE($C288)*AP287))</f>
        <v/>
      </c>
      <c r="AR288" s="209" t="str">
        <f ca="1">IF(LEN(B288)&gt;0,ISNUMBER(MATCH(B288,Proposed[Item],0)),"")</f>
        <v/>
      </c>
    </row>
    <row r="289" spans="1:44" ht="15" x14ac:dyDescent="0.2">
      <c r="A289" s="276">
        <f t="shared" ca="1" si="4"/>
        <v>141</v>
      </c>
      <c r="B289" s="168" t="str">
        <f ca="1">IFERROR(INDEX(INDIRECT(RangeItems),MATCH($A289,INDIRECT(RangeCount),0)),"")</f>
        <v/>
      </c>
      <c r="C289" s="365" t="str">
        <f ca="1">INDEX(Calcs[Description],$A289)</f>
        <v/>
      </c>
      <c r="D289" s="365"/>
      <c r="E289" s="365"/>
      <c r="F289" s="365"/>
      <c r="G289" s="365"/>
      <c r="H289" s="388"/>
      <c r="I289" s="177"/>
      <c r="J289" s="388"/>
      <c r="K289" s="177"/>
      <c r="L289" s="388"/>
      <c r="M289" s="177"/>
      <c r="N289" s="388"/>
      <c r="O289" s="177"/>
      <c r="P289" s="388"/>
      <c r="Q289" s="177"/>
      <c r="R289" s="388"/>
      <c r="S289" s="177"/>
      <c r="T289" s="388"/>
      <c r="U289" s="177"/>
      <c r="V289" s="388"/>
      <c r="W289" s="177"/>
      <c r="X289" s="388"/>
      <c r="Y289" s="177"/>
      <c r="Z289" s="388"/>
      <c r="AA289" s="177"/>
      <c r="AB289" s="388"/>
      <c r="AC289" s="177"/>
      <c r="AD289" s="388"/>
      <c r="AE289" s="177"/>
      <c r="AF289" s="388"/>
      <c r="AG289" s="177"/>
      <c r="AH289" s="388"/>
      <c r="AI289" s="177"/>
      <c r="AJ289" s="388"/>
      <c r="AK289" s="177"/>
      <c r="AL289" s="388"/>
      <c r="AM289" s="177"/>
      <c r="AN289" s="388"/>
      <c r="AO289" s="177"/>
      <c r="AP289" s="388"/>
      <c r="AQ289" s="177"/>
      <c r="AR289" s="209" t="str">
        <f ca="1">IF(LEN(B289)&gt;0,ISNUMBER(MATCH(B289,Proposed[Item],0)),"")</f>
        <v/>
      </c>
    </row>
    <row r="290" spans="1:44" ht="15" x14ac:dyDescent="0.2">
      <c r="A290" s="276">
        <f t="shared" ca="1" si="4"/>
        <v>141</v>
      </c>
      <c r="B290" s="111" t="str">
        <f ca="1">IF($A290&lt;=NumPayItems,"Line "&amp;INDEX(Calcs[Line],$A290),"")</f>
        <v/>
      </c>
      <c r="C290" s="169" t="str">
        <f ca="1">IFERROR(IF($D290="LPSM","ALL",TEXT(INDEX(INDIRECT(RangeQuantity),MATCH($A290,INDIRECT(RangeCount),0)),"#,##0"&amp;IF(OFFSET(Items[],MATCH($A290,INDIRECT(RangeCount),0)-1,MATCH(Decimals,Items[#Headers],0)-1,1,1)&gt;0,"."&amp;REPT("0",OFFSET(Items[],MATCH($A290,INDIRECT(RangeCount),0)-1,MATCH(Decimals,Items[#Headers],0)-1,1,1)),""))),"")</f>
        <v/>
      </c>
      <c r="D290" s="170" t="str">
        <f ca="1">IFERROR(INDEX(INDIRECT(RangeUnit),MATCH($A290,INDIRECT(RangeCount),0)),"")</f>
        <v/>
      </c>
      <c r="E290" s="170" t="str">
        <f ca="1">IFERROR(IF(INDEX(INDIRECT(RangeContrQty),MATCH($A290,INDIRECT(RangeCount),0)),"(CQ)",""),"")</f>
        <v/>
      </c>
      <c r="F290" s="171" t="str">
        <f ca="1">IFERROR(INDEX(INDIRECT(RangeUnitPrice),MATCH($A290,INDIRECT(RangeCount),0)),"")</f>
        <v/>
      </c>
      <c r="G290" s="171" t="str">
        <f ca="1">IFERROR(VALUE(C290)*F290,F290)</f>
        <v/>
      </c>
      <c r="H290" s="388"/>
      <c r="I290" s="178" t="str">
        <f ca="1">IF($C290="","",IF($D290="LPSM",H289,VALUE($C290)*H289))</f>
        <v/>
      </c>
      <c r="J290" s="388"/>
      <c r="K290" s="178" t="str">
        <f ca="1">IF($C290="","",IF($D290="LPSM",J289,VALUE($C290)*J289))</f>
        <v/>
      </c>
      <c r="L290" s="388"/>
      <c r="M290" s="178" t="str">
        <f ca="1">IF($C290="","",IF($D290="LPSM",L289,VALUE($C290)*L289))</f>
        <v/>
      </c>
      <c r="N290" s="388"/>
      <c r="O290" s="178" t="str">
        <f ca="1">IF($C290="","",IF($D290="LPSM",N289,VALUE($C290)*N289))</f>
        <v/>
      </c>
      <c r="P290" s="388"/>
      <c r="Q290" s="178" t="str">
        <f ca="1">IF($C290="","",IF($D290="LPSM",P289,VALUE($C290)*P289))</f>
        <v/>
      </c>
      <c r="R290" s="388"/>
      <c r="S290" s="178" t="str">
        <f ca="1">IF($C290="","",IF($D290="LPSM",R289,VALUE($C290)*R289))</f>
        <v/>
      </c>
      <c r="T290" s="388"/>
      <c r="U290" s="178" t="str">
        <f ca="1">IF($C290="","",IF($D290="LPSM",T289,VALUE($C290)*T289))</f>
        <v/>
      </c>
      <c r="V290" s="388"/>
      <c r="W290" s="178" t="str">
        <f ca="1">IF($C290="","",IF($D290="LPSM",V289,VALUE($C290)*V289))</f>
        <v/>
      </c>
      <c r="X290" s="388"/>
      <c r="Y290" s="178" t="str">
        <f ca="1">IF($C290="","",IF($D290="LPSM",X289,VALUE($C290)*X289))</f>
        <v/>
      </c>
      <c r="Z290" s="388"/>
      <c r="AA290" s="178" t="str">
        <f ca="1">IF($C290="","",IF($D290="LPSM",Z289,VALUE($C290)*Z289))</f>
        <v/>
      </c>
      <c r="AB290" s="388"/>
      <c r="AC290" s="178" t="str">
        <f ca="1">IF($C290="","",IF($D290="LPSM",AB289,VALUE($C290)*AB289))</f>
        <v/>
      </c>
      <c r="AD290" s="388"/>
      <c r="AE290" s="178" t="str">
        <f ca="1">IF($C290="","",IF($D290="LPSM",AD289,VALUE($C290)*AD289))</f>
        <v/>
      </c>
      <c r="AF290" s="388"/>
      <c r="AG290" s="178" t="str">
        <f ca="1">IF($C290="","",IF($D290="LPSM",AF289,VALUE($C290)*AF289))</f>
        <v/>
      </c>
      <c r="AH290" s="388"/>
      <c r="AI290" s="178" t="str">
        <f ca="1">IF($C290="","",IF($D290="LPSM",AH289,VALUE($C290)*AH289))</f>
        <v/>
      </c>
      <c r="AJ290" s="388"/>
      <c r="AK290" s="178" t="str">
        <f ca="1">IF($C290="","",IF($D290="LPSM",AJ289,VALUE($C290)*AJ289))</f>
        <v/>
      </c>
      <c r="AL290" s="388"/>
      <c r="AM290" s="178" t="str">
        <f ca="1">IF($C290="","",IF($D290="LPSM",AL289,VALUE($C290)*AL289))</f>
        <v/>
      </c>
      <c r="AN290" s="388"/>
      <c r="AO290" s="178" t="str">
        <f ca="1">IF($C290="","",IF($D290="LPSM",AN289,VALUE($C290)*AN289))</f>
        <v/>
      </c>
      <c r="AP290" s="388"/>
      <c r="AQ290" s="178" t="str">
        <f ca="1">IF($C290="","",IF($D290="LPSM",AP289,VALUE($C290)*AP289))</f>
        <v/>
      </c>
      <c r="AR290" s="209" t="str">
        <f ca="1">IF(LEN(B290)&gt;0,ISNUMBER(MATCH(B290,Proposed[Item],0)),"")</f>
        <v/>
      </c>
    </row>
    <row r="291" spans="1:44" ht="15" x14ac:dyDescent="0.2">
      <c r="A291" s="276">
        <f t="shared" ca="1" si="4"/>
        <v>142</v>
      </c>
      <c r="B291" s="168" t="str">
        <f ca="1">IFERROR(INDEX(INDIRECT(RangeItems),MATCH($A291,INDIRECT(RangeCount),0)),"")</f>
        <v/>
      </c>
      <c r="C291" s="365" t="str">
        <f ca="1">INDEX(Calcs[Description],$A291)</f>
        <v/>
      </c>
      <c r="D291" s="365"/>
      <c r="E291" s="365"/>
      <c r="F291" s="365"/>
      <c r="G291" s="365"/>
      <c r="H291" s="388"/>
      <c r="I291" s="177"/>
      <c r="J291" s="388"/>
      <c r="K291" s="177"/>
      <c r="L291" s="388"/>
      <c r="M291" s="177"/>
      <c r="N291" s="388"/>
      <c r="O291" s="177"/>
      <c r="P291" s="388"/>
      <c r="Q291" s="177"/>
      <c r="R291" s="388"/>
      <c r="S291" s="177"/>
      <c r="T291" s="388"/>
      <c r="U291" s="177"/>
      <c r="V291" s="388"/>
      <c r="W291" s="177"/>
      <c r="X291" s="388"/>
      <c r="Y291" s="177"/>
      <c r="Z291" s="388"/>
      <c r="AA291" s="177"/>
      <c r="AB291" s="388"/>
      <c r="AC291" s="177"/>
      <c r="AD291" s="388"/>
      <c r="AE291" s="177"/>
      <c r="AF291" s="388"/>
      <c r="AG291" s="177"/>
      <c r="AH291" s="388"/>
      <c r="AI291" s="177"/>
      <c r="AJ291" s="388"/>
      <c r="AK291" s="177"/>
      <c r="AL291" s="388"/>
      <c r="AM291" s="177"/>
      <c r="AN291" s="388"/>
      <c r="AO291" s="177"/>
      <c r="AP291" s="388"/>
      <c r="AQ291" s="177"/>
      <c r="AR291" s="209" t="str">
        <f ca="1">IF(LEN(B291)&gt;0,ISNUMBER(MATCH(B291,Proposed[Item],0)),"")</f>
        <v/>
      </c>
    </row>
    <row r="292" spans="1:44" ht="15" x14ac:dyDescent="0.2">
      <c r="A292" s="276">
        <f t="shared" ca="1" si="4"/>
        <v>142</v>
      </c>
      <c r="B292" s="111" t="str">
        <f ca="1">IF($A292&lt;=NumPayItems,"Line "&amp;INDEX(Calcs[Line],$A292),"")</f>
        <v/>
      </c>
      <c r="C292" s="169" t="str">
        <f ca="1">IFERROR(IF($D292="LPSM","ALL",TEXT(INDEX(INDIRECT(RangeQuantity),MATCH($A292,INDIRECT(RangeCount),0)),"#,##0"&amp;IF(OFFSET(Items[],MATCH($A292,INDIRECT(RangeCount),0)-1,MATCH(Decimals,Items[#Headers],0)-1,1,1)&gt;0,"."&amp;REPT("0",OFFSET(Items[],MATCH($A292,INDIRECT(RangeCount),0)-1,MATCH(Decimals,Items[#Headers],0)-1,1,1)),""))),"")</f>
        <v/>
      </c>
      <c r="D292" s="170" t="str">
        <f ca="1">IFERROR(INDEX(INDIRECT(RangeUnit),MATCH($A292,INDIRECT(RangeCount),0)),"")</f>
        <v/>
      </c>
      <c r="E292" s="170" t="str">
        <f ca="1">IFERROR(IF(INDEX(INDIRECT(RangeContrQty),MATCH($A292,INDIRECT(RangeCount),0)),"(CQ)",""),"")</f>
        <v/>
      </c>
      <c r="F292" s="171" t="str">
        <f ca="1">IFERROR(INDEX(INDIRECT(RangeUnitPrice),MATCH($A292,INDIRECT(RangeCount),0)),"")</f>
        <v/>
      </c>
      <c r="G292" s="171" t="str">
        <f ca="1">IFERROR(VALUE(C292)*F292,F292)</f>
        <v/>
      </c>
      <c r="H292" s="388"/>
      <c r="I292" s="178" t="str">
        <f ca="1">IF($C292="","",IF($D292="LPSM",H291,VALUE($C292)*H291))</f>
        <v/>
      </c>
      <c r="J292" s="388"/>
      <c r="K292" s="178" t="str">
        <f ca="1">IF($C292="","",IF($D292="LPSM",J291,VALUE($C292)*J291))</f>
        <v/>
      </c>
      <c r="L292" s="388"/>
      <c r="M292" s="178" t="str">
        <f ca="1">IF($C292="","",IF($D292="LPSM",L291,VALUE($C292)*L291))</f>
        <v/>
      </c>
      <c r="N292" s="388"/>
      <c r="O292" s="178" t="str">
        <f ca="1">IF($C292="","",IF($D292="LPSM",N291,VALUE($C292)*N291))</f>
        <v/>
      </c>
      <c r="P292" s="388"/>
      <c r="Q292" s="178" t="str">
        <f ca="1">IF($C292="","",IF($D292="LPSM",P291,VALUE($C292)*P291))</f>
        <v/>
      </c>
      <c r="R292" s="388"/>
      <c r="S292" s="178" t="str">
        <f ca="1">IF($C292="","",IF($D292="LPSM",R291,VALUE($C292)*R291))</f>
        <v/>
      </c>
      <c r="T292" s="388"/>
      <c r="U292" s="178" t="str">
        <f ca="1">IF($C292="","",IF($D292="LPSM",T291,VALUE($C292)*T291))</f>
        <v/>
      </c>
      <c r="V292" s="388"/>
      <c r="W292" s="178" t="str">
        <f ca="1">IF($C292="","",IF($D292="LPSM",V291,VALUE($C292)*V291))</f>
        <v/>
      </c>
      <c r="X292" s="388"/>
      <c r="Y292" s="178" t="str">
        <f ca="1">IF($C292="","",IF($D292="LPSM",X291,VALUE($C292)*X291))</f>
        <v/>
      </c>
      <c r="Z292" s="388"/>
      <c r="AA292" s="178" t="str">
        <f ca="1">IF($C292="","",IF($D292="LPSM",Z291,VALUE($C292)*Z291))</f>
        <v/>
      </c>
      <c r="AB292" s="388"/>
      <c r="AC292" s="178" t="str">
        <f ca="1">IF($C292="","",IF($D292="LPSM",AB291,VALUE($C292)*AB291))</f>
        <v/>
      </c>
      <c r="AD292" s="388"/>
      <c r="AE292" s="178" t="str">
        <f ca="1">IF($C292="","",IF($D292="LPSM",AD291,VALUE($C292)*AD291))</f>
        <v/>
      </c>
      <c r="AF292" s="388"/>
      <c r="AG292" s="178" t="str">
        <f ca="1">IF($C292="","",IF($D292="LPSM",AF291,VALUE($C292)*AF291))</f>
        <v/>
      </c>
      <c r="AH292" s="388"/>
      <c r="AI292" s="178" t="str">
        <f ca="1">IF($C292="","",IF($D292="LPSM",AH291,VALUE($C292)*AH291))</f>
        <v/>
      </c>
      <c r="AJ292" s="388"/>
      <c r="AK292" s="178" t="str">
        <f ca="1">IF($C292="","",IF($D292="LPSM",AJ291,VALUE($C292)*AJ291))</f>
        <v/>
      </c>
      <c r="AL292" s="388"/>
      <c r="AM292" s="178" t="str">
        <f ca="1">IF($C292="","",IF($D292="LPSM",AL291,VALUE($C292)*AL291))</f>
        <v/>
      </c>
      <c r="AN292" s="388"/>
      <c r="AO292" s="178" t="str">
        <f ca="1">IF($C292="","",IF($D292="LPSM",AN291,VALUE($C292)*AN291))</f>
        <v/>
      </c>
      <c r="AP292" s="388"/>
      <c r="AQ292" s="178" t="str">
        <f ca="1">IF($C292="","",IF($D292="LPSM",AP291,VALUE($C292)*AP291))</f>
        <v/>
      </c>
      <c r="AR292" s="209" t="str">
        <f ca="1">IF(LEN(B292)&gt;0,ISNUMBER(MATCH(B292,Proposed[Item],0)),"")</f>
        <v/>
      </c>
    </row>
    <row r="293" spans="1:44" ht="15" x14ac:dyDescent="0.2">
      <c r="A293" s="276">
        <f t="shared" ca="1" si="4"/>
        <v>143</v>
      </c>
      <c r="B293" s="168" t="str">
        <f ca="1">IFERROR(INDEX(INDIRECT(RangeItems),MATCH($A293,INDIRECT(RangeCount),0)),"")</f>
        <v/>
      </c>
      <c r="C293" s="365" t="str">
        <f ca="1">INDEX(Calcs[Description],$A293)</f>
        <v/>
      </c>
      <c r="D293" s="365"/>
      <c r="E293" s="365"/>
      <c r="F293" s="365"/>
      <c r="G293" s="365"/>
      <c r="H293" s="388"/>
      <c r="I293" s="177"/>
      <c r="J293" s="388"/>
      <c r="K293" s="177"/>
      <c r="L293" s="388"/>
      <c r="M293" s="177"/>
      <c r="N293" s="388"/>
      <c r="O293" s="177"/>
      <c r="P293" s="388"/>
      <c r="Q293" s="177"/>
      <c r="R293" s="388"/>
      <c r="S293" s="177"/>
      <c r="T293" s="388"/>
      <c r="U293" s="177"/>
      <c r="V293" s="388"/>
      <c r="W293" s="177"/>
      <c r="X293" s="388"/>
      <c r="Y293" s="177"/>
      <c r="Z293" s="388"/>
      <c r="AA293" s="177"/>
      <c r="AB293" s="388"/>
      <c r="AC293" s="177"/>
      <c r="AD293" s="388"/>
      <c r="AE293" s="177"/>
      <c r="AF293" s="388"/>
      <c r="AG293" s="177"/>
      <c r="AH293" s="388"/>
      <c r="AI293" s="177"/>
      <c r="AJ293" s="388"/>
      <c r="AK293" s="177"/>
      <c r="AL293" s="388"/>
      <c r="AM293" s="177"/>
      <c r="AN293" s="388"/>
      <c r="AO293" s="177"/>
      <c r="AP293" s="388"/>
      <c r="AQ293" s="177"/>
      <c r="AR293" s="209" t="str">
        <f ca="1">IF(LEN(B293)&gt;0,ISNUMBER(MATCH(B293,Proposed[Item],0)),"")</f>
        <v/>
      </c>
    </row>
    <row r="294" spans="1:44" ht="15" x14ac:dyDescent="0.2">
      <c r="A294" s="276">
        <f t="shared" ca="1" si="4"/>
        <v>143</v>
      </c>
      <c r="B294" s="111" t="str">
        <f ca="1">IF($A294&lt;=NumPayItems,"Line "&amp;INDEX(Calcs[Line],$A294),"")</f>
        <v/>
      </c>
      <c r="C294" s="169" t="str">
        <f ca="1">IFERROR(IF($D294="LPSM","ALL",TEXT(INDEX(INDIRECT(RangeQuantity),MATCH($A294,INDIRECT(RangeCount),0)),"#,##0"&amp;IF(OFFSET(Items[],MATCH($A294,INDIRECT(RangeCount),0)-1,MATCH(Decimals,Items[#Headers],0)-1,1,1)&gt;0,"."&amp;REPT("0",OFFSET(Items[],MATCH($A294,INDIRECT(RangeCount),0)-1,MATCH(Decimals,Items[#Headers],0)-1,1,1)),""))),"")</f>
        <v/>
      </c>
      <c r="D294" s="170" t="str">
        <f ca="1">IFERROR(INDEX(INDIRECT(RangeUnit),MATCH($A294,INDIRECT(RangeCount),0)),"")</f>
        <v/>
      </c>
      <c r="E294" s="170" t="str">
        <f ca="1">IFERROR(IF(INDEX(INDIRECT(RangeContrQty),MATCH($A294,INDIRECT(RangeCount),0)),"(CQ)",""),"")</f>
        <v/>
      </c>
      <c r="F294" s="171" t="str">
        <f ca="1">IFERROR(INDEX(INDIRECT(RangeUnitPrice),MATCH($A294,INDIRECT(RangeCount),0)),"")</f>
        <v/>
      </c>
      <c r="G294" s="171" t="str">
        <f ca="1">IFERROR(VALUE(C294)*F294,F294)</f>
        <v/>
      </c>
      <c r="H294" s="388"/>
      <c r="I294" s="178" t="str">
        <f ca="1">IF($C294="","",IF($D294="LPSM",H293,VALUE($C294)*H293))</f>
        <v/>
      </c>
      <c r="J294" s="388"/>
      <c r="K294" s="178" t="str">
        <f ca="1">IF($C294="","",IF($D294="LPSM",J293,VALUE($C294)*J293))</f>
        <v/>
      </c>
      <c r="L294" s="388"/>
      <c r="M294" s="178" t="str">
        <f ca="1">IF($C294="","",IF($D294="LPSM",L293,VALUE($C294)*L293))</f>
        <v/>
      </c>
      <c r="N294" s="388"/>
      <c r="O294" s="178" t="str">
        <f ca="1">IF($C294="","",IF($D294="LPSM",N293,VALUE($C294)*N293))</f>
        <v/>
      </c>
      <c r="P294" s="388"/>
      <c r="Q294" s="178" t="str">
        <f ca="1">IF($C294="","",IF($D294="LPSM",P293,VALUE($C294)*P293))</f>
        <v/>
      </c>
      <c r="R294" s="388"/>
      <c r="S294" s="178" t="str">
        <f ca="1">IF($C294="","",IF($D294="LPSM",R293,VALUE($C294)*R293))</f>
        <v/>
      </c>
      <c r="T294" s="388"/>
      <c r="U294" s="178" t="str">
        <f ca="1">IF($C294="","",IF($D294="LPSM",T293,VALUE($C294)*T293))</f>
        <v/>
      </c>
      <c r="V294" s="388"/>
      <c r="W294" s="178" t="str">
        <f ca="1">IF($C294="","",IF($D294="LPSM",V293,VALUE($C294)*V293))</f>
        <v/>
      </c>
      <c r="X294" s="388"/>
      <c r="Y294" s="178" t="str">
        <f ca="1">IF($C294="","",IF($D294="LPSM",X293,VALUE($C294)*X293))</f>
        <v/>
      </c>
      <c r="Z294" s="388"/>
      <c r="AA294" s="178" t="str">
        <f ca="1">IF($C294="","",IF($D294="LPSM",Z293,VALUE($C294)*Z293))</f>
        <v/>
      </c>
      <c r="AB294" s="388"/>
      <c r="AC294" s="178" t="str">
        <f ca="1">IF($C294="","",IF($D294="LPSM",AB293,VALUE($C294)*AB293))</f>
        <v/>
      </c>
      <c r="AD294" s="388"/>
      <c r="AE294" s="178" t="str">
        <f ca="1">IF($C294="","",IF($D294="LPSM",AD293,VALUE($C294)*AD293))</f>
        <v/>
      </c>
      <c r="AF294" s="388"/>
      <c r="AG294" s="178" t="str">
        <f ca="1">IF($C294="","",IF($D294="LPSM",AF293,VALUE($C294)*AF293))</f>
        <v/>
      </c>
      <c r="AH294" s="388"/>
      <c r="AI294" s="178" t="str">
        <f ca="1">IF($C294="","",IF($D294="LPSM",AH293,VALUE($C294)*AH293))</f>
        <v/>
      </c>
      <c r="AJ294" s="388"/>
      <c r="AK294" s="178" t="str">
        <f ca="1">IF($C294="","",IF($D294="LPSM",AJ293,VALUE($C294)*AJ293))</f>
        <v/>
      </c>
      <c r="AL294" s="388"/>
      <c r="AM294" s="178" t="str">
        <f ca="1">IF($C294="","",IF($D294="LPSM",AL293,VALUE($C294)*AL293))</f>
        <v/>
      </c>
      <c r="AN294" s="388"/>
      <c r="AO294" s="178" t="str">
        <f ca="1">IF($C294="","",IF($D294="LPSM",AN293,VALUE($C294)*AN293))</f>
        <v/>
      </c>
      <c r="AP294" s="388"/>
      <c r="AQ294" s="178" t="str">
        <f ca="1">IF($C294="","",IF($D294="LPSM",AP293,VALUE($C294)*AP293))</f>
        <v/>
      </c>
      <c r="AR294" s="209" t="str">
        <f ca="1">IF(LEN(B294)&gt;0,ISNUMBER(MATCH(B294,Proposed[Item],0)),"")</f>
        <v/>
      </c>
    </row>
    <row r="295" spans="1:44" ht="15" x14ac:dyDescent="0.2">
      <c r="A295" s="276">
        <f t="shared" ca="1" si="4"/>
        <v>144</v>
      </c>
      <c r="B295" s="168" t="str">
        <f ca="1">IFERROR(INDEX(INDIRECT(RangeItems),MATCH($A295,INDIRECT(RangeCount),0)),"")</f>
        <v/>
      </c>
      <c r="C295" s="365" t="str">
        <f ca="1">INDEX(Calcs[Description],$A295)</f>
        <v/>
      </c>
      <c r="D295" s="365"/>
      <c r="E295" s="365"/>
      <c r="F295" s="365"/>
      <c r="G295" s="365"/>
      <c r="H295" s="388"/>
      <c r="I295" s="177"/>
      <c r="J295" s="388"/>
      <c r="K295" s="177"/>
      <c r="L295" s="388"/>
      <c r="M295" s="177"/>
      <c r="N295" s="388"/>
      <c r="O295" s="177"/>
      <c r="P295" s="388"/>
      <c r="Q295" s="177"/>
      <c r="R295" s="388"/>
      <c r="S295" s="177"/>
      <c r="T295" s="388"/>
      <c r="U295" s="177"/>
      <c r="V295" s="388"/>
      <c r="W295" s="177"/>
      <c r="X295" s="388"/>
      <c r="Y295" s="177"/>
      <c r="Z295" s="388"/>
      <c r="AA295" s="177"/>
      <c r="AB295" s="388"/>
      <c r="AC295" s="177"/>
      <c r="AD295" s="388"/>
      <c r="AE295" s="177"/>
      <c r="AF295" s="388"/>
      <c r="AG295" s="177"/>
      <c r="AH295" s="388"/>
      <c r="AI295" s="177"/>
      <c r="AJ295" s="388"/>
      <c r="AK295" s="177"/>
      <c r="AL295" s="388"/>
      <c r="AM295" s="177"/>
      <c r="AN295" s="388"/>
      <c r="AO295" s="177"/>
      <c r="AP295" s="388"/>
      <c r="AQ295" s="177"/>
      <c r="AR295" s="209" t="str">
        <f ca="1">IF(LEN(B295)&gt;0,ISNUMBER(MATCH(B295,Proposed[Item],0)),"")</f>
        <v/>
      </c>
    </row>
    <row r="296" spans="1:44" ht="15" x14ac:dyDescent="0.2">
      <c r="A296" s="276">
        <f t="shared" ca="1" si="4"/>
        <v>144</v>
      </c>
      <c r="B296" s="111" t="str">
        <f ca="1">IF($A296&lt;=NumPayItems,"Line "&amp;INDEX(Calcs[Line],$A296),"")</f>
        <v/>
      </c>
      <c r="C296" s="169" t="str">
        <f ca="1">IFERROR(IF($D296="LPSM","ALL",TEXT(INDEX(INDIRECT(RangeQuantity),MATCH($A296,INDIRECT(RangeCount),0)),"#,##0"&amp;IF(OFFSET(Items[],MATCH($A296,INDIRECT(RangeCount),0)-1,MATCH(Decimals,Items[#Headers],0)-1,1,1)&gt;0,"."&amp;REPT("0",OFFSET(Items[],MATCH($A296,INDIRECT(RangeCount),0)-1,MATCH(Decimals,Items[#Headers],0)-1,1,1)),""))),"")</f>
        <v/>
      </c>
      <c r="D296" s="170" t="str">
        <f ca="1">IFERROR(INDEX(INDIRECT(RangeUnit),MATCH($A296,INDIRECT(RangeCount),0)),"")</f>
        <v/>
      </c>
      <c r="E296" s="170" t="str">
        <f ca="1">IFERROR(IF(INDEX(INDIRECT(RangeContrQty),MATCH($A296,INDIRECT(RangeCount),0)),"(CQ)",""),"")</f>
        <v/>
      </c>
      <c r="F296" s="171" t="str">
        <f ca="1">IFERROR(INDEX(INDIRECT(RangeUnitPrice),MATCH($A296,INDIRECT(RangeCount),0)),"")</f>
        <v/>
      </c>
      <c r="G296" s="171" t="str">
        <f ca="1">IFERROR(VALUE(C296)*F296,F296)</f>
        <v/>
      </c>
      <c r="H296" s="388"/>
      <c r="I296" s="178" t="str">
        <f ca="1">IF($C296="","",IF($D296="LPSM",H295,VALUE($C296)*H295))</f>
        <v/>
      </c>
      <c r="J296" s="388"/>
      <c r="K296" s="178" t="str">
        <f ca="1">IF($C296="","",IF($D296="LPSM",J295,VALUE($C296)*J295))</f>
        <v/>
      </c>
      <c r="L296" s="388"/>
      <c r="M296" s="178" t="str">
        <f ca="1">IF($C296="","",IF($D296="LPSM",L295,VALUE($C296)*L295))</f>
        <v/>
      </c>
      <c r="N296" s="388"/>
      <c r="O296" s="178" t="str">
        <f ca="1">IF($C296="","",IF($D296="LPSM",N295,VALUE($C296)*N295))</f>
        <v/>
      </c>
      <c r="P296" s="388"/>
      <c r="Q296" s="178" t="str">
        <f ca="1">IF($C296="","",IF($D296="LPSM",P295,VALUE($C296)*P295))</f>
        <v/>
      </c>
      <c r="R296" s="388"/>
      <c r="S296" s="178" t="str">
        <f ca="1">IF($C296="","",IF($D296="LPSM",R295,VALUE($C296)*R295))</f>
        <v/>
      </c>
      <c r="T296" s="388"/>
      <c r="U296" s="178" t="str">
        <f ca="1">IF($C296="","",IF($D296="LPSM",T295,VALUE($C296)*T295))</f>
        <v/>
      </c>
      <c r="V296" s="388"/>
      <c r="W296" s="178" t="str">
        <f ca="1">IF($C296="","",IF($D296="LPSM",V295,VALUE($C296)*V295))</f>
        <v/>
      </c>
      <c r="X296" s="388"/>
      <c r="Y296" s="178" t="str">
        <f ca="1">IF($C296="","",IF($D296="LPSM",X295,VALUE($C296)*X295))</f>
        <v/>
      </c>
      <c r="Z296" s="388"/>
      <c r="AA296" s="178" t="str">
        <f ca="1">IF($C296="","",IF($D296="LPSM",Z295,VALUE($C296)*Z295))</f>
        <v/>
      </c>
      <c r="AB296" s="388"/>
      <c r="AC296" s="178" t="str">
        <f ca="1">IF($C296="","",IF($D296="LPSM",AB295,VALUE($C296)*AB295))</f>
        <v/>
      </c>
      <c r="AD296" s="388"/>
      <c r="AE296" s="178" t="str">
        <f ca="1">IF($C296="","",IF($D296="LPSM",AD295,VALUE($C296)*AD295))</f>
        <v/>
      </c>
      <c r="AF296" s="388"/>
      <c r="AG296" s="178" t="str">
        <f ca="1">IF($C296="","",IF($D296="LPSM",AF295,VALUE($C296)*AF295))</f>
        <v/>
      </c>
      <c r="AH296" s="388"/>
      <c r="AI296" s="178" t="str">
        <f ca="1">IF($C296="","",IF($D296="LPSM",AH295,VALUE($C296)*AH295))</f>
        <v/>
      </c>
      <c r="AJ296" s="388"/>
      <c r="AK296" s="178" t="str">
        <f ca="1">IF($C296="","",IF($D296="LPSM",AJ295,VALUE($C296)*AJ295))</f>
        <v/>
      </c>
      <c r="AL296" s="388"/>
      <c r="AM296" s="178" t="str">
        <f ca="1">IF($C296="","",IF($D296="LPSM",AL295,VALUE($C296)*AL295))</f>
        <v/>
      </c>
      <c r="AN296" s="388"/>
      <c r="AO296" s="178" t="str">
        <f ca="1">IF($C296="","",IF($D296="LPSM",AN295,VALUE($C296)*AN295))</f>
        <v/>
      </c>
      <c r="AP296" s="388"/>
      <c r="AQ296" s="178" t="str">
        <f ca="1">IF($C296="","",IF($D296="LPSM",AP295,VALUE($C296)*AP295))</f>
        <v/>
      </c>
      <c r="AR296" s="209" t="str">
        <f ca="1">IF(LEN(B296)&gt;0,ISNUMBER(MATCH(B296,Proposed[Item],0)),"")</f>
        <v/>
      </c>
    </row>
    <row r="297" spans="1:44" ht="15" x14ac:dyDescent="0.2">
      <c r="A297" s="276">
        <f t="shared" ca="1" si="4"/>
        <v>145</v>
      </c>
      <c r="B297" s="168" t="str">
        <f ca="1">IFERROR(INDEX(INDIRECT(RangeItems),MATCH($A297,INDIRECT(RangeCount),0)),"")</f>
        <v/>
      </c>
      <c r="C297" s="365" t="str">
        <f ca="1">INDEX(Calcs[Description],$A297)</f>
        <v/>
      </c>
      <c r="D297" s="365"/>
      <c r="E297" s="365"/>
      <c r="F297" s="365"/>
      <c r="G297" s="365"/>
      <c r="H297" s="388"/>
      <c r="I297" s="177"/>
      <c r="J297" s="388"/>
      <c r="K297" s="177"/>
      <c r="L297" s="388"/>
      <c r="M297" s="177"/>
      <c r="N297" s="388"/>
      <c r="O297" s="177"/>
      <c r="P297" s="388"/>
      <c r="Q297" s="177"/>
      <c r="R297" s="388"/>
      <c r="S297" s="177"/>
      <c r="T297" s="388"/>
      <c r="U297" s="177"/>
      <c r="V297" s="388"/>
      <c r="W297" s="177"/>
      <c r="X297" s="388"/>
      <c r="Y297" s="177"/>
      <c r="Z297" s="388"/>
      <c r="AA297" s="177"/>
      <c r="AB297" s="388"/>
      <c r="AC297" s="177"/>
      <c r="AD297" s="388"/>
      <c r="AE297" s="177"/>
      <c r="AF297" s="388"/>
      <c r="AG297" s="177"/>
      <c r="AH297" s="388"/>
      <c r="AI297" s="177"/>
      <c r="AJ297" s="388"/>
      <c r="AK297" s="177"/>
      <c r="AL297" s="388"/>
      <c r="AM297" s="177"/>
      <c r="AN297" s="388"/>
      <c r="AO297" s="177"/>
      <c r="AP297" s="388"/>
      <c r="AQ297" s="177"/>
      <c r="AR297" s="209" t="str">
        <f ca="1">IF(LEN(B297)&gt;0,ISNUMBER(MATCH(B297,Proposed[Item],0)),"")</f>
        <v/>
      </c>
    </row>
    <row r="298" spans="1:44" ht="15" x14ac:dyDescent="0.2">
      <c r="A298" s="276">
        <f t="shared" ca="1" si="4"/>
        <v>145</v>
      </c>
      <c r="B298" s="111" t="str">
        <f ca="1">IF($A298&lt;=NumPayItems,"Line "&amp;INDEX(Calcs[Line],$A298),"")</f>
        <v/>
      </c>
      <c r="C298" s="169" t="str">
        <f ca="1">IFERROR(IF($D298="LPSM","ALL",TEXT(INDEX(INDIRECT(RangeQuantity),MATCH($A298,INDIRECT(RangeCount),0)),"#,##0"&amp;IF(OFFSET(Items[],MATCH($A298,INDIRECT(RangeCount),0)-1,MATCH(Decimals,Items[#Headers],0)-1,1,1)&gt;0,"."&amp;REPT("0",OFFSET(Items[],MATCH($A298,INDIRECT(RangeCount),0)-1,MATCH(Decimals,Items[#Headers],0)-1,1,1)),""))),"")</f>
        <v/>
      </c>
      <c r="D298" s="170" t="str">
        <f ca="1">IFERROR(INDEX(INDIRECT(RangeUnit),MATCH($A298,INDIRECT(RangeCount),0)),"")</f>
        <v/>
      </c>
      <c r="E298" s="170" t="str">
        <f ca="1">IFERROR(IF(INDEX(INDIRECT(RangeContrQty),MATCH($A298,INDIRECT(RangeCount),0)),"(CQ)",""),"")</f>
        <v/>
      </c>
      <c r="F298" s="171" t="str">
        <f ca="1">IFERROR(INDEX(INDIRECT(RangeUnitPrice),MATCH($A298,INDIRECT(RangeCount),0)),"")</f>
        <v/>
      </c>
      <c r="G298" s="171" t="str">
        <f ca="1">IFERROR(VALUE(C298)*F298,F298)</f>
        <v/>
      </c>
      <c r="H298" s="388"/>
      <c r="I298" s="178" t="str">
        <f ca="1">IF($C298="","",IF($D298="LPSM",H297,VALUE($C298)*H297))</f>
        <v/>
      </c>
      <c r="J298" s="388"/>
      <c r="K298" s="178" t="str">
        <f ca="1">IF($C298="","",IF($D298="LPSM",J297,VALUE($C298)*J297))</f>
        <v/>
      </c>
      <c r="L298" s="388"/>
      <c r="M298" s="178" t="str">
        <f ca="1">IF($C298="","",IF($D298="LPSM",L297,VALUE($C298)*L297))</f>
        <v/>
      </c>
      <c r="N298" s="388"/>
      <c r="O298" s="178" t="str">
        <f ca="1">IF($C298="","",IF($D298="LPSM",N297,VALUE($C298)*N297))</f>
        <v/>
      </c>
      <c r="P298" s="388"/>
      <c r="Q298" s="178" t="str">
        <f ca="1">IF($C298="","",IF($D298="LPSM",P297,VALUE($C298)*P297))</f>
        <v/>
      </c>
      <c r="R298" s="388"/>
      <c r="S298" s="178" t="str">
        <f ca="1">IF($C298="","",IF($D298="LPSM",R297,VALUE($C298)*R297))</f>
        <v/>
      </c>
      <c r="T298" s="388"/>
      <c r="U298" s="178" t="str">
        <f ca="1">IF($C298="","",IF($D298="LPSM",T297,VALUE($C298)*T297))</f>
        <v/>
      </c>
      <c r="V298" s="388"/>
      <c r="W298" s="178" t="str">
        <f ca="1">IF($C298="","",IF($D298="LPSM",V297,VALUE($C298)*V297))</f>
        <v/>
      </c>
      <c r="X298" s="388"/>
      <c r="Y298" s="178" t="str">
        <f ca="1">IF($C298="","",IF($D298="LPSM",X297,VALUE($C298)*X297))</f>
        <v/>
      </c>
      <c r="Z298" s="388"/>
      <c r="AA298" s="178" t="str">
        <f ca="1">IF($C298="","",IF($D298="LPSM",Z297,VALUE($C298)*Z297))</f>
        <v/>
      </c>
      <c r="AB298" s="388"/>
      <c r="AC298" s="178" t="str">
        <f ca="1">IF($C298="","",IF($D298="LPSM",AB297,VALUE($C298)*AB297))</f>
        <v/>
      </c>
      <c r="AD298" s="388"/>
      <c r="AE298" s="178" t="str">
        <f ca="1">IF($C298="","",IF($D298="LPSM",AD297,VALUE($C298)*AD297))</f>
        <v/>
      </c>
      <c r="AF298" s="388"/>
      <c r="AG298" s="178" t="str">
        <f ca="1">IF($C298="","",IF($D298="LPSM",AF297,VALUE($C298)*AF297))</f>
        <v/>
      </c>
      <c r="AH298" s="388"/>
      <c r="AI298" s="178" t="str">
        <f ca="1">IF($C298="","",IF($D298="LPSM",AH297,VALUE($C298)*AH297))</f>
        <v/>
      </c>
      <c r="AJ298" s="388"/>
      <c r="AK298" s="178" t="str">
        <f ca="1">IF($C298="","",IF($D298="LPSM",AJ297,VALUE($C298)*AJ297))</f>
        <v/>
      </c>
      <c r="AL298" s="388"/>
      <c r="AM298" s="178" t="str">
        <f ca="1">IF($C298="","",IF($D298="LPSM",AL297,VALUE($C298)*AL297))</f>
        <v/>
      </c>
      <c r="AN298" s="388"/>
      <c r="AO298" s="178" t="str">
        <f ca="1">IF($C298="","",IF($D298="LPSM",AN297,VALUE($C298)*AN297))</f>
        <v/>
      </c>
      <c r="AP298" s="388"/>
      <c r="AQ298" s="178" t="str">
        <f ca="1">IF($C298="","",IF($D298="LPSM",AP297,VALUE($C298)*AP297))</f>
        <v/>
      </c>
      <c r="AR298" s="209" t="str">
        <f ca="1">IF(LEN(B298)&gt;0,ISNUMBER(MATCH(B298,Proposed[Item],0)),"")</f>
        <v/>
      </c>
    </row>
    <row r="299" spans="1:44" ht="15" x14ac:dyDescent="0.2">
      <c r="A299" s="276">
        <f t="shared" ca="1" si="4"/>
        <v>146</v>
      </c>
      <c r="B299" s="168" t="str">
        <f ca="1">IFERROR(INDEX(INDIRECT(RangeItems),MATCH($A299,INDIRECT(RangeCount),0)),"")</f>
        <v/>
      </c>
      <c r="C299" s="365" t="str">
        <f ca="1">INDEX(Calcs[Description],$A299)</f>
        <v/>
      </c>
      <c r="D299" s="365"/>
      <c r="E299" s="365"/>
      <c r="F299" s="365"/>
      <c r="G299" s="365"/>
      <c r="H299" s="388"/>
      <c r="I299" s="177"/>
      <c r="J299" s="388"/>
      <c r="K299" s="177"/>
      <c r="L299" s="388"/>
      <c r="M299" s="177"/>
      <c r="N299" s="388"/>
      <c r="O299" s="177"/>
      <c r="P299" s="388"/>
      <c r="Q299" s="177"/>
      <c r="R299" s="388"/>
      <c r="S299" s="177"/>
      <c r="T299" s="388"/>
      <c r="U299" s="177"/>
      <c r="V299" s="388"/>
      <c r="W299" s="177"/>
      <c r="X299" s="388"/>
      <c r="Y299" s="177"/>
      <c r="Z299" s="388"/>
      <c r="AA299" s="177"/>
      <c r="AB299" s="388"/>
      <c r="AC299" s="177"/>
      <c r="AD299" s="388"/>
      <c r="AE299" s="177"/>
      <c r="AF299" s="388"/>
      <c r="AG299" s="177"/>
      <c r="AH299" s="388"/>
      <c r="AI299" s="177"/>
      <c r="AJ299" s="388"/>
      <c r="AK299" s="177"/>
      <c r="AL299" s="388"/>
      <c r="AM299" s="177"/>
      <c r="AN299" s="388"/>
      <c r="AO299" s="177"/>
      <c r="AP299" s="388"/>
      <c r="AQ299" s="177"/>
      <c r="AR299" s="209" t="str">
        <f ca="1">IF(LEN(B299)&gt;0,ISNUMBER(MATCH(B299,Proposed[Item],0)),"")</f>
        <v/>
      </c>
    </row>
    <row r="300" spans="1:44" ht="15" x14ac:dyDescent="0.2">
      <c r="A300" s="276">
        <f t="shared" ca="1" si="4"/>
        <v>146</v>
      </c>
      <c r="B300" s="111" t="str">
        <f ca="1">IF($A300&lt;=NumPayItems,"Line "&amp;INDEX(Calcs[Line],$A300),"")</f>
        <v/>
      </c>
      <c r="C300" s="169" t="str">
        <f ca="1">IFERROR(IF($D300="LPSM","ALL",TEXT(INDEX(INDIRECT(RangeQuantity),MATCH($A300,INDIRECT(RangeCount),0)),"#,##0"&amp;IF(OFFSET(Items[],MATCH($A300,INDIRECT(RangeCount),0)-1,MATCH(Decimals,Items[#Headers],0)-1,1,1)&gt;0,"."&amp;REPT("0",OFFSET(Items[],MATCH($A300,INDIRECT(RangeCount),0)-1,MATCH(Decimals,Items[#Headers],0)-1,1,1)),""))),"")</f>
        <v/>
      </c>
      <c r="D300" s="170" t="str">
        <f ca="1">IFERROR(INDEX(INDIRECT(RangeUnit),MATCH($A300,INDIRECT(RangeCount),0)),"")</f>
        <v/>
      </c>
      <c r="E300" s="170" t="str">
        <f ca="1">IFERROR(IF(INDEX(INDIRECT(RangeContrQty),MATCH($A300,INDIRECT(RangeCount),0)),"(CQ)",""),"")</f>
        <v/>
      </c>
      <c r="F300" s="171" t="str">
        <f ca="1">IFERROR(INDEX(INDIRECT(RangeUnitPrice),MATCH($A300,INDIRECT(RangeCount),0)),"")</f>
        <v/>
      </c>
      <c r="G300" s="171" t="str">
        <f ca="1">IFERROR(VALUE(C300)*F300,F300)</f>
        <v/>
      </c>
      <c r="H300" s="388"/>
      <c r="I300" s="178" t="str">
        <f ca="1">IF($C300="","",IF($D300="LPSM",H299,VALUE($C300)*H299))</f>
        <v/>
      </c>
      <c r="J300" s="388"/>
      <c r="K300" s="178" t="str">
        <f ca="1">IF($C300="","",IF($D300="LPSM",J299,VALUE($C300)*J299))</f>
        <v/>
      </c>
      <c r="L300" s="388"/>
      <c r="M300" s="178" t="str">
        <f ca="1">IF($C300="","",IF($D300="LPSM",L299,VALUE($C300)*L299))</f>
        <v/>
      </c>
      <c r="N300" s="388"/>
      <c r="O300" s="178" t="str">
        <f ca="1">IF($C300="","",IF($D300="LPSM",N299,VALUE($C300)*N299))</f>
        <v/>
      </c>
      <c r="P300" s="388"/>
      <c r="Q300" s="178" t="str">
        <f ca="1">IF($C300="","",IF($D300="LPSM",P299,VALUE($C300)*P299))</f>
        <v/>
      </c>
      <c r="R300" s="388"/>
      <c r="S300" s="178" t="str">
        <f ca="1">IF($C300="","",IF($D300="LPSM",R299,VALUE($C300)*R299))</f>
        <v/>
      </c>
      <c r="T300" s="388"/>
      <c r="U300" s="178" t="str">
        <f ca="1">IF($C300="","",IF($D300="LPSM",T299,VALUE($C300)*T299))</f>
        <v/>
      </c>
      <c r="V300" s="388"/>
      <c r="W300" s="178" t="str">
        <f ca="1">IF($C300="","",IF($D300="LPSM",V299,VALUE($C300)*V299))</f>
        <v/>
      </c>
      <c r="X300" s="388"/>
      <c r="Y300" s="178" t="str">
        <f ca="1">IF($C300="","",IF($D300="LPSM",X299,VALUE($C300)*X299))</f>
        <v/>
      </c>
      <c r="Z300" s="388"/>
      <c r="AA300" s="178" t="str">
        <f ca="1">IF($C300="","",IF($D300="LPSM",Z299,VALUE($C300)*Z299))</f>
        <v/>
      </c>
      <c r="AB300" s="388"/>
      <c r="AC300" s="178" t="str">
        <f ca="1">IF($C300="","",IF($D300="LPSM",AB299,VALUE($C300)*AB299))</f>
        <v/>
      </c>
      <c r="AD300" s="388"/>
      <c r="AE300" s="178" t="str">
        <f ca="1">IF($C300="","",IF($D300="LPSM",AD299,VALUE($C300)*AD299))</f>
        <v/>
      </c>
      <c r="AF300" s="388"/>
      <c r="AG300" s="178" t="str">
        <f ca="1">IF($C300="","",IF($D300="LPSM",AF299,VALUE($C300)*AF299))</f>
        <v/>
      </c>
      <c r="AH300" s="388"/>
      <c r="AI300" s="178" t="str">
        <f ca="1">IF($C300="","",IF($D300="LPSM",AH299,VALUE($C300)*AH299))</f>
        <v/>
      </c>
      <c r="AJ300" s="388"/>
      <c r="AK300" s="178" t="str">
        <f ca="1">IF($C300="","",IF($D300="LPSM",AJ299,VALUE($C300)*AJ299))</f>
        <v/>
      </c>
      <c r="AL300" s="388"/>
      <c r="AM300" s="178" t="str">
        <f ca="1">IF($C300="","",IF($D300="LPSM",AL299,VALUE($C300)*AL299))</f>
        <v/>
      </c>
      <c r="AN300" s="388"/>
      <c r="AO300" s="178" t="str">
        <f ca="1">IF($C300="","",IF($D300="LPSM",AN299,VALUE($C300)*AN299))</f>
        <v/>
      </c>
      <c r="AP300" s="388"/>
      <c r="AQ300" s="178" t="str">
        <f ca="1">IF($C300="","",IF($D300="LPSM",AP299,VALUE($C300)*AP299))</f>
        <v/>
      </c>
      <c r="AR300" s="209" t="str">
        <f ca="1">IF(LEN(B300)&gt;0,ISNUMBER(MATCH(B300,Proposed[Item],0)),"")</f>
        <v/>
      </c>
    </row>
    <row r="301" spans="1:44" ht="15" x14ac:dyDescent="0.2">
      <c r="A301" s="276">
        <f t="shared" ca="1" si="4"/>
        <v>147</v>
      </c>
      <c r="B301" s="168" t="str">
        <f ca="1">IFERROR(INDEX(INDIRECT(RangeItems),MATCH($A301,INDIRECT(RangeCount),0)),"")</f>
        <v/>
      </c>
      <c r="C301" s="365" t="str">
        <f ca="1">INDEX(Calcs[Description],$A301)</f>
        <v/>
      </c>
      <c r="D301" s="365"/>
      <c r="E301" s="365"/>
      <c r="F301" s="365"/>
      <c r="G301" s="365"/>
      <c r="H301" s="388"/>
      <c r="I301" s="177"/>
      <c r="J301" s="388"/>
      <c r="K301" s="177"/>
      <c r="L301" s="388"/>
      <c r="M301" s="177"/>
      <c r="N301" s="388"/>
      <c r="O301" s="177"/>
      <c r="P301" s="388"/>
      <c r="Q301" s="177"/>
      <c r="R301" s="388"/>
      <c r="S301" s="177"/>
      <c r="T301" s="388"/>
      <c r="U301" s="177"/>
      <c r="V301" s="388"/>
      <c r="W301" s="177"/>
      <c r="X301" s="388"/>
      <c r="Y301" s="177"/>
      <c r="Z301" s="388"/>
      <c r="AA301" s="177"/>
      <c r="AB301" s="388"/>
      <c r="AC301" s="177"/>
      <c r="AD301" s="388"/>
      <c r="AE301" s="177"/>
      <c r="AF301" s="388"/>
      <c r="AG301" s="177"/>
      <c r="AH301" s="388"/>
      <c r="AI301" s="177"/>
      <c r="AJ301" s="388"/>
      <c r="AK301" s="177"/>
      <c r="AL301" s="388"/>
      <c r="AM301" s="177"/>
      <c r="AN301" s="388"/>
      <c r="AO301" s="177"/>
      <c r="AP301" s="388"/>
      <c r="AQ301" s="177"/>
      <c r="AR301" s="209" t="str">
        <f ca="1">IF(LEN(B301)&gt;0,ISNUMBER(MATCH(B301,Proposed[Item],0)),"")</f>
        <v/>
      </c>
    </row>
    <row r="302" spans="1:44" ht="15" x14ac:dyDescent="0.2">
      <c r="A302" s="276">
        <f t="shared" ca="1" si="4"/>
        <v>147</v>
      </c>
      <c r="B302" s="111" t="str">
        <f ca="1">IF($A302&lt;=NumPayItems,"Line "&amp;INDEX(Calcs[Line],$A302),"")</f>
        <v/>
      </c>
      <c r="C302" s="169" t="str">
        <f ca="1">IFERROR(IF($D302="LPSM","ALL",TEXT(INDEX(INDIRECT(RangeQuantity),MATCH($A302,INDIRECT(RangeCount),0)),"#,##0"&amp;IF(OFFSET(Items[],MATCH($A302,INDIRECT(RangeCount),0)-1,MATCH(Decimals,Items[#Headers],0)-1,1,1)&gt;0,"."&amp;REPT("0",OFFSET(Items[],MATCH($A302,INDIRECT(RangeCount),0)-1,MATCH(Decimals,Items[#Headers],0)-1,1,1)),""))),"")</f>
        <v/>
      </c>
      <c r="D302" s="170" t="str">
        <f ca="1">IFERROR(INDEX(INDIRECT(RangeUnit),MATCH($A302,INDIRECT(RangeCount),0)),"")</f>
        <v/>
      </c>
      <c r="E302" s="170" t="str">
        <f ca="1">IFERROR(IF(INDEX(INDIRECT(RangeContrQty),MATCH($A302,INDIRECT(RangeCount),0)),"(CQ)",""),"")</f>
        <v/>
      </c>
      <c r="F302" s="171" t="str">
        <f ca="1">IFERROR(INDEX(INDIRECT(RangeUnitPrice),MATCH($A302,INDIRECT(RangeCount),0)),"")</f>
        <v/>
      </c>
      <c r="G302" s="171" t="str">
        <f ca="1">IFERROR(VALUE(C302)*F302,F302)</f>
        <v/>
      </c>
      <c r="H302" s="388"/>
      <c r="I302" s="178" t="str">
        <f ca="1">IF($C302="","",IF($D302="LPSM",H301,VALUE($C302)*H301))</f>
        <v/>
      </c>
      <c r="J302" s="388"/>
      <c r="K302" s="178" t="str">
        <f ca="1">IF($C302="","",IF($D302="LPSM",J301,VALUE($C302)*J301))</f>
        <v/>
      </c>
      <c r="L302" s="388"/>
      <c r="M302" s="178" t="str">
        <f ca="1">IF($C302="","",IF($D302="LPSM",L301,VALUE($C302)*L301))</f>
        <v/>
      </c>
      <c r="N302" s="388"/>
      <c r="O302" s="178" t="str">
        <f ca="1">IF($C302="","",IF($D302="LPSM",N301,VALUE($C302)*N301))</f>
        <v/>
      </c>
      <c r="P302" s="388"/>
      <c r="Q302" s="178" t="str">
        <f ca="1">IF($C302="","",IF($D302="LPSM",P301,VALUE($C302)*P301))</f>
        <v/>
      </c>
      <c r="R302" s="388"/>
      <c r="S302" s="178" t="str">
        <f ca="1">IF($C302="","",IF($D302="LPSM",R301,VALUE($C302)*R301))</f>
        <v/>
      </c>
      <c r="T302" s="388"/>
      <c r="U302" s="178" t="str">
        <f ca="1">IF($C302="","",IF($D302="LPSM",T301,VALUE($C302)*T301))</f>
        <v/>
      </c>
      <c r="V302" s="388"/>
      <c r="W302" s="178" t="str">
        <f ca="1">IF($C302="","",IF($D302="LPSM",V301,VALUE($C302)*V301))</f>
        <v/>
      </c>
      <c r="X302" s="388"/>
      <c r="Y302" s="178" t="str">
        <f ca="1">IF($C302="","",IF($D302="LPSM",X301,VALUE($C302)*X301))</f>
        <v/>
      </c>
      <c r="Z302" s="388"/>
      <c r="AA302" s="178" t="str">
        <f ca="1">IF($C302="","",IF($D302="LPSM",Z301,VALUE($C302)*Z301))</f>
        <v/>
      </c>
      <c r="AB302" s="388"/>
      <c r="AC302" s="178" t="str">
        <f ca="1">IF($C302="","",IF($D302="LPSM",AB301,VALUE($C302)*AB301))</f>
        <v/>
      </c>
      <c r="AD302" s="388"/>
      <c r="AE302" s="178" t="str">
        <f ca="1">IF($C302="","",IF($D302="LPSM",AD301,VALUE($C302)*AD301))</f>
        <v/>
      </c>
      <c r="AF302" s="388"/>
      <c r="AG302" s="178" t="str">
        <f ca="1">IF($C302="","",IF($D302="LPSM",AF301,VALUE($C302)*AF301))</f>
        <v/>
      </c>
      <c r="AH302" s="388"/>
      <c r="AI302" s="178" t="str">
        <f ca="1">IF($C302="","",IF($D302="LPSM",AH301,VALUE($C302)*AH301))</f>
        <v/>
      </c>
      <c r="AJ302" s="388"/>
      <c r="AK302" s="178" t="str">
        <f ca="1">IF($C302="","",IF($D302="LPSM",AJ301,VALUE($C302)*AJ301))</f>
        <v/>
      </c>
      <c r="AL302" s="388"/>
      <c r="AM302" s="178" t="str">
        <f ca="1">IF($C302="","",IF($D302="LPSM",AL301,VALUE($C302)*AL301))</f>
        <v/>
      </c>
      <c r="AN302" s="388"/>
      <c r="AO302" s="178" t="str">
        <f ca="1">IF($C302="","",IF($D302="LPSM",AN301,VALUE($C302)*AN301))</f>
        <v/>
      </c>
      <c r="AP302" s="388"/>
      <c r="AQ302" s="178" t="str">
        <f ca="1">IF($C302="","",IF($D302="LPSM",AP301,VALUE($C302)*AP301))</f>
        <v/>
      </c>
      <c r="AR302" s="209" t="str">
        <f ca="1">IF(LEN(B302)&gt;0,ISNUMBER(MATCH(B302,Proposed[Item],0)),"")</f>
        <v/>
      </c>
    </row>
    <row r="303" spans="1:44" ht="15" x14ac:dyDescent="0.2">
      <c r="A303" s="276">
        <f t="shared" ca="1" si="4"/>
        <v>148</v>
      </c>
      <c r="B303" s="168" t="str">
        <f ca="1">IFERROR(INDEX(INDIRECT(RangeItems),MATCH($A303,INDIRECT(RangeCount),0)),"")</f>
        <v/>
      </c>
      <c r="C303" s="365" t="str">
        <f ca="1">INDEX(Calcs[Description],$A303)</f>
        <v/>
      </c>
      <c r="D303" s="365"/>
      <c r="E303" s="365"/>
      <c r="F303" s="365"/>
      <c r="G303" s="365"/>
      <c r="H303" s="388"/>
      <c r="I303" s="177"/>
      <c r="J303" s="388"/>
      <c r="K303" s="177"/>
      <c r="L303" s="388"/>
      <c r="M303" s="177"/>
      <c r="N303" s="388"/>
      <c r="O303" s="177"/>
      <c r="P303" s="388"/>
      <c r="Q303" s="177"/>
      <c r="R303" s="388"/>
      <c r="S303" s="177"/>
      <c r="T303" s="388"/>
      <c r="U303" s="177"/>
      <c r="V303" s="388"/>
      <c r="W303" s="177"/>
      <c r="X303" s="388"/>
      <c r="Y303" s="177"/>
      <c r="Z303" s="388"/>
      <c r="AA303" s="177"/>
      <c r="AB303" s="388"/>
      <c r="AC303" s="177"/>
      <c r="AD303" s="388"/>
      <c r="AE303" s="177"/>
      <c r="AF303" s="388"/>
      <c r="AG303" s="177"/>
      <c r="AH303" s="388"/>
      <c r="AI303" s="177"/>
      <c r="AJ303" s="388"/>
      <c r="AK303" s="177"/>
      <c r="AL303" s="388"/>
      <c r="AM303" s="177"/>
      <c r="AN303" s="388"/>
      <c r="AO303" s="177"/>
      <c r="AP303" s="388"/>
      <c r="AQ303" s="177"/>
      <c r="AR303" s="209" t="str">
        <f ca="1">IF(LEN(B303)&gt;0,ISNUMBER(MATCH(B303,Proposed[Item],0)),"")</f>
        <v/>
      </c>
    </row>
    <row r="304" spans="1:44" ht="15" x14ac:dyDescent="0.2">
      <c r="A304" s="276">
        <f t="shared" ca="1" si="4"/>
        <v>148</v>
      </c>
      <c r="B304" s="111" t="str">
        <f ca="1">IF($A304&lt;=NumPayItems,"Line "&amp;INDEX(Calcs[Line],$A304),"")</f>
        <v/>
      </c>
      <c r="C304" s="169" t="str">
        <f ca="1">IFERROR(IF($D304="LPSM","ALL",TEXT(INDEX(INDIRECT(RangeQuantity),MATCH($A304,INDIRECT(RangeCount),0)),"#,##0"&amp;IF(OFFSET(Items[],MATCH($A304,INDIRECT(RangeCount),0)-1,MATCH(Decimals,Items[#Headers],0)-1,1,1)&gt;0,"."&amp;REPT("0",OFFSET(Items[],MATCH($A304,INDIRECT(RangeCount),0)-1,MATCH(Decimals,Items[#Headers],0)-1,1,1)),""))),"")</f>
        <v/>
      </c>
      <c r="D304" s="170" t="str">
        <f ca="1">IFERROR(INDEX(INDIRECT(RangeUnit),MATCH($A304,INDIRECT(RangeCount),0)),"")</f>
        <v/>
      </c>
      <c r="E304" s="170" t="str">
        <f ca="1">IFERROR(IF(INDEX(INDIRECT(RangeContrQty),MATCH($A304,INDIRECT(RangeCount),0)),"(CQ)",""),"")</f>
        <v/>
      </c>
      <c r="F304" s="171" t="str">
        <f ca="1">IFERROR(INDEX(INDIRECT(RangeUnitPrice),MATCH($A304,INDIRECT(RangeCount),0)),"")</f>
        <v/>
      </c>
      <c r="G304" s="171" t="str">
        <f ca="1">IFERROR(VALUE(C304)*F304,F304)</f>
        <v/>
      </c>
      <c r="H304" s="388"/>
      <c r="I304" s="178" t="str">
        <f ca="1">IF($C304="","",IF($D304="LPSM",H303,VALUE($C304)*H303))</f>
        <v/>
      </c>
      <c r="J304" s="388"/>
      <c r="K304" s="178" t="str">
        <f ca="1">IF($C304="","",IF($D304="LPSM",J303,VALUE($C304)*J303))</f>
        <v/>
      </c>
      <c r="L304" s="388"/>
      <c r="M304" s="178" t="str">
        <f ca="1">IF($C304="","",IF($D304="LPSM",L303,VALUE($C304)*L303))</f>
        <v/>
      </c>
      <c r="N304" s="388"/>
      <c r="O304" s="178" t="str">
        <f ca="1">IF($C304="","",IF($D304="LPSM",N303,VALUE($C304)*N303))</f>
        <v/>
      </c>
      <c r="P304" s="388"/>
      <c r="Q304" s="178" t="str">
        <f ca="1">IF($C304="","",IF($D304="LPSM",P303,VALUE($C304)*P303))</f>
        <v/>
      </c>
      <c r="R304" s="388"/>
      <c r="S304" s="178" t="str">
        <f ca="1">IF($C304="","",IF($D304="LPSM",R303,VALUE($C304)*R303))</f>
        <v/>
      </c>
      <c r="T304" s="388"/>
      <c r="U304" s="178" t="str">
        <f ca="1">IF($C304="","",IF($D304="LPSM",T303,VALUE($C304)*T303))</f>
        <v/>
      </c>
      <c r="V304" s="388"/>
      <c r="W304" s="178" t="str">
        <f ca="1">IF($C304="","",IF($D304="LPSM",V303,VALUE($C304)*V303))</f>
        <v/>
      </c>
      <c r="X304" s="388"/>
      <c r="Y304" s="178" t="str">
        <f ca="1">IF($C304="","",IF($D304="LPSM",X303,VALUE($C304)*X303))</f>
        <v/>
      </c>
      <c r="Z304" s="388"/>
      <c r="AA304" s="178" t="str">
        <f ca="1">IF($C304="","",IF($D304="LPSM",Z303,VALUE($C304)*Z303))</f>
        <v/>
      </c>
      <c r="AB304" s="388"/>
      <c r="AC304" s="178" t="str">
        <f ca="1">IF($C304="","",IF($D304="LPSM",AB303,VALUE($C304)*AB303))</f>
        <v/>
      </c>
      <c r="AD304" s="388"/>
      <c r="AE304" s="178" t="str">
        <f ca="1">IF($C304="","",IF($D304="LPSM",AD303,VALUE($C304)*AD303))</f>
        <v/>
      </c>
      <c r="AF304" s="388"/>
      <c r="AG304" s="178" t="str">
        <f ca="1">IF($C304="","",IF($D304="LPSM",AF303,VALUE($C304)*AF303))</f>
        <v/>
      </c>
      <c r="AH304" s="388"/>
      <c r="AI304" s="178" t="str">
        <f ca="1">IF($C304="","",IF($D304="LPSM",AH303,VALUE($C304)*AH303))</f>
        <v/>
      </c>
      <c r="AJ304" s="388"/>
      <c r="AK304" s="178" t="str">
        <f ca="1">IF($C304="","",IF($D304="LPSM",AJ303,VALUE($C304)*AJ303))</f>
        <v/>
      </c>
      <c r="AL304" s="388"/>
      <c r="AM304" s="178" t="str">
        <f ca="1">IF($C304="","",IF($D304="LPSM",AL303,VALUE($C304)*AL303))</f>
        <v/>
      </c>
      <c r="AN304" s="388"/>
      <c r="AO304" s="178" t="str">
        <f ca="1">IF($C304="","",IF($D304="LPSM",AN303,VALUE($C304)*AN303))</f>
        <v/>
      </c>
      <c r="AP304" s="388"/>
      <c r="AQ304" s="178" t="str">
        <f ca="1">IF($C304="","",IF($D304="LPSM",AP303,VALUE($C304)*AP303))</f>
        <v/>
      </c>
      <c r="AR304" s="209" t="str">
        <f ca="1">IF(LEN(B304)&gt;0,ISNUMBER(MATCH(B304,Proposed[Item],0)),"")</f>
        <v/>
      </c>
    </row>
    <row r="305" spans="1:44" ht="15" x14ac:dyDescent="0.2">
      <c r="A305" s="276">
        <f t="shared" ca="1" si="4"/>
        <v>149</v>
      </c>
      <c r="B305" s="168" t="str">
        <f ca="1">IFERROR(INDEX(INDIRECT(RangeItems),MATCH($A305,INDIRECT(RangeCount),0)),"")</f>
        <v/>
      </c>
      <c r="C305" s="365" t="str">
        <f ca="1">INDEX(Calcs[Description],$A305)</f>
        <v/>
      </c>
      <c r="D305" s="365"/>
      <c r="E305" s="365"/>
      <c r="F305" s="365"/>
      <c r="G305" s="365"/>
      <c r="H305" s="388"/>
      <c r="I305" s="177"/>
      <c r="J305" s="388"/>
      <c r="K305" s="177"/>
      <c r="L305" s="388"/>
      <c r="M305" s="177"/>
      <c r="N305" s="388"/>
      <c r="O305" s="177"/>
      <c r="P305" s="388"/>
      <c r="Q305" s="177"/>
      <c r="R305" s="388"/>
      <c r="S305" s="177"/>
      <c r="T305" s="388"/>
      <c r="U305" s="177"/>
      <c r="V305" s="388"/>
      <c r="W305" s="177"/>
      <c r="X305" s="388"/>
      <c r="Y305" s="177"/>
      <c r="Z305" s="388"/>
      <c r="AA305" s="177"/>
      <c r="AB305" s="388"/>
      <c r="AC305" s="177"/>
      <c r="AD305" s="388"/>
      <c r="AE305" s="177"/>
      <c r="AF305" s="388"/>
      <c r="AG305" s="177"/>
      <c r="AH305" s="388"/>
      <c r="AI305" s="177"/>
      <c r="AJ305" s="388"/>
      <c r="AK305" s="177"/>
      <c r="AL305" s="388"/>
      <c r="AM305" s="177"/>
      <c r="AN305" s="388"/>
      <c r="AO305" s="177"/>
      <c r="AP305" s="388"/>
      <c r="AQ305" s="177"/>
      <c r="AR305" s="209" t="str">
        <f ca="1">IF(LEN(B305)&gt;0,ISNUMBER(MATCH(B305,Proposed[Item],0)),"")</f>
        <v/>
      </c>
    </row>
    <row r="306" spans="1:44" ht="15" x14ac:dyDescent="0.2">
      <c r="A306" s="276">
        <f t="shared" ca="1" si="4"/>
        <v>149</v>
      </c>
      <c r="B306" s="111" t="str">
        <f ca="1">IF($A306&lt;=NumPayItems,"Line "&amp;INDEX(Calcs[Line],$A306),"")</f>
        <v/>
      </c>
      <c r="C306" s="169" t="str">
        <f ca="1">IFERROR(IF($D306="LPSM","ALL",TEXT(INDEX(INDIRECT(RangeQuantity),MATCH($A306,INDIRECT(RangeCount),0)),"#,##0"&amp;IF(OFFSET(Items[],MATCH($A306,INDIRECT(RangeCount),0)-1,MATCH(Decimals,Items[#Headers],0)-1,1,1)&gt;0,"."&amp;REPT("0",OFFSET(Items[],MATCH($A306,INDIRECT(RangeCount),0)-1,MATCH(Decimals,Items[#Headers],0)-1,1,1)),""))),"")</f>
        <v/>
      </c>
      <c r="D306" s="170" t="str">
        <f ca="1">IFERROR(INDEX(INDIRECT(RangeUnit),MATCH($A306,INDIRECT(RangeCount),0)),"")</f>
        <v/>
      </c>
      <c r="E306" s="170" t="str">
        <f ca="1">IFERROR(IF(INDEX(INDIRECT(RangeContrQty),MATCH($A306,INDIRECT(RangeCount),0)),"(CQ)",""),"")</f>
        <v/>
      </c>
      <c r="F306" s="171" t="str">
        <f ca="1">IFERROR(INDEX(INDIRECT(RangeUnitPrice),MATCH($A306,INDIRECT(RangeCount),0)),"")</f>
        <v/>
      </c>
      <c r="G306" s="171" t="str">
        <f ca="1">IFERROR(VALUE(C306)*F306,F306)</f>
        <v/>
      </c>
      <c r="H306" s="388"/>
      <c r="I306" s="178" t="str">
        <f ca="1">IF($C306="","",IF($D306="LPSM",H305,VALUE($C306)*H305))</f>
        <v/>
      </c>
      <c r="J306" s="388"/>
      <c r="K306" s="178" t="str">
        <f ca="1">IF($C306="","",IF($D306="LPSM",J305,VALUE($C306)*J305))</f>
        <v/>
      </c>
      <c r="L306" s="388"/>
      <c r="M306" s="178" t="str">
        <f ca="1">IF($C306="","",IF($D306="LPSM",L305,VALUE($C306)*L305))</f>
        <v/>
      </c>
      <c r="N306" s="388"/>
      <c r="O306" s="178" t="str">
        <f ca="1">IF($C306="","",IF($D306="LPSM",N305,VALUE($C306)*N305))</f>
        <v/>
      </c>
      <c r="P306" s="388"/>
      <c r="Q306" s="178" t="str">
        <f ca="1">IF($C306="","",IF($D306="LPSM",P305,VALUE($C306)*P305))</f>
        <v/>
      </c>
      <c r="R306" s="388"/>
      <c r="S306" s="178" t="str">
        <f ca="1">IF($C306="","",IF($D306="LPSM",R305,VALUE($C306)*R305))</f>
        <v/>
      </c>
      <c r="T306" s="388"/>
      <c r="U306" s="178" t="str">
        <f ca="1">IF($C306="","",IF($D306="LPSM",T305,VALUE($C306)*T305))</f>
        <v/>
      </c>
      <c r="V306" s="388"/>
      <c r="W306" s="178" t="str">
        <f ca="1">IF($C306="","",IF($D306="LPSM",V305,VALUE($C306)*V305))</f>
        <v/>
      </c>
      <c r="X306" s="388"/>
      <c r="Y306" s="178" t="str">
        <f ca="1">IF($C306="","",IF($D306="LPSM",X305,VALUE($C306)*X305))</f>
        <v/>
      </c>
      <c r="Z306" s="388"/>
      <c r="AA306" s="178" t="str">
        <f ca="1">IF($C306="","",IF($D306="LPSM",Z305,VALUE($C306)*Z305))</f>
        <v/>
      </c>
      <c r="AB306" s="388"/>
      <c r="AC306" s="178" t="str">
        <f ca="1">IF($C306="","",IF($D306="LPSM",AB305,VALUE($C306)*AB305))</f>
        <v/>
      </c>
      <c r="AD306" s="388"/>
      <c r="AE306" s="178" t="str">
        <f ca="1">IF($C306="","",IF($D306="LPSM",AD305,VALUE($C306)*AD305))</f>
        <v/>
      </c>
      <c r="AF306" s="388"/>
      <c r="AG306" s="178" t="str">
        <f ca="1">IF($C306="","",IF($D306="LPSM",AF305,VALUE($C306)*AF305))</f>
        <v/>
      </c>
      <c r="AH306" s="388"/>
      <c r="AI306" s="178" t="str">
        <f ca="1">IF($C306="","",IF($D306="LPSM",AH305,VALUE($C306)*AH305))</f>
        <v/>
      </c>
      <c r="AJ306" s="388"/>
      <c r="AK306" s="178" t="str">
        <f ca="1">IF($C306="","",IF($D306="LPSM",AJ305,VALUE($C306)*AJ305))</f>
        <v/>
      </c>
      <c r="AL306" s="388"/>
      <c r="AM306" s="178" t="str">
        <f ca="1">IF($C306="","",IF($D306="LPSM",AL305,VALUE($C306)*AL305))</f>
        <v/>
      </c>
      <c r="AN306" s="388"/>
      <c r="AO306" s="178" t="str">
        <f ca="1">IF($C306="","",IF($D306="LPSM",AN305,VALUE($C306)*AN305))</f>
        <v/>
      </c>
      <c r="AP306" s="388"/>
      <c r="AQ306" s="178" t="str">
        <f ca="1">IF($C306="","",IF($D306="LPSM",AP305,VALUE($C306)*AP305))</f>
        <v/>
      </c>
      <c r="AR306" s="209" t="str">
        <f ca="1">IF(LEN(B306)&gt;0,ISNUMBER(MATCH(B306,Proposed[Item],0)),"")</f>
        <v/>
      </c>
    </row>
    <row r="307" spans="1:44" ht="15" x14ac:dyDescent="0.2">
      <c r="A307" s="276">
        <f t="shared" ca="1" si="4"/>
        <v>150</v>
      </c>
      <c r="B307" s="168" t="str">
        <f ca="1">IFERROR(INDEX(INDIRECT(RangeItems),MATCH($A307,INDIRECT(RangeCount),0)),"")</f>
        <v/>
      </c>
      <c r="C307" s="365" t="str">
        <f ca="1">INDEX(Calcs[Description],$A307)</f>
        <v/>
      </c>
      <c r="D307" s="365"/>
      <c r="E307" s="365"/>
      <c r="F307" s="365"/>
      <c r="G307" s="365"/>
      <c r="H307" s="388"/>
      <c r="I307" s="177"/>
      <c r="J307" s="388"/>
      <c r="K307" s="177"/>
      <c r="L307" s="388"/>
      <c r="M307" s="177"/>
      <c r="N307" s="388"/>
      <c r="O307" s="177"/>
      <c r="P307" s="388"/>
      <c r="Q307" s="177"/>
      <c r="R307" s="388"/>
      <c r="S307" s="177"/>
      <c r="T307" s="388"/>
      <c r="U307" s="177"/>
      <c r="V307" s="388"/>
      <c r="W307" s="177"/>
      <c r="X307" s="388"/>
      <c r="Y307" s="177"/>
      <c r="Z307" s="388"/>
      <c r="AA307" s="177"/>
      <c r="AB307" s="388"/>
      <c r="AC307" s="177"/>
      <c r="AD307" s="388"/>
      <c r="AE307" s="177"/>
      <c r="AF307" s="388"/>
      <c r="AG307" s="177"/>
      <c r="AH307" s="388"/>
      <c r="AI307" s="177"/>
      <c r="AJ307" s="388"/>
      <c r="AK307" s="177"/>
      <c r="AL307" s="388"/>
      <c r="AM307" s="177"/>
      <c r="AN307" s="388"/>
      <c r="AO307" s="177"/>
      <c r="AP307" s="388"/>
      <c r="AQ307" s="177"/>
      <c r="AR307" s="209" t="str">
        <f ca="1">IF(LEN(B307)&gt;0,ISNUMBER(MATCH(B307,Proposed[Item],0)),"")</f>
        <v/>
      </c>
    </row>
    <row r="308" spans="1:44" ht="15" x14ac:dyDescent="0.2">
      <c r="A308" s="276">
        <f t="shared" ca="1" si="4"/>
        <v>150</v>
      </c>
      <c r="B308" s="111" t="str">
        <f ca="1">IF($A308&lt;=NumPayItems,"Line "&amp;INDEX(Calcs[Line],$A308),"")</f>
        <v/>
      </c>
      <c r="C308" s="169" t="str">
        <f ca="1">IFERROR(IF($D308="LPSM","ALL",TEXT(INDEX(INDIRECT(RangeQuantity),MATCH($A308,INDIRECT(RangeCount),0)),"#,##0"&amp;IF(OFFSET(Items[],MATCH($A308,INDIRECT(RangeCount),0)-1,MATCH(Decimals,Items[#Headers],0)-1,1,1)&gt;0,"."&amp;REPT("0",OFFSET(Items[],MATCH($A308,INDIRECT(RangeCount),0)-1,MATCH(Decimals,Items[#Headers],0)-1,1,1)),""))),"")</f>
        <v/>
      </c>
      <c r="D308" s="170" t="str">
        <f ca="1">IFERROR(INDEX(INDIRECT(RangeUnit),MATCH($A308,INDIRECT(RangeCount),0)),"")</f>
        <v/>
      </c>
      <c r="E308" s="170" t="str">
        <f ca="1">IFERROR(IF(INDEX(INDIRECT(RangeContrQty),MATCH($A308,INDIRECT(RangeCount),0)),"(CQ)",""),"")</f>
        <v/>
      </c>
      <c r="F308" s="171" t="str">
        <f ca="1">IFERROR(INDEX(INDIRECT(RangeUnitPrice),MATCH($A308,INDIRECT(RangeCount),0)),"")</f>
        <v/>
      </c>
      <c r="G308" s="171" t="str">
        <f ca="1">IFERROR(VALUE(C308)*F308,F308)</f>
        <v/>
      </c>
      <c r="H308" s="388"/>
      <c r="I308" s="178" t="str">
        <f ca="1">IF($C308="","",IF($D308="LPSM",H307,VALUE($C308)*H307))</f>
        <v/>
      </c>
      <c r="J308" s="388"/>
      <c r="K308" s="178" t="str">
        <f ca="1">IF($C308="","",IF($D308="LPSM",J307,VALUE($C308)*J307))</f>
        <v/>
      </c>
      <c r="L308" s="388"/>
      <c r="M308" s="178" t="str">
        <f ca="1">IF($C308="","",IF($D308="LPSM",L307,VALUE($C308)*L307))</f>
        <v/>
      </c>
      <c r="N308" s="388"/>
      <c r="O308" s="178" t="str">
        <f ca="1">IF($C308="","",IF($D308="LPSM",N307,VALUE($C308)*N307))</f>
        <v/>
      </c>
      <c r="P308" s="388"/>
      <c r="Q308" s="178" t="str">
        <f ca="1">IF($C308="","",IF($D308="LPSM",P307,VALUE($C308)*P307))</f>
        <v/>
      </c>
      <c r="R308" s="388"/>
      <c r="S308" s="178" t="str">
        <f ca="1">IF($C308="","",IF($D308="LPSM",R307,VALUE($C308)*R307))</f>
        <v/>
      </c>
      <c r="T308" s="388"/>
      <c r="U308" s="178" t="str">
        <f ca="1">IF($C308="","",IF($D308="LPSM",T307,VALUE($C308)*T307))</f>
        <v/>
      </c>
      <c r="V308" s="388"/>
      <c r="W308" s="178" t="str">
        <f ca="1">IF($C308="","",IF($D308="LPSM",V307,VALUE($C308)*V307))</f>
        <v/>
      </c>
      <c r="X308" s="388"/>
      <c r="Y308" s="178" t="str">
        <f ca="1">IF($C308="","",IF($D308="LPSM",X307,VALUE($C308)*X307))</f>
        <v/>
      </c>
      <c r="Z308" s="388"/>
      <c r="AA308" s="178" t="str">
        <f ca="1">IF($C308="","",IF($D308="LPSM",Z307,VALUE($C308)*Z307))</f>
        <v/>
      </c>
      <c r="AB308" s="388"/>
      <c r="AC308" s="178" t="str">
        <f ca="1">IF($C308="","",IF($D308="LPSM",AB307,VALUE($C308)*AB307))</f>
        <v/>
      </c>
      <c r="AD308" s="388"/>
      <c r="AE308" s="178" t="str">
        <f ca="1">IF($C308="","",IF($D308="LPSM",AD307,VALUE($C308)*AD307))</f>
        <v/>
      </c>
      <c r="AF308" s="388"/>
      <c r="AG308" s="178" t="str">
        <f ca="1">IF($C308="","",IF($D308="LPSM",AF307,VALUE($C308)*AF307))</f>
        <v/>
      </c>
      <c r="AH308" s="388"/>
      <c r="AI308" s="178" t="str">
        <f ca="1">IF($C308="","",IF($D308="LPSM",AH307,VALUE($C308)*AH307))</f>
        <v/>
      </c>
      <c r="AJ308" s="388"/>
      <c r="AK308" s="178" t="str">
        <f ca="1">IF($C308="","",IF($D308="LPSM",AJ307,VALUE($C308)*AJ307))</f>
        <v/>
      </c>
      <c r="AL308" s="388"/>
      <c r="AM308" s="178" t="str">
        <f ca="1">IF($C308="","",IF($D308="LPSM",AL307,VALUE($C308)*AL307))</f>
        <v/>
      </c>
      <c r="AN308" s="388"/>
      <c r="AO308" s="178" t="str">
        <f ca="1">IF($C308="","",IF($D308="LPSM",AN307,VALUE($C308)*AN307))</f>
        <v/>
      </c>
      <c r="AP308" s="388"/>
      <c r="AQ308" s="178" t="str">
        <f ca="1">IF($C308="","",IF($D308="LPSM",AP307,VALUE($C308)*AP307))</f>
        <v/>
      </c>
      <c r="AR308" s="209" t="str">
        <f ca="1">IF(LEN(B308)&gt;0,ISNUMBER(MATCH(B308,Proposed[Item],0)),"")</f>
        <v/>
      </c>
    </row>
    <row r="309" spans="1:44" ht="15" x14ac:dyDescent="0.2">
      <c r="A309" s="276">
        <f t="shared" ca="1" si="4"/>
        <v>151</v>
      </c>
      <c r="B309" s="168" t="str">
        <f ca="1">IFERROR(INDEX(INDIRECT(RangeItems),MATCH($A309,INDIRECT(RangeCount),0)),"")</f>
        <v/>
      </c>
      <c r="C309" s="365" t="str">
        <f ca="1">INDEX(Calcs[Description],$A309)</f>
        <v/>
      </c>
      <c r="D309" s="365"/>
      <c r="E309" s="365"/>
      <c r="F309" s="365"/>
      <c r="G309" s="365"/>
      <c r="H309" s="388"/>
      <c r="I309" s="177"/>
      <c r="J309" s="388"/>
      <c r="K309" s="177"/>
      <c r="L309" s="388"/>
      <c r="M309" s="177"/>
      <c r="N309" s="388"/>
      <c r="O309" s="177"/>
      <c r="P309" s="388"/>
      <c r="Q309" s="177"/>
      <c r="R309" s="388"/>
      <c r="S309" s="177"/>
      <c r="T309" s="388"/>
      <c r="U309" s="177"/>
      <c r="V309" s="388"/>
      <c r="W309" s="177"/>
      <c r="X309" s="388"/>
      <c r="Y309" s="177"/>
      <c r="Z309" s="388"/>
      <c r="AA309" s="177"/>
      <c r="AB309" s="388"/>
      <c r="AC309" s="177"/>
      <c r="AD309" s="388"/>
      <c r="AE309" s="177"/>
      <c r="AF309" s="388"/>
      <c r="AG309" s="177"/>
      <c r="AH309" s="388"/>
      <c r="AI309" s="177"/>
      <c r="AJ309" s="388"/>
      <c r="AK309" s="177"/>
      <c r="AL309" s="388"/>
      <c r="AM309" s="177"/>
      <c r="AN309" s="388"/>
      <c r="AO309" s="177"/>
      <c r="AP309" s="388"/>
      <c r="AQ309" s="177"/>
      <c r="AR309" s="209" t="str">
        <f ca="1">IF(LEN(B309)&gt;0,ISNUMBER(MATCH(B309,Proposed[Item],0)),"")</f>
        <v/>
      </c>
    </row>
    <row r="310" spans="1:44" ht="15" x14ac:dyDescent="0.2">
      <c r="A310" s="276">
        <f t="shared" ca="1" si="4"/>
        <v>151</v>
      </c>
      <c r="B310" s="111" t="str">
        <f ca="1">IF($A310&lt;=NumPayItems,"Line "&amp;INDEX(Calcs[Line],$A310),"")</f>
        <v/>
      </c>
      <c r="C310" s="169" t="str">
        <f ca="1">IFERROR(IF($D310="LPSM","ALL",TEXT(INDEX(INDIRECT(RangeQuantity),MATCH($A310,INDIRECT(RangeCount),0)),"#,##0"&amp;IF(OFFSET(Items[],MATCH($A310,INDIRECT(RangeCount),0)-1,MATCH(Decimals,Items[#Headers],0)-1,1,1)&gt;0,"."&amp;REPT("0",OFFSET(Items[],MATCH($A310,INDIRECT(RangeCount),0)-1,MATCH(Decimals,Items[#Headers],0)-1,1,1)),""))),"")</f>
        <v/>
      </c>
      <c r="D310" s="170" t="str">
        <f ca="1">IFERROR(INDEX(INDIRECT(RangeUnit),MATCH($A310,INDIRECT(RangeCount),0)),"")</f>
        <v/>
      </c>
      <c r="E310" s="170" t="str">
        <f ca="1">IFERROR(IF(INDEX(INDIRECT(RangeContrQty),MATCH($A310,INDIRECT(RangeCount),0)),"(CQ)",""),"")</f>
        <v/>
      </c>
      <c r="F310" s="171" t="str">
        <f ca="1">IFERROR(INDEX(INDIRECT(RangeUnitPrice),MATCH($A310,INDIRECT(RangeCount),0)),"")</f>
        <v/>
      </c>
      <c r="G310" s="171" t="str">
        <f ca="1">IFERROR(VALUE(C310)*F310,F310)</f>
        <v/>
      </c>
      <c r="H310" s="388"/>
      <c r="I310" s="178" t="str">
        <f ca="1">IF($C310="","",IF($D310="LPSM",H309,VALUE($C310)*H309))</f>
        <v/>
      </c>
      <c r="J310" s="388"/>
      <c r="K310" s="178" t="str">
        <f ca="1">IF($C310="","",IF($D310="LPSM",J309,VALUE($C310)*J309))</f>
        <v/>
      </c>
      <c r="L310" s="388"/>
      <c r="M310" s="178" t="str">
        <f ca="1">IF($C310="","",IF($D310="LPSM",L309,VALUE($C310)*L309))</f>
        <v/>
      </c>
      <c r="N310" s="388"/>
      <c r="O310" s="178" t="str">
        <f ca="1">IF($C310="","",IF($D310="LPSM",N309,VALUE($C310)*N309))</f>
        <v/>
      </c>
      <c r="P310" s="388"/>
      <c r="Q310" s="178" t="str">
        <f ca="1">IF($C310="","",IF($D310="LPSM",P309,VALUE($C310)*P309))</f>
        <v/>
      </c>
      <c r="R310" s="388"/>
      <c r="S310" s="178" t="str">
        <f ca="1">IF($C310="","",IF($D310="LPSM",R309,VALUE($C310)*R309))</f>
        <v/>
      </c>
      <c r="T310" s="388"/>
      <c r="U310" s="178" t="str">
        <f ca="1">IF($C310="","",IF($D310="LPSM",T309,VALUE($C310)*T309))</f>
        <v/>
      </c>
      <c r="V310" s="388"/>
      <c r="W310" s="178" t="str">
        <f ca="1">IF($C310="","",IF($D310="LPSM",V309,VALUE($C310)*V309))</f>
        <v/>
      </c>
      <c r="X310" s="388"/>
      <c r="Y310" s="178" t="str">
        <f ca="1">IF($C310="","",IF($D310="LPSM",X309,VALUE($C310)*X309))</f>
        <v/>
      </c>
      <c r="Z310" s="388"/>
      <c r="AA310" s="178" t="str">
        <f ca="1">IF($C310="","",IF($D310="LPSM",Z309,VALUE($C310)*Z309))</f>
        <v/>
      </c>
      <c r="AB310" s="388"/>
      <c r="AC310" s="178" t="str">
        <f ca="1">IF($C310="","",IF($D310="LPSM",AB309,VALUE($C310)*AB309))</f>
        <v/>
      </c>
      <c r="AD310" s="388"/>
      <c r="AE310" s="178" t="str">
        <f ca="1">IF($C310="","",IF($D310="LPSM",AD309,VALUE($C310)*AD309))</f>
        <v/>
      </c>
      <c r="AF310" s="388"/>
      <c r="AG310" s="178" t="str">
        <f ca="1">IF($C310="","",IF($D310="LPSM",AF309,VALUE($C310)*AF309))</f>
        <v/>
      </c>
      <c r="AH310" s="388"/>
      <c r="AI310" s="178" t="str">
        <f ca="1">IF($C310="","",IF($D310="LPSM",AH309,VALUE($C310)*AH309))</f>
        <v/>
      </c>
      <c r="AJ310" s="388"/>
      <c r="AK310" s="178" t="str">
        <f ca="1">IF($C310="","",IF($D310="LPSM",AJ309,VALUE($C310)*AJ309))</f>
        <v/>
      </c>
      <c r="AL310" s="388"/>
      <c r="AM310" s="178" t="str">
        <f ca="1">IF($C310="","",IF($D310="LPSM",AL309,VALUE($C310)*AL309))</f>
        <v/>
      </c>
      <c r="AN310" s="388"/>
      <c r="AO310" s="178" t="str">
        <f ca="1">IF($C310="","",IF($D310="LPSM",AN309,VALUE($C310)*AN309))</f>
        <v/>
      </c>
      <c r="AP310" s="388"/>
      <c r="AQ310" s="178" t="str">
        <f ca="1">IF($C310="","",IF($D310="LPSM",AP309,VALUE($C310)*AP309))</f>
        <v/>
      </c>
      <c r="AR310" s="209" t="str">
        <f ca="1">IF(LEN(B310)&gt;0,ISNUMBER(MATCH(B310,Proposed[Item],0)),"")</f>
        <v/>
      </c>
    </row>
    <row r="311" spans="1:44" ht="15" x14ac:dyDescent="0.2">
      <c r="A311" s="276">
        <f t="shared" ca="1" si="4"/>
        <v>152</v>
      </c>
      <c r="B311" s="168" t="str">
        <f ca="1">IFERROR(INDEX(INDIRECT(RangeItems),MATCH($A311,INDIRECT(RangeCount),0)),"")</f>
        <v/>
      </c>
      <c r="C311" s="365" t="str">
        <f ca="1">INDEX(Calcs[Description],$A311)</f>
        <v/>
      </c>
      <c r="D311" s="365"/>
      <c r="E311" s="365"/>
      <c r="F311" s="365"/>
      <c r="G311" s="365"/>
      <c r="H311" s="388"/>
      <c r="I311" s="177"/>
      <c r="J311" s="388"/>
      <c r="K311" s="177"/>
      <c r="L311" s="388"/>
      <c r="M311" s="177"/>
      <c r="N311" s="388"/>
      <c r="O311" s="177"/>
      <c r="P311" s="388"/>
      <c r="Q311" s="177"/>
      <c r="R311" s="388"/>
      <c r="S311" s="177"/>
      <c r="T311" s="388"/>
      <c r="U311" s="177"/>
      <c r="V311" s="388"/>
      <c r="W311" s="177"/>
      <c r="X311" s="388"/>
      <c r="Y311" s="177"/>
      <c r="Z311" s="388"/>
      <c r="AA311" s="177"/>
      <c r="AB311" s="388"/>
      <c r="AC311" s="177"/>
      <c r="AD311" s="388"/>
      <c r="AE311" s="177"/>
      <c r="AF311" s="388"/>
      <c r="AG311" s="177"/>
      <c r="AH311" s="388"/>
      <c r="AI311" s="177"/>
      <c r="AJ311" s="388"/>
      <c r="AK311" s="177"/>
      <c r="AL311" s="388"/>
      <c r="AM311" s="177"/>
      <c r="AN311" s="388"/>
      <c r="AO311" s="177"/>
      <c r="AP311" s="388"/>
      <c r="AQ311" s="177"/>
      <c r="AR311" s="209" t="str">
        <f ca="1">IF(LEN(B311)&gt;0,ISNUMBER(MATCH(B311,Proposed[Item],0)),"")</f>
        <v/>
      </c>
    </row>
    <row r="312" spans="1:44" ht="15" x14ac:dyDescent="0.2">
      <c r="A312" s="276">
        <f t="shared" ca="1" si="4"/>
        <v>152</v>
      </c>
      <c r="B312" s="111" t="str">
        <f ca="1">IF($A312&lt;=NumPayItems,"Line "&amp;INDEX(Calcs[Line],$A312),"")</f>
        <v/>
      </c>
      <c r="C312" s="169" t="str">
        <f ca="1">IFERROR(IF($D312="LPSM","ALL",TEXT(INDEX(INDIRECT(RangeQuantity),MATCH($A312,INDIRECT(RangeCount),0)),"#,##0"&amp;IF(OFFSET(Items[],MATCH($A312,INDIRECT(RangeCount),0)-1,MATCH(Decimals,Items[#Headers],0)-1,1,1)&gt;0,"."&amp;REPT("0",OFFSET(Items[],MATCH($A312,INDIRECT(RangeCount),0)-1,MATCH(Decimals,Items[#Headers],0)-1,1,1)),""))),"")</f>
        <v/>
      </c>
      <c r="D312" s="170" t="str">
        <f ca="1">IFERROR(INDEX(INDIRECT(RangeUnit),MATCH($A312,INDIRECT(RangeCount),0)),"")</f>
        <v/>
      </c>
      <c r="E312" s="170" t="str">
        <f ca="1">IFERROR(IF(INDEX(INDIRECT(RangeContrQty),MATCH($A312,INDIRECT(RangeCount),0)),"(CQ)",""),"")</f>
        <v/>
      </c>
      <c r="F312" s="171" t="str">
        <f ca="1">IFERROR(INDEX(INDIRECT(RangeUnitPrice),MATCH($A312,INDIRECT(RangeCount),0)),"")</f>
        <v/>
      </c>
      <c r="G312" s="171" t="str">
        <f ca="1">IFERROR(VALUE(C312)*F312,F312)</f>
        <v/>
      </c>
      <c r="H312" s="388"/>
      <c r="I312" s="178" t="str">
        <f ca="1">IF($C312="","",IF($D312="LPSM",H311,VALUE($C312)*H311))</f>
        <v/>
      </c>
      <c r="J312" s="388"/>
      <c r="K312" s="178" t="str">
        <f ca="1">IF($C312="","",IF($D312="LPSM",J311,VALUE($C312)*J311))</f>
        <v/>
      </c>
      <c r="L312" s="388"/>
      <c r="M312" s="178" t="str">
        <f ca="1">IF($C312="","",IF($D312="LPSM",L311,VALUE($C312)*L311))</f>
        <v/>
      </c>
      <c r="N312" s="388"/>
      <c r="O312" s="178" t="str">
        <f ca="1">IF($C312="","",IF($D312="LPSM",N311,VALUE($C312)*N311))</f>
        <v/>
      </c>
      <c r="P312" s="388"/>
      <c r="Q312" s="178" t="str">
        <f ca="1">IF($C312="","",IF($D312="LPSM",P311,VALUE($C312)*P311))</f>
        <v/>
      </c>
      <c r="R312" s="388"/>
      <c r="S312" s="178" t="str">
        <f ca="1">IF($C312="","",IF($D312="LPSM",R311,VALUE($C312)*R311))</f>
        <v/>
      </c>
      <c r="T312" s="388"/>
      <c r="U312" s="178" t="str">
        <f ca="1">IF($C312="","",IF($D312="LPSM",T311,VALUE($C312)*T311))</f>
        <v/>
      </c>
      <c r="V312" s="388"/>
      <c r="W312" s="178" t="str">
        <f ca="1">IF($C312="","",IF($D312="LPSM",V311,VALUE($C312)*V311))</f>
        <v/>
      </c>
      <c r="X312" s="388"/>
      <c r="Y312" s="178" t="str">
        <f ca="1">IF($C312="","",IF($D312="LPSM",X311,VALUE($C312)*X311))</f>
        <v/>
      </c>
      <c r="Z312" s="388"/>
      <c r="AA312" s="178" t="str">
        <f ca="1">IF($C312="","",IF($D312="LPSM",Z311,VALUE($C312)*Z311))</f>
        <v/>
      </c>
      <c r="AB312" s="388"/>
      <c r="AC312" s="178" t="str">
        <f ca="1">IF($C312="","",IF($D312="LPSM",AB311,VALUE($C312)*AB311))</f>
        <v/>
      </c>
      <c r="AD312" s="388"/>
      <c r="AE312" s="178" t="str">
        <f ca="1">IF($C312="","",IF($D312="LPSM",AD311,VALUE($C312)*AD311))</f>
        <v/>
      </c>
      <c r="AF312" s="388"/>
      <c r="AG312" s="178" t="str">
        <f ca="1">IF($C312="","",IF($D312="LPSM",AF311,VALUE($C312)*AF311))</f>
        <v/>
      </c>
      <c r="AH312" s="388"/>
      <c r="AI312" s="178" t="str">
        <f ca="1">IF($C312="","",IF($D312="LPSM",AH311,VALUE($C312)*AH311))</f>
        <v/>
      </c>
      <c r="AJ312" s="388"/>
      <c r="AK312" s="178" t="str">
        <f ca="1">IF($C312="","",IF($D312="LPSM",AJ311,VALUE($C312)*AJ311))</f>
        <v/>
      </c>
      <c r="AL312" s="388"/>
      <c r="AM312" s="178" t="str">
        <f ca="1">IF($C312="","",IF($D312="LPSM",AL311,VALUE($C312)*AL311))</f>
        <v/>
      </c>
      <c r="AN312" s="388"/>
      <c r="AO312" s="178" t="str">
        <f ca="1">IF($C312="","",IF($D312="LPSM",AN311,VALUE($C312)*AN311))</f>
        <v/>
      </c>
      <c r="AP312" s="388"/>
      <c r="AQ312" s="178" t="str">
        <f ca="1">IF($C312="","",IF($D312="LPSM",AP311,VALUE($C312)*AP311))</f>
        <v/>
      </c>
      <c r="AR312" s="209" t="str">
        <f ca="1">IF(LEN(B312)&gt;0,ISNUMBER(MATCH(B312,Proposed[Item],0)),"")</f>
        <v/>
      </c>
    </row>
    <row r="313" spans="1:44" ht="15" x14ac:dyDescent="0.2">
      <c r="A313" s="276">
        <f t="shared" ca="1" si="4"/>
        <v>153</v>
      </c>
      <c r="B313" s="168" t="str">
        <f ca="1">IFERROR(INDEX(INDIRECT(RangeItems),MATCH($A313,INDIRECT(RangeCount),0)),"")</f>
        <v/>
      </c>
      <c r="C313" s="365" t="str">
        <f ca="1">INDEX(Calcs[Description],$A313)</f>
        <v/>
      </c>
      <c r="D313" s="365"/>
      <c r="E313" s="365"/>
      <c r="F313" s="365"/>
      <c r="G313" s="365"/>
      <c r="H313" s="388"/>
      <c r="I313" s="177"/>
      <c r="J313" s="388"/>
      <c r="K313" s="177"/>
      <c r="L313" s="388"/>
      <c r="M313" s="177"/>
      <c r="N313" s="388"/>
      <c r="O313" s="177"/>
      <c r="P313" s="388"/>
      <c r="Q313" s="177"/>
      <c r="R313" s="388"/>
      <c r="S313" s="177"/>
      <c r="T313" s="388"/>
      <c r="U313" s="177"/>
      <c r="V313" s="388"/>
      <c r="W313" s="177"/>
      <c r="X313" s="388"/>
      <c r="Y313" s="177"/>
      <c r="Z313" s="388"/>
      <c r="AA313" s="177"/>
      <c r="AB313" s="388"/>
      <c r="AC313" s="177"/>
      <c r="AD313" s="388"/>
      <c r="AE313" s="177"/>
      <c r="AF313" s="388"/>
      <c r="AG313" s="177"/>
      <c r="AH313" s="388"/>
      <c r="AI313" s="177"/>
      <c r="AJ313" s="388"/>
      <c r="AK313" s="177"/>
      <c r="AL313" s="388"/>
      <c r="AM313" s="177"/>
      <c r="AN313" s="388"/>
      <c r="AO313" s="177"/>
      <c r="AP313" s="388"/>
      <c r="AQ313" s="177"/>
      <c r="AR313" s="209" t="str">
        <f ca="1">IF(LEN(B313)&gt;0,ISNUMBER(MATCH(B313,Proposed[Item],0)),"")</f>
        <v/>
      </c>
    </row>
    <row r="314" spans="1:44" ht="15" x14ac:dyDescent="0.2">
      <c r="A314" s="276">
        <f t="shared" ca="1" si="4"/>
        <v>153</v>
      </c>
      <c r="B314" s="111" t="str">
        <f ca="1">IF($A314&lt;=NumPayItems,"Line "&amp;INDEX(Calcs[Line],$A314),"")</f>
        <v/>
      </c>
      <c r="C314" s="169" t="str">
        <f ca="1">IFERROR(IF($D314="LPSM","ALL",TEXT(INDEX(INDIRECT(RangeQuantity),MATCH($A314,INDIRECT(RangeCount),0)),"#,##0"&amp;IF(OFFSET(Items[],MATCH($A314,INDIRECT(RangeCount),0)-1,MATCH(Decimals,Items[#Headers],0)-1,1,1)&gt;0,"."&amp;REPT("0",OFFSET(Items[],MATCH($A314,INDIRECT(RangeCount),0)-1,MATCH(Decimals,Items[#Headers],0)-1,1,1)),""))),"")</f>
        <v/>
      </c>
      <c r="D314" s="170" t="str">
        <f ca="1">IFERROR(INDEX(INDIRECT(RangeUnit),MATCH($A314,INDIRECT(RangeCount),0)),"")</f>
        <v/>
      </c>
      <c r="E314" s="170" t="str">
        <f ca="1">IFERROR(IF(INDEX(INDIRECT(RangeContrQty),MATCH($A314,INDIRECT(RangeCount),0)),"(CQ)",""),"")</f>
        <v/>
      </c>
      <c r="F314" s="171" t="str">
        <f ca="1">IFERROR(INDEX(INDIRECT(RangeUnitPrice),MATCH($A314,INDIRECT(RangeCount),0)),"")</f>
        <v/>
      </c>
      <c r="G314" s="171" t="str">
        <f ca="1">IFERROR(VALUE(C314)*F314,F314)</f>
        <v/>
      </c>
      <c r="H314" s="388"/>
      <c r="I314" s="178" t="str">
        <f ca="1">IF($C314="","",IF($D314="LPSM",H313,VALUE($C314)*H313))</f>
        <v/>
      </c>
      <c r="J314" s="388"/>
      <c r="K314" s="178" t="str">
        <f ca="1">IF($C314="","",IF($D314="LPSM",J313,VALUE($C314)*J313))</f>
        <v/>
      </c>
      <c r="L314" s="388"/>
      <c r="M314" s="178" t="str">
        <f ca="1">IF($C314="","",IF($D314="LPSM",L313,VALUE($C314)*L313))</f>
        <v/>
      </c>
      <c r="N314" s="388"/>
      <c r="O314" s="178" t="str">
        <f ca="1">IF($C314="","",IF($D314="LPSM",N313,VALUE($C314)*N313))</f>
        <v/>
      </c>
      <c r="P314" s="388"/>
      <c r="Q314" s="178" t="str">
        <f ca="1">IF($C314="","",IF($D314="LPSM",P313,VALUE($C314)*P313))</f>
        <v/>
      </c>
      <c r="R314" s="388"/>
      <c r="S314" s="178" t="str">
        <f ca="1">IF($C314="","",IF($D314="LPSM",R313,VALUE($C314)*R313))</f>
        <v/>
      </c>
      <c r="T314" s="388"/>
      <c r="U314" s="178" t="str">
        <f ca="1">IF($C314="","",IF($D314="LPSM",T313,VALUE($C314)*T313))</f>
        <v/>
      </c>
      <c r="V314" s="388"/>
      <c r="W314" s="178" t="str">
        <f ca="1">IF($C314="","",IF($D314="LPSM",V313,VALUE($C314)*V313))</f>
        <v/>
      </c>
      <c r="X314" s="388"/>
      <c r="Y314" s="178" t="str">
        <f ca="1">IF($C314="","",IF($D314="LPSM",X313,VALUE($C314)*X313))</f>
        <v/>
      </c>
      <c r="Z314" s="388"/>
      <c r="AA314" s="178" t="str">
        <f ca="1">IF($C314="","",IF($D314="LPSM",Z313,VALUE($C314)*Z313))</f>
        <v/>
      </c>
      <c r="AB314" s="388"/>
      <c r="AC314" s="178" t="str">
        <f ca="1">IF($C314="","",IF($D314="LPSM",AB313,VALUE($C314)*AB313))</f>
        <v/>
      </c>
      <c r="AD314" s="388"/>
      <c r="AE314" s="178" t="str">
        <f ca="1">IF($C314="","",IF($D314="LPSM",AD313,VALUE($C314)*AD313))</f>
        <v/>
      </c>
      <c r="AF314" s="388"/>
      <c r="AG314" s="178" t="str">
        <f ca="1">IF($C314="","",IF($D314="LPSM",AF313,VALUE($C314)*AF313))</f>
        <v/>
      </c>
      <c r="AH314" s="388"/>
      <c r="AI314" s="178" t="str">
        <f ca="1">IF($C314="","",IF($D314="LPSM",AH313,VALUE($C314)*AH313))</f>
        <v/>
      </c>
      <c r="AJ314" s="388"/>
      <c r="AK314" s="178" t="str">
        <f ca="1">IF($C314="","",IF($D314="LPSM",AJ313,VALUE($C314)*AJ313))</f>
        <v/>
      </c>
      <c r="AL314" s="388"/>
      <c r="AM314" s="178" t="str">
        <f ca="1">IF($C314="","",IF($D314="LPSM",AL313,VALUE($C314)*AL313))</f>
        <v/>
      </c>
      <c r="AN314" s="388"/>
      <c r="AO314" s="178" t="str">
        <f ca="1">IF($C314="","",IF($D314="LPSM",AN313,VALUE($C314)*AN313))</f>
        <v/>
      </c>
      <c r="AP314" s="388"/>
      <c r="AQ314" s="178" t="str">
        <f ca="1">IF($C314="","",IF($D314="LPSM",AP313,VALUE($C314)*AP313))</f>
        <v/>
      </c>
      <c r="AR314" s="209" t="str">
        <f ca="1">IF(LEN(B314)&gt;0,ISNUMBER(MATCH(B314,Proposed[Item],0)),"")</f>
        <v/>
      </c>
    </row>
    <row r="315" spans="1:44" ht="15" x14ac:dyDescent="0.2">
      <c r="A315" s="276">
        <f t="shared" ca="1" si="4"/>
        <v>154</v>
      </c>
      <c r="B315" s="168" t="str">
        <f ca="1">IFERROR(INDEX(INDIRECT(RangeItems),MATCH($A315,INDIRECT(RangeCount),0)),"")</f>
        <v/>
      </c>
      <c r="C315" s="365" t="str">
        <f ca="1">INDEX(Calcs[Description],$A315)</f>
        <v/>
      </c>
      <c r="D315" s="365"/>
      <c r="E315" s="365"/>
      <c r="F315" s="365"/>
      <c r="G315" s="365"/>
      <c r="H315" s="388"/>
      <c r="I315" s="177"/>
      <c r="J315" s="388"/>
      <c r="K315" s="177"/>
      <c r="L315" s="388"/>
      <c r="M315" s="177"/>
      <c r="N315" s="388"/>
      <c r="O315" s="177"/>
      <c r="P315" s="388"/>
      <c r="Q315" s="177"/>
      <c r="R315" s="388"/>
      <c r="S315" s="177"/>
      <c r="T315" s="388"/>
      <c r="U315" s="177"/>
      <c r="V315" s="388"/>
      <c r="W315" s="177"/>
      <c r="X315" s="388"/>
      <c r="Y315" s="177"/>
      <c r="Z315" s="388"/>
      <c r="AA315" s="177"/>
      <c r="AB315" s="388"/>
      <c r="AC315" s="177"/>
      <c r="AD315" s="388"/>
      <c r="AE315" s="177"/>
      <c r="AF315" s="388"/>
      <c r="AG315" s="177"/>
      <c r="AH315" s="388"/>
      <c r="AI315" s="177"/>
      <c r="AJ315" s="388"/>
      <c r="AK315" s="177"/>
      <c r="AL315" s="388"/>
      <c r="AM315" s="177"/>
      <c r="AN315" s="388"/>
      <c r="AO315" s="177"/>
      <c r="AP315" s="388"/>
      <c r="AQ315" s="177"/>
      <c r="AR315" s="209" t="str">
        <f ca="1">IF(LEN(B315)&gt;0,ISNUMBER(MATCH(B315,Proposed[Item],0)),"")</f>
        <v/>
      </c>
    </row>
    <row r="316" spans="1:44" ht="15" x14ac:dyDescent="0.2">
      <c r="A316" s="276">
        <f t="shared" ca="1" si="4"/>
        <v>154</v>
      </c>
      <c r="B316" s="111" t="str">
        <f ca="1">IF($A316&lt;=NumPayItems,"Line "&amp;INDEX(Calcs[Line],$A316),"")</f>
        <v/>
      </c>
      <c r="C316" s="169" t="str">
        <f ca="1">IFERROR(IF($D316="LPSM","ALL",TEXT(INDEX(INDIRECT(RangeQuantity),MATCH($A316,INDIRECT(RangeCount),0)),"#,##0"&amp;IF(OFFSET(Items[],MATCH($A316,INDIRECT(RangeCount),0)-1,MATCH(Decimals,Items[#Headers],0)-1,1,1)&gt;0,"."&amp;REPT("0",OFFSET(Items[],MATCH($A316,INDIRECT(RangeCount),0)-1,MATCH(Decimals,Items[#Headers],0)-1,1,1)),""))),"")</f>
        <v/>
      </c>
      <c r="D316" s="170" t="str">
        <f ca="1">IFERROR(INDEX(INDIRECT(RangeUnit),MATCH($A316,INDIRECT(RangeCount),0)),"")</f>
        <v/>
      </c>
      <c r="E316" s="170" t="str">
        <f ca="1">IFERROR(IF(INDEX(INDIRECT(RangeContrQty),MATCH($A316,INDIRECT(RangeCount),0)),"(CQ)",""),"")</f>
        <v/>
      </c>
      <c r="F316" s="171" t="str">
        <f ca="1">IFERROR(INDEX(INDIRECT(RangeUnitPrice),MATCH($A316,INDIRECT(RangeCount),0)),"")</f>
        <v/>
      </c>
      <c r="G316" s="171" t="str">
        <f ca="1">IFERROR(VALUE(C316)*F316,F316)</f>
        <v/>
      </c>
      <c r="H316" s="388"/>
      <c r="I316" s="178" t="str">
        <f ca="1">IF($C316="","",IF($D316="LPSM",H315,VALUE($C316)*H315))</f>
        <v/>
      </c>
      <c r="J316" s="388"/>
      <c r="K316" s="178" t="str">
        <f ca="1">IF($C316="","",IF($D316="LPSM",J315,VALUE($C316)*J315))</f>
        <v/>
      </c>
      <c r="L316" s="388"/>
      <c r="M316" s="178" t="str">
        <f ca="1">IF($C316="","",IF($D316="LPSM",L315,VALUE($C316)*L315))</f>
        <v/>
      </c>
      <c r="N316" s="388"/>
      <c r="O316" s="178" t="str">
        <f ca="1">IF($C316="","",IF($D316="LPSM",N315,VALUE($C316)*N315))</f>
        <v/>
      </c>
      <c r="P316" s="388"/>
      <c r="Q316" s="178" t="str">
        <f ca="1">IF($C316="","",IF($D316="LPSM",P315,VALUE($C316)*P315))</f>
        <v/>
      </c>
      <c r="R316" s="388"/>
      <c r="S316" s="178" t="str">
        <f ca="1">IF($C316="","",IF($D316="LPSM",R315,VALUE($C316)*R315))</f>
        <v/>
      </c>
      <c r="T316" s="388"/>
      <c r="U316" s="178" t="str">
        <f ca="1">IF($C316="","",IF($D316="LPSM",T315,VALUE($C316)*T315))</f>
        <v/>
      </c>
      <c r="V316" s="388"/>
      <c r="W316" s="178" t="str">
        <f ca="1">IF($C316="","",IF($D316="LPSM",V315,VALUE($C316)*V315))</f>
        <v/>
      </c>
      <c r="X316" s="388"/>
      <c r="Y316" s="178" t="str">
        <f ca="1">IF($C316="","",IF($D316="LPSM",X315,VALUE($C316)*X315))</f>
        <v/>
      </c>
      <c r="Z316" s="388"/>
      <c r="AA316" s="178" t="str">
        <f ca="1">IF($C316="","",IF($D316="LPSM",Z315,VALUE($C316)*Z315))</f>
        <v/>
      </c>
      <c r="AB316" s="388"/>
      <c r="AC316" s="178" t="str">
        <f ca="1">IF($C316="","",IF($D316="LPSM",AB315,VALUE($C316)*AB315))</f>
        <v/>
      </c>
      <c r="AD316" s="388"/>
      <c r="AE316" s="178" t="str">
        <f ca="1">IF($C316="","",IF($D316="LPSM",AD315,VALUE($C316)*AD315))</f>
        <v/>
      </c>
      <c r="AF316" s="388"/>
      <c r="AG316" s="178" t="str">
        <f ca="1">IF($C316="","",IF($D316="LPSM",AF315,VALUE($C316)*AF315))</f>
        <v/>
      </c>
      <c r="AH316" s="388"/>
      <c r="AI316" s="178" t="str">
        <f ca="1">IF($C316="","",IF($D316="LPSM",AH315,VALUE($C316)*AH315))</f>
        <v/>
      </c>
      <c r="AJ316" s="388"/>
      <c r="AK316" s="178" t="str">
        <f ca="1">IF($C316="","",IF($D316="LPSM",AJ315,VALUE($C316)*AJ315))</f>
        <v/>
      </c>
      <c r="AL316" s="388"/>
      <c r="AM316" s="178" t="str">
        <f ca="1">IF($C316="","",IF($D316="LPSM",AL315,VALUE($C316)*AL315))</f>
        <v/>
      </c>
      <c r="AN316" s="388"/>
      <c r="AO316" s="178" t="str">
        <f ca="1">IF($C316="","",IF($D316="LPSM",AN315,VALUE($C316)*AN315))</f>
        <v/>
      </c>
      <c r="AP316" s="388"/>
      <c r="AQ316" s="178" t="str">
        <f ca="1">IF($C316="","",IF($D316="LPSM",AP315,VALUE($C316)*AP315))</f>
        <v/>
      </c>
      <c r="AR316" s="209" t="str">
        <f ca="1">IF(LEN(B316)&gt;0,ISNUMBER(MATCH(B316,Proposed[Item],0)),"")</f>
        <v/>
      </c>
    </row>
    <row r="317" spans="1:44" ht="15" x14ac:dyDescent="0.2">
      <c r="A317" s="276">
        <f t="shared" ca="1" si="4"/>
        <v>155</v>
      </c>
      <c r="B317" s="168" t="str">
        <f ca="1">IFERROR(INDEX(INDIRECT(RangeItems),MATCH($A317,INDIRECT(RangeCount),0)),"")</f>
        <v/>
      </c>
      <c r="C317" s="365" t="str">
        <f ca="1">INDEX(Calcs[Description],$A317)</f>
        <v/>
      </c>
      <c r="D317" s="365"/>
      <c r="E317" s="365"/>
      <c r="F317" s="365"/>
      <c r="G317" s="365"/>
      <c r="H317" s="388"/>
      <c r="I317" s="177"/>
      <c r="J317" s="388"/>
      <c r="K317" s="177"/>
      <c r="L317" s="388"/>
      <c r="M317" s="177"/>
      <c r="N317" s="388"/>
      <c r="O317" s="177"/>
      <c r="P317" s="388"/>
      <c r="Q317" s="177"/>
      <c r="R317" s="388"/>
      <c r="S317" s="177"/>
      <c r="T317" s="388"/>
      <c r="U317" s="177"/>
      <c r="V317" s="388"/>
      <c r="W317" s="177"/>
      <c r="X317" s="388"/>
      <c r="Y317" s="177"/>
      <c r="Z317" s="388"/>
      <c r="AA317" s="177"/>
      <c r="AB317" s="388"/>
      <c r="AC317" s="177"/>
      <c r="AD317" s="388"/>
      <c r="AE317" s="177"/>
      <c r="AF317" s="388"/>
      <c r="AG317" s="177"/>
      <c r="AH317" s="388"/>
      <c r="AI317" s="177"/>
      <c r="AJ317" s="388"/>
      <c r="AK317" s="177"/>
      <c r="AL317" s="388"/>
      <c r="AM317" s="177"/>
      <c r="AN317" s="388"/>
      <c r="AO317" s="177"/>
      <c r="AP317" s="388"/>
      <c r="AQ317" s="177"/>
      <c r="AR317" s="209" t="str">
        <f ca="1">IF(LEN(B317)&gt;0,ISNUMBER(MATCH(B317,Proposed[Item],0)),"")</f>
        <v/>
      </c>
    </row>
    <row r="318" spans="1:44" ht="15" x14ac:dyDescent="0.2">
      <c r="A318" s="276">
        <f t="shared" ca="1" si="4"/>
        <v>155</v>
      </c>
      <c r="B318" s="111" t="str">
        <f ca="1">IF($A318&lt;=NumPayItems,"Line "&amp;INDEX(Calcs[Line],$A318),"")</f>
        <v/>
      </c>
      <c r="C318" s="169" t="str">
        <f ca="1">IFERROR(IF($D318="LPSM","ALL",TEXT(INDEX(INDIRECT(RangeQuantity),MATCH($A318,INDIRECT(RangeCount),0)),"#,##0"&amp;IF(OFFSET(Items[],MATCH($A318,INDIRECT(RangeCount),0)-1,MATCH(Decimals,Items[#Headers],0)-1,1,1)&gt;0,"."&amp;REPT("0",OFFSET(Items[],MATCH($A318,INDIRECT(RangeCount),0)-1,MATCH(Decimals,Items[#Headers],0)-1,1,1)),""))),"")</f>
        <v/>
      </c>
      <c r="D318" s="170" t="str">
        <f ca="1">IFERROR(INDEX(INDIRECT(RangeUnit),MATCH($A318,INDIRECT(RangeCount),0)),"")</f>
        <v/>
      </c>
      <c r="E318" s="170" t="str">
        <f ca="1">IFERROR(IF(INDEX(INDIRECT(RangeContrQty),MATCH($A318,INDIRECT(RangeCount),0)),"(CQ)",""),"")</f>
        <v/>
      </c>
      <c r="F318" s="171" t="str">
        <f ca="1">IFERROR(INDEX(INDIRECT(RangeUnitPrice),MATCH($A318,INDIRECT(RangeCount),0)),"")</f>
        <v/>
      </c>
      <c r="G318" s="171" t="str">
        <f ca="1">IFERROR(VALUE(C318)*F318,F318)</f>
        <v/>
      </c>
      <c r="H318" s="388"/>
      <c r="I318" s="178" t="str">
        <f ca="1">IF($C318="","",IF($D318="LPSM",H317,VALUE($C318)*H317))</f>
        <v/>
      </c>
      <c r="J318" s="388"/>
      <c r="K318" s="178" t="str">
        <f ca="1">IF($C318="","",IF($D318="LPSM",J317,VALUE($C318)*J317))</f>
        <v/>
      </c>
      <c r="L318" s="388"/>
      <c r="M318" s="178" t="str">
        <f ca="1">IF($C318="","",IF($D318="LPSM",L317,VALUE($C318)*L317))</f>
        <v/>
      </c>
      <c r="N318" s="388"/>
      <c r="O318" s="178" t="str">
        <f ca="1">IF($C318="","",IF($D318="LPSM",N317,VALUE($C318)*N317))</f>
        <v/>
      </c>
      <c r="P318" s="388"/>
      <c r="Q318" s="178" t="str">
        <f ca="1">IF($C318="","",IF($D318="LPSM",P317,VALUE($C318)*P317))</f>
        <v/>
      </c>
      <c r="R318" s="388"/>
      <c r="S318" s="178" t="str">
        <f ca="1">IF($C318="","",IF($D318="LPSM",R317,VALUE($C318)*R317))</f>
        <v/>
      </c>
      <c r="T318" s="388"/>
      <c r="U318" s="178" t="str">
        <f ca="1">IF($C318="","",IF($D318="LPSM",T317,VALUE($C318)*T317))</f>
        <v/>
      </c>
      <c r="V318" s="388"/>
      <c r="W318" s="178" t="str">
        <f ca="1">IF($C318="","",IF($D318="LPSM",V317,VALUE($C318)*V317))</f>
        <v/>
      </c>
      <c r="X318" s="388"/>
      <c r="Y318" s="178" t="str">
        <f ca="1">IF($C318="","",IF($D318="LPSM",X317,VALUE($C318)*X317))</f>
        <v/>
      </c>
      <c r="Z318" s="388"/>
      <c r="AA318" s="178" t="str">
        <f ca="1">IF($C318="","",IF($D318="LPSM",Z317,VALUE($C318)*Z317))</f>
        <v/>
      </c>
      <c r="AB318" s="388"/>
      <c r="AC318" s="178" t="str">
        <f ca="1">IF($C318="","",IF($D318="LPSM",AB317,VALUE($C318)*AB317))</f>
        <v/>
      </c>
      <c r="AD318" s="388"/>
      <c r="AE318" s="178" t="str">
        <f ca="1">IF($C318="","",IF($D318="LPSM",AD317,VALUE($C318)*AD317))</f>
        <v/>
      </c>
      <c r="AF318" s="388"/>
      <c r="AG318" s="178" t="str">
        <f ca="1">IF($C318="","",IF($D318="LPSM",AF317,VALUE($C318)*AF317))</f>
        <v/>
      </c>
      <c r="AH318" s="388"/>
      <c r="AI318" s="178" t="str">
        <f ca="1">IF($C318="","",IF($D318="LPSM",AH317,VALUE($C318)*AH317))</f>
        <v/>
      </c>
      <c r="AJ318" s="388"/>
      <c r="AK318" s="178" t="str">
        <f ca="1">IF($C318="","",IF($D318="LPSM",AJ317,VALUE($C318)*AJ317))</f>
        <v/>
      </c>
      <c r="AL318" s="388"/>
      <c r="AM318" s="178" t="str">
        <f ca="1">IF($C318="","",IF($D318="LPSM",AL317,VALUE($C318)*AL317))</f>
        <v/>
      </c>
      <c r="AN318" s="388"/>
      <c r="AO318" s="178" t="str">
        <f ca="1">IF($C318="","",IF($D318="LPSM",AN317,VALUE($C318)*AN317))</f>
        <v/>
      </c>
      <c r="AP318" s="388"/>
      <c r="AQ318" s="178" t="str">
        <f ca="1">IF($C318="","",IF($D318="LPSM",AP317,VALUE($C318)*AP317))</f>
        <v/>
      </c>
      <c r="AR318" s="209" t="str">
        <f ca="1">IF(LEN(B318)&gt;0,ISNUMBER(MATCH(B318,Proposed[Item],0)),"")</f>
        <v/>
      </c>
    </row>
    <row r="319" spans="1:44" ht="15" x14ac:dyDescent="0.2">
      <c r="A319" s="276">
        <f t="shared" ca="1" si="4"/>
        <v>156</v>
      </c>
      <c r="B319" s="168" t="str">
        <f ca="1">IFERROR(INDEX(INDIRECT(RangeItems),MATCH($A319,INDIRECT(RangeCount),0)),"")</f>
        <v/>
      </c>
      <c r="C319" s="365" t="str">
        <f ca="1">INDEX(Calcs[Description],$A319)</f>
        <v/>
      </c>
      <c r="D319" s="365"/>
      <c r="E319" s="365"/>
      <c r="F319" s="365"/>
      <c r="G319" s="365"/>
      <c r="H319" s="388"/>
      <c r="I319" s="177"/>
      <c r="J319" s="388"/>
      <c r="K319" s="177"/>
      <c r="L319" s="388"/>
      <c r="M319" s="177"/>
      <c r="N319" s="388"/>
      <c r="O319" s="177"/>
      <c r="P319" s="388"/>
      <c r="Q319" s="177"/>
      <c r="R319" s="388"/>
      <c r="S319" s="177"/>
      <c r="T319" s="388"/>
      <c r="U319" s="177"/>
      <c r="V319" s="388"/>
      <c r="W319" s="177"/>
      <c r="X319" s="388"/>
      <c r="Y319" s="177"/>
      <c r="Z319" s="388"/>
      <c r="AA319" s="177"/>
      <c r="AB319" s="388"/>
      <c r="AC319" s="177"/>
      <c r="AD319" s="388"/>
      <c r="AE319" s="177"/>
      <c r="AF319" s="388"/>
      <c r="AG319" s="177"/>
      <c r="AH319" s="388"/>
      <c r="AI319" s="177"/>
      <c r="AJ319" s="388"/>
      <c r="AK319" s="177"/>
      <c r="AL319" s="388"/>
      <c r="AM319" s="177"/>
      <c r="AN319" s="388"/>
      <c r="AO319" s="177"/>
      <c r="AP319" s="388"/>
      <c r="AQ319" s="177"/>
      <c r="AR319" s="209" t="str">
        <f ca="1">IF(LEN(B319)&gt;0,ISNUMBER(MATCH(B319,Proposed[Item],0)),"")</f>
        <v/>
      </c>
    </row>
    <row r="320" spans="1:44" ht="15" x14ac:dyDescent="0.2">
      <c r="A320" s="276">
        <f t="shared" ca="1" si="4"/>
        <v>156</v>
      </c>
      <c r="B320" s="111" t="str">
        <f ca="1">IF($A320&lt;=NumPayItems,"Line "&amp;INDEX(Calcs[Line],$A320),"")</f>
        <v/>
      </c>
      <c r="C320" s="169" t="str">
        <f ca="1">IFERROR(IF($D320="LPSM","ALL",TEXT(INDEX(INDIRECT(RangeQuantity),MATCH($A320,INDIRECT(RangeCount),0)),"#,##0"&amp;IF(OFFSET(Items[],MATCH($A320,INDIRECT(RangeCount),0)-1,MATCH(Decimals,Items[#Headers],0)-1,1,1)&gt;0,"."&amp;REPT("0",OFFSET(Items[],MATCH($A320,INDIRECT(RangeCount),0)-1,MATCH(Decimals,Items[#Headers],0)-1,1,1)),""))),"")</f>
        <v/>
      </c>
      <c r="D320" s="170" t="str">
        <f ca="1">IFERROR(INDEX(INDIRECT(RangeUnit),MATCH($A320,INDIRECT(RangeCount),0)),"")</f>
        <v/>
      </c>
      <c r="E320" s="170" t="str">
        <f ca="1">IFERROR(IF(INDEX(INDIRECT(RangeContrQty),MATCH($A320,INDIRECT(RangeCount),0)),"(CQ)",""),"")</f>
        <v/>
      </c>
      <c r="F320" s="171" t="str">
        <f ca="1">IFERROR(INDEX(INDIRECT(RangeUnitPrice),MATCH($A320,INDIRECT(RangeCount),0)),"")</f>
        <v/>
      </c>
      <c r="G320" s="171" t="str">
        <f ca="1">IFERROR(VALUE(C320)*F320,F320)</f>
        <v/>
      </c>
      <c r="H320" s="388"/>
      <c r="I320" s="178" t="str">
        <f ca="1">IF($C320="","",IF($D320="LPSM",H319,VALUE($C320)*H319))</f>
        <v/>
      </c>
      <c r="J320" s="388"/>
      <c r="K320" s="178" t="str">
        <f ca="1">IF($C320="","",IF($D320="LPSM",J319,VALUE($C320)*J319))</f>
        <v/>
      </c>
      <c r="L320" s="388"/>
      <c r="M320" s="178" t="str">
        <f ca="1">IF($C320="","",IF($D320="LPSM",L319,VALUE($C320)*L319))</f>
        <v/>
      </c>
      <c r="N320" s="388"/>
      <c r="O320" s="178" t="str">
        <f ca="1">IF($C320="","",IF($D320="LPSM",N319,VALUE($C320)*N319))</f>
        <v/>
      </c>
      <c r="P320" s="388"/>
      <c r="Q320" s="178" t="str">
        <f ca="1">IF($C320="","",IF($D320="LPSM",P319,VALUE($C320)*P319))</f>
        <v/>
      </c>
      <c r="R320" s="388"/>
      <c r="S320" s="178" t="str">
        <f ca="1">IF($C320="","",IF($D320="LPSM",R319,VALUE($C320)*R319))</f>
        <v/>
      </c>
      <c r="T320" s="388"/>
      <c r="U320" s="178" t="str">
        <f ca="1">IF($C320="","",IF($D320="LPSM",T319,VALUE($C320)*T319))</f>
        <v/>
      </c>
      <c r="V320" s="388"/>
      <c r="W320" s="178" t="str">
        <f ca="1">IF($C320="","",IF($D320="LPSM",V319,VALUE($C320)*V319))</f>
        <v/>
      </c>
      <c r="X320" s="388"/>
      <c r="Y320" s="178" t="str">
        <f ca="1">IF($C320="","",IF($D320="LPSM",X319,VALUE($C320)*X319))</f>
        <v/>
      </c>
      <c r="Z320" s="388"/>
      <c r="AA320" s="178" t="str">
        <f ca="1">IF($C320="","",IF($D320="LPSM",Z319,VALUE($C320)*Z319))</f>
        <v/>
      </c>
      <c r="AB320" s="388"/>
      <c r="AC320" s="178" t="str">
        <f ca="1">IF($C320="","",IF($D320="LPSM",AB319,VALUE($C320)*AB319))</f>
        <v/>
      </c>
      <c r="AD320" s="388"/>
      <c r="AE320" s="178" t="str">
        <f ca="1">IF($C320="","",IF($D320="LPSM",AD319,VALUE($C320)*AD319))</f>
        <v/>
      </c>
      <c r="AF320" s="388"/>
      <c r="AG320" s="178" t="str">
        <f ca="1">IF($C320="","",IF($D320="LPSM",AF319,VALUE($C320)*AF319))</f>
        <v/>
      </c>
      <c r="AH320" s="388"/>
      <c r="AI320" s="178" t="str">
        <f ca="1">IF($C320="","",IF($D320="LPSM",AH319,VALUE($C320)*AH319))</f>
        <v/>
      </c>
      <c r="AJ320" s="388"/>
      <c r="AK320" s="178" t="str">
        <f ca="1">IF($C320="","",IF($D320="LPSM",AJ319,VALUE($C320)*AJ319))</f>
        <v/>
      </c>
      <c r="AL320" s="388"/>
      <c r="AM320" s="178" t="str">
        <f ca="1">IF($C320="","",IF($D320="LPSM",AL319,VALUE($C320)*AL319))</f>
        <v/>
      </c>
      <c r="AN320" s="388"/>
      <c r="AO320" s="178" t="str">
        <f ca="1">IF($C320="","",IF($D320="LPSM",AN319,VALUE($C320)*AN319))</f>
        <v/>
      </c>
      <c r="AP320" s="388"/>
      <c r="AQ320" s="178" t="str">
        <f ca="1">IF($C320="","",IF($D320="LPSM",AP319,VALUE($C320)*AP319))</f>
        <v/>
      </c>
      <c r="AR320" s="209" t="str">
        <f ca="1">IF(LEN(B320)&gt;0,ISNUMBER(MATCH(B320,Proposed[Item],0)),"")</f>
        <v/>
      </c>
    </row>
    <row r="321" spans="1:44" ht="15" x14ac:dyDescent="0.2">
      <c r="A321" s="276">
        <f t="shared" ca="1" si="4"/>
        <v>157</v>
      </c>
      <c r="B321" s="168" t="str">
        <f ca="1">IFERROR(INDEX(INDIRECT(RangeItems),MATCH($A321,INDIRECT(RangeCount),0)),"")</f>
        <v/>
      </c>
      <c r="C321" s="365" t="str">
        <f ca="1">INDEX(Calcs[Description],$A321)</f>
        <v/>
      </c>
      <c r="D321" s="365"/>
      <c r="E321" s="365"/>
      <c r="F321" s="365"/>
      <c r="G321" s="365"/>
      <c r="H321" s="388"/>
      <c r="I321" s="177"/>
      <c r="J321" s="388"/>
      <c r="K321" s="177"/>
      <c r="L321" s="388"/>
      <c r="M321" s="177"/>
      <c r="N321" s="388"/>
      <c r="O321" s="177"/>
      <c r="P321" s="388"/>
      <c r="Q321" s="177"/>
      <c r="R321" s="388"/>
      <c r="S321" s="177"/>
      <c r="T321" s="388"/>
      <c r="U321" s="177"/>
      <c r="V321" s="388"/>
      <c r="W321" s="177"/>
      <c r="X321" s="388"/>
      <c r="Y321" s="177"/>
      <c r="Z321" s="388"/>
      <c r="AA321" s="177"/>
      <c r="AB321" s="388"/>
      <c r="AC321" s="177"/>
      <c r="AD321" s="388"/>
      <c r="AE321" s="177"/>
      <c r="AF321" s="388"/>
      <c r="AG321" s="177"/>
      <c r="AH321" s="388"/>
      <c r="AI321" s="177"/>
      <c r="AJ321" s="388"/>
      <c r="AK321" s="177"/>
      <c r="AL321" s="388"/>
      <c r="AM321" s="177"/>
      <c r="AN321" s="388"/>
      <c r="AO321" s="177"/>
      <c r="AP321" s="388"/>
      <c r="AQ321" s="177"/>
      <c r="AR321" s="209" t="str">
        <f ca="1">IF(LEN(B321)&gt;0,ISNUMBER(MATCH(B321,Proposed[Item],0)),"")</f>
        <v/>
      </c>
    </row>
    <row r="322" spans="1:44" ht="15" x14ac:dyDescent="0.2">
      <c r="A322" s="276">
        <f t="shared" ca="1" si="4"/>
        <v>157</v>
      </c>
      <c r="B322" s="111" t="str">
        <f ca="1">IF($A322&lt;=NumPayItems,"Line "&amp;INDEX(Calcs[Line],$A322),"")</f>
        <v/>
      </c>
      <c r="C322" s="169" t="str">
        <f ca="1">IFERROR(IF($D322="LPSM","ALL",TEXT(INDEX(INDIRECT(RangeQuantity),MATCH($A322,INDIRECT(RangeCount),0)),"#,##0"&amp;IF(OFFSET(Items[],MATCH($A322,INDIRECT(RangeCount),0)-1,MATCH(Decimals,Items[#Headers],0)-1,1,1)&gt;0,"."&amp;REPT("0",OFFSET(Items[],MATCH($A322,INDIRECT(RangeCount),0)-1,MATCH(Decimals,Items[#Headers],0)-1,1,1)),""))),"")</f>
        <v/>
      </c>
      <c r="D322" s="170" t="str">
        <f ca="1">IFERROR(INDEX(INDIRECT(RangeUnit),MATCH($A322,INDIRECT(RangeCount),0)),"")</f>
        <v/>
      </c>
      <c r="E322" s="170" t="str">
        <f ca="1">IFERROR(IF(INDEX(INDIRECT(RangeContrQty),MATCH($A322,INDIRECT(RangeCount),0)),"(CQ)",""),"")</f>
        <v/>
      </c>
      <c r="F322" s="171" t="str">
        <f ca="1">IFERROR(INDEX(INDIRECT(RangeUnitPrice),MATCH($A322,INDIRECT(RangeCount),0)),"")</f>
        <v/>
      </c>
      <c r="G322" s="171" t="str">
        <f ca="1">IFERROR(VALUE(C322)*F322,F322)</f>
        <v/>
      </c>
      <c r="H322" s="388"/>
      <c r="I322" s="178" t="str">
        <f ca="1">IF($C322="","",IF($D322="LPSM",H321,VALUE($C322)*H321))</f>
        <v/>
      </c>
      <c r="J322" s="388"/>
      <c r="K322" s="178" t="str">
        <f ca="1">IF($C322="","",IF($D322="LPSM",J321,VALUE($C322)*J321))</f>
        <v/>
      </c>
      <c r="L322" s="388"/>
      <c r="M322" s="178" t="str">
        <f ca="1">IF($C322="","",IF($D322="LPSM",L321,VALUE($C322)*L321))</f>
        <v/>
      </c>
      <c r="N322" s="388"/>
      <c r="O322" s="178" t="str">
        <f ca="1">IF($C322="","",IF($D322="LPSM",N321,VALUE($C322)*N321))</f>
        <v/>
      </c>
      <c r="P322" s="388"/>
      <c r="Q322" s="178" t="str">
        <f ca="1">IF($C322="","",IF($D322="LPSM",P321,VALUE($C322)*P321))</f>
        <v/>
      </c>
      <c r="R322" s="388"/>
      <c r="S322" s="178" t="str">
        <f ca="1">IF($C322="","",IF($D322="LPSM",R321,VALUE($C322)*R321))</f>
        <v/>
      </c>
      <c r="T322" s="388"/>
      <c r="U322" s="178" t="str">
        <f ca="1">IF($C322="","",IF($D322="LPSM",T321,VALUE($C322)*T321))</f>
        <v/>
      </c>
      <c r="V322" s="388"/>
      <c r="W322" s="178" t="str">
        <f ca="1">IF($C322="","",IF($D322="LPSM",V321,VALUE($C322)*V321))</f>
        <v/>
      </c>
      <c r="X322" s="388"/>
      <c r="Y322" s="178" t="str">
        <f ca="1">IF($C322="","",IF($D322="LPSM",X321,VALUE($C322)*X321))</f>
        <v/>
      </c>
      <c r="Z322" s="388"/>
      <c r="AA322" s="178" t="str">
        <f ca="1">IF($C322="","",IF($D322="LPSM",Z321,VALUE($C322)*Z321))</f>
        <v/>
      </c>
      <c r="AB322" s="388"/>
      <c r="AC322" s="178" t="str">
        <f ca="1">IF($C322="","",IF($D322="LPSM",AB321,VALUE($C322)*AB321))</f>
        <v/>
      </c>
      <c r="AD322" s="388"/>
      <c r="AE322" s="178" t="str">
        <f ca="1">IF($C322="","",IF($D322="LPSM",AD321,VALUE($C322)*AD321))</f>
        <v/>
      </c>
      <c r="AF322" s="388"/>
      <c r="AG322" s="178" t="str">
        <f ca="1">IF($C322="","",IF($D322="LPSM",AF321,VALUE($C322)*AF321))</f>
        <v/>
      </c>
      <c r="AH322" s="388"/>
      <c r="AI322" s="178" t="str">
        <f ca="1">IF($C322="","",IF($D322="LPSM",AH321,VALUE($C322)*AH321))</f>
        <v/>
      </c>
      <c r="AJ322" s="388"/>
      <c r="AK322" s="178" t="str">
        <f ca="1">IF($C322="","",IF($D322="LPSM",AJ321,VALUE($C322)*AJ321))</f>
        <v/>
      </c>
      <c r="AL322" s="388"/>
      <c r="AM322" s="178" t="str">
        <f ca="1">IF($C322="","",IF($D322="LPSM",AL321,VALUE($C322)*AL321))</f>
        <v/>
      </c>
      <c r="AN322" s="388"/>
      <c r="AO322" s="178" t="str">
        <f ca="1">IF($C322="","",IF($D322="LPSM",AN321,VALUE($C322)*AN321))</f>
        <v/>
      </c>
      <c r="AP322" s="388"/>
      <c r="AQ322" s="178" t="str">
        <f ca="1">IF($C322="","",IF($D322="LPSM",AP321,VALUE($C322)*AP321))</f>
        <v/>
      </c>
      <c r="AR322" s="209" t="str">
        <f ca="1">IF(LEN(B322)&gt;0,ISNUMBER(MATCH(B322,Proposed[Item],0)),"")</f>
        <v/>
      </c>
    </row>
    <row r="323" spans="1:44" ht="15" x14ac:dyDescent="0.2">
      <c r="A323" s="276">
        <f t="shared" ca="1" si="4"/>
        <v>158</v>
      </c>
      <c r="B323" s="168" t="str">
        <f ca="1">IFERROR(INDEX(INDIRECT(RangeItems),MATCH($A323,INDIRECT(RangeCount),0)),"")</f>
        <v/>
      </c>
      <c r="C323" s="365" t="str">
        <f ca="1">INDEX(Calcs[Description],$A323)</f>
        <v/>
      </c>
      <c r="D323" s="365"/>
      <c r="E323" s="365"/>
      <c r="F323" s="365"/>
      <c r="G323" s="365"/>
      <c r="H323" s="388"/>
      <c r="I323" s="177"/>
      <c r="J323" s="388"/>
      <c r="K323" s="177"/>
      <c r="L323" s="388"/>
      <c r="M323" s="177"/>
      <c r="N323" s="388"/>
      <c r="O323" s="177"/>
      <c r="P323" s="388"/>
      <c r="Q323" s="177"/>
      <c r="R323" s="388"/>
      <c r="S323" s="177"/>
      <c r="T323" s="388"/>
      <c r="U323" s="177"/>
      <c r="V323" s="388"/>
      <c r="W323" s="177"/>
      <c r="X323" s="388"/>
      <c r="Y323" s="177"/>
      <c r="Z323" s="388"/>
      <c r="AA323" s="177"/>
      <c r="AB323" s="388"/>
      <c r="AC323" s="177"/>
      <c r="AD323" s="388"/>
      <c r="AE323" s="177"/>
      <c r="AF323" s="388"/>
      <c r="AG323" s="177"/>
      <c r="AH323" s="388"/>
      <c r="AI323" s="177"/>
      <c r="AJ323" s="388"/>
      <c r="AK323" s="177"/>
      <c r="AL323" s="388"/>
      <c r="AM323" s="177"/>
      <c r="AN323" s="388"/>
      <c r="AO323" s="177"/>
      <c r="AP323" s="388"/>
      <c r="AQ323" s="177"/>
      <c r="AR323" s="209" t="str">
        <f ca="1">IF(LEN(B323)&gt;0,ISNUMBER(MATCH(B323,Proposed[Item],0)),"")</f>
        <v/>
      </c>
    </row>
    <row r="324" spans="1:44" ht="15" x14ac:dyDescent="0.2">
      <c r="A324" s="276">
        <f t="shared" ca="1" si="4"/>
        <v>158</v>
      </c>
      <c r="B324" s="111" t="str">
        <f ca="1">IF($A324&lt;=NumPayItems,"Line "&amp;INDEX(Calcs[Line],$A324),"")</f>
        <v/>
      </c>
      <c r="C324" s="169" t="str">
        <f ca="1">IFERROR(IF($D324="LPSM","ALL",TEXT(INDEX(INDIRECT(RangeQuantity),MATCH($A324,INDIRECT(RangeCount),0)),"#,##0"&amp;IF(OFFSET(Items[],MATCH($A324,INDIRECT(RangeCount),0)-1,MATCH(Decimals,Items[#Headers],0)-1,1,1)&gt;0,"."&amp;REPT("0",OFFSET(Items[],MATCH($A324,INDIRECT(RangeCount),0)-1,MATCH(Decimals,Items[#Headers],0)-1,1,1)),""))),"")</f>
        <v/>
      </c>
      <c r="D324" s="170" t="str">
        <f ca="1">IFERROR(INDEX(INDIRECT(RangeUnit),MATCH($A324,INDIRECT(RangeCount),0)),"")</f>
        <v/>
      </c>
      <c r="E324" s="170" t="str">
        <f ca="1">IFERROR(IF(INDEX(INDIRECT(RangeContrQty),MATCH($A324,INDIRECT(RangeCount),0)),"(CQ)",""),"")</f>
        <v/>
      </c>
      <c r="F324" s="171" t="str">
        <f ca="1">IFERROR(INDEX(INDIRECT(RangeUnitPrice),MATCH($A324,INDIRECT(RangeCount),0)),"")</f>
        <v/>
      </c>
      <c r="G324" s="171" t="str">
        <f ca="1">IFERROR(VALUE(C324)*F324,F324)</f>
        <v/>
      </c>
      <c r="H324" s="388"/>
      <c r="I324" s="178" t="str">
        <f ca="1">IF($C324="","",IF($D324="LPSM",H323,VALUE($C324)*H323))</f>
        <v/>
      </c>
      <c r="J324" s="388"/>
      <c r="K324" s="178" t="str">
        <f ca="1">IF($C324="","",IF($D324="LPSM",J323,VALUE($C324)*J323))</f>
        <v/>
      </c>
      <c r="L324" s="388"/>
      <c r="M324" s="178" t="str">
        <f ca="1">IF($C324="","",IF($D324="LPSM",L323,VALUE($C324)*L323))</f>
        <v/>
      </c>
      <c r="N324" s="388"/>
      <c r="O324" s="178" t="str">
        <f ca="1">IF($C324="","",IF($D324="LPSM",N323,VALUE($C324)*N323))</f>
        <v/>
      </c>
      <c r="P324" s="388"/>
      <c r="Q324" s="178" t="str">
        <f ca="1">IF($C324="","",IF($D324="LPSM",P323,VALUE($C324)*P323))</f>
        <v/>
      </c>
      <c r="R324" s="388"/>
      <c r="S324" s="178" t="str">
        <f ca="1">IF($C324="","",IF($D324="LPSM",R323,VALUE($C324)*R323))</f>
        <v/>
      </c>
      <c r="T324" s="388"/>
      <c r="U324" s="178" t="str">
        <f ca="1">IF($C324="","",IF($D324="LPSM",T323,VALUE($C324)*T323))</f>
        <v/>
      </c>
      <c r="V324" s="388"/>
      <c r="W324" s="178" t="str">
        <f ca="1">IF($C324="","",IF($D324="LPSM",V323,VALUE($C324)*V323))</f>
        <v/>
      </c>
      <c r="X324" s="388"/>
      <c r="Y324" s="178" t="str">
        <f ca="1">IF($C324="","",IF($D324="LPSM",X323,VALUE($C324)*X323))</f>
        <v/>
      </c>
      <c r="Z324" s="388"/>
      <c r="AA324" s="178" t="str">
        <f ca="1">IF($C324="","",IF($D324="LPSM",Z323,VALUE($C324)*Z323))</f>
        <v/>
      </c>
      <c r="AB324" s="388"/>
      <c r="AC324" s="178" t="str">
        <f ca="1">IF($C324="","",IF($D324="LPSM",AB323,VALUE($C324)*AB323))</f>
        <v/>
      </c>
      <c r="AD324" s="388"/>
      <c r="AE324" s="178" t="str">
        <f ca="1">IF($C324="","",IF($D324="LPSM",AD323,VALUE($C324)*AD323))</f>
        <v/>
      </c>
      <c r="AF324" s="388"/>
      <c r="AG324" s="178" t="str">
        <f ca="1">IF($C324="","",IF($D324="LPSM",AF323,VALUE($C324)*AF323))</f>
        <v/>
      </c>
      <c r="AH324" s="388"/>
      <c r="AI324" s="178" t="str">
        <f ca="1">IF($C324="","",IF($D324="LPSM",AH323,VALUE($C324)*AH323))</f>
        <v/>
      </c>
      <c r="AJ324" s="388"/>
      <c r="AK324" s="178" t="str">
        <f ca="1">IF($C324="","",IF($D324="LPSM",AJ323,VALUE($C324)*AJ323))</f>
        <v/>
      </c>
      <c r="AL324" s="388"/>
      <c r="AM324" s="178" t="str">
        <f ca="1">IF($C324="","",IF($D324="LPSM",AL323,VALUE($C324)*AL323))</f>
        <v/>
      </c>
      <c r="AN324" s="388"/>
      <c r="AO324" s="178" t="str">
        <f ca="1">IF($C324="","",IF($D324="LPSM",AN323,VALUE($C324)*AN323))</f>
        <v/>
      </c>
      <c r="AP324" s="388"/>
      <c r="AQ324" s="178" t="str">
        <f ca="1">IF($C324="","",IF($D324="LPSM",AP323,VALUE($C324)*AP323))</f>
        <v/>
      </c>
      <c r="AR324" s="209" t="str">
        <f ca="1">IF(LEN(B324)&gt;0,ISNUMBER(MATCH(B324,Proposed[Item],0)),"")</f>
        <v/>
      </c>
    </row>
    <row r="325" spans="1:44" ht="15" x14ac:dyDescent="0.2">
      <c r="A325" s="276">
        <f t="shared" ca="1" si="4"/>
        <v>159</v>
      </c>
      <c r="B325" s="168" t="str">
        <f ca="1">IFERROR(INDEX(INDIRECT(RangeItems),MATCH($A325,INDIRECT(RangeCount),0)),"")</f>
        <v/>
      </c>
      <c r="C325" s="365" t="str">
        <f ca="1">INDEX(Calcs[Description],$A325)</f>
        <v/>
      </c>
      <c r="D325" s="365"/>
      <c r="E325" s="365"/>
      <c r="F325" s="365"/>
      <c r="G325" s="365"/>
      <c r="H325" s="388"/>
      <c r="I325" s="177"/>
      <c r="J325" s="388"/>
      <c r="K325" s="177"/>
      <c r="L325" s="388"/>
      <c r="M325" s="177"/>
      <c r="N325" s="388"/>
      <c r="O325" s="177"/>
      <c r="P325" s="388"/>
      <c r="Q325" s="177"/>
      <c r="R325" s="388"/>
      <c r="S325" s="177"/>
      <c r="T325" s="388"/>
      <c r="U325" s="177"/>
      <c r="V325" s="388"/>
      <c r="W325" s="177"/>
      <c r="X325" s="388"/>
      <c r="Y325" s="177"/>
      <c r="Z325" s="388"/>
      <c r="AA325" s="177"/>
      <c r="AB325" s="388"/>
      <c r="AC325" s="177"/>
      <c r="AD325" s="388"/>
      <c r="AE325" s="177"/>
      <c r="AF325" s="388"/>
      <c r="AG325" s="177"/>
      <c r="AH325" s="388"/>
      <c r="AI325" s="177"/>
      <c r="AJ325" s="388"/>
      <c r="AK325" s="177"/>
      <c r="AL325" s="388"/>
      <c r="AM325" s="177"/>
      <c r="AN325" s="388"/>
      <c r="AO325" s="177"/>
      <c r="AP325" s="388"/>
      <c r="AQ325" s="177"/>
      <c r="AR325" s="209" t="str">
        <f ca="1">IF(LEN(B325)&gt;0,ISNUMBER(MATCH(B325,Proposed[Item],0)),"")</f>
        <v/>
      </c>
    </row>
    <row r="326" spans="1:44" ht="15" x14ac:dyDescent="0.2">
      <c r="A326" s="276">
        <f t="shared" ca="1" si="4"/>
        <v>159</v>
      </c>
      <c r="B326" s="111" t="str">
        <f ca="1">IF($A326&lt;=NumPayItems,"Line "&amp;INDEX(Calcs[Line],$A326),"")</f>
        <v/>
      </c>
      <c r="C326" s="169" t="str">
        <f ca="1">IFERROR(IF($D326="LPSM","ALL",TEXT(INDEX(INDIRECT(RangeQuantity),MATCH($A326,INDIRECT(RangeCount),0)),"#,##0"&amp;IF(OFFSET(Items[],MATCH($A326,INDIRECT(RangeCount),0)-1,MATCH(Decimals,Items[#Headers],0)-1,1,1)&gt;0,"."&amp;REPT("0",OFFSET(Items[],MATCH($A326,INDIRECT(RangeCount),0)-1,MATCH(Decimals,Items[#Headers],0)-1,1,1)),""))),"")</f>
        <v/>
      </c>
      <c r="D326" s="170" t="str">
        <f ca="1">IFERROR(INDEX(INDIRECT(RangeUnit),MATCH($A326,INDIRECT(RangeCount),0)),"")</f>
        <v/>
      </c>
      <c r="E326" s="170" t="str">
        <f ca="1">IFERROR(IF(INDEX(INDIRECT(RangeContrQty),MATCH($A326,INDIRECT(RangeCount),0)),"(CQ)",""),"")</f>
        <v/>
      </c>
      <c r="F326" s="171" t="str">
        <f ca="1">IFERROR(INDEX(INDIRECT(RangeUnitPrice),MATCH($A326,INDIRECT(RangeCount),0)),"")</f>
        <v/>
      </c>
      <c r="G326" s="171" t="str">
        <f ca="1">IFERROR(VALUE(C326)*F326,F326)</f>
        <v/>
      </c>
      <c r="H326" s="388"/>
      <c r="I326" s="178" t="str">
        <f ca="1">IF($C326="","",IF($D326="LPSM",H325,VALUE($C326)*H325))</f>
        <v/>
      </c>
      <c r="J326" s="388"/>
      <c r="K326" s="178" t="str">
        <f ca="1">IF($C326="","",IF($D326="LPSM",J325,VALUE($C326)*J325))</f>
        <v/>
      </c>
      <c r="L326" s="388"/>
      <c r="M326" s="178" t="str">
        <f ca="1">IF($C326="","",IF($D326="LPSM",L325,VALUE($C326)*L325))</f>
        <v/>
      </c>
      <c r="N326" s="388"/>
      <c r="O326" s="178" t="str">
        <f ca="1">IF($C326="","",IF($D326="LPSM",N325,VALUE($C326)*N325))</f>
        <v/>
      </c>
      <c r="P326" s="388"/>
      <c r="Q326" s="178" t="str">
        <f ca="1">IF($C326="","",IF($D326="LPSM",P325,VALUE($C326)*P325))</f>
        <v/>
      </c>
      <c r="R326" s="388"/>
      <c r="S326" s="178" t="str">
        <f ca="1">IF($C326="","",IF($D326="LPSM",R325,VALUE($C326)*R325))</f>
        <v/>
      </c>
      <c r="T326" s="388"/>
      <c r="U326" s="178" t="str">
        <f ca="1">IF($C326="","",IF($D326="LPSM",T325,VALUE($C326)*T325))</f>
        <v/>
      </c>
      <c r="V326" s="388"/>
      <c r="W326" s="178" t="str">
        <f ca="1">IF($C326="","",IF($D326="LPSM",V325,VALUE($C326)*V325))</f>
        <v/>
      </c>
      <c r="X326" s="388"/>
      <c r="Y326" s="178" t="str">
        <f ca="1">IF($C326="","",IF($D326="LPSM",X325,VALUE($C326)*X325))</f>
        <v/>
      </c>
      <c r="Z326" s="388"/>
      <c r="AA326" s="178" t="str">
        <f ca="1">IF($C326="","",IF($D326="LPSM",Z325,VALUE($C326)*Z325))</f>
        <v/>
      </c>
      <c r="AB326" s="388"/>
      <c r="AC326" s="178" t="str">
        <f ca="1">IF($C326="","",IF($D326="LPSM",AB325,VALUE($C326)*AB325))</f>
        <v/>
      </c>
      <c r="AD326" s="388"/>
      <c r="AE326" s="178" t="str">
        <f ca="1">IF($C326="","",IF($D326="LPSM",AD325,VALUE($C326)*AD325))</f>
        <v/>
      </c>
      <c r="AF326" s="388"/>
      <c r="AG326" s="178" t="str">
        <f ca="1">IF($C326="","",IF($D326="LPSM",AF325,VALUE($C326)*AF325))</f>
        <v/>
      </c>
      <c r="AH326" s="388"/>
      <c r="AI326" s="178" t="str">
        <f ca="1">IF($C326="","",IF($D326="LPSM",AH325,VALUE($C326)*AH325))</f>
        <v/>
      </c>
      <c r="AJ326" s="388"/>
      <c r="AK326" s="178" t="str">
        <f ca="1">IF($C326="","",IF($D326="LPSM",AJ325,VALUE($C326)*AJ325))</f>
        <v/>
      </c>
      <c r="AL326" s="388"/>
      <c r="AM326" s="178" t="str">
        <f ca="1">IF($C326="","",IF($D326="LPSM",AL325,VALUE($C326)*AL325))</f>
        <v/>
      </c>
      <c r="AN326" s="388"/>
      <c r="AO326" s="178" t="str">
        <f ca="1">IF($C326="","",IF($D326="LPSM",AN325,VALUE($C326)*AN325))</f>
        <v/>
      </c>
      <c r="AP326" s="388"/>
      <c r="AQ326" s="178" t="str">
        <f ca="1">IF($C326="","",IF($D326="LPSM",AP325,VALUE($C326)*AP325))</f>
        <v/>
      </c>
      <c r="AR326" s="209" t="str">
        <f ca="1">IF(LEN(B326)&gt;0,ISNUMBER(MATCH(B326,Proposed[Item],0)),"")</f>
        <v/>
      </c>
    </row>
    <row r="327" spans="1:44" ht="15" x14ac:dyDescent="0.2">
      <c r="A327" s="276">
        <f t="shared" ca="1" si="4"/>
        <v>160</v>
      </c>
      <c r="B327" s="168" t="str">
        <f ca="1">IFERROR(INDEX(INDIRECT(RangeItems),MATCH($A327,INDIRECT(RangeCount),0)),"")</f>
        <v/>
      </c>
      <c r="C327" s="365" t="str">
        <f ca="1">INDEX(Calcs[Description],$A327)</f>
        <v/>
      </c>
      <c r="D327" s="365"/>
      <c r="E327" s="365"/>
      <c r="F327" s="365"/>
      <c r="G327" s="365"/>
      <c r="H327" s="388"/>
      <c r="I327" s="177"/>
      <c r="J327" s="388"/>
      <c r="K327" s="177"/>
      <c r="L327" s="388"/>
      <c r="M327" s="177"/>
      <c r="N327" s="388"/>
      <c r="O327" s="177"/>
      <c r="P327" s="388"/>
      <c r="Q327" s="177"/>
      <c r="R327" s="388"/>
      <c r="S327" s="177"/>
      <c r="T327" s="388"/>
      <c r="U327" s="177"/>
      <c r="V327" s="388"/>
      <c r="W327" s="177"/>
      <c r="X327" s="388"/>
      <c r="Y327" s="177"/>
      <c r="Z327" s="388"/>
      <c r="AA327" s="177"/>
      <c r="AB327" s="388"/>
      <c r="AC327" s="177"/>
      <c r="AD327" s="388"/>
      <c r="AE327" s="177"/>
      <c r="AF327" s="388"/>
      <c r="AG327" s="177"/>
      <c r="AH327" s="388"/>
      <c r="AI327" s="177"/>
      <c r="AJ327" s="388"/>
      <c r="AK327" s="177"/>
      <c r="AL327" s="388"/>
      <c r="AM327" s="177"/>
      <c r="AN327" s="388"/>
      <c r="AO327" s="177"/>
      <c r="AP327" s="388"/>
      <c r="AQ327" s="177"/>
      <c r="AR327" s="209" t="str">
        <f ca="1">IF(LEN(B327)&gt;0,ISNUMBER(MATCH(B327,Proposed[Item],0)),"")</f>
        <v/>
      </c>
    </row>
    <row r="328" spans="1:44" ht="15" x14ac:dyDescent="0.2">
      <c r="A328" s="276">
        <f t="shared" ca="1" si="4"/>
        <v>160</v>
      </c>
      <c r="B328" s="111" t="str">
        <f ca="1">IF($A328&lt;=NumPayItems,"Line "&amp;INDEX(Calcs[Line],$A328),"")</f>
        <v/>
      </c>
      <c r="C328" s="169" t="str">
        <f ca="1">IFERROR(IF($D328="LPSM","ALL",TEXT(INDEX(INDIRECT(RangeQuantity),MATCH($A328,INDIRECT(RangeCount),0)),"#,##0"&amp;IF(OFFSET(Items[],MATCH($A328,INDIRECT(RangeCount),0)-1,MATCH(Decimals,Items[#Headers],0)-1,1,1)&gt;0,"."&amp;REPT("0",OFFSET(Items[],MATCH($A328,INDIRECT(RangeCount),0)-1,MATCH(Decimals,Items[#Headers],0)-1,1,1)),""))),"")</f>
        <v/>
      </c>
      <c r="D328" s="170" t="str">
        <f ca="1">IFERROR(INDEX(INDIRECT(RangeUnit),MATCH($A328,INDIRECT(RangeCount),0)),"")</f>
        <v/>
      </c>
      <c r="E328" s="170" t="str">
        <f ca="1">IFERROR(IF(INDEX(INDIRECT(RangeContrQty),MATCH($A328,INDIRECT(RangeCount),0)),"(CQ)",""),"")</f>
        <v/>
      </c>
      <c r="F328" s="171" t="str">
        <f ca="1">IFERROR(INDEX(INDIRECT(RangeUnitPrice),MATCH($A328,INDIRECT(RangeCount),0)),"")</f>
        <v/>
      </c>
      <c r="G328" s="171" t="str">
        <f ca="1">IFERROR(VALUE(C328)*F328,F328)</f>
        <v/>
      </c>
      <c r="H328" s="388"/>
      <c r="I328" s="178" t="str">
        <f ca="1">IF($C328="","",IF($D328="LPSM",H327,VALUE($C328)*H327))</f>
        <v/>
      </c>
      <c r="J328" s="388"/>
      <c r="K328" s="178" t="str">
        <f ca="1">IF($C328="","",IF($D328="LPSM",J327,VALUE($C328)*J327))</f>
        <v/>
      </c>
      <c r="L328" s="388"/>
      <c r="M328" s="178" t="str">
        <f ca="1">IF($C328="","",IF($D328="LPSM",L327,VALUE($C328)*L327))</f>
        <v/>
      </c>
      <c r="N328" s="388"/>
      <c r="O328" s="178" t="str">
        <f ca="1">IF($C328="","",IF($D328="LPSM",N327,VALUE($C328)*N327))</f>
        <v/>
      </c>
      <c r="P328" s="388"/>
      <c r="Q328" s="178" t="str">
        <f ca="1">IF($C328="","",IF($D328="LPSM",P327,VALUE($C328)*P327))</f>
        <v/>
      </c>
      <c r="R328" s="388"/>
      <c r="S328" s="178" t="str">
        <f ca="1">IF($C328="","",IF($D328="LPSM",R327,VALUE($C328)*R327))</f>
        <v/>
      </c>
      <c r="T328" s="388"/>
      <c r="U328" s="178" t="str">
        <f ca="1">IF($C328="","",IF($D328="LPSM",T327,VALUE($C328)*T327))</f>
        <v/>
      </c>
      <c r="V328" s="388"/>
      <c r="W328" s="178" t="str">
        <f ca="1">IF($C328="","",IF($D328="LPSM",V327,VALUE($C328)*V327))</f>
        <v/>
      </c>
      <c r="X328" s="388"/>
      <c r="Y328" s="178" t="str">
        <f ca="1">IF($C328="","",IF($D328="LPSM",X327,VALUE($C328)*X327))</f>
        <v/>
      </c>
      <c r="Z328" s="388"/>
      <c r="AA328" s="178" t="str">
        <f ca="1">IF($C328="","",IF($D328="LPSM",Z327,VALUE($C328)*Z327))</f>
        <v/>
      </c>
      <c r="AB328" s="388"/>
      <c r="AC328" s="178" t="str">
        <f ca="1">IF($C328="","",IF($D328="LPSM",AB327,VALUE($C328)*AB327))</f>
        <v/>
      </c>
      <c r="AD328" s="388"/>
      <c r="AE328" s="178" t="str">
        <f ca="1">IF($C328="","",IF($D328="LPSM",AD327,VALUE($C328)*AD327))</f>
        <v/>
      </c>
      <c r="AF328" s="388"/>
      <c r="AG328" s="178" t="str">
        <f ca="1">IF($C328="","",IF($D328="LPSM",AF327,VALUE($C328)*AF327))</f>
        <v/>
      </c>
      <c r="AH328" s="388"/>
      <c r="AI328" s="178" t="str">
        <f ca="1">IF($C328="","",IF($D328="LPSM",AH327,VALUE($C328)*AH327))</f>
        <v/>
      </c>
      <c r="AJ328" s="388"/>
      <c r="AK328" s="178" t="str">
        <f ca="1">IF($C328="","",IF($D328="LPSM",AJ327,VALUE($C328)*AJ327))</f>
        <v/>
      </c>
      <c r="AL328" s="388"/>
      <c r="AM328" s="178" t="str">
        <f ca="1">IF($C328="","",IF($D328="LPSM",AL327,VALUE($C328)*AL327))</f>
        <v/>
      </c>
      <c r="AN328" s="388"/>
      <c r="AO328" s="178" t="str">
        <f ca="1">IF($C328="","",IF($D328="LPSM",AN327,VALUE($C328)*AN327))</f>
        <v/>
      </c>
      <c r="AP328" s="388"/>
      <c r="AQ328" s="178" t="str">
        <f ca="1">IF($C328="","",IF($D328="LPSM",AP327,VALUE($C328)*AP327))</f>
        <v/>
      </c>
      <c r="AR328" s="209" t="str">
        <f ca="1">IF(LEN(B328)&gt;0,ISNUMBER(MATCH(B328,Proposed[Item],0)),"")</f>
        <v/>
      </c>
    </row>
    <row r="329" spans="1:44" ht="15" x14ac:dyDescent="0.2">
      <c r="A329" s="276">
        <f t="shared" ref="A329:A392" ca="1" si="5">OFFSET(A329,-2,0)+1</f>
        <v>161</v>
      </c>
      <c r="B329" s="168" t="str">
        <f ca="1">IFERROR(INDEX(INDIRECT(RangeItems),MATCH($A329,INDIRECT(RangeCount),0)),"")</f>
        <v/>
      </c>
      <c r="C329" s="365" t="str">
        <f ca="1">INDEX(Calcs[Description],$A329)</f>
        <v/>
      </c>
      <c r="D329" s="365"/>
      <c r="E329" s="365"/>
      <c r="F329" s="365"/>
      <c r="G329" s="365"/>
      <c r="H329" s="388"/>
      <c r="I329" s="177"/>
      <c r="J329" s="388"/>
      <c r="K329" s="177"/>
      <c r="L329" s="388"/>
      <c r="M329" s="177"/>
      <c r="N329" s="388"/>
      <c r="O329" s="177"/>
      <c r="P329" s="388"/>
      <c r="Q329" s="177"/>
      <c r="R329" s="388"/>
      <c r="S329" s="177"/>
      <c r="T329" s="388"/>
      <c r="U329" s="177"/>
      <c r="V329" s="388"/>
      <c r="W329" s="177"/>
      <c r="X329" s="388"/>
      <c r="Y329" s="177"/>
      <c r="Z329" s="388"/>
      <c r="AA329" s="177"/>
      <c r="AB329" s="388"/>
      <c r="AC329" s="177"/>
      <c r="AD329" s="388"/>
      <c r="AE329" s="177"/>
      <c r="AF329" s="388"/>
      <c r="AG329" s="177"/>
      <c r="AH329" s="388"/>
      <c r="AI329" s="177"/>
      <c r="AJ329" s="388"/>
      <c r="AK329" s="177"/>
      <c r="AL329" s="388"/>
      <c r="AM329" s="177"/>
      <c r="AN329" s="388"/>
      <c r="AO329" s="177"/>
      <c r="AP329" s="388"/>
      <c r="AQ329" s="177"/>
      <c r="AR329" s="209" t="str">
        <f ca="1">IF(LEN(B329)&gt;0,ISNUMBER(MATCH(B329,Proposed[Item],0)),"")</f>
        <v/>
      </c>
    </row>
    <row r="330" spans="1:44" ht="15" x14ac:dyDescent="0.2">
      <c r="A330" s="276">
        <f t="shared" ca="1" si="5"/>
        <v>161</v>
      </c>
      <c r="B330" s="111" t="str">
        <f ca="1">IF($A330&lt;=NumPayItems,"Line "&amp;INDEX(Calcs[Line],$A330),"")</f>
        <v/>
      </c>
      <c r="C330" s="169" t="str">
        <f ca="1">IFERROR(IF($D330="LPSM","ALL",TEXT(INDEX(INDIRECT(RangeQuantity),MATCH($A330,INDIRECT(RangeCount),0)),"#,##0"&amp;IF(OFFSET(Items[],MATCH($A330,INDIRECT(RangeCount),0)-1,MATCH(Decimals,Items[#Headers],0)-1,1,1)&gt;0,"."&amp;REPT("0",OFFSET(Items[],MATCH($A330,INDIRECT(RangeCount),0)-1,MATCH(Decimals,Items[#Headers],0)-1,1,1)),""))),"")</f>
        <v/>
      </c>
      <c r="D330" s="170" t="str">
        <f ca="1">IFERROR(INDEX(INDIRECT(RangeUnit),MATCH($A330,INDIRECT(RangeCount),0)),"")</f>
        <v/>
      </c>
      <c r="E330" s="170" t="str">
        <f ca="1">IFERROR(IF(INDEX(INDIRECT(RangeContrQty),MATCH($A330,INDIRECT(RangeCount),0)),"(CQ)",""),"")</f>
        <v/>
      </c>
      <c r="F330" s="171" t="str">
        <f ca="1">IFERROR(INDEX(INDIRECT(RangeUnitPrice),MATCH($A330,INDIRECT(RangeCount),0)),"")</f>
        <v/>
      </c>
      <c r="G330" s="171" t="str">
        <f ca="1">IFERROR(VALUE(C330)*F330,F330)</f>
        <v/>
      </c>
      <c r="H330" s="388"/>
      <c r="I330" s="178" t="str">
        <f ca="1">IF($C330="","",IF($D330="LPSM",H329,VALUE($C330)*H329))</f>
        <v/>
      </c>
      <c r="J330" s="388"/>
      <c r="K330" s="178" t="str">
        <f ca="1">IF($C330="","",IF($D330="LPSM",J329,VALUE($C330)*J329))</f>
        <v/>
      </c>
      <c r="L330" s="388"/>
      <c r="M330" s="178" t="str">
        <f ca="1">IF($C330="","",IF($D330="LPSM",L329,VALUE($C330)*L329))</f>
        <v/>
      </c>
      <c r="N330" s="388"/>
      <c r="O330" s="178" t="str">
        <f ca="1">IF($C330="","",IF($D330="LPSM",N329,VALUE($C330)*N329))</f>
        <v/>
      </c>
      <c r="P330" s="388"/>
      <c r="Q330" s="178" t="str">
        <f ca="1">IF($C330="","",IF($D330="LPSM",P329,VALUE($C330)*P329))</f>
        <v/>
      </c>
      <c r="R330" s="388"/>
      <c r="S330" s="178" t="str">
        <f ca="1">IF($C330="","",IF($D330="LPSM",R329,VALUE($C330)*R329))</f>
        <v/>
      </c>
      <c r="T330" s="388"/>
      <c r="U330" s="178" t="str">
        <f ca="1">IF($C330="","",IF($D330="LPSM",T329,VALUE($C330)*T329))</f>
        <v/>
      </c>
      <c r="V330" s="388"/>
      <c r="W330" s="178" t="str">
        <f ca="1">IF($C330="","",IF($D330="LPSM",V329,VALUE($C330)*V329))</f>
        <v/>
      </c>
      <c r="X330" s="388"/>
      <c r="Y330" s="178" t="str">
        <f ca="1">IF($C330="","",IF($D330="LPSM",X329,VALUE($C330)*X329))</f>
        <v/>
      </c>
      <c r="Z330" s="388"/>
      <c r="AA330" s="178" t="str">
        <f ca="1">IF($C330="","",IF($D330="LPSM",Z329,VALUE($C330)*Z329))</f>
        <v/>
      </c>
      <c r="AB330" s="388"/>
      <c r="AC330" s="178" t="str">
        <f ca="1">IF($C330="","",IF($D330="LPSM",AB329,VALUE($C330)*AB329))</f>
        <v/>
      </c>
      <c r="AD330" s="388"/>
      <c r="AE330" s="178" t="str">
        <f ca="1">IF($C330="","",IF($D330="LPSM",AD329,VALUE($C330)*AD329))</f>
        <v/>
      </c>
      <c r="AF330" s="388"/>
      <c r="AG330" s="178" t="str">
        <f ca="1">IF($C330="","",IF($D330="LPSM",AF329,VALUE($C330)*AF329))</f>
        <v/>
      </c>
      <c r="AH330" s="388"/>
      <c r="AI330" s="178" t="str">
        <f ca="1">IF($C330="","",IF($D330="LPSM",AH329,VALUE($C330)*AH329))</f>
        <v/>
      </c>
      <c r="AJ330" s="388"/>
      <c r="AK330" s="178" t="str">
        <f ca="1">IF($C330="","",IF($D330="LPSM",AJ329,VALUE($C330)*AJ329))</f>
        <v/>
      </c>
      <c r="AL330" s="388"/>
      <c r="AM330" s="178" t="str">
        <f ca="1">IF($C330="","",IF($D330="LPSM",AL329,VALUE($C330)*AL329))</f>
        <v/>
      </c>
      <c r="AN330" s="388"/>
      <c r="AO330" s="178" t="str">
        <f ca="1">IF($C330="","",IF($D330="LPSM",AN329,VALUE($C330)*AN329))</f>
        <v/>
      </c>
      <c r="AP330" s="388"/>
      <c r="AQ330" s="178" t="str">
        <f ca="1">IF($C330="","",IF($D330="LPSM",AP329,VALUE($C330)*AP329))</f>
        <v/>
      </c>
      <c r="AR330" s="209" t="str">
        <f ca="1">IF(LEN(B330)&gt;0,ISNUMBER(MATCH(B330,Proposed[Item],0)),"")</f>
        <v/>
      </c>
    </row>
    <row r="331" spans="1:44" ht="15" x14ac:dyDescent="0.2">
      <c r="A331" s="276">
        <f t="shared" ca="1" si="5"/>
        <v>162</v>
      </c>
      <c r="B331" s="168" t="str">
        <f ca="1">IFERROR(INDEX(INDIRECT(RangeItems),MATCH($A331,INDIRECT(RangeCount),0)),"")</f>
        <v/>
      </c>
      <c r="C331" s="365" t="str">
        <f ca="1">INDEX(Calcs[Description],$A331)</f>
        <v/>
      </c>
      <c r="D331" s="365"/>
      <c r="E331" s="365"/>
      <c r="F331" s="365"/>
      <c r="G331" s="365"/>
      <c r="H331" s="388"/>
      <c r="I331" s="177"/>
      <c r="J331" s="388"/>
      <c r="K331" s="177"/>
      <c r="L331" s="388"/>
      <c r="M331" s="177"/>
      <c r="N331" s="388"/>
      <c r="O331" s="177"/>
      <c r="P331" s="388"/>
      <c r="Q331" s="177"/>
      <c r="R331" s="388"/>
      <c r="S331" s="177"/>
      <c r="T331" s="388"/>
      <c r="U331" s="177"/>
      <c r="V331" s="388"/>
      <c r="W331" s="177"/>
      <c r="X331" s="388"/>
      <c r="Y331" s="177"/>
      <c r="Z331" s="388"/>
      <c r="AA331" s="177"/>
      <c r="AB331" s="388"/>
      <c r="AC331" s="177"/>
      <c r="AD331" s="388"/>
      <c r="AE331" s="177"/>
      <c r="AF331" s="388"/>
      <c r="AG331" s="177"/>
      <c r="AH331" s="388"/>
      <c r="AI331" s="177"/>
      <c r="AJ331" s="388"/>
      <c r="AK331" s="177"/>
      <c r="AL331" s="388"/>
      <c r="AM331" s="177"/>
      <c r="AN331" s="388"/>
      <c r="AO331" s="177"/>
      <c r="AP331" s="388"/>
      <c r="AQ331" s="177"/>
      <c r="AR331" s="209" t="str">
        <f ca="1">IF(LEN(B331)&gt;0,ISNUMBER(MATCH(B331,Proposed[Item],0)),"")</f>
        <v/>
      </c>
    </row>
    <row r="332" spans="1:44" ht="15" x14ac:dyDescent="0.2">
      <c r="A332" s="276">
        <f t="shared" ca="1" si="5"/>
        <v>162</v>
      </c>
      <c r="B332" s="111" t="str">
        <f ca="1">IF($A332&lt;=NumPayItems,"Line "&amp;INDEX(Calcs[Line],$A332),"")</f>
        <v/>
      </c>
      <c r="C332" s="169" t="str">
        <f ca="1">IFERROR(IF($D332="LPSM","ALL",TEXT(INDEX(INDIRECT(RangeQuantity),MATCH($A332,INDIRECT(RangeCount),0)),"#,##0"&amp;IF(OFFSET(Items[],MATCH($A332,INDIRECT(RangeCount),0)-1,MATCH(Decimals,Items[#Headers],0)-1,1,1)&gt;0,"."&amp;REPT("0",OFFSET(Items[],MATCH($A332,INDIRECT(RangeCount),0)-1,MATCH(Decimals,Items[#Headers],0)-1,1,1)),""))),"")</f>
        <v/>
      </c>
      <c r="D332" s="170" t="str">
        <f ca="1">IFERROR(INDEX(INDIRECT(RangeUnit),MATCH($A332,INDIRECT(RangeCount),0)),"")</f>
        <v/>
      </c>
      <c r="E332" s="170" t="str">
        <f ca="1">IFERROR(IF(INDEX(INDIRECT(RangeContrQty),MATCH($A332,INDIRECT(RangeCount),0)),"(CQ)",""),"")</f>
        <v/>
      </c>
      <c r="F332" s="171" t="str">
        <f ca="1">IFERROR(INDEX(INDIRECT(RangeUnitPrice),MATCH($A332,INDIRECT(RangeCount),0)),"")</f>
        <v/>
      </c>
      <c r="G332" s="171" t="str">
        <f ca="1">IFERROR(VALUE(C332)*F332,F332)</f>
        <v/>
      </c>
      <c r="H332" s="388"/>
      <c r="I332" s="178" t="str">
        <f ca="1">IF($C332="","",IF($D332="LPSM",H331,VALUE($C332)*H331))</f>
        <v/>
      </c>
      <c r="J332" s="388"/>
      <c r="K332" s="178" t="str">
        <f ca="1">IF($C332="","",IF($D332="LPSM",J331,VALUE($C332)*J331))</f>
        <v/>
      </c>
      <c r="L332" s="388"/>
      <c r="M332" s="178" t="str">
        <f ca="1">IF($C332="","",IF($D332="LPSM",L331,VALUE($C332)*L331))</f>
        <v/>
      </c>
      <c r="N332" s="388"/>
      <c r="O332" s="178" t="str">
        <f ca="1">IF($C332="","",IF($D332="LPSM",N331,VALUE($C332)*N331))</f>
        <v/>
      </c>
      <c r="P332" s="388"/>
      <c r="Q332" s="178" t="str">
        <f ca="1">IF($C332="","",IF($D332="LPSM",P331,VALUE($C332)*P331))</f>
        <v/>
      </c>
      <c r="R332" s="388"/>
      <c r="S332" s="178" t="str">
        <f ca="1">IF($C332="","",IF($D332="LPSM",R331,VALUE($C332)*R331))</f>
        <v/>
      </c>
      <c r="T332" s="388"/>
      <c r="U332" s="178" t="str">
        <f ca="1">IF($C332="","",IF($D332="LPSM",T331,VALUE($C332)*T331))</f>
        <v/>
      </c>
      <c r="V332" s="388"/>
      <c r="W332" s="178" t="str">
        <f ca="1">IF($C332="","",IF($D332="LPSM",V331,VALUE($C332)*V331))</f>
        <v/>
      </c>
      <c r="X332" s="388"/>
      <c r="Y332" s="178" t="str">
        <f ca="1">IF($C332="","",IF($D332="LPSM",X331,VALUE($C332)*X331))</f>
        <v/>
      </c>
      <c r="Z332" s="388"/>
      <c r="AA332" s="178" t="str">
        <f ca="1">IF($C332="","",IF($D332="LPSM",Z331,VALUE($C332)*Z331))</f>
        <v/>
      </c>
      <c r="AB332" s="388"/>
      <c r="AC332" s="178" t="str">
        <f ca="1">IF($C332="","",IF($D332="LPSM",AB331,VALUE($C332)*AB331))</f>
        <v/>
      </c>
      <c r="AD332" s="388"/>
      <c r="AE332" s="178" t="str">
        <f ca="1">IF($C332="","",IF($D332="LPSM",AD331,VALUE($C332)*AD331))</f>
        <v/>
      </c>
      <c r="AF332" s="388"/>
      <c r="AG332" s="178" t="str">
        <f ca="1">IF($C332="","",IF($D332="LPSM",AF331,VALUE($C332)*AF331))</f>
        <v/>
      </c>
      <c r="AH332" s="388"/>
      <c r="AI332" s="178" t="str">
        <f ca="1">IF($C332="","",IF($D332="LPSM",AH331,VALUE($C332)*AH331))</f>
        <v/>
      </c>
      <c r="AJ332" s="388"/>
      <c r="AK332" s="178" t="str">
        <f ca="1">IF($C332="","",IF($D332="LPSM",AJ331,VALUE($C332)*AJ331))</f>
        <v/>
      </c>
      <c r="AL332" s="388"/>
      <c r="AM332" s="178" t="str">
        <f ca="1">IF($C332="","",IF($D332="LPSM",AL331,VALUE($C332)*AL331))</f>
        <v/>
      </c>
      <c r="AN332" s="388"/>
      <c r="AO332" s="178" t="str">
        <f ca="1">IF($C332="","",IF($D332="LPSM",AN331,VALUE($C332)*AN331))</f>
        <v/>
      </c>
      <c r="AP332" s="388"/>
      <c r="AQ332" s="178" t="str">
        <f ca="1">IF($C332="","",IF($D332="LPSM",AP331,VALUE($C332)*AP331))</f>
        <v/>
      </c>
      <c r="AR332" s="209" t="str">
        <f ca="1">IF(LEN(B332)&gt;0,ISNUMBER(MATCH(B332,Proposed[Item],0)),"")</f>
        <v/>
      </c>
    </row>
    <row r="333" spans="1:44" ht="15" x14ac:dyDescent="0.2">
      <c r="A333" s="276">
        <f t="shared" ca="1" si="5"/>
        <v>163</v>
      </c>
      <c r="B333" s="168" t="str">
        <f ca="1">IFERROR(INDEX(INDIRECT(RangeItems),MATCH($A333,INDIRECT(RangeCount),0)),"")</f>
        <v/>
      </c>
      <c r="C333" s="365" t="str">
        <f ca="1">INDEX(Calcs[Description],$A333)</f>
        <v/>
      </c>
      <c r="D333" s="365"/>
      <c r="E333" s="365"/>
      <c r="F333" s="365"/>
      <c r="G333" s="365"/>
      <c r="H333" s="388"/>
      <c r="I333" s="177"/>
      <c r="J333" s="388"/>
      <c r="K333" s="177"/>
      <c r="L333" s="388"/>
      <c r="M333" s="177"/>
      <c r="N333" s="388"/>
      <c r="O333" s="177"/>
      <c r="P333" s="388"/>
      <c r="Q333" s="177"/>
      <c r="R333" s="388"/>
      <c r="S333" s="177"/>
      <c r="T333" s="388"/>
      <c r="U333" s="177"/>
      <c r="V333" s="388"/>
      <c r="W333" s="177"/>
      <c r="X333" s="388"/>
      <c r="Y333" s="177"/>
      <c r="Z333" s="388"/>
      <c r="AA333" s="177"/>
      <c r="AB333" s="388"/>
      <c r="AC333" s="177"/>
      <c r="AD333" s="388"/>
      <c r="AE333" s="177"/>
      <c r="AF333" s="388"/>
      <c r="AG333" s="177"/>
      <c r="AH333" s="388"/>
      <c r="AI333" s="177"/>
      <c r="AJ333" s="388"/>
      <c r="AK333" s="177"/>
      <c r="AL333" s="388"/>
      <c r="AM333" s="177"/>
      <c r="AN333" s="388"/>
      <c r="AO333" s="177"/>
      <c r="AP333" s="388"/>
      <c r="AQ333" s="177"/>
      <c r="AR333" s="209" t="str">
        <f ca="1">IF(LEN(B333)&gt;0,ISNUMBER(MATCH(B333,Proposed[Item],0)),"")</f>
        <v/>
      </c>
    </row>
    <row r="334" spans="1:44" ht="15" x14ac:dyDescent="0.2">
      <c r="A334" s="276">
        <f t="shared" ca="1" si="5"/>
        <v>163</v>
      </c>
      <c r="B334" s="111" t="str">
        <f ca="1">IF($A334&lt;=NumPayItems,"Line "&amp;INDEX(Calcs[Line],$A334),"")</f>
        <v/>
      </c>
      <c r="C334" s="169" t="str">
        <f ca="1">IFERROR(IF($D334="LPSM","ALL",TEXT(INDEX(INDIRECT(RangeQuantity),MATCH($A334,INDIRECT(RangeCount),0)),"#,##0"&amp;IF(OFFSET(Items[],MATCH($A334,INDIRECT(RangeCount),0)-1,MATCH(Decimals,Items[#Headers],0)-1,1,1)&gt;0,"."&amp;REPT("0",OFFSET(Items[],MATCH($A334,INDIRECT(RangeCount),0)-1,MATCH(Decimals,Items[#Headers],0)-1,1,1)),""))),"")</f>
        <v/>
      </c>
      <c r="D334" s="170" t="str">
        <f ca="1">IFERROR(INDEX(INDIRECT(RangeUnit),MATCH($A334,INDIRECT(RangeCount),0)),"")</f>
        <v/>
      </c>
      <c r="E334" s="170" t="str">
        <f ca="1">IFERROR(IF(INDEX(INDIRECT(RangeContrQty),MATCH($A334,INDIRECT(RangeCount),0)),"(CQ)",""),"")</f>
        <v/>
      </c>
      <c r="F334" s="171" t="str">
        <f ca="1">IFERROR(INDEX(INDIRECT(RangeUnitPrice),MATCH($A334,INDIRECT(RangeCount),0)),"")</f>
        <v/>
      </c>
      <c r="G334" s="171" t="str">
        <f ca="1">IFERROR(VALUE(C334)*F334,F334)</f>
        <v/>
      </c>
      <c r="H334" s="388"/>
      <c r="I334" s="178" t="str">
        <f ca="1">IF($C334="","",IF($D334="LPSM",H333,VALUE($C334)*H333))</f>
        <v/>
      </c>
      <c r="J334" s="388"/>
      <c r="K334" s="178" t="str">
        <f ca="1">IF($C334="","",IF($D334="LPSM",J333,VALUE($C334)*J333))</f>
        <v/>
      </c>
      <c r="L334" s="388"/>
      <c r="M334" s="178" t="str">
        <f ca="1">IF($C334="","",IF($D334="LPSM",L333,VALUE($C334)*L333))</f>
        <v/>
      </c>
      <c r="N334" s="388"/>
      <c r="O334" s="178" t="str">
        <f ca="1">IF($C334="","",IF($D334="LPSM",N333,VALUE($C334)*N333))</f>
        <v/>
      </c>
      <c r="P334" s="388"/>
      <c r="Q334" s="178" t="str">
        <f ca="1">IF($C334="","",IF($D334="LPSM",P333,VALUE($C334)*P333))</f>
        <v/>
      </c>
      <c r="R334" s="388"/>
      <c r="S334" s="178" t="str">
        <f ca="1">IF($C334="","",IF($D334="LPSM",R333,VALUE($C334)*R333))</f>
        <v/>
      </c>
      <c r="T334" s="388"/>
      <c r="U334" s="178" t="str">
        <f ca="1">IF($C334="","",IF($D334="LPSM",T333,VALUE($C334)*T333))</f>
        <v/>
      </c>
      <c r="V334" s="388"/>
      <c r="W334" s="178" t="str">
        <f ca="1">IF($C334="","",IF($D334="LPSM",V333,VALUE($C334)*V333))</f>
        <v/>
      </c>
      <c r="X334" s="388"/>
      <c r="Y334" s="178" t="str">
        <f ca="1">IF($C334="","",IF($D334="LPSM",X333,VALUE($C334)*X333))</f>
        <v/>
      </c>
      <c r="Z334" s="388"/>
      <c r="AA334" s="178" t="str">
        <f ca="1">IF($C334="","",IF($D334="LPSM",Z333,VALUE($C334)*Z333))</f>
        <v/>
      </c>
      <c r="AB334" s="388"/>
      <c r="AC334" s="178" t="str">
        <f ca="1">IF($C334="","",IF($D334="LPSM",AB333,VALUE($C334)*AB333))</f>
        <v/>
      </c>
      <c r="AD334" s="388"/>
      <c r="AE334" s="178" t="str">
        <f ca="1">IF($C334="","",IF($D334="LPSM",AD333,VALUE($C334)*AD333))</f>
        <v/>
      </c>
      <c r="AF334" s="388"/>
      <c r="AG334" s="178" t="str">
        <f ca="1">IF($C334="","",IF($D334="LPSM",AF333,VALUE($C334)*AF333))</f>
        <v/>
      </c>
      <c r="AH334" s="388"/>
      <c r="AI334" s="178" t="str">
        <f ca="1">IF($C334="","",IF($D334="LPSM",AH333,VALUE($C334)*AH333))</f>
        <v/>
      </c>
      <c r="AJ334" s="388"/>
      <c r="AK334" s="178" t="str">
        <f ca="1">IF($C334="","",IF($D334="LPSM",AJ333,VALUE($C334)*AJ333))</f>
        <v/>
      </c>
      <c r="AL334" s="388"/>
      <c r="AM334" s="178" t="str">
        <f ca="1">IF($C334="","",IF($D334="LPSM",AL333,VALUE($C334)*AL333))</f>
        <v/>
      </c>
      <c r="AN334" s="388"/>
      <c r="AO334" s="178" t="str">
        <f ca="1">IF($C334="","",IF($D334="LPSM",AN333,VALUE($C334)*AN333))</f>
        <v/>
      </c>
      <c r="AP334" s="388"/>
      <c r="AQ334" s="178" t="str">
        <f ca="1">IF($C334="","",IF($D334="LPSM",AP333,VALUE($C334)*AP333))</f>
        <v/>
      </c>
      <c r="AR334" s="209" t="str">
        <f ca="1">IF(LEN(B334)&gt;0,ISNUMBER(MATCH(B334,Proposed[Item],0)),"")</f>
        <v/>
      </c>
    </row>
    <row r="335" spans="1:44" ht="15" x14ac:dyDescent="0.2">
      <c r="A335" s="276">
        <f t="shared" ca="1" si="5"/>
        <v>164</v>
      </c>
      <c r="B335" s="168" t="str">
        <f ca="1">IFERROR(INDEX(INDIRECT(RangeItems),MATCH($A335,INDIRECT(RangeCount),0)),"")</f>
        <v/>
      </c>
      <c r="C335" s="365" t="str">
        <f ca="1">INDEX(Calcs[Description],$A335)</f>
        <v/>
      </c>
      <c r="D335" s="365"/>
      <c r="E335" s="365"/>
      <c r="F335" s="365"/>
      <c r="G335" s="365"/>
      <c r="H335" s="388"/>
      <c r="I335" s="177"/>
      <c r="J335" s="388"/>
      <c r="K335" s="177"/>
      <c r="L335" s="388"/>
      <c r="M335" s="177"/>
      <c r="N335" s="388"/>
      <c r="O335" s="177"/>
      <c r="P335" s="388"/>
      <c r="Q335" s="177"/>
      <c r="R335" s="388"/>
      <c r="S335" s="177"/>
      <c r="T335" s="388"/>
      <c r="U335" s="177"/>
      <c r="V335" s="388"/>
      <c r="W335" s="177"/>
      <c r="X335" s="388"/>
      <c r="Y335" s="177"/>
      <c r="Z335" s="388"/>
      <c r="AA335" s="177"/>
      <c r="AB335" s="388"/>
      <c r="AC335" s="177"/>
      <c r="AD335" s="388"/>
      <c r="AE335" s="177"/>
      <c r="AF335" s="388"/>
      <c r="AG335" s="177"/>
      <c r="AH335" s="388"/>
      <c r="AI335" s="177"/>
      <c r="AJ335" s="388"/>
      <c r="AK335" s="177"/>
      <c r="AL335" s="388"/>
      <c r="AM335" s="177"/>
      <c r="AN335" s="388"/>
      <c r="AO335" s="177"/>
      <c r="AP335" s="388"/>
      <c r="AQ335" s="177"/>
      <c r="AR335" s="209" t="str">
        <f ca="1">IF(LEN(B335)&gt;0,ISNUMBER(MATCH(B335,Proposed[Item],0)),"")</f>
        <v/>
      </c>
    </row>
    <row r="336" spans="1:44" ht="15" x14ac:dyDescent="0.2">
      <c r="A336" s="276">
        <f t="shared" ca="1" si="5"/>
        <v>164</v>
      </c>
      <c r="B336" s="111" t="str">
        <f ca="1">IF($A336&lt;=NumPayItems,"Line "&amp;INDEX(Calcs[Line],$A336),"")</f>
        <v/>
      </c>
      <c r="C336" s="169" t="str">
        <f ca="1">IFERROR(IF($D336="LPSM","ALL",TEXT(INDEX(INDIRECT(RangeQuantity),MATCH($A336,INDIRECT(RangeCount),0)),"#,##0"&amp;IF(OFFSET(Items[],MATCH($A336,INDIRECT(RangeCount),0)-1,MATCH(Decimals,Items[#Headers],0)-1,1,1)&gt;0,"."&amp;REPT("0",OFFSET(Items[],MATCH($A336,INDIRECT(RangeCount),0)-1,MATCH(Decimals,Items[#Headers],0)-1,1,1)),""))),"")</f>
        <v/>
      </c>
      <c r="D336" s="170" t="str">
        <f ca="1">IFERROR(INDEX(INDIRECT(RangeUnit),MATCH($A336,INDIRECT(RangeCount),0)),"")</f>
        <v/>
      </c>
      <c r="E336" s="170" t="str">
        <f ca="1">IFERROR(IF(INDEX(INDIRECT(RangeContrQty),MATCH($A336,INDIRECT(RangeCount),0)),"(CQ)",""),"")</f>
        <v/>
      </c>
      <c r="F336" s="171" t="str">
        <f ca="1">IFERROR(INDEX(INDIRECT(RangeUnitPrice),MATCH($A336,INDIRECT(RangeCount),0)),"")</f>
        <v/>
      </c>
      <c r="G336" s="171" t="str">
        <f ca="1">IFERROR(VALUE(C336)*F336,F336)</f>
        <v/>
      </c>
      <c r="H336" s="388"/>
      <c r="I336" s="178" t="str">
        <f ca="1">IF($C336="","",IF($D336="LPSM",H335,VALUE($C336)*H335))</f>
        <v/>
      </c>
      <c r="J336" s="388"/>
      <c r="K336" s="178" t="str">
        <f ca="1">IF($C336="","",IF($D336="LPSM",J335,VALUE($C336)*J335))</f>
        <v/>
      </c>
      <c r="L336" s="388"/>
      <c r="M336" s="178" t="str">
        <f ca="1">IF($C336="","",IF($D336="LPSM",L335,VALUE($C336)*L335))</f>
        <v/>
      </c>
      <c r="N336" s="388"/>
      <c r="O336" s="178" t="str">
        <f ca="1">IF($C336="","",IF($D336="LPSM",N335,VALUE($C336)*N335))</f>
        <v/>
      </c>
      <c r="P336" s="388"/>
      <c r="Q336" s="178" t="str">
        <f ca="1">IF($C336="","",IF($D336="LPSM",P335,VALUE($C336)*P335))</f>
        <v/>
      </c>
      <c r="R336" s="388"/>
      <c r="S336" s="178" t="str">
        <f ca="1">IF($C336="","",IF($D336="LPSM",R335,VALUE($C336)*R335))</f>
        <v/>
      </c>
      <c r="T336" s="388"/>
      <c r="U336" s="178" t="str">
        <f ca="1">IF($C336="","",IF($D336="LPSM",T335,VALUE($C336)*T335))</f>
        <v/>
      </c>
      <c r="V336" s="388"/>
      <c r="W336" s="178" t="str">
        <f ca="1">IF($C336="","",IF($D336="LPSM",V335,VALUE($C336)*V335))</f>
        <v/>
      </c>
      <c r="X336" s="388"/>
      <c r="Y336" s="178" t="str">
        <f ca="1">IF($C336="","",IF($D336="LPSM",X335,VALUE($C336)*X335))</f>
        <v/>
      </c>
      <c r="Z336" s="388"/>
      <c r="AA336" s="178" t="str">
        <f ca="1">IF($C336="","",IF($D336="LPSM",Z335,VALUE($C336)*Z335))</f>
        <v/>
      </c>
      <c r="AB336" s="388"/>
      <c r="AC336" s="178" t="str">
        <f ca="1">IF($C336="","",IF($D336="LPSM",AB335,VALUE($C336)*AB335))</f>
        <v/>
      </c>
      <c r="AD336" s="388"/>
      <c r="AE336" s="178" t="str">
        <f ca="1">IF($C336="","",IF($D336="LPSM",AD335,VALUE($C336)*AD335))</f>
        <v/>
      </c>
      <c r="AF336" s="388"/>
      <c r="AG336" s="178" t="str">
        <f ca="1">IF($C336="","",IF($D336="LPSM",AF335,VALUE($C336)*AF335))</f>
        <v/>
      </c>
      <c r="AH336" s="388"/>
      <c r="AI336" s="178" t="str">
        <f ca="1">IF($C336="","",IF($D336="LPSM",AH335,VALUE($C336)*AH335))</f>
        <v/>
      </c>
      <c r="AJ336" s="388"/>
      <c r="AK336" s="178" t="str">
        <f ca="1">IF($C336="","",IF($D336="LPSM",AJ335,VALUE($C336)*AJ335))</f>
        <v/>
      </c>
      <c r="AL336" s="388"/>
      <c r="AM336" s="178" t="str">
        <f ca="1">IF($C336="","",IF($D336="LPSM",AL335,VALUE($C336)*AL335))</f>
        <v/>
      </c>
      <c r="AN336" s="388"/>
      <c r="AO336" s="178" t="str">
        <f ca="1">IF($C336="","",IF($D336="LPSM",AN335,VALUE($C336)*AN335))</f>
        <v/>
      </c>
      <c r="AP336" s="388"/>
      <c r="AQ336" s="178" t="str">
        <f ca="1">IF($C336="","",IF($D336="LPSM",AP335,VALUE($C336)*AP335))</f>
        <v/>
      </c>
      <c r="AR336" s="209" t="str">
        <f ca="1">IF(LEN(B336)&gt;0,ISNUMBER(MATCH(B336,Proposed[Item],0)),"")</f>
        <v/>
      </c>
    </row>
    <row r="337" spans="1:44" ht="15" x14ac:dyDescent="0.2">
      <c r="A337" s="276">
        <f t="shared" ca="1" si="5"/>
        <v>165</v>
      </c>
      <c r="B337" s="168" t="str">
        <f ca="1">IFERROR(INDEX(INDIRECT(RangeItems),MATCH($A337,INDIRECT(RangeCount),0)),"")</f>
        <v/>
      </c>
      <c r="C337" s="365" t="str">
        <f ca="1">INDEX(Calcs[Description],$A337)</f>
        <v/>
      </c>
      <c r="D337" s="365"/>
      <c r="E337" s="365"/>
      <c r="F337" s="365"/>
      <c r="G337" s="365"/>
      <c r="H337" s="388"/>
      <c r="I337" s="177"/>
      <c r="J337" s="388"/>
      <c r="K337" s="177"/>
      <c r="L337" s="388"/>
      <c r="M337" s="177"/>
      <c r="N337" s="388"/>
      <c r="O337" s="177"/>
      <c r="P337" s="388"/>
      <c r="Q337" s="177"/>
      <c r="R337" s="388"/>
      <c r="S337" s="177"/>
      <c r="T337" s="388"/>
      <c r="U337" s="177"/>
      <c r="V337" s="388"/>
      <c r="W337" s="177"/>
      <c r="X337" s="388"/>
      <c r="Y337" s="177"/>
      <c r="Z337" s="388"/>
      <c r="AA337" s="177"/>
      <c r="AB337" s="388"/>
      <c r="AC337" s="177"/>
      <c r="AD337" s="388"/>
      <c r="AE337" s="177"/>
      <c r="AF337" s="388"/>
      <c r="AG337" s="177"/>
      <c r="AH337" s="388"/>
      <c r="AI337" s="177"/>
      <c r="AJ337" s="388"/>
      <c r="AK337" s="177"/>
      <c r="AL337" s="388"/>
      <c r="AM337" s="177"/>
      <c r="AN337" s="388"/>
      <c r="AO337" s="177"/>
      <c r="AP337" s="388"/>
      <c r="AQ337" s="177"/>
      <c r="AR337" s="209" t="str">
        <f ca="1">IF(LEN(B337)&gt;0,ISNUMBER(MATCH(B337,Proposed[Item],0)),"")</f>
        <v/>
      </c>
    </row>
    <row r="338" spans="1:44" ht="15" x14ac:dyDescent="0.2">
      <c r="A338" s="276">
        <f t="shared" ca="1" si="5"/>
        <v>165</v>
      </c>
      <c r="B338" s="111" t="str">
        <f ca="1">IF($A338&lt;=NumPayItems,"Line "&amp;INDEX(Calcs[Line],$A338),"")</f>
        <v/>
      </c>
      <c r="C338" s="169" t="str">
        <f ca="1">IFERROR(IF($D338="LPSM","ALL",TEXT(INDEX(INDIRECT(RangeQuantity),MATCH($A338,INDIRECT(RangeCount),0)),"#,##0"&amp;IF(OFFSET(Items[],MATCH($A338,INDIRECT(RangeCount),0)-1,MATCH(Decimals,Items[#Headers],0)-1,1,1)&gt;0,"."&amp;REPT("0",OFFSET(Items[],MATCH($A338,INDIRECT(RangeCount),0)-1,MATCH(Decimals,Items[#Headers],0)-1,1,1)),""))),"")</f>
        <v/>
      </c>
      <c r="D338" s="170" t="str">
        <f ca="1">IFERROR(INDEX(INDIRECT(RangeUnit),MATCH($A338,INDIRECT(RangeCount),0)),"")</f>
        <v/>
      </c>
      <c r="E338" s="170" t="str">
        <f ca="1">IFERROR(IF(INDEX(INDIRECT(RangeContrQty),MATCH($A338,INDIRECT(RangeCount),0)),"(CQ)",""),"")</f>
        <v/>
      </c>
      <c r="F338" s="171" t="str">
        <f ca="1">IFERROR(INDEX(INDIRECT(RangeUnitPrice),MATCH($A338,INDIRECT(RangeCount),0)),"")</f>
        <v/>
      </c>
      <c r="G338" s="171" t="str">
        <f ca="1">IFERROR(VALUE(C338)*F338,F338)</f>
        <v/>
      </c>
      <c r="H338" s="388"/>
      <c r="I338" s="178" t="str">
        <f ca="1">IF($C338="","",IF($D338="LPSM",H337,VALUE($C338)*H337))</f>
        <v/>
      </c>
      <c r="J338" s="388"/>
      <c r="K338" s="178" t="str">
        <f ca="1">IF($C338="","",IF($D338="LPSM",J337,VALUE($C338)*J337))</f>
        <v/>
      </c>
      <c r="L338" s="388"/>
      <c r="M338" s="178" t="str">
        <f ca="1">IF($C338="","",IF($D338="LPSM",L337,VALUE($C338)*L337))</f>
        <v/>
      </c>
      <c r="N338" s="388"/>
      <c r="O338" s="178" t="str">
        <f ca="1">IF($C338="","",IF($D338="LPSM",N337,VALUE($C338)*N337))</f>
        <v/>
      </c>
      <c r="P338" s="388"/>
      <c r="Q338" s="178" t="str">
        <f ca="1">IF($C338="","",IF($D338="LPSM",P337,VALUE($C338)*P337))</f>
        <v/>
      </c>
      <c r="R338" s="388"/>
      <c r="S338" s="178" t="str">
        <f ca="1">IF($C338="","",IF($D338="LPSM",R337,VALUE($C338)*R337))</f>
        <v/>
      </c>
      <c r="T338" s="388"/>
      <c r="U338" s="178" t="str">
        <f ca="1">IF($C338="","",IF($D338="LPSM",T337,VALUE($C338)*T337))</f>
        <v/>
      </c>
      <c r="V338" s="388"/>
      <c r="W338" s="178" t="str">
        <f ca="1">IF($C338="","",IF($D338="LPSM",V337,VALUE($C338)*V337))</f>
        <v/>
      </c>
      <c r="X338" s="388"/>
      <c r="Y338" s="178" t="str">
        <f ca="1">IF($C338="","",IF($D338="LPSM",X337,VALUE($C338)*X337))</f>
        <v/>
      </c>
      <c r="Z338" s="388"/>
      <c r="AA338" s="178" t="str">
        <f ca="1">IF($C338="","",IF($D338="LPSM",Z337,VALUE($C338)*Z337))</f>
        <v/>
      </c>
      <c r="AB338" s="388"/>
      <c r="AC338" s="178" t="str">
        <f ca="1">IF($C338="","",IF($D338="LPSM",AB337,VALUE($C338)*AB337))</f>
        <v/>
      </c>
      <c r="AD338" s="388"/>
      <c r="AE338" s="178" t="str">
        <f ca="1">IF($C338="","",IF($D338="LPSM",AD337,VALUE($C338)*AD337))</f>
        <v/>
      </c>
      <c r="AF338" s="388"/>
      <c r="AG338" s="178" t="str">
        <f ca="1">IF($C338="","",IF($D338="LPSM",AF337,VALUE($C338)*AF337))</f>
        <v/>
      </c>
      <c r="AH338" s="388"/>
      <c r="AI338" s="178" t="str">
        <f ca="1">IF($C338="","",IF($D338="LPSM",AH337,VALUE($C338)*AH337))</f>
        <v/>
      </c>
      <c r="AJ338" s="388"/>
      <c r="AK338" s="178" t="str">
        <f ca="1">IF($C338="","",IF($D338="LPSM",AJ337,VALUE($C338)*AJ337))</f>
        <v/>
      </c>
      <c r="AL338" s="388"/>
      <c r="AM338" s="178" t="str">
        <f ca="1">IF($C338="","",IF($D338="LPSM",AL337,VALUE($C338)*AL337))</f>
        <v/>
      </c>
      <c r="AN338" s="388"/>
      <c r="AO338" s="178" t="str">
        <f ca="1">IF($C338="","",IF($D338="LPSM",AN337,VALUE($C338)*AN337))</f>
        <v/>
      </c>
      <c r="AP338" s="388"/>
      <c r="AQ338" s="178" t="str">
        <f ca="1">IF($C338="","",IF($D338="LPSM",AP337,VALUE($C338)*AP337))</f>
        <v/>
      </c>
      <c r="AR338" s="209" t="str">
        <f ca="1">IF(LEN(B338)&gt;0,ISNUMBER(MATCH(B338,Proposed[Item],0)),"")</f>
        <v/>
      </c>
    </row>
    <row r="339" spans="1:44" ht="15" x14ac:dyDescent="0.2">
      <c r="A339" s="276">
        <f t="shared" ca="1" si="5"/>
        <v>166</v>
      </c>
      <c r="B339" s="168" t="str">
        <f ca="1">IFERROR(INDEX(INDIRECT(RangeItems),MATCH($A339,INDIRECT(RangeCount),0)),"")</f>
        <v/>
      </c>
      <c r="C339" s="365" t="str">
        <f ca="1">INDEX(Calcs[Description],$A339)</f>
        <v/>
      </c>
      <c r="D339" s="365"/>
      <c r="E339" s="365"/>
      <c r="F339" s="365"/>
      <c r="G339" s="365"/>
      <c r="H339" s="388"/>
      <c r="I339" s="177"/>
      <c r="J339" s="388"/>
      <c r="K339" s="177"/>
      <c r="L339" s="388"/>
      <c r="M339" s="177"/>
      <c r="N339" s="388"/>
      <c r="O339" s="177"/>
      <c r="P339" s="388"/>
      <c r="Q339" s="177"/>
      <c r="R339" s="388"/>
      <c r="S339" s="177"/>
      <c r="T339" s="388"/>
      <c r="U339" s="177"/>
      <c r="V339" s="388"/>
      <c r="W339" s="177"/>
      <c r="X339" s="388"/>
      <c r="Y339" s="177"/>
      <c r="Z339" s="388"/>
      <c r="AA339" s="177"/>
      <c r="AB339" s="388"/>
      <c r="AC339" s="177"/>
      <c r="AD339" s="388"/>
      <c r="AE339" s="177"/>
      <c r="AF339" s="388"/>
      <c r="AG339" s="177"/>
      <c r="AH339" s="388"/>
      <c r="AI339" s="177"/>
      <c r="AJ339" s="388"/>
      <c r="AK339" s="177"/>
      <c r="AL339" s="388"/>
      <c r="AM339" s="177"/>
      <c r="AN339" s="388"/>
      <c r="AO339" s="177"/>
      <c r="AP339" s="388"/>
      <c r="AQ339" s="177"/>
      <c r="AR339" s="209" t="str">
        <f ca="1">IF(LEN(B339)&gt;0,ISNUMBER(MATCH(B339,Proposed[Item],0)),"")</f>
        <v/>
      </c>
    </row>
    <row r="340" spans="1:44" ht="15" x14ac:dyDescent="0.2">
      <c r="A340" s="276">
        <f t="shared" ca="1" si="5"/>
        <v>166</v>
      </c>
      <c r="B340" s="111" t="str">
        <f ca="1">IF($A340&lt;=NumPayItems,"Line "&amp;INDEX(Calcs[Line],$A340),"")</f>
        <v/>
      </c>
      <c r="C340" s="169" t="str">
        <f ca="1">IFERROR(IF($D340="LPSM","ALL",TEXT(INDEX(INDIRECT(RangeQuantity),MATCH($A340,INDIRECT(RangeCount),0)),"#,##0"&amp;IF(OFFSET(Items[],MATCH($A340,INDIRECT(RangeCount),0)-1,MATCH(Decimals,Items[#Headers],0)-1,1,1)&gt;0,"."&amp;REPT("0",OFFSET(Items[],MATCH($A340,INDIRECT(RangeCount),0)-1,MATCH(Decimals,Items[#Headers],0)-1,1,1)),""))),"")</f>
        <v/>
      </c>
      <c r="D340" s="170" t="str">
        <f ca="1">IFERROR(INDEX(INDIRECT(RangeUnit),MATCH($A340,INDIRECT(RangeCount),0)),"")</f>
        <v/>
      </c>
      <c r="E340" s="170" t="str">
        <f ca="1">IFERROR(IF(INDEX(INDIRECT(RangeContrQty),MATCH($A340,INDIRECT(RangeCount),0)),"(CQ)",""),"")</f>
        <v/>
      </c>
      <c r="F340" s="171" t="str">
        <f ca="1">IFERROR(INDEX(INDIRECT(RangeUnitPrice),MATCH($A340,INDIRECT(RangeCount),0)),"")</f>
        <v/>
      </c>
      <c r="G340" s="171" t="str">
        <f ca="1">IFERROR(VALUE(C340)*F340,F340)</f>
        <v/>
      </c>
      <c r="H340" s="388"/>
      <c r="I340" s="178" t="str">
        <f ca="1">IF($C340="","",IF($D340="LPSM",H339,VALUE($C340)*H339))</f>
        <v/>
      </c>
      <c r="J340" s="388"/>
      <c r="K340" s="178" t="str">
        <f ca="1">IF($C340="","",IF($D340="LPSM",J339,VALUE($C340)*J339))</f>
        <v/>
      </c>
      <c r="L340" s="388"/>
      <c r="M340" s="178" t="str">
        <f ca="1">IF($C340="","",IF($D340="LPSM",L339,VALUE($C340)*L339))</f>
        <v/>
      </c>
      <c r="N340" s="388"/>
      <c r="O340" s="178" t="str">
        <f ca="1">IF($C340="","",IF($D340="LPSM",N339,VALUE($C340)*N339))</f>
        <v/>
      </c>
      <c r="P340" s="388"/>
      <c r="Q340" s="178" t="str">
        <f ca="1">IF($C340="","",IF($D340="LPSM",P339,VALUE($C340)*P339))</f>
        <v/>
      </c>
      <c r="R340" s="388"/>
      <c r="S340" s="178" t="str">
        <f ca="1">IF($C340="","",IF($D340="LPSM",R339,VALUE($C340)*R339))</f>
        <v/>
      </c>
      <c r="T340" s="388"/>
      <c r="U340" s="178" t="str">
        <f ca="1">IF($C340="","",IF($D340="LPSM",T339,VALUE($C340)*T339))</f>
        <v/>
      </c>
      <c r="V340" s="388"/>
      <c r="W340" s="178" t="str">
        <f ca="1">IF($C340="","",IF($D340="LPSM",V339,VALUE($C340)*V339))</f>
        <v/>
      </c>
      <c r="X340" s="388"/>
      <c r="Y340" s="178" t="str">
        <f ca="1">IF($C340="","",IF($D340="LPSM",X339,VALUE($C340)*X339))</f>
        <v/>
      </c>
      <c r="Z340" s="388"/>
      <c r="AA340" s="178" t="str">
        <f ca="1">IF($C340="","",IF($D340="LPSM",Z339,VALUE($C340)*Z339))</f>
        <v/>
      </c>
      <c r="AB340" s="388"/>
      <c r="AC340" s="178" t="str">
        <f ca="1">IF($C340="","",IF($D340="LPSM",AB339,VALUE($C340)*AB339))</f>
        <v/>
      </c>
      <c r="AD340" s="388"/>
      <c r="AE340" s="178" t="str">
        <f ca="1">IF($C340="","",IF($D340="LPSM",AD339,VALUE($C340)*AD339))</f>
        <v/>
      </c>
      <c r="AF340" s="388"/>
      <c r="AG340" s="178" t="str">
        <f ca="1">IF($C340="","",IF($D340="LPSM",AF339,VALUE($C340)*AF339))</f>
        <v/>
      </c>
      <c r="AH340" s="388"/>
      <c r="AI340" s="178" t="str">
        <f ca="1">IF($C340="","",IF($D340="LPSM",AH339,VALUE($C340)*AH339))</f>
        <v/>
      </c>
      <c r="AJ340" s="388"/>
      <c r="AK340" s="178" t="str">
        <f ca="1">IF($C340="","",IF($D340="LPSM",AJ339,VALUE($C340)*AJ339))</f>
        <v/>
      </c>
      <c r="AL340" s="388"/>
      <c r="AM340" s="178" t="str">
        <f ca="1">IF($C340="","",IF($D340="LPSM",AL339,VALUE($C340)*AL339))</f>
        <v/>
      </c>
      <c r="AN340" s="388"/>
      <c r="AO340" s="178" t="str">
        <f ca="1">IF($C340="","",IF($D340="LPSM",AN339,VALUE($C340)*AN339))</f>
        <v/>
      </c>
      <c r="AP340" s="388"/>
      <c r="AQ340" s="178" t="str">
        <f ca="1">IF($C340="","",IF($D340="LPSM",AP339,VALUE($C340)*AP339))</f>
        <v/>
      </c>
      <c r="AR340" s="209" t="str">
        <f ca="1">IF(LEN(B340)&gt;0,ISNUMBER(MATCH(B340,Proposed[Item],0)),"")</f>
        <v/>
      </c>
    </row>
    <row r="341" spans="1:44" ht="15" x14ac:dyDescent="0.2">
      <c r="A341" s="276">
        <f t="shared" ca="1" si="5"/>
        <v>167</v>
      </c>
      <c r="B341" s="168" t="str">
        <f ca="1">IFERROR(INDEX(INDIRECT(RangeItems),MATCH($A341,INDIRECT(RangeCount),0)),"")</f>
        <v/>
      </c>
      <c r="C341" s="365" t="str">
        <f ca="1">INDEX(Calcs[Description],$A341)</f>
        <v/>
      </c>
      <c r="D341" s="365"/>
      <c r="E341" s="365"/>
      <c r="F341" s="365"/>
      <c r="G341" s="365"/>
      <c r="H341" s="388"/>
      <c r="I341" s="177"/>
      <c r="J341" s="388"/>
      <c r="K341" s="177"/>
      <c r="L341" s="388"/>
      <c r="M341" s="177"/>
      <c r="N341" s="388"/>
      <c r="O341" s="177"/>
      <c r="P341" s="388"/>
      <c r="Q341" s="177"/>
      <c r="R341" s="388"/>
      <c r="S341" s="177"/>
      <c r="T341" s="388"/>
      <c r="U341" s="177"/>
      <c r="V341" s="388"/>
      <c r="W341" s="177"/>
      <c r="X341" s="388"/>
      <c r="Y341" s="177"/>
      <c r="Z341" s="388"/>
      <c r="AA341" s="177"/>
      <c r="AB341" s="388"/>
      <c r="AC341" s="177"/>
      <c r="AD341" s="388"/>
      <c r="AE341" s="177"/>
      <c r="AF341" s="388"/>
      <c r="AG341" s="177"/>
      <c r="AH341" s="388"/>
      <c r="AI341" s="177"/>
      <c r="AJ341" s="388"/>
      <c r="AK341" s="177"/>
      <c r="AL341" s="388"/>
      <c r="AM341" s="177"/>
      <c r="AN341" s="388"/>
      <c r="AO341" s="177"/>
      <c r="AP341" s="388"/>
      <c r="AQ341" s="177"/>
      <c r="AR341" s="209" t="str">
        <f ca="1">IF(LEN(B341)&gt;0,ISNUMBER(MATCH(B341,Proposed[Item],0)),"")</f>
        <v/>
      </c>
    </row>
    <row r="342" spans="1:44" ht="15" x14ac:dyDescent="0.2">
      <c r="A342" s="276">
        <f t="shared" ca="1" si="5"/>
        <v>167</v>
      </c>
      <c r="B342" s="111" t="str">
        <f ca="1">IF($A342&lt;=NumPayItems,"Line "&amp;INDEX(Calcs[Line],$A342),"")</f>
        <v/>
      </c>
      <c r="C342" s="169" t="str">
        <f ca="1">IFERROR(IF($D342="LPSM","ALL",TEXT(INDEX(INDIRECT(RangeQuantity),MATCH($A342,INDIRECT(RangeCount),0)),"#,##0"&amp;IF(OFFSET(Items[],MATCH($A342,INDIRECT(RangeCount),0)-1,MATCH(Decimals,Items[#Headers],0)-1,1,1)&gt;0,"."&amp;REPT("0",OFFSET(Items[],MATCH($A342,INDIRECT(RangeCount),0)-1,MATCH(Decimals,Items[#Headers],0)-1,1,1)),""))),"")</f>
        <v/>
      </c>
      <c r="D342" s="170" t="str">
        <f ca="1">IFERROR(INDEX(INDIRECT(RangeUnit),MATCH($A342,INDIRECT(RangeCount),0)),"")</f>
        <v/>
      </c>
      <c r="E342" s="170" t="str">
        <f ca="1">IFERROR(IF(INDEX(INDIRECT(RangeContrQty),MATCH($A342,INDIRECT(RangeCount),0)),"(CQ)",""),"")</f>
        <v/>
      </c>
      <c r="F342" s="171" t="str">
        <f ca="1">IFERROR(INDEX(INDIRECT(RangeUnitPrice),MATCH($A342,INDIRECT(RangeCount),0)),"")</f>
        <v/>
      </c>
      <c r="G342" s="171" t="str">
        <f ca="1">IFERROR(VALUE(C342)*F342,F342)</f>
        <v/>
      </c>
      <c r="H342" s="388"/>
      <c r="I342" s="178" t="str">
        <f ca="1">IF($C342="","",IF($D342="LPSM",H341,VALUE($C342)*H341))</f>
        <v/>
      </c>
      <c r="J342" s="388"/>
      <c r="K342" s="178" t="str">
        <f ca="1">IF($C342="","",IF($D342="LPSM",J341,VALUE($C342)*J341))</f>
        <v/>
      </c>
      <c r="L342" s="388"/>
      <c r="M342" s="178" t="str">
        <f ca="1">IF($C342="","",IF($D342="LPSM",L341,VALUE($C342)*L341))</f>
        <v/>
      </c>
      <c r="N342" s="388"/>
      <c r="O342" s="178" t="str">
        <f ca="1">IF($C342="","",IF($D342="LPSM",N341,VALUE($C342)*N341))</f>
        <v/>
      </c>
      <c r="P342" s="388"/>
      <c r="Q342" s="178" t="str">
        <f ca="1">IF($C342="","",IF($D342="LPSM",P341,VALUE($C342)*P341))</f>
        <v/>
      </c>
      <c r="R342" s="388"/>
      <c r="S342" s="178" t="str">
        <f ca="1">IF($C342="","",IF($D342="LPSM",R341,VALUE($C342)*R341))</f>
        <v/>
      </c>
      <c r="T342" s="388"/>
      <c r="U342" s="178" t="str">
        <f ca="1">IF($C342="","",IF($D342="LPSM",T341,VALUE($C342)*T341))</f>
        <v/>
      </c>
      <c r="V342" s="388"/>
      <c r="W342" s="178" t="str">
        <f ca="1">IF($C342="","",IF($D342="LPSM",V341,VALUE($C342)*V341))</f>
        <v/>
      </c>
      <c r="X342" s="388"/>
      <c r="Y342" s="178" t="str">
        <f ca="1">IF($C342="","",IF($D342="LPSM",X341,VALUE($C342)*X341))</f>
        <v/>
      </c>
      <c r="Z342" s="388"/>
      <c r="AA342" s="178" t="str">
        <f ca="1">IF($C342="","",IF($D342="LPSM",Z341,VALUE($C342)*Z341))</f>
        <v/>
      </c>
      <c r="AB342" s="388"/>
      <c r="AC342" s="178" t="str">
        <f ca="1">IF($C342="","",IF($D342="LPSM",AB341,VALUE($C342)*AB341))</f>
        <v/>
      </c>
      <c r="AD342" s="388"/>
      <c r="AE342" s="178" t="str">
        <f ca="1">IF($C342="","",IF($D342="LPSM",AD341,VALUE($C342)*AD341))</f>
        <v/>
      </c>
      <c r="AF342" s="388"/>
      <c r="AG342" s="178" t="str">
        <f ca="1">IF($C342="","",IF($D342="LPSM",AF341,VALUE($C342)*AF341))</f>
        <v/>
      </c>
      <c r="AH342" s="388"/>
      <c r="AI342" s="178" t="str">
        <f ca="1">IF($C342="","",IF($D342="LPSM",AH341,VALUE($C342)*AH341))</f>
        <v/>
      </c>
      <c r="AJ342" s="388"/>
      <c r="AK342" s="178" t="str">
        <f ca="1">IF($C342="","",IF($D342="LPSM",AJ341,VALUE($C342)*AJ341))</f>
        <v/>
      </c>
      <c r="AL342" s="388"/>
      <c r="AM342" s="178" t="str">
        <f ca="1">IF($C342="","",IF($D342="LPSM",AL341,VALUE($C342)*AL341))</f>
        <v/>
      </c>
      <c r="AN342" s="388"/>
      <c r="AO342" s="178" t="str">
        <f ca="1">IF($C342="","",IF($D342="LPSM",AN341,VALUE($C342)*AN341))</f>
        <v/>
      </c>
      <c r="AP342" s="388"/>
      <c r="AQ342" s="178" t="str">
        <f ca="1">IF($C342="","",IF($D342="LPSM",AP341,VALUE($C342)*AP341))</f>
        <v/>
      </c>
      <c r="AR342" s="209" t="str">
        <f ca="1">IF(LEN(B342)&gt;0,ISNUMBER(MATCH(B342,Proposed[Item],0)),"")</f>
        <v/>
      </c>
    </row>
    <row r="343" spans="1:44" ht="15" x14ac:dyDescent="0.2">
      <c r="A343" s="276">
        <f t="shared" ca="1" si="5"/>
        <v>168</v>
      </c>
      <c r="B343" s="168" t="str">
        <f ca="1">IFERROR(INDEX(INDIRECT(RangeItems),MATCH($A343,INDIRECT(RangeCount),0)),"")</f>
        <v/>
      </c>
      <c r="C343" s="365" t="str">
        <f ca="1">INDEX(Calcs[Description],$A343)</f>
        <v/>
      </c>
      <c r="D343" s="365"/>
      <c r="E343" s="365"/>
      <c r="F343" s="365"/>
      <c r="G343" s="365"/>
      <c r="H343" s="388"/>
      <c r="I343" s="177"/>
      <c r="J343" s="388"/>
      <c r="K343" s="177"/>
      <c r="L343" s="388"/>
      <c r="M343" s="177"/>
      <c r="N343" s="388"/>
      <c r="O343" s="177"/>
      <c r="P343" s="388"/>
      <c r="Q343" s="177"/>
      <c r="R343" s="388"/>
      <c r="S343" s="177"/>
      <c r="T343" s="388"/>
      <c r="U343" s="177"/>
      <c r="V343" s="388"/>
      <c r="W343" s="177"/>
      <c r="X343" s="388"/>
      <c r="Y343" s="177"/>
      <c r="Z343" s="388"/>
      <c r="AA343" s="177"/>
      <c r="AB343" s="388"/>
      <c r="AC343" s="177"/>
      <c r="AD343" s="388"/>
      <c r="AE343" s="177"/>
      <c r="AF343" s="388"/>
      <c r="AG343" s="177"/>
      <c r="AH343" s="388"/>
      <c r="AI343" s="177"/>
      <c r="AJ343" s="388"/>
      <c r="AK343" s="177"/>
      <c r="AL343" s="388"/>
      <c r="AM343" s="177"/>
      <c r="AN343" s="388"/>
      <c r="AO343" s="177"/>
      <c r="AP343" s="388"/>
      <c r="AQ343" s="177"/>
      <c r="AR343" s="209" t="str">
        <f ca="1">IF(LEN(B343)&gt;0,ISNUMBER(MATCH(B343,Proposed[Item],0)),"")</f>
        <v/>
      </c>
    </row>
    <row r="344" spans="1:44" ht="15" x14ac:dyDescent="0.2">
      <c r="A344" s="276">
        <f t="shared" ca="1" si="5"/>
        <v>168</v>
      </c>
      <c r="B344" s="111" t="str">
        <f ca="1">IF($A344&lt;=NumPayItems,"Line "&amp;INDEX(Calcs[Line],$A344),"")</f>
        <v/>
      </c>
      <c r="C344" s="169" t="str">
        <f ca="1">IFERROR(IF($D344="LPSM","ALL",TEXT(INDEX(INDIRECT(RangeQuantity),MATCH($A344,INDIRECT(RangeCount),0)),"#,##0"&amp;IF(OFFSET(Items[],MATCH($A344,INDIRECT(RangeCount),0)-1,MATCH(Decimals,Items[#Headers],0)-1,1,1)&gt;0,"."&amp;REPT("0",OFFSET(Items[],MATCH($A344,INDIRECT(RangeCount),0)-1,MATCH(Decimals,Items[#Headers],0)-1,1,1)),""))),"")</f>
        <v/>
      </c>
      <c r="D344" s="170" t="str">
        <f ca="1">IFERROR(INDEX(INDIRECT(RangeUnit),MATCH($A344,INDIRECT(RangeCount),0)),"")</f>
        <v/>
      </c>
      <c r="E344" s="170" t="str">
        <f ca="1">IFERROR(IF(INDEX(INDIRECT(RangeContrQty),MATCH($A344,INDIRECT(RangeCount),0)),"(CQ)",""),"")</f>
        <v/>
      </c>
      <c r="F344" s="171" t="str">
        <f ca="1">IFERROR(INDEX(INDIRECT(RangeUnitPrice),MATCH($A344,INDIRECT(RangeCount),0)),"")</f>
        <v/>
      </c>
      <c r="G344" s="171" t="str">
        <f ca="1">IFERROR(VALUE(C344)*F344,F344)</f>
        <v/>
      </c>
      <c r="H344" s="388"/>
      <c r="I344" s="178" t="str">
        <f ca="1">IF($C344="","",IF($D344="LPSM",H343,VALUE($C344)*H343))</f>
        <v/>
      </c>
      <c r="J344" s="388"/>
      <c r="K344" s="178" t="str">
        <f ca="1">IF($C344="","",IF($D344="LPSM",J343,VALUE($C344)*J343))</f>
        <v/>
      </c>
      <c r="L344" s="388"/>
      <c r="M344" s="178" t="str">
        <f ca="1">IF($C344="","",IF($D344="LPSM",L343,VALUE($C344)*L343))</f>
        <v/>
      </c>
      <c r="N344" s="388"/>
      <c r="O344" s="178" t="str">
        <f ca="1">IF($C344="","",IF($D344="LPSM",N343,VALUE($C344)*N343))</f>
        <v/>
      </c>
      <c r="P344" s="388"/>
      <c r="Q344" s="178" t="str">
        <f ca="1">IF($C344="","",IF($D344="LPSM",P343,VALUE($C344)*P343))</f>
        <v/>
      </c>
      <c r="R344" s="388"/>
      <c r="S344" s="178" t="str">
        <f ca="1">IF($C344="","",IF($D344="LPSM",R343,VALUE($C344)*R343))</f>
        <v/>
      </c>
      <c r="T344" s="388"/>
      <c r="U344" s="178" t="str">
        <f ca="1">IF($C344="","",IF($D344="LPSM",T343,VALUE($C344)*T343))</f>
        <v/>
      </c>
      <c r="V344" s="388"/>
      <c r="W344" s="178" t="str">
        <f ca="1">IF($C344="","",IF($D344="LPSM",V343,VALUE($C344)*V343))</f>
        <v/>
      </c>
      <c r="X344" s="388"/>
      <c r="Y344" s="178" t="str">
        <f ca="1">IF($C344="","",IF($D344="LPSM",X343,VALUE($C344)*X343))</f>
        <v/>
      </c>
      <c r="Z344" s="388"/>
      <c r="AA344" s="178" t="str">
        <f ca="1">IF($C344="","",IF($D344="LPSM",Z343,VALUE($C344)*Z343))</f>
        <v/>
      </c>
      <c r="AB344" s="388"/>
      <c r="AC344" s="178" t="str">
        <f ca="1">IF($C344="","",IF($D344="LPSM",AB343,VALUE($C344)*AB343))</f>
        <v/>
      </c>
      <c r="AD344" s="388"/>
      <c r="AE344" s="178" t="str">
        <f ca="1">IF($C344="","",IF($D344="LPSM",AD343,VALUE($C344)*AD343))</f>
        <v/>
      </c>
      <c r="AF344" s="388"/>
      <c r="AG344" s="178" t="str">
        <f ca="1">IF($C344="","",IF($D344="LPSM",AF343,VALUE($C344)*AF343))</f>
        <v/>
      </c>
      <c r="AH344" s="388"/>
      <c r="AI344" s="178" t="str">
        <f ca="1">IF($C344="","",IF($D344="LPSM",AH343,VALUE($C344)*AH343))</f>
        <v/>
      </c>
      <c r="AJ344" s="388"/>
      <c r="AK344" s="178" t="str">
        <f ca="1">IF($C344="","",IF($D344="LPSM",AJ343,VALUE($C344)*AJ343))</f>
        <v/>
      </c>
      <c r="AL344" s="388"/>
      <c r="AM344" s="178" t="str">
        <f ca="1">IF($C344="","",IF($D344="LPSM",AL343,VALUE($C344)*AL343))</f>
        <v/>
      </c>
      <c r="AN344" s="388"/>
      <c r="AO344" s="178" t="str">
        <f ca="1">IF($C344="","",IF($D344="LPSM",AN343,VALUE($C344)*AN343))</f>
        <v/>
      </c>
      <c r="AP344" s="388"/>
      <c r="AQ344" s="178" t="str">
        <f ca="1">IF($C344="","",IF($D344="LPSM",AP343,VALUE($C344)*AP343))</f>
        <v/>
      </c>
      <c r="AR344" s="209" t="str">
        <f ca="1">IF(LEN(B344)&gt;0,ISNUMBER(MATCH(B344,Proposed[Item],0)),"")</f>
        <v/>
      </c>
    </row>
    <row r="345" spans="1:44" ht="15" x14ac:dyDescent="0.2">
      <c r="A345" s="276">
        <f t="shared" ca="1" si="5"/>
        <v>169</v>
      </c>
      <c r="B345" s="168" t="str">
        <f ca="1">IFERROR(INDEX(INDIRECT(RangeItems),MATCH($A345,INDIRECT(RangeCount),0)),"")</f>
        <v/>
      </c>
      <c r="C345" s="365" t="str">
        <f ca="1">INDEX(Calcs[Description],$A345)</f>
        <v/>
      </c>
      <c r="D345" s="365"/>
      <c r="E345" s="365"/>
      <c r="F345" s="365"/>
      <c r="G345" s="365"/>
      <c r="H345" s="388"/>
      <c r="I345" s="177"/>
      <c r="J345" s="388"/>
      <c r="K345" s="177"/>
      <c r="L345" s="388"/>
      <c r="M345" s="177"/>
      <c r="N345" s="388"/>
      <c r="O345" s="177"/>
      <c r="P345" s="388"/>
      <c r="Q345" s="177"/>
      <c r="R345" s="388"/>
      <c r="S345" s="177"/>
      <c r="T345" s="388"/>
      <c r="U345" s="177"/>
      <c r="V345" s="388"/>
      <c r="W345" s="177"/>
      <c r="X345" s="388"/>
      <c r="Y345" s="177"/>
      <c r="Z345" s="388"/>
      <c r="AA345" s="177"/>
      <c r="AB345" s="388"/>
      <c r="AC345" s="177"/>
      <c r="AD345" s="388"/>
      <c r="AE345" s="177"/>
      <c r="AF345" s="388"/>
      <c r="AG345" s="177"/>
      <c r="AH345" s="388"/>
      <c r="AI345" s="177"/>
      <c r="AJ345" s="388"/>
      <c r="AK345" s="177"/>
      <c r="AL345" s="388"/>
      <c r="AM345" s="177"/>
      <c r="AN345" s="388"/>
      <c r="AO345" s="177"/>
      <c r="AP345" s="388"/>
      <c r="AQ345" s="177"/>
      <c r="AR345" s="209" t="str">
        <f ca="1">IF(LEN(B345)&gt;0,ISNUMBER(MATCH(B345,Proposed[Item],0)),"")</f>
        <v/>
      </c>
    </row>
    <row r="346" spans="1:44" ht="15" x14ac:dyDescent="0.2">
      <c r="A346" s="276">
        <f t="shared" ca="1" si="5"/>
        <v>169</v>
      </c>
      <c r="B346" s="111" t="str">
        <f ca="1">IF($A346&lt;=NumPayItems,"Line "&amp;INDEX(Calcs[Line],$A346),"")</f>
        <v/>
      </c>
      <c r="C346" s="169" t="str">
        <f ca="1">IFERROR(IF($D346="LPSM","ALL",TEXT(INDEX(INDIRECT(RangeQuantity),MATCH($A346,INDIRECT(RangeCount),0)),"#,##0"&amp;IF(OFFSET(Items[],MATCH($A346,INDIRECT(RangeCount),0)-1,MATCH(Decimals,Items[#Headers],0)-1,1,1)&gt;0,"."&amp;REPT("0",OFFSET(Items[],MATCH($A346,INDIRECT(RangeCount),0)-1,MATCH(Decimals,Items[#Headers],0)-1,1,1)),""))),"")</f>
        <v/>
      </c>
      <c r="D346" s="170" t="str">
        <f ca="1">IFERROR(INDEX(INDIRECT(RangeUnit),MATCH($A346,INDIRECT(RangeCount),0)),"")</f>
        <v/>
      </c>
      <c r="E346" s="170" t="str">
        <f ca="1">IFERROR(IF(INDEX(INDIRECT(RangeContrQty),MATCH($A346,INDIRECT(RangeCount),0)),"(CQ)",""),"")</f>
        <v/>
      </c>
      <c r="F346" s="171" t="str">
        <f ca="1">IFERROR(INDEX(INDIRECT(RangeUnitPrice),MATCH($A346,INDIRECT(RangeCount),0)),"")</f>
        <v/>
      </c>
      <c r="G346" s="171" t="str">
        <f ca="1">IFERROR(VALUE(C346)*F346,F346)</f>
        <v/>
      </c>
      <c r="H346" s="388"/>
      <c r="I346" s="178" t="str">
        <f ca="1">IF($C346="","",IF($D346="LPSM",H345,VALUE($C346)*H345))</f>
        <v/>
      </c>
      <c r="J346" s="388"/>
      <c r="K346" s="178" t="str">
        <f ca="1">IF($C346="","",IF($D346="LPSM",J345,VALUE($C346)*J345))</f>
        <v/>
      </c>
      <c r="L346" s="388"/>
      <c r="M346" s="178" t="str">
        <f ca="1">IF($C346="","",IF($D346="LPSM",L345,VALUE($C346)*L345))</f>
        <v/>
      </c>
      <c r="N346" s="388"/>
      <c r="O346" s="178" t="str">
        <f ca="1">IF($C346="","",IF($D346="LPSM",N345,VALUE($C346)*N345))</f>
        <v/>
      </c>
      <c r="P346" s="388"/>
      <c r="Q346" s="178" t="str">
        <f ca="1">IF($C346="","",IF($D346="LPSM",P345,VALUE($C346)*P345))</f>
        <v/>
      </c>
      <c r="R346" s="388"/>
      <c r="S346" s="178" t="str">
        <f ca="1">IF($C346="","",IF($D346="LPSM",R345,VALUE($C346)*R345))</f>
        <v/>
      </c>
      <c r="T346" s="388"/>
      <c r="U346" s="178" t="str">
        <f ca="1">IF($C346="","",IF($D346="LPSM",T345,VALUE($C346)*T345))</f>
        <v/>
      </c>
      <c r="V346" s="388"/>
      <c r="W346" s="178" t="str">
        <f ca="1">IF($C346="","",IF($D346="LPSM",V345,VALUE($C346)*V345))</f>
        <v/>
      </c>
      <c r="X346" s="388"/>
      <c r="Y346" s="178" t="str">
        <f ca="1">IF($C346="","",IF($D346="LPSM",X345,VALUE($C346)*X345))</f>
        <v/>
      </c>
      <c r="Z346" s="388"/>
      <c r="AA346" s="178" t="str">
        <f ca="1">IF($C346="","",IF($D346="LPSM",Z345,VALUE($C346)*Z345))</f>
        <v/>
      </c>
      <c r="AB346" s="388"/>
      <c r="AC346" s="178" t="str">
        <f ca="1">IF($C346="","",IF($D346="LPSM",AB345,VALUE($C346)*AB345))</f>
        <v/>
      </c>
      <c r="AD346" s="388"/>
      <c r="AE346" s="178" t="str">
        <f ca="1">IF($C346="","",IF($D346="LPSM",AD345,VALUE($C346)*AD345))</f>
        <v/>
      </c>
      <c r="AF346" s="388"/>
      <c r="AG346" s="178" t="str">
        <f ca="1">IF($C346="","",IF($D346="LPSM",AF345,VALUE($C346)*AF345))</f>
        <v/>
      </c>
      <c r="AH346" s="388"/>
      <c r="AI346" s="178" t="str">
        <f ca="1">IF($C346="","",IF($D346="LPSM",AH345,VALUE($C346)*AH345))</f>
        <v/>
      </c>
      <c r="AJ346" s="388"/>
      <c r="AK346" s="178" t="str">
        <f ca="1">IF($C346="","",IF($D346="LPSM",AJ345,VALUE($C346)*AJ345))</f>
        <v/>
      </c>
      <c r="AL346" s="388"/>
      <c r="AM346" s="178" t="str">
        <f ca="1">IF($C346="","",IF($D346="LPSM",AL345,VALUE($C346)*AL345))</f>
        <v/>
      </c>
      <c r="AN346" s="388"/>
      <c r="AO346" s="178" t="str">
        <f ca="1">IF($C346="","",IF($D346="LPSM",AN345,VALUE($C346)*AN345))</f>
        <v/>
      </c>
      <c r="AP346" s="388"/>
      <c r="AQ346" s="178" t="str">
        <f ca="1">IF($C346="","",IF($D346="LPSM",AP345,VALUE($C346)*AP345))</f>
        <v/>
      </c>
      <c r="AR346" s="209" t="str">
        <f ca="1">IF(LEN(B346)&gt;0,ISNUMBER(MATCH(B346,Proposed[Item],0)),"")</f>
        <v/>
      </c>
    </row>
    <row r="347" spans="1:44" ht="15" x14ac:dyDescent="0.2">
      <c r="A347" s="276">
        <f t="shared" ca="1" si="5"/>
        <v>170</v>
      </c>
      <c r="B347" s="168" t="str">
        <f ca="1">IFERROR(INDEX(INDIRECT(RangeItems),MATCH($A347,INDIRECT(RangeCount),0)),"")</f>
        <v/>
      </c>
      <c r="C347" s="365" t="str">
        <f ca="1">INDEX(Calcs[Description],$A347)</f>
        <v/>
      </c>
      <c r="D347" s="365"/>
      <c r="E347" s="365"/>
      <c r="F347" s="365"/>
      <c r="G347" s="365"/>
      <c r="H347" s="388"/>
      <c r="I347" s="177"/>
      <c r="J347" s="388"/>
      <c r="K347" s="177"/>
      <c r="L347" s="388"/>
      <c r="M347" s="177"/>
      <c r="N347" s="388"/>
      <c r="O347" s="177"/>
      <c r="P347" s="388"/>
      <c r="Q347" s="177"/>
      <c r="R347" s="388"/>
      <c r="S347" s="177"/>
      <c r="T347" s="388"/>
      <c r="U347" s="177"/>
      <c r="V347" s="388"/>
      <c r="W347" s="177"/>
      <c r="X347" s="388"/>
      <c r="Y347" s="177"/>
      <c r="Z347" s="388"/>
      <c r="AA347" s="177"/>
      <c r="AB347" s="388"/>
      <c r="AC347" s="177"/>
      <c r="AD347" s="388"/>
      <c r="AE347" s="177"/>
      <c r="AF347" s="388"/>
      <c r="AG347" s="177"/>
      <c r="AH347" s="388"/>
      <c r="AI347" s="177"/>
      <c r="AJ347" s="388"/>
      <c r="AK347" s="177"/>
      <c r="AL347" s="388"/>
      <c r="AM347" s="177"/>
      <c r="AN347" s="388"/>
      <c r="AO347" s="177"/>
      <c r="AP347" s="388"/>
      <c r="AQ347" s="177"/>
      <c r="AR347" s="209" t="str">
        <f ca="1">IF(LEN(B347)&gt;0,ISNUMBER(MATCH(B347,Proposed[Item],0)),"")</f>
        <v/>
      </c>
    </row>
    <row r="348" spans="1:44" ht="15" x14ac:dyDescent="0.2">
      <c r="A348" s="276">
        <f t="shared" ca="1" si="5"/>
        <v>170</v>
      </c>
      <c r="B348" s="111" t="str">
        <f ca="1">IF($A348&lt;=NumPayItems,"Line "&amp;INDEX(Calcs[Line],$A348),"")</f>
        <v/>
      </c>
      <c r="C348" s="169" t="str">
        <f ca="1">IFERROR(IF($D348="LPSM","ALL",TEXT(INDEX(INDIRECT(RangeQuantity),MATCH($A348,INDIRECT(RangeCount),0)),"#,##0"&amp;IF(OFFSET(Items[],MATCH($A348,INDIRECT(RangeCount),0)-1,MATCH(Decimals,Items[#Headers],0)-1,1,1)&gt;0,"."&amp;REPT("0",OFFSET(Items[],MATCH($A348,INDIRECT(RangeCount),0)-1,MATCH(Decimals,Items[#Headers],0)-1,1,1)),""))),"")</f>
        <v/>
      </c>
      <c r="D348" s="170" t="str">
        <f ca="1">IFERROR(INDEX(INDIRECT(RangeUnit),MATCH($A348,INDIRECT(RangeCount),0)),"")</f>
        <v/>
      </c>
      <c r="E348" s="170" t="str">
        <f ca="1">IFERROR(IF(INDEX(INDIRECT(RangeContrQty),MATCH($A348,INDIRECT(RangeCount),0)),"(CQ)",""),"")</f>
        <v/>
      </c>
      <c r="F348" s="171" t="str">
        <f ca="1">IFERROR(INDEX(INDIRECT(RangeUnitPrice),MATCH($A348,INDIRECT(RangeCount),0)),"")</f>
        <v/>
      </c>
      <c r="G348" s="171" t="str">
        <f ca="1">IFERROR(VALUE(C348)*F348,F348)</f>
        <v/>
      </c>
      <c r="H348" s="388"/>
      <c r="I348" s="178" t="str">
        <f ca="1">IF($C348="","",IF($D348="LPSM",H347,VALUE($C348)*H347))</f>
        <v/>
      </c>
      <c r="J348" s="388"/>
      <c r="K348" s="178" t="str">
        <f ca="1">IF($C348="","",IF($D348="LPSM",J347,VALUE($C348)*J347))</f>
        <v/>
      </c>
      <c r="L348" s="388"/>
      <c r="M348" s="178" t="str">
        <f ca="1">IF($C348="","",IF($D348="LPSM",L347,VALUE($C348)*L347))</f>
        <v/>
      </c>
      <c r="N348" s="388"/>
      <c r="O348" s="178" t="str">
        <f ca="1">IF($C348="","",IF($D348="LPSM",N347,VALUE($C348)*N347))</f>
        <v/>
      </c>
      <c r="P348" s="388"/>
      <c r="Q348" s="178" t="str">
        <f ca="1">IF($C348="","",IF($D348="LPSM",P347,VALUE($C348)*P347))</f>
        <v/>
      </c>
      <c r="R348" s="388"/>
      <c r="S348" s="178" t="str">
        <f ca="1">IF($C348="","",IF($D348="LPSM",R347,VALUE($C348)*R347))</f>
        <v/>
      </c>
      <c r="T348" s="388"/>
      <c r="U348" s="178" t="str">
        <f ca="1">IF($C348="","",IF($D348="LPSM",T347,VALUE($C348)*T347))</f>
        <v/>
      </c>
      <c r="V348" s="388"/>
      <c r="W348" s="178" t="str">
        <f ca="1">IF($C348="","",IF($D348="LPSM",V347,VALUE($C348)*V347))</f>
        <v/>
      </c>
      <c r="X348" s="388"/>
      <c r="Y348" s="178" t="str">
        <f ca="1">IF($C348="","",IF($D348="LPSM",X347,VALUE($C348)*X347))</f>
        <v/>
      </c>
      <c r="Z348" s="388"/>
      <c r="AA348" s="178" t="str">
        <f ca="1">IF($C348="","",IF($D348="LPSM",Z347,VALUE($C348)*Z347))</f>
        <v/>
      </c>
      <c r="AB348" s="388"/>
      <c r="AC348" s="178" t="str">
        <f ca="1">IF($C348="","",IF($D348="LPSM",AB347,VALUE($C348)*AB347))</f>
        <v/>
      </c>
      <c r="AD348" s="388"/>
      <c r="AE348" s="178" t="str">
        <f ca="1">IF($C348="","",IF($D348="LPSM",AD347,VALUE($C348)*AD347))</f>
        <v/>
      </c>
      <c r="AF348" s="388"/>
      <c r="AG348" s="178" t="str">
        <f ca="1">IF($C348="","",IF($D348="LPSM",AF347,VALUE($C348)*AF347))</f>
        <v/>
      </c>
      <c r="AH348" s="388"/>
      <c r="AI348" s="178" t="str">
        <f ca="1">IF($C348="","",IF($D348="LPSM",AH347,VALUE($C348)*AH347))</f>
        <v/>
      </c>
      <c r="AJ348" s="388"/>
      <c r="AK348" s="178" t="str">
        <f ca="1">IF($C348="","",IF($D348="LPSM",AJ347,VALUE($C348)*AJ347))</f>
        <v/>
      </c>
      <c r="AL348" s="388"/>
      <c r="AM348" s="178" t="str">
        <f ca="1">IF($C348="","",IF($D348="LPSM",AL347,VALUE($C348)*AL347))</f>
        <v/>
      </c>
      <c r="AN348" s="388"/>
      <c r="AO348" s="178" t="str">
        <f ca="1">IF($C348="","",IF($D348="LPSM",AN347,VALUE($C348)*AN347))</f>
        <v/>
      </c>
      <c r="AP348" s="388"/>
      <c r="AQ348" s="178" t="str">
        <f ca="1">IF($C348="","",IF($D348="LPSM",AP347,VALUE($C348)*AP347))</f>
        <v/>
      </c>
      <c r="AR348" s="209" t="str">
        <f ca="1">IF(LEN(B348)&gt;0,ISNUMBER(MATCH(B348,Proposed[Item],0)),"")</f>
        <v/>
      </c>
    </row>
    <row r="349" spans="1:44" ht="15" x14ac:dyDescent="0.2">
      <c r="A349" s="276">
        <f t="shared" ca="1" si="5"/>
        <v>171</v>
      </c>
      <c r="B349" s="168" t="str">
        <f ca="1">IFERROR(INDEX(INDIRECT(RangeItems),MATCH($A349,INDIRECT(RangeCount),0)),"")</f>
        <v/>
      </c>
      <c r="C349" s="365" t="str">
        <f ca="1">INDEX(Calcs[Description],$A349)</f>
        <v/>
      </c>
      <c r="D349" s="365"/>
      <c r="E349" s="365"/>
      <c r="F349" s="365"/>
      <c r="G349" s="365"/>
      <c r="H349" s="388"/>
      <c r="I349" s="177"/>
      <c r="J349" s="388"/>
      <c r="K349" s="177"/>
      <c r="L349" s="388"/>
      <c r="M349" s="177"/>
      <c r="N349" s="388"/>
      <c r="O349" s="177"/>
      <c r="P349" s="388"/>
      <c r="Q349" s="177"/>
      <c r="R349" s="388"/>
      <c r="S349" s="177"/>
      <c r="T349" s="388"/>
      <c r="U349" s="177"/>
      <c r="V349" s="388"/>
      <c r="W349" s="177"/>
      <c r="X349" s="388"/>
      <c r="Y349" s="177"/>
      <c r="Z349" s="388"/>
      <c r="AA349" s="177"/>
      <c r="AB349" s="388"/>
      <c r="AC349" s="177"/>
      <c r="AD349" s="388"/>
      <c r="AE349" s="177"/>
      <c r="AF349" s="388"/>
      <c r="AG349" s="177"/>
      <c r="AH349" s="388"/>
      <c r="AI349" s="177"/>
      <c r="AJ349" s="388"/>
      <c r="AK349" s="177"/>
      <c r="AL349" s="388"/>
      <c r="AM349" s="177"/>
      <c r="AN349" s="388"/>
      <c r="AO349" s="177"/>
      <c r="AP349" s="388"/>
      <c r="AQ349" s="177"/>
      <c r="AR349" s="209" t="str">
        <f ca="1">IF(LEN(B349)&gt;0,ISNUMBER(MATCH(B349,Proposed[Item],0)),"")</f>
        <v/>
      </c>
    </row>
    <row r="350" spans="1:44" ht="15" x14ac:dyDescent="0.2">
      <c r="A350" s="276">
        <f t="shared" ca="1" si="5"/>
        <v>171</v>
      </c>
      <c r="B350" s="111" t="str">
        <f ca="1">IF($A350&lt;=NumPayItems,"Line "&amp;INDEX(Calcs[Line],$A350),"")</f>
        <v/>
      </c>
      <c r="C350" s="169" t="str">
        <f ca="1">IFERROR(IF($D350="LPSM","ALL",TEXT(INDEX(INDIRECT(RangeQuantity),MATCH($A350,INDIRECT(RangeCount),0)),"#,##0"&amp;IF(OFFSET(Items[],MATCH($A350,INDIRECT(RangeCount),0)-1,MATCH(Decimals,Items[#Headers],0)-1,1,1)&gt;0,"."&amp;REPT("0",OFFSET(Items[],MATCH($A350,INDIRECT(RangeCount),0)-1,MATCH(Decimals,Items[#Headers],0)-1,1,1)),""))),"")</f>
        <v/>
      </c>
      <c r="D350" s="170" t="str">
        <f ca="1">IFERROR(INDEX(INDIRECT(RangeUnit),MATCH($A350,INDIRECT(RangeCount),0)),"")</f>
        <v/>
      </c>
      <c r="E350" s="170" t="str">
        <f ca="1">IFERROR(IF(INDEX(INDIRECT(RangeContrQty),MATCH($A350,INDIRECT(RangeCount),0)),"(CQ)",""),"")</f>
        <v/>
      </c>
      <c r="F350" s="171" t="str">
        <f ca="1">IFERROR(INDEX(INDIRECT(RangeUnitPrice),MATCH($A350,INDIRECT(RangeCount),0)),"")</f>
        <v/>
      </c>
      <c r="G350" s="171" t="str">
        <f ca="1">IFERROR(VALUE(C350)*F350,F350)</f>
        <v/>
      </c>
      <c r="H350" s="388"/>
      <c r="I350" s="178" t="str">
        <f ca="1">IF($C350="","",IF($D350="LPSM",H349,VALUE($C350)*H349))</f>
        <v/>
      </c>
      <c r="J350" s="388"/>
      <c r="K350" s="178" t="str">
        <f ca="1">IF($C350="","",IF($D350="LPSM",J349,VALUE($C350)*J349))</f>
        <v/>
      </c>
      <c r="L350" s="388"/>
      <c r="M350" s="178" t="str">
        <f ca="1">IF($C350="","",IF($D350="LPSM",L349,VALUE($C350)*L349))</f>
        <v/>
      </c>
      <c r="N350" s="388"/>
      <c r="O350" s="178" t="str">
        <f ca="1">IF($C350="","",IF($D350="LPSM",N349,VALUE($C350)*N349))</f>
        <v/>
      </c>
      <c r="P350" s="388"/>
      <c r="Q350" s="178" t="str">
        <f ca="1">IF($C350="","",IF($D350="LPSM",P349,VALUE($C350)*P349))</f>
        <v/>
      </c>
      <c r="R350" s="388"/>
      <c r="S350" s="178" t="str">
        <f ca="1">IF($C350="","",IF($D350="LPSM",R349,VALUE($C350)*R349))</f>
        <v/>
      </c>
      <c r="T350" s="388"/>
      <c r="U350" s="178" t="str">
        <f ca="1">IF($C350="","",IF($D350="LPSM",T349,VALUE($C350)*T349))</f>
        <v/>
      </c>
      <c r="V350" s="388"/>
      <c r="W350" s="178" t="str">
        <f ca="1">IF($C350="","",IF($D350="LPSM",V349,VALUE($C350)*V349))</f>
        <v/>
      </c>
      <c r="X350" s="388"/>
      <c r="Y350" s="178" t="str">
        <f ca="1">IF($C350="","",IF($D350="LPSM",X349,VALUE($C350)*X349))</f>
        <v/>
      </c>
      <c r="Z350" s="388"/>
      <c r="AA350" s="178" t="str">
        <f ca="1">IF($C350="","",IF($D350="LPSM",Z349,VALUE($C350)*Z349))</f>
        <v/>
      </c>
      <c r="AB350" s="388"/>
      <c r="AC350" s="178" t="str">
        <f ca="1">IF($C350="","",IF($D350="LPSM",AB349,VALUE($C350)*AB349))</f>
        <v/>
      </c>
      <c r="AD350" s="388"/>
      <c r="AE350" s="178" t="str">
        <f ca="1">IF($C350="","",IF($D350="LPSM",AD349,VALUE($C350)*AD349))</f>
        <v/>
      </c>
      <c r="AF350" s="388"/>
      <c r="AG350" s="178" t="str">
        <f ca="1">IF($C350="","",IF($D350="LPSM",AF349,VALUE($C350)*AF349))</f>
        <v/>
      </c>
      <c r="AH350" s="388"/>
      <c r="AI350" s="178" t="str">
        <f ca="1">IF($C350="","",IF($D350="LPSM",AH349,VALUE($C350)*AH349))</f>
        <v/>
      </c>
      <c r="AJ350" s="388"/>
      <c r="AK350" s="178" t="str">
        <f ca="1">IF($C350="","",IF($D350="LPSM",AJ349,VALUE($C350)*AJ349))</f>
        <v/>
      </c>
      <c r="AL350" s="388"/>
      <c r="AM350" s="178" t="str">
        <f ca="1">IF($C350="","",IF($D350="LPSM",AL349,VALUE($C350)*AL349))</f>
        <v/>
      </c>
      <c r="AN350" s="388"/>
      <c r="AO350" s="178" t="str">
        <f ca="1">IF($C350="","",IF($D350="LPSM",AN349,VALUE($C350)*AN349))</f>
        <v/>
      </c>
      <c r="AP350" s="388"/>
      <c r="AQ350" s="178" t="str">
        <f ca="1">IF($C350="","",IF($D350="LPSM",AP349,VALUE($C350)*AP349))</f>
        <v/>
      </c>
      <c r="AR350" s="209" t="str">
        <f ca="1">IF(LEN(B350)&gt;0,ISNUMBER(MATCH(B350,Proposed[Item],0)),"")</f>
        <v/>
      </c>
    </row>
    <row r="351" spans="1:44" ht="15" x14ac:dyDescent="0.2">
      <c r="A351" s="276">
        <f t="shared" ca="1" si="5"/>
        <v>172</v>
      </c>
      <c r="B351" s="168" t="str">
        <f ca="1">IFERROR(INDEX(INDIRECT(RangeItems),MATCH($A351,INDIRECT(RangeCount),0)),"")</f>
        <v/>
      </c>
      <c r="C351" s="365" t="str">
        <f ca="1">INDEX(Calcs[Description],$A351)</f>
        <v/>
      </c>
      <c r="D351" s="365"/>
      <c r="E351" s="365"/>
      <c r="F351" s="365"/>
      <c r="G351" s="365"/>
      <c r="H351" s="388"/>
      <c r="I351" s="177"/>
      <c r="J351" s="388"/>
      <c r="K351" s="177"/>
      <c r="L351" s="388"/>
      <c r="M351" s="177"/>
      <c r="N351" s="388"/>
      <c r="O351" s="177"/>
      <c r="P351" s="388"/>
      <c r="Q351" s="177"/>
      <c r="R351" s="388"/>
      <c r="S351" s="177"/>
      <c r="T351" s="388"/>
      <c r="U351" s="177"/>
      <c r="V351" s="388"/>
      <c r="W351" s="177"/>
      <c r="X351" s="388"/>
      <c r="Y351" s="177"/>
      <c r="Z351" s="388"/>
      <c r="AA351" s="177"/>
      <c r="AB351" s="388"/>
      <c r="AC351" s="177"/>
      <c r="AD351" s="388"/>
      <c r="AE351" s="177"/>
      <c r="AF351" s="388"/>
      <c r="AG351" s="177"/>
      <c r="AH351" s="388"/>
      <c r="AI351" s="177"/>
      <c r="AJ351" s="388"/>
      <c r="AK351" s="177"/>
      <c r="AL351" s="388"/>
      <c r="AM351" s="177"/>
      <c r="AN351" s="388"/>
      <c r="AO351" s="177"/>
      <c r="AP351" s="388"/>
      <c r="AQ351" s="177"/>
      <c r="AR351" s="209" t="str">
        <f ca="1">IF(LEN(B351)&gt;0,ISNUMBER(MATCH(B351,Proposed[Item],0)),"")</f>
        <v/>
      </c>
    </row>
    <row r="352" spans="1:44" ht="15" x14ac:dyDescent="0.2">
      <c r="A352" s="276">
        <f t="shared" ca="1" si="5"/>
        <v>172</v>
      </c>
      <c r="B352" s="111" t="str">
        <f ca="1">IF($A352&lt;=NumPayItems,"Line "&amp;INDEX(Calcs[Line],$A352),"")</f>
        <v/>
      </c>
      <c r="C352" s="169" t="str">
        <f ca="1">IFERROR(IF($D352="LPSM","ALL",TEXT(INDEX(INDIRECT(RangeQuantity),MATCH($A352,INDIRECT(RangeCount),0)),"#,##0"&amp;IF(OFFSET(Items[],MATCH($A352,INDIRECT(RangeCount),0)-1,MATCH(Decimals,Items[#Headers],0)-1,1,1)&gt;0,"."&amp;REPT("0",OFFSET(Items[],MATCH($A352,INDIRECT(RangeCount),0)-1,MATCH(Decimals,Items[#Headers],0)-1,1,1)),""))),"")</f>
        <v/>
      </c>
      <c r="D352" s="170" t="str">
        <f ca="1">IFERROR(INDEX(INDIRECT(RangeUnit),MATCH($A352,INDIRECT(RangeCount),0)),"")</f>
        <v/>
      </c>
      <c r="E352" s="170" t="str">
        <f ca="1">IFERROR(IF(INDEX(INDIRECT(RangeContrQty),MATCH($A352,INDIRECT(RangeCount),0)),"(CQ)",""),"")</f>
        <v/>
      </c>
      <c r="F352" s="171" t="str">
        <f ca="1">IFERROR(INDEX(INDIRECT(RangeUnitPrice),MATCH($A352,INDIRECT(RangeCount),0)),"")</f>
        <v/>
      </c>
      <c r="G352" s="171" t="str">
        <f ca="1">IFERROR(VALUE(C352)*F352,F352)</f>
        <v/>
      </c>
      <c r="H352" s="388"/>
      <c r="I352" s="178" t="str">
        <f ca="1">IF($C352="","",IF($D352="LPSM",H351,VALUE($C352)*H351))</f>
        <v/>
      </c>
      <c r="J352" s="388"/>
      <c r="K352" s="178" t="str">
        <f ca="1">IF($C352="","",IF($D352="LPSM",J351,VALUE($C352)*J351))</f>
        <v/>
      </c>
      <c r="L352" s="388"/>
      <c r="M352" s="178" t="str">
        <f ca="1">IF($C352="","",IF($D352="LPSM",L351,VALUE($C352)*L351))</f>
        <v/>
      </c>
      <c r="N352" s="388"/>
      <c r="O352" s="178" t="str">
        <f ca="1">IF($C352="","",IF($D352="LPSM",N351,VALUE($C352)*N351))</f>
        <v/>
      </c>
      <c r="P352" s="388"/>
      <c r="Q352" s="178" t="str">
        <f ca="1">IF($C352="","",IF($D352="LPSM",P351,VALUE($C352)*P351))</f>
        <v/>
      </c>
      <c r="R352" s="388"/>
      <c r="S352" s="178" t="str">
        <f ca="1">IF($C352="","",IF($D352="LPSM",R351,VALUE($C352)*R351))</f>
        <v/>
      </c>
      <c r="T352" s="388"/>
      <c r="U352" s="178" t="str">
        <f ca="1">IF($C352="","",IF($D352="LPSM",T351,VALUE($C352)*T351))</f>
        <v/>
      </c>
      <c r="V352" s="388"/>
      <c r="W352" s="178" t="str">
        <f ca="1">IF($C352="","",IF($D352="LPSM",V351,VALUE($C352)*V351))</f>
        <v/>
      </c>
      <c r="X352" s="388"/>
      <c r="Y352" s="178" t="str">
        <f ca="1">IF($C352="","",IF($D352="LPSM",X351,VALUE($C352)*X351))</f>
        <v/>
      </c>
      <c r="Z352" s="388"/>
      <c r="AA352" s="178" t="str">
        <f ca="1">IF($C352="","",IF($D352="LPSM",Z351,VALUE($C352)*Z351))</f>
        <v/>
      </c>
      <c r="AB352" s="388"/>
      <c r="AC352" s="178" t="str">
        <f ca="1">IF($C352="","",IF($D352="LPSM",AB351,VALUE($C352)*AB351))</f>
        <v/>
      </c>
      <c r="AD352" s="388"/>
      <c r="AE352" s="178" t="str">
        <f ca="1">IF($C352="","",IF($D352="LPSM",AD351,VALUE($C352)*AD351))</f>
        <v/>
      </c>
      <c r="AF352" s="388"/>
      <c r="AG352" s="178" t="str">
        <f ca="1">IF($C352="","",IF($D352="LPSM",AF351,VALUE($C352)*AF351))</f>
        <v/>
      </c>
      <c r="AH352" s="388"/>
      <c r="AI352" s="178" t="str">
        <f ca="1">IF($C352="","",IF($D352="LPSM",AH351,VALUE($C352)*AH351))</f>
        <v/>
      </c>
      <c r="AJ352" s="388"/>
      <c r="AK352" s="178" t="str">
        <f ca="1">IF($C352="","",IF($D352="LPSM",AJ351,VALUE($C352)*AJ351))</f>
        <v/>
      </c>
      <c r="AL352" s="388"/>
      <c r="AM352" s="178" t="str">
        <f ca="1">IF($C352="","",IF($D352="LPSM",AL351,VALUE($C352)*AL351))</f>
        <v/>
      </c>
      <c r="AN352" s="388"/>
      <c r="AO352" s="178" t="str">
        <f ca="1">IF($C352="","",IF($D352="LPSM",AN351,VALUE($C352)*AN351))</f>
        <v/>
      </c>
      <c r="AP352" s="388"/>
      <c r="AQ352" s="178" t="str">
        <f ca="1">IF($C352="","",IF($D352="LPSM",AP351,VALUE($C352)*AP351))</f>
        <v/>
      </c>
      <c r="AR352" s="209" t="str">
        <f ca="1">IF(LEN(B352)&gt;0,ISNUMBER(MATCH(B352,Proposed[Item],0)),"")</f>
        <v/>
      </c>
    </row>
    <row r="353" spans="1:44" ht="15" x14ac:dyDescent="0.2">
      <c r="A353" s="276">
        <f t="shared" ca="1" si="5"/>
        <v>173</v>
      </c>
      <c r="B353" s="168" t="str">
        <f ca="1">IFERROR(INDEX(INDIRECT(RangeItems),MATCH($A353,INDIRECT(RangeCount),0)),"")</f>
        <v/>
      </c>
      <c r="C353" s="365" t="str">
        <f ca="1">INDEX(Calcs[Description],$A353)</f>
        <v/>
      </c>
      <c r="D353" s="365"/>
      <c r="E353" s="365"/>
      <c r="F353" s="365"/>
      <c r="G353" s="365"/>
      <c r="H353" s="388"/>
      <c r="I353" s="177"/>
      <c r="J353" s="388"/>
      <c r="K353" s="177"/>
      <c r="L353" s="388"/>
      <c r="M353" s="177"/>
      <c r="N353" s="388"/>
      <c r="O353" s="177"/>
      <c r="P353" s="388"/>
      <c r="Q353" s="177"/>
      <c r="R353" s="388"/>
      <c r="S353" s="177"/>
      <c r="T353" s="388"/>
      <c r="U353" s="177"/>
      <c r="V353" s="388"/>
      <c r="W353" s="177"/>
      <c r="X353" s="388"/>
      <c r="Y353" s="177"/>
      <c r="Z353" s="388"/>
      <c r="AA353" s="177"/>
      <c r="AB353" s="388"/>
      <c r="AC353" s="177"/>
      <c r="AD353" s="388"/>
      <c r="AE353" s="177"/>
      <c r="AF353" s="388"/>
      <c r="AG353" s="177"/>
      <c r="AH353" s="388"/>
      <c r="AI353" s="177"/>
      <c r="AJ353" s="388"/>
      <c r="AK353" s="177"/>
      <c r="AL353" s="388"/>
      <c r="AM353" s="177"/>
      <c r="AN353" s="388"/>
      <c r="AO353" s="177"/>
      <c r="AP353" s="388"/>
      <c r="AQ353" s="177"/>
      <c r="AR353" s="209" t="str">
        <f ca="1">IF(LEN(B353)&gt;0,ISNUMBER(MATCH(B353,Proposed[Item],0)),"")</f>
        <v/>
      </c>
    </row>
    <row r="354" spans="1:44" ht="15" x14ac:dyDescent="0.2">
      <c r="A354" s="276">
        <f t="shared" ca="1" si="5"/>
        <v>173</v>
      </c>
      <c r="B354" s="111" t="str">
        <f ca="1">IF($A354&lt;=NumPayItems,"Line "&amp;INDEX(Calcs[Line],$A354),"")</f>
        <v/>
      </c>
      <c r="C354" s="169" t="str">
        <f ca="1">IFERROR(IF($D354="LPSM","ALL",TEXT(INDEX(INDIRECT(RangeQuantity),MATCH($A354,INDIRECT(RangeCount),0)),"#,##0"&amp;IF(OFFSET(Items[],MATCH($A354,INDIRECT(RangeCount),0)-1,MATCH(Decimals,Items[#Headers],0)-1,1,1)&gt;0,"."&amp;REPT("0",OFFSET(Items[],MATCH($A354,INDIRECT(RangeCount),0)-1,MATCH(Decimals,Items[#Headers],0)-1,1,1)),""))),"")</f>
        <v/>
      </c>
      <c r="D354" s="170" t="str">
        <f ca="1">IFERROR(INDEX(INDIRECT(RangeUnit),MATCH($A354,INDIRECT(RangeCount),0)),"")</f>
        <v/>
      </c>
      <c r="E354" s="170" t="str">
        <f ca="1">IFERROR(IF(INDEX(INDIRECT(RangeContrQty),MATCH($A354,INDIRECT(RangeCount),0)),"(CQ)",""),"")</f>
        <v/>
      </c>
      <c r="F354" s="171" t="str">
        <f ca="1">IFERROR(INDEX(INDIRECT(RangeUnitPrice),MATCH($A354,INDIRECT(RangeCount),0)),"")</f>
        <v/>
      </c>
      <c r="G354" s="171" t="str">
        <f ca="1">IFERROR(VALUE(C354)*F354,F354)</f>
        <v/>
      </c>
      <c r="H354" s="388"/>
      <c r="I354" s="178" t="str">
        <f ca="1">IF($C354="","",IF($D354="LPSM",H353,VALUE($C354)*H353))</f>
        <v/>
      </c>
      <c r="J354" s="388"/>
      <c r="K354" s="178" t="str">
        <f ca="1">IF($C354="","",IF($D354="LPSM",J353,VALUE($C354)*J353))</f>
        <v/>
      </c>
      <c r="L354" s="388"/>
      <c r="M354" s="178" t="str">
        <f ca="1">IF($C354="","",IF($D354="LPSM",L353,VALUE($C354)*L353))</f>
        <v/>
      </c>
      <c r="N354" s="388"/>
      <c r="O354" s="178" t="str">
        <f ca="1">IF($C354="","",IF($D354="LPSM",N353,VALUE($C354)*N353))</f>
        <v/>
      </c>
      <c r="P354" s="388"/>
      <c r="Q354" s="178" t="str">
        <f ca="1">IF($C354="","",IF($D354="LPSM",P353,VALUE($C354)*P353))</f>
        <v/>
      </c>
      <c r="R354" s="388"/>
      <c r="S354" s="178" t="str">
        <f ca="1">IF($C354="","",IF($D354="LPSM",R353,VALUE($C354)*R353))</f>
        <v/>
      </c>
      <c r="T354" s="388"/>
      <c r="U354" s="178" t="str">
        <f ca="1">IF($C354="","",IF($D354="LPSM",T353,VALUE($C354)*T353))</f>
        <v/>
      </c>
      <c r="V354" s="388"/>
      <c r="W354" s="178" t="str">
        <f ca="1">IF($C354="","",IF($D354="LPSM",V353,VALUE($C354)*V353))</f>
        <v/>
      </c>
      <c r="X354" s="388"/>
      <c r="Y354" s="178" t="str">
        <f ca="1">IF($C354="","",IF($D354="LPSM",X353,VALUE($C354)*X353))</f>
        <v/>
      </c>
      <c r="Z354" s="388"/>
      <c r="AA354" s="178" t="str">
        <f ca="1">IF($C354="","",IF($D354="LPSM",Z353,VALUE($C354)*Z353))</f>
        <v/>
      </c>
      <c r="AB354" s="388"/>
      <c r="AC354" s="178" t="str">
        <f ca="1">IF($C354="","",IF($D354="LPSM",AB353,VALUE($C354)*AB353))</f>
        <v/>
      </c>
      <c r="AD354" s="388"/>
      <c r="AE354" s="178" t="str">
        <f ca="1">IF($C354="","",IF($D354="LPSM",AD353,VALUE($C354)*AD353))</f>
        <v/>
      </c>
      <c r="AF354" s="388"/>
      <c r="AG354" s="178" t="str">
        <f ca="1">IF($C354="","",IF($D354="LPSM",AF353,VALUE($C354)*AF353))</f>
        <v/>
      </c>
      <c r="AH354" s="388"/>
      <c r="AI354" s="178" t="str">
        <f ca="1">IF($C354="","",IF($D354="LPSM",AH353,VALUE($C354)*AH353))</f>
        <v/>
      </c>
      <c r="AJ354" s="388"/>
      <c r="AK354" s="178" t="str">
        <f ca="1">IF($C354="","",IF($D354="LPSM",AJ353,VALUE($C354)*AJ353))</f>
        <v/>
      </c>
      <c r="AL354" s="388"/>
      <c r="AM354" s="178" t="str">
        <f ca="1">IF($C354="","",IF($D354="LPSM",AL353,VALUE($C354)*AL353))</f>
        <v/>
      </c>
      <c r="AN354" s="388"/>
      <c r="AO354" s="178" t="str">
        <f ca="1">IF($C354="","",IF($D354="LPSM",AN353,VALUE($C354)*AN353))</f>
        <v/>
      </c>
      <c r="AP354" s="388"/>
      <c r="AQ354" s="178" t="str">
        <f ca="1">IF($C354="","",IF($D354="LPSM",AP353,VALUE($C354)*AP353))</f>
        <v/>
      </c>
      <c r="AR354" s="209" t="str">
        <f ca="1">IF(LEN(B354)&gt;0,ISNUMBER(MATCH(B354,Proposed[Item],0)),"")</f>
        <v/>
      </c>
    </row>
    <row r="355" spans="1:44" ht="15" x14ac:dyDescent="0.2">
      <c r="A355" s="276">
        <f t="shared" ca="1" si="5"/>
        <v>174</v>
      </c>
      <c r="B355" s="168" t="str">
        <f ca="1">IFERROR(INDEX(INDIRECT(RangeItems),MATCH($A355,INDIRECT(RangeCount),0)),"")</f>
        <v/>
      </c>
      <c r="C355" s="365" t="str">
        <f ca="1">INDEX(Calcs[Description],$A355)</f>
        <v/>
      </c>
      <c r="D355" s="365"/>
      <c r="E355" s="365"/>
      <c r="F355" s="365"/>
      <c r="G355" s="365"/>
      <c r="H355" s="388"/>
      <c r="I355" s="177"/>
      <c r="J355" s="388"/>
      <c r="K355" s="177"/>
      <c r="L355" s="388"/>
      <c r="M355" s="177"/>
      <c r="N355" s="388"/>
      <c r="O355" s="177"/>
      <c r="P355" s="388"/>
      <c r="Q355" s="177"/>
      <c r="R355" s="388"/>
      <c r="S355" s="177"/>
      <c r="T355" s="388"/>
      <c r="U355" s="177"/>
      <c r="V355" s="388"/>
      <c r="W355" s="177"/>
      <c r="X355" s="388"/>
      <c r="Y355" s="177"/>
      <c r="Z355" s="388"/>
      <c r="AA355" s="177"/>
      <c r="AB355" s="388"/>
      <c r="AC355" s="177"/>
      <c r="AD355" s="388"/>
      <c r="AE355" s="177"/>
      <c r="AF355" s="388"/>
      <c r="AG355" s="177"/>
      <c r="AH355" s="388"/>
      <c r="AI355" s="177"/>
      <c r="AJ355" s="388"/>
      <c r="AK355" s="177"/>
      <c r="AL355" s="388"/>
      <c r="AM355" s="177"/>
      <c r="AN355" s="388"/>
      <c r="AO355" s="177"/>
      <c r="AP355" s="388"/>
      <c r="AQ355" s="177"/>
      <c r="AR355" s="209" t="str">
        <f ca="1">IF(LEN(B355)&gt;0,ISNUMBER(MATCH(B355,Proposed[Item],0)),"")</f>
        <v/>
      </c>
    </row>
    <row r="356" spans="1:44" ht="15" x14ac:dyDescent="0.2">
      <c r="A356" s="276">
        <f t="shared" ca="1" si="5"/>
        <v>174</v>
      </c>
      <c r="B356" s="111" t="str">
        <f ca="1">IF($A356&lt;=NumPayItems,"Line "&amp;INDEX(Calcs[Line],$A356),"")</f>
        <v/>
      </c>
      <c r="C356" s="169" t="str">
        <f ca="1">IFERROR(IF($D356="LPSM","ALL",TEXT(INDEX(INDIRECT(RangeQuantity),MATCH($A356,INDIRECT(RangeCount),0)),"#,##0"&amp;IF(OFFSET(Items[],MATCH($A356,INDIRECT(RangeCount),0)-1,MATCH(Decimals,Items[#Headers],0)-1,1,1)&gt;0,"."&amp;REPT("0",OFFSET(Items[],MATCH($A356,INDIRECT(RangeCount),0)-1,MATCH(Decimals,Items[#Headers],0)-1,1,1)),""))),"")</f>
        <v/>
      </c>
      <c r="D356" s="170" t="str">
        <f ca="1">IFERROR(INDEX(INDIRECT(RangeUnit),MATCH($A356,INDIRECT(RangeCount),0)),"")</f>
        <v/>
      </c>
      <c r="E356" s="170" t="str">
        <f ca="1">IFERROR(IF(INDEX(INDIRECT(RangeContrQty),MATCH($A356,INDIRECT(RangeCount),0)),"(CQ)",""),"")</f>
        <v/>
      </c>
      <c r="F356" s="171" t="str">
        <f ca="1">IFERROR(INDEX(INDIRECT(RangeUnitPrice),MATCH($A356,INDIRECT(RangeCount),0)),"")</f>
        <v/>
      </c>
      <c r="G356" s="171" t="str">
        <f ca="1">IFERROR(VALUE(C356)*F356,F356)</f>
        <v/>
      </c>
      <c r="H356" s="388"/>
      <c r="I356" s="178" t="str">
        <f ca="1">IF($C356="","",IF($D356="LPSM",H355,VALUE($C356)*H355))</f>
        <v/>
      </c>
      <c r="J356" s="388"/>
      <c r="K356" s="178" t="str">
        <f ca="1">IF($C356="","",IF($D356="LPSM",J355,VALUE($C356)*J355))</f>
        <v/>
      </c>
      <c r="L356" s="388"/>
      <c r="M356" s="178" t="str">
        <f ca="1">IF($C356="","",IF($D356="LPSM",L355,VALUE($C356)*L355))</f>
        <v/>
      </c>
      <c r="N356" s="388"/>
      <c r="O356" s="178" t="str">
        <f ca="1">IF($C356="","",IF($D356="LPSM",N355,VALUE($C356)*N355))</f>
        <v/>
      </c>
      <c r="P356" s="388"/>
      <c r="Q356" s="178" t="str">
        <f ca="1">IF($C356="","",IF($D356="LPSM",P355,VALUE($C356)*P355))</f>
        <v/>
      </c>
      <c r="R356" s="388"/>
      <c r="S356" s="178" t="str">
        <f ca="1">IF($C356="","",IF($D356="LPSM",R355,VALUE($C356)*R355))</f>
        <v/>
      </c>
      <c r="T356" s="388"/>
      <c r="U356" s="178" t="str">
        <f ca="1">IF($C356="","",IF($D356="LPSM",T355,VALUE($C356)*T355))</f>
        <v/>
      </c>
      <c r="V356" s="388"/>
      <c r="W356" s="178" t="str">
        <f ca="1">IF($C356="","",IF($D356="LPSM",V355,VALUE($C356)*V355))</f>
        <v/>
      </c>
      <c r="X356" s="388"/>
      <c r="Y356" s="178" t="str">
        <f ca="1">IF($C356="","",IF($D356="LPSM",X355,VALUE($C356)*X355))</f>
        <v/>
      </c>
      <c r="Z356" s="388"/>
      <c r="AA356" s="178" t="str">
        <f ca="1">IF($C356="","",IF($D356="LPSM",Z355,VALUE($C356)*Z355))</f>
        <v/>
      </c>
      <c r="AB356" s="388"/>
      <c r="AC356" s="178" t="str">
        <f ca="1">IF($C356="","",IF($D356="LPSM",AB355,VALUE($C356)*AB355))</f>
        <v/>
      </c>
      <c r="AD356" s="388"/>
      <c r="AE356" s="178" t="str">
        <f ca="1">IF($C356="","",IF($D356="LPSM",AD355,VALUE($C356)*AD355))</f>
        <v/>
      </c>
      <c r="AF356" s="388"/>
      <c r="AG356" s="178" t="str">
        <f ca="1">IF($C356="","",IF($D356="LPSM",AF355,VALUE($C356)*AF355))</f>
        <v/>
      </c>
      <c r="AH356" s="388"/>
      <c r="AI356" s="178" t="str">
        <f ca="1">IF($C356="","",IF($D356="LPSM",AH355,VALUE($C356)*AH355))</f>
        <v/>
      </c>
      <c r="AJ356" s="388"/>
      <c r="AK356" s="178" t="str">
        <f ca="1">IF($C356="","",IF($D356="LPSM",AJ355,VALUE($C356)*AJ355))</f>
        <v/>
      </c>
      <c r="AL356" s="388"/>
      <c r="AM356" s="178" t="str">
        <f ca="1">IF($C356="","",IF($D356="LPSM",AL355,VALUE($C356)*AL355))</f>
        <v/>
      </c>
      <c r="AN356" s="388"/>
      <c r="AO356" s="178" t="str">
        <f ca="1">IF($C356="","",IF($D356="LPSM",AN355,VALUE($C356)*AN355))</f>
        <v/>
      </c>
      <c r="AP356" s="388"/>
      <c r="AQ356" s="178" t="str">
        <f ca="1">IF($C356="","",IF($D356="LPSM",AP355,VALUE($C356)*AP355))</f>
        <v/>
      </c>
      <c r="AR356" s="209" t="str">
        <f ca="1">IF(LEN(B356)&gt;0,ISNUMBER(MATCH(B356,Proposed[Item],0)),"")</f>
        <v/>
      </c>
    </row>
    <row r="357" spans="1:44" ht="15" x14ac:dyDescent="0.2">
      <c r="A357" s="276">
        <f t="shared" ca="1" si="5"/>
        <v>175</v>
      </c>
      <c r="B357" s="168" t="str">
        <f ca="1">IFERROR(INDEX(INDIRECT(RangeItems),MATCH($A357,INDIRECT(RangeCount),0)),"")</f>
        <v/>
      </c>
      <c r="C357" s="365" t="str">
        <f ca="1">INDEX(Calcs[Description],$A357)</f>
        <v/>
      </c>
      <c r="D357" s="365"/>
      <c r="E357" s="365"/>
      <c r="F357" s="365"/>
      <c r="G357" s="365"/>
      <c r="H357" s="388"/>
      <c r="I357" s="177"/>
      <c r="J357" s="388"/>
      <c r="K357" s="177"/>
      <c r="L357" s="388"/>
      <c r="M357" s="177"/>
      <c r="N357" s="388"/>
      <c r="O357" s="177"/>
      <c r="P357" s="388"/>
      <c r="Q357" s="177"/>
      <c r="R357" s="388"/>
      <c r="S357" s="177"/>
      <c r="T357" s="388"/>
      <c r="U357" s="177"/>
      <c r="V357" s="388"/>
      <c r="W357" s="177"/>
      <c r="X357" s="388"/>
      <c r="Y357" s="177"/>
      <c r="Z357" s="388"/>
      <c r="AA357" s="177"/>
      <c r="AB357" s="388"/>
      <c r="AC357" s="177"/>
      <c r="AD357" s="388"/>
      <c r="AE357" s="177"/>
      <c r="AF357" s="388"/>
      <c r="AG357" s="177"/>
      <c r="AH357" s="388"/>
      <c r="AI357" s="177"/>
      <c r="AJ357" s="388"/>
      <c r="AK357" s="177"/>
      <c r="AL357" s="388"/>
      <c r="AM357" s="177"/>
      <c r="AN357" s="388"/>
      <c r="AO357" s="177"/>
      <c r="AP357" s="388"/>
      <c r="AQ357" s="177"/>
      <c r="AR357" s="209" t="str">
        <f ca="1">IF(LEN(B357)&gt;0,ISNUMBER(MATCH(B357,Proposed[Item],0)),"")</f>
        <v/>
      </c>
    </row>
    <row r="358" spans="1:44" ht="15" x14ac:dyDescent="0.2">
      <c r="A358" s="276">
        <f t="shared" ca="1" si="5"/>
        <v>175</v>
      </c>
      <c r="B358" s="111" t="str">
        <f ca="1">IF($A358&lt;=NumPayItems,"Line "&amp;INDEX(Calcs[Line],$A358),"")</f>
        <v/>
      </c>
      <c r="C358" s="169" t="str">
        <f ca="1">IFERROR(IF($D358="LPSM","ALL",TEXT(INDEX(INDIRECT(RangeQuantity),MATCH($A358,INDIRECT(RangeCount),0)),"#,##0"&amp;IF(OFFSET(Items[],MATCH($A358,INDIRECT(RangeCount),0)-1,MATCH(Decimals,Items[#Headers],0)-1,1,1)&gt;0,"."&amp;REPT("0",OFFSET(Items[],MATCH($A358,INDIRECT(RangeCount),0)-1,MATCH(Decimals,Items[#Headers],0)-1,1,1)),""))),"")</f>
        <v/>
      </c>
      <c r="D358" s="170" t="str">
        <f ca="1">IFERROR(INDEX(INDIRECT(RangeUnit),MATCH($A358,INDIRECT(RangeCount),0)),"")</f>
        <v/>
      </c>
      <c r="E358" s="170" t="str">
        <f ca="1">IFERROR(IF(INDEX(INDIRECT(RangeContrQty),MATCH($A358,INDIRECT(RangeCount),0)),"(CQ)",""),"")</f>
        <v/>
      </c>
      <c r="F358" s="171" t="str">
        <f ca="1">IFERROR(INDEX(INDIRECT(RangeUnitPrice),MATCH($A358,INDIRECT(RangeCount),0)),"")</f>
        <v/>
      </c>
      <c r="G358" s="171" t="str">
        <f ca="1">IFERROR(VALUE(C358)*F358,F358)</f>
        <v/>
      </c>
      <c r="H358" s="388"/>
      <c r="I358" s="178" t="str">
        <f ca="1">IF($C358="","",IF($D358="LPSM",H357,VALUE($C358)*H357))</f>
        <v/>
      </c>
      <c r="J358" s="388"/>
      <c r="K358" s="178" t="str">
        <f ca="1">IF($C358="","",IF($D358="LPSM",J357,VALUE($C358)*J357))</f>
        <v/>
      </c>
      <c r="L358" s="388"/>
      <c r="M358" s="178" t="str">
        <f ca="1">IF($C358="","",IF($D358="LPSM",L357,VALUE($C358)*L357))</f>
        <v/>
      </c>
      <c r="N358" s="388"/>
      <c r="O358" s="178" t="str">
        <f ca="1">IF($C358="","",IF($D358="LPSM",N357,VALUE($C358)*N357))</f>
        <v/>
      </c>
      <c r="P358" s="388"/>
      <c r="Q358" s="178" t="str">
        <f ca="1">IF($C358="","",IF($D358="LPSM",P357,VALUE($C358)*P357))</f>
        <v/>
      </c>
      <c r="R358" s="388"/>
      <c r="S358" s="178" t="str">
        <f ca="1">IF($C358="","",IF($D358="LPSM",R357,VALUE($C358)*R357))</f>
        <v/>
      </c>
      <c r="T358" s="388"/>
      <c r="U358" s="178" t="str">
        <f ca="1">IF($C358="","",IF($D358="LPSM",T357,VALUE($C358)*T357))</f>
        <v/>
      </c>
      <c r="V358" s="388"/>
      <c r="W358" s="178" t="str">
        <f ca="1">IF($C358="","",IF($D358="LPSM",V357,VALUE($C358)*V357))</f>
        <v/>
      </c>
      <c r="X358" s="388"/>
      <c r="Y358" s="178" t="str">
        <f ca="1">IF($C358="","",IF($D358="LPSM",X357,VALUE($C358)*X357))</f>
        <v/>
      </c>
      <c r="Z358" s="388"/>
      <c r="AA358" s="178" t="str">
        <f ca="1">IF($C358="","",IF($D358="LPSM",Z357,VALUE($C358)*Z357))</f>
        <v/>
      </c>
      <c r="AB358" s="388"/>
      <c r="AC358" s="178" t="str">
        <f ca="1">IF($C358="","",IF($D358="LPSM",AB357,VALUE($C358)*AB357))</f>
        <v/>
      </c>
      <c r="AD358" s="388"/>
      <c r="AE358" s="178" t="str">
        <f ca="1">IF($C358="","",IF($D358="LPSM",AD357,VALUE($C358)*AD357))</f>
        <v/>
      </c>
      <c r="AF358" s="388"/>
      <c r="AG358" s="178" t="str">
        <f ca="1">IF($C358="","",IF($D358="LPSM",AF357,VALUE($C358)*AF357))</f>
        <v/>
      </c>
      <c r="AH358" s="388"/>
      <c r="AI358" s="178" t="str">
        <f ca="1">IF($C358="","",IF($D358="LPSM",AH357,VALUE($C358)*AH357))</f>
        <v/>
      </c>
      <c r="AJ358" s="388"/>
      <c r="AK358" s="178" t="str">
        <f ca="1">IF($C358="","",IF($D358="LPSM",AJ357,VALUE($C358)*AJ357))</f>
        <v/>
      </c>
      <c r="AL358" s="388"/>
      <c r="AM358" s="178" t="str">
        <f ca="1">IF($C358="","",IF($D358="LPSM",AL357,VALUE($C358)*AL357))</f>
        <v/>
      </c>
      <c r="AN358" s="388"/>
      <c r="AO358" s="178" t="str">
        <f ca="1">IF($C358="","",IF($D358="LPSM",AN357,VALUE($C358)*AN357))</f>
        <v/>
      </c>
      <c r="AP358" s="388"/>
      <c r="AQ358" s="178" t="str">
        <f ca="1">IF($C358="","",IF($D358="LPSM",AP357,VALUE($C358)*AP357))</f>
        <v/>
      </c>
      <c r="AR358" s="209" t="str">
        <f ca="1">IF(LEN(B358)&gt;0,ISNUMBER(MATCH(B358,Proposed[Item],0)),"")</f>
        <v/>
      </c>
    </row>
    <row r="359" spans="1:44" ht="15" x14ac:dyDescent="0.2">
      <c r="A359" s="276">
        <f t="shared" ca="1" si="5"/>
        <v>176</v>
      </c>
      <c r="B359" s="168" t="str">
        <f ca="1">IFERROR(INDEX(INDIRECT(RangeItems),MATCH($A359,INDIRECT(RangeCount),0)),"")</f>
        <v/>
      </c>
      <c r="C359" s="365" t="str">
        <f ca="1">INDEX(Calcs[Description],$A359)</f>
        <v/>
      </c>
      <c r="D359" s="365"/>
      <c r="E359" s="365"/>
      <c r="F359" s="365"/>
      <c r="G359" s="365"/>
      <c r="H359" s="388"/>
      <c r="I359" s="177"/>
      <c r="J359" s="388"/>
      <c r="K359" s="177"/>
      <c r="L359" s="388"/>
      <c r="M359" s="177"/>
      <c r="N359" s="388"/>
      <c r="O359" s="177"/>
      <c r="P359" s="388"/>
      <c r="Q359" s="177"/>
      <c r="R359" s="388"/>
      <c r="S359" s="177"/>
      <c r="T359" s="388"/>
      <c r="U359" s="177"/>
      <c r="V359" s="388"/>
      <c r="W359" s="177"/>
      <c r="X359" s="388"/>
      <c r="Y359" s="177"/>
      <c r="Z359" s="388"/>
      <c r="AA359" s="177"/>
      <c r="AB359" s="388"/>
      <c r="AC359" s="177"/>
      <c r="AD359" s="388"/>
      <c r="AE359" s="177"/>
      <c r="AF359" s="388"/>
      <c r="AG359" s="177"/>
      <c r="AH359" s="388"/>
      <c r="AI359" s="177"/>
      <c r="AJ359" s="388"/>
      <c r="AK359" s="177"/>
      <c r="AL359" s="388"/>
      <c r="AM359" s="177"/>
      <c r="AN359" s="388"/>
      <c r="AO359" s="177"/>
      <c r="AP359" s="388"/>
      <c r="AQ359" s="177"/>
      <c r="AR359" s="209" t="str">
        <f ca="1">IF(LEN(B359)&gt;0,ISNUMBER(MATCH(B359,Proposed[Item],0)),"")</f>
        <v/>
      </c>
    </row>
    <row r="360" spans="1:44" ht="15" x14ac:dyDescent="0.2">
      <c r="A360" s="276">
        <f t="shared" ca="1" si="5"/>
        <v>176</v>
      </c>
      <c r="B360" s="111" t="str">
        <f ca="1">IF($A360&lt;=NumPayItems,"Line "&amp;INDEX(Calcs[Line],$A360),"")</f>
        <v/>
      </c>
      <c r="C360" s="169" t="str">
        <f ca="1">IFERROR(IF($D360="LPSM","ALL",TEXT(INDEX(INDIRECT(RangeQuantity),MATCH($A360,INDIRECT(RangeCount),0)),"#,##0"&amp;IF(OFFSET(Items[],MATCH($A360,INDIRECT(RangeCount),0)-1,MATCH(Decimals,Items[#Headers],0)-1,1,1)&gt;0,"."&amp;REPT("0",OFFSET(Items[],MATCH($A360,INDIRECT(RangeCount),0)-1,MATCH(Decimals,Items[#Headers],0)-1,1,1)),""))),"")</f>
        <v/>
      </c>
      <c r="D360" s="170" t="str">
        <f ca="1">IFERROR(INDEX(INDIRECT(RangeUnit),MATCH($A360,INDIRECT(RangeCount),0)),"")</f>
        <v/>
      </c>
      <c r="E360" s="170" t="str">
        <f ca="1">IFERROR(IF(INDEX(INDIRECT(RangeContrQty),MATCH($A360,INDIRECT(RangeCount),0)),"(CQ)",""),"")</f>
        <v/>
      </c>
      <c r="F360" s="171" t="str">
        <f ca="1">IFERROR(INDEX(INDIRECT(RangeUnitPrice),MATCH($A360,INDIRECT(RangeCount),0)),"")</f>
        <v/>
      </c>
      <c r="G360" s="171" t="str">
        <f ca="1">IFERROR(VALUE(C360)*F360,F360)</f>
        <v/>
      </c>
      <c r="H360" s="388"/>
      <c r="I360" s="178" t="str">
        <f ca="1">IF($C360="","",IF($D360="LPSM",H359,VALUE($C360)*H359))</f>
        <v/>
      </c>
      <c r="J360" s="388"/>
      <c r="K360" s="178" t="str">
        <f ca="1">IF($C360="","",IF($D360="LPSM",J359,VALUE($C360)*J359))</f>
        <v/>
      </c>
      <c r="L360" s="388"/>
      <c r="M360" s="178" t="str">
        <f ca="1">IF($C360="","",IF($D360="LPSM",L359,VALUE($C360)*L359))</f>
        <v/>
      </c>
      <c r="N360" s="388"/>
      <c r="O360" s="178" t="str">
        <f ca="1">IF($C360="","",IF($D360="LPSM",N359,VALUE($C360)*N359))</f>
        <v/>
      </c>
      <c r="P360" s="388"/>
      <c r="Q360" s="178" t="str">
        <f ca="1">IF($C360="","",IF($D360="LPSM",P359,VALUE($C360)*P359))</f>
        <v/>
      </c>
      <c r="R360" s="388"/>
      <c r="S360" s="178" t="str">
        <f ca="1">IF($C360="","",IF($D360="LPSM",R359,VALUE($C360)*R359))</f>
        <v/>
      </c>
      <c r="T360" s="388"/>
      <c r="U360" s="178" t="str">
        <f ca="1">IF($C360="","",IF($D360="LPSM",T359,VALUE($C360)*T359))</f>
        <v/>
      </c>
      <c r="V360" s="388"/>
      <c r="W360" s="178" t="str">
        <f ca="1">IF($C360="","",IF($D360="LPSM",V359,VALUE($C360)*V359))</f>
        <v/>
      </c>
      <c r="X360" s="388"/>
      <c r="Y360" s="178" t="str">
        <f ca="1">IF($C360="","",IF($D360="LPSM",X359,VALUE($C360)*X359))</f>
        <v/>
      </c>
      <c r="Z360" s="388"/>
      <c r="AA360" s="178" t="str">
        <f ca="1">IF($C360="","",IF($D360="LPSM",Z359,VALUE($C360)*Z359))</f>
        <v/>
      </c>
      <c r="AB360" s="388"/>
      <c r="AC360" s="178" t="str">
        <f ca="1">IF($C360="","",IF($D360="LPSM",AB359,VALUE($C360)*AB359))</f>
        <v/>
      </c>
      <c r="AD360" s="388"/>
      <c r="AE360" s="178" t="str">
        <f ca="1">IF($C360="","",IF($D360="LPSM",AD359,VALUE($C360)*AD359))</f>
        <v/>
      </c>
      <c r="AF360" s="388"/>
      <c r="AG360" s="178" t="str">
        <f ca="1">IF($C360="","",IF($D360="LPSM",AF359,VALUE($C360)*AF359))</f>
        <v/>
      </c>
      <c r="AH360" s="388"/>
      <c r="AI360" s="178" t="str">
        <f ca="1">IF($C360="","",IF($D360="LPSM",AH359,VALUE($C360)*AH359))</f>
        <v/>
      </c>
      <c r="AJ360" s="388"/>
      <c r="AK360" s="178" t="str">
        <f ca="1">IF($C360="","",IF($D360="LPSM",AJ359,VALUE($C360)*AJ359))</f>
        <v/>
      </c>
      <c r="AL360" s="388"/>
      <c r="AM360" s="178" t="str">
        <f ca="1">IF($C360="","",IF($D360="LPSM",AL359,VALUE($C360)*AL359))</f>
        <v/>
      </c>
      <c r="AN360" s="388"/>
      <c r="AO360" s="178" t="str">
        <f ca="1">IF($C360="","",IF($D360="LPSM",AN359,VALUE($C360)*AN359))</f>
        <v/>
      </c>
      <c r="AP360" s="388"/>
      <c r="AQ360" s="178" t="str">
        <f ca="1">IF($C360="","",IF($D360="LPSM",AP359,VALUE($C360)*AP359))</f>
        <v/>
      </c>
      <c r="AR360" s="209" t="str">
        <f ca="1">IF(LEN(B360)&gt;0,ISNUMBER(MATCH(B360,Proposed[Item],0)),"")</f>
        <v/>
      </c>
    </row>
    <row r="361" spans="1:44" ht="15" x14ac:dyDescent="0.2">
      <c r="A361" s="276">
        <f t="shared" ca="1" si="5"/>
        <v>177</v>
      </c>
      <c r="B361" s="168" t="str">
        <f ca="1">IFERROR(INDEX(INDIRECT(RangeItems),MATCH($A361,INDIRECT(RangeCount),0)),"")</f>
        <v/>
      </c>
      <c r="C361" s="365" t="str">
        <f ca="1">INDEX(Calcs[Description],$A361)</f>
        <v/>
      </c>
      <c r="D361" s="365"/>
      <c r="E361" s="365"/>
      <c r="F361" s="365"/>
      <c r="G361" s="365"/>
      <c r="H361" s="388"/>
      <c r="I361" s="177"/>
      <c r="J361" s="388"/>
      <c r="K361" s="177"/>
      <c r="L361" s="388"/>
      <c r="M361" s="177"/>
      <c r="N361" s="388"/>
      <c r="O361" s="177"/>
      <c r="P361" s="388"/>
      <c r="Q361" s="177"/>
      <c r="R361" s="388"/>
      <c r="S361" s="177"/>
      <c r="T361" s="388"/>
      <c r="U361" s="177"/>
      <c r="V361" s="388"/>
      <c r="W361" s="177"/>
      <c r="X361" s="388"/>
      <c r="Y361" s="177"/>
      <c r="Z361" s="388"/>
      <c r="AA361" s="177"/>
      <c r="AB361" s="388"/>
      <c r="AC361" s="177"/>
      <c r="AD361" s="388"/>
      <c r="AE361" s="177"/>
      <c r="AF361" s="388"/>
      <c r="AG361" s="177"/>
      <c r="AH361" s="388"/>
      <c r="AI361" s="177"/>
      <c r="AJ361" s="388"/>
      <c r="AK361" s="177"/>
      <c r="AL361" s="388"/>
      <c r="AM361" s="177"/>
      <c r="AN361" s="388"/>
      <c r="AO361" s="177"/>
      <c r="AP361" s="388"/>
      <c r="AQ361" s="177"/>
      <c r="AR361" s="209" t="str">
        <f ca="1">IF(LEN(B361)&gt;0,ISNUMBER(MATCH(B361,Proposed[Item],0)),"")</f>
        <v/>
      </c>
    </row>
    <row r="362" spans="1:44" ht="15" x14ac:dyDescent="0.2">
      <c r="A362" s="276">
        <f t="shared" ca="1" si="5"/>
        <v>177</v>
      </c>
      <c r="B362" s="111" t="str">
        <f ca="1">IF($A362&lt;=NumPayItems,"Line "&amp;INDEX(Calcs[Line],$A362),"")</f>
        <v/>
      </c>
      <c r="C362" s="169" t="str">
        <f ca="1">IFERROR(IF($D362="LPSM","ALL",TEXT(INDEX(INDIRECT(RangeQuantity),MATCH($A362,INDIRECT(RangeCount),0)),"#,##0"&amp;IF(OFFSET(Items[],MATCH($A362,INDIRECT(RangeCount),0)-1,MATCH(Decimals,Items[#Headers],0)-1,1,1)&gt;0,"."&amp;REPT("0",OFFSET(Items[],MATCH($A362,INDIRECT(RangeCount),0)-1,MATCH(Decimals,Items[#Headers],0)-1,1,1)),""))),"")</f>
        <v/>
      </c>
      <c r="D362" s="170" t="str">
        <f ca="1">IFERROR(INDEX(INDIRECT(RangeUnit),MATCH($A362,INDIRECT(RangeCount),0)),"")</f>
        <v/>
      </c>
      <c r="E362" s="170" t="str">
        <f ca="1">IFERROR(IF(INDEX(INDIRECT(RangeContrQty),MATCH($A362,INDIRECT(RangeCount),0)),"(CQ)",""),"")</f>
        <v/>
      </c>
      <c r="F362" s="171" t="str">
        <f ca="1">IFERROR(INDEX(INDIRECT(RangeUnitPrice),MATCH($A362,INDIRECT(RangeCount),0)),"")</f>
        <v/>
      </c>
      <c r="G362" s="171" t="str">
        <f ca="1">IFERROR(VALUE(C362)*F362,F362)</f>
        <v/>
      </c>
      <c r="H362" s="388"/>
      <c r="I362" s="178" t="str">
        <f ca="1">IF($C362="","",IF($D362="LPSM",H361,VALUE($C362)*H361))</f>
        <v/>
      </c>
      <c r="J362" s="388"/>
      <c r="K362" s="178" t="str">
        <f ca="1">IF($C362="","",IF($D362="LPSM",J361,VALUE($C362)*J361))</f>
        <v/>
      </c>
      <c r="L362" s="388"/>
      <c r="M362" s="178" t="str">
        <f ca="1">IF($C362="","",IF($D362="LPSM",L361,VALUE($C362)*L361))</f>
        <v/>
      </c>
      <c r="N362" s="388"/>
      <c r="O362" s="178" t="str">
        <f ca="1">IF($C362="","",IF($D362="LPSM",N361,VALUE($C362)*N361))</f>
        <v/>
      </c>
      <c r="P362" s="388"/>
      <c r="Q362" s="178" t="str">
        <f ca="1">IF($C362="","",IF($D362="LPSM",P361,VALUE($C362)*P361))</f>
        <v/>
      </c>
      <c r="R362" s="388"/>
      <c r="S362" s="178" t="str">
        <f ca="1">IF($C362="","",IF($D362="LPSM",R361,VALUE($C362)*R361))</f>
        <v/>
      </c>
      <c r="T362" s="388"/>
      <c r="U362" s="178" t="str">
        <f ca="1">IF($C362="","",IF($D362="LPSM",T361,VALUE($C362)*T361))</f>
        <v/>
      </c>
      <c r="V362" s="388"/>
      <c r="W362" s="178" t="str">
        <f ca="1">IF($C362="","",IF($D362="LPSM",V361,VALUE($C362)*V361))</f>
        <v/>
      </c>
      <c r="X362" s="388"/>
      <c r="Y362" s="178" t="str">
        <f ca="1">IF($C362="","",IF($D362="LPSM",X361,VALUE($C362)*X361))</f>
        <v/>
      </c>
      <c r="Z362" s="388"/>
      <c r="AA362" s="178" t="str">
        <f ca="1">IF($C362="","",IF($D362="LPSM",Z361,VALUE($C362)*Z361))</f>
        <v/>
      </c>
      <c r="AB362" s="388"/>
      <c r="AC362" s="178" t="str">
        <f ca="1">IF($C362="","",IF($D362="LPSM",AB361,VALUE($C362)*AB361))</f>
        <v/>
      </c>
      <c r="AD362" s="388"/>
      <c r="AE362" s="178" t="str">
        <f ca="1">IF($C362="","",IF($D362="LPSM",AD361,VALUE($C362)*AD361))</f>
        <v/>
      </c>
      <c r="AF362" s="388"/>
      <c r="AG362" s="178" t="str">
        <f ca="1">IF($C362="","",IF($D362="LPSM",AF361,VALUE($C362)*AF361))</f>
        <v/>
      </c>
      <c r="AH362" s="388"/>
      <c r="AI362" s="178" t="str">
        <f ca="1">IF($C362="","",IF($D362="LPSM",AH361,VALUE($C362)*AH361))</f>
        <v/>
      </c>
      <c r="AJ362" s="388"/>
      <c r="AK362" s="178" t="str">
        <f ca="1">IF($C362="","",IF($D362="LPSM",AJ361,VALUE($C362)*AJ361))</f>
        <v/>
      </c>
      <c r="AL362" s="388"/>
      <c r="AM362" s="178" t="str">
        <f ca="1">IF($C362="","",IF($D362="LPSM",AL361,VALUE($C362)*AL361))</f>
        <v/>
      </c>
      <c r="AN362" s="388"/>
      <c r="AO362" s="178" t="str">
        <f ca="1">IF($C362="","",IF($D362="LPSM",AN361,VALUE($C362)*AN361))</f>
        <v/>
      </c>
      <c r="AP362" s="388"/>
      <c r="AQ362" s="178" t="str">
        <f ca="1">IF($C362="","",IF($D362="LPSM",AP361,VALUE($C362)*AP361))</f>
        <v/>
      </c>
      <c r="AR362" s="209" t="str">
        <f ca="1">IF(LEN(B362)&gt;0,ISNUMBER(MATCH(B362,Proposed[Item],0)),"")</f>
        <v/>
      </c>
    </row>
    <row r="363" spans="1:44" ht="15" x14ac:dyDescent="0.2">
      <c r="A363" s="276">
        <f t="shared" ca="1" si="5"/>
        <v>178</v>
      </c>
      <c r="B363" s="168" t="str">
        <f ca="1">IFERROR(INDEX(INDIRECT(RangeItems),MATCH($A363,INDIRECT(RangeCount),0)),"")</f>
        <v/>
      </c>
      <c r="C363" s="365" t="str">
        <f ca="1">INDEX(Calcs[Description],$A363)</f>
        <v/>
      </c>
      <c r="D363" s="365"/>
      <c r="E363" s="365"/>
      <c r="F363" s="365"/>
      <c r="G363" s="365"/>
      <c r="H363" s="388"/>
      <c r="I363" s="177"/>
      <c r="J363" s="388"/>
      <c r="K363" s="177"/>
      <c r="L363" s="388"/>
      <c r="M363" s="177"/>
      <c r="N363" s="388"/>
      <c r="O363" s="177"/>
      <c r="P363" s="388"/>
      <c r="Q363" s="177"/>
      <c r="R363" s="388"/>
      <c r="S363" s="177"/>
      <c r="T363" s="388"/>
      <c r="U363" s="177"/>
      <c r="V363" s="388"/>
      <c r="W363" s="177"/>
      <c r="X363" s="388"/>
      <c r="Y363" s="177"/>
      <c r="Z363" s="388"/>
      <c r="AA363" s="177"/>
      <c r="AB363" s="388"/>
      <c r="AC363" s="177"/>
      <c r="AD363" s="388"/>
      <c r="AE363" s="177"/>
      <c r="AF363" s="388"/>
      <c r="AG363" s="177"/>
      <c r="AH363" s="388"/>
      <c r="AI363" s="177"/>
      <c r="AJ363" s="388"/>
      <c r="AK363" s="177"/>
      <c r="AL363" s="388"/>
      <c r="AM363" s="177"/>
      <c r="AN363" s="388"/>
      <c r="AO363" s="177"/>
      <c r="AP363" s="388"/>
      <c r="AQ363" s="177"/>
      <c r="AR363" s="209" t="str">
        <f ca="1">IF(LEN(B363)&gt;0,ISNUMBER(MATCH(B363,Proposed[Item],0)),"")</f>
        <v/>
      </c>
    </row>
    <row r="364" spans="1:44" ht="15" x14ac:dyDescent="0.2">
      <c r="A364" s="276">
        <f t="shared" ca="1" si="5"/>
        <v>178</v>
      </c>
      <c r="B364" s="111" t="str">
        <f ca="1">IF($A364&lt;=NumPayItems,"Line "&amp;INDEX(Calcs[Line],$A364),"")</f>
        <v/>
      </c>
      <c r="C364" s="169" t="str">
        <f ca="1">IFERROR(IF($D364="LPSM","ALL",TEXT(INDEX(INDIRECT(RangeQuantity),MATCH($A364,INDIRECT(RangeCount),0)),"#,##0"&amp;IF(OFFSET(Items[],MATCH($A364,INDIRECT(RangeCount),0)-1,MATCH(Decimals,Items[#Headers],0)-1,1,1)&gt;0,"."&amp;REPT("0",OFFSET(Items[],MATCH($A364,INDIRECT(RangeCount),0)-1,MATCH(Decimals,Items[#Headers],0)-1,1,1)),""))),"")</f>
        <v/>
      </c>
      <c r="D364" s="170" t="str">
        <f ca="1">IFERROR(INDEX(INDIRECT(RangeUnit),MATCH($A364,INDIRECT(RangeCount),0)),"")</f>
        <v/>
      </c>
      <c r="E364" s="170" t="str">
        <f ca="1">IFERROR(IF(INDEX(INDIRECT(RangeContrQty),MATCH($A364,INDIRECT(RangeCount),0)),"(CQ)",""),"")</f>
        <v/>
      </c>
      <c r="F364" s="171" t="str">
        <f ca="1">IFERROR(INDEX(INDIRECT(RangeUnitPrice),MATCH($A364,INDIRECT(RangeCount),0)),"")</f>
        <v/>
      </c>
      <c r="G364" s="171" t="str">
        <f ca="1">IFERROR(VALUE(C364)*F364,F364)</f>
        <v/>
      </c>
      <c r="H364" s="388"/>
      <c r="I364" s="178" t="str">
        <f ca="1">IF($C364="","",IF($D364="LPSM",H363,VALUE($C364)*H363))</f>
        <v/>
      </c>
      <c r="J364" s="388"/>
      <c r="K364" s="178" t="str">
        <f ca="1">IF($C364="","",IF($D364="LPSM",J363,VALUE($C364)*J363))</f>
        <v/>
      </c>
      <c r="L364" s="388"/>
      <c r="M364" s="178" t="str">
        <f ca="1">IF($C364="","",IF($D364="LPSM",L363,VALUE($C364)*L363))</f>
        <v/>
      </c>
      <c r="N364" s="388"/>
      <c r="O364" s="178" t="str">
        <f ca="1">IF($C364="","",IF($D364="LPSM",N363,VALUE($C364)*N363))</f>
        <v/>
      </c>
      <c r="P364" s="388"/>
      <c r="Q364" s="178" t="str">
        <f ca="1">IF($C364="","",IF($D364="LPSM",P363,VALUE($C364)*P363))</f>
        <v/>
      </c>
      <c r="R364" s="388"/>
      <c r="S364" s="178" t="str">
        <f ca="1">IF($C364="","",IF($D364="LPSM",R363,VALUE($C364)*R363))</f>
        <v/>
      </c>
      <c r="T364" s="388"/>
      <c r="U364" s="178" t="str">
        <f ca="1">IF($C364="","",IF($D364="LPSM",T363,VALUE($C364)*T363))</f>
        <v/>
      </c>
      <c r="V364" s="388"/>
      <c r="W364" s="178" t="str">
        <f ca="1">IF($C364="","",IF($D364="LPSM",V363,VALUE($C364)*V363))</f>
        <v/>
      </c>
      <c r="X364" s="388"/>
      <c r="Y364" s="178" t="str">
        <f ca="1">IF($C364="","",IF($D364="LPSM",X363,VALUE($C364)*X363))</f>
        <v/>
      </c>
      <c r="Z364" s="388"/>
      <c r="AA364" s="178" t="str">
        <f ca="1">IF($C364="","",IF($D364="LPSM",Z363,VALUE($C364)*Z363))</f>
        <v/>
      </c>
      <c r="AB364" s="388"/>
      <c r="AC364" s="178" t="str">
        <f ca="1">IF($C364="","",IF($D364="LPSM",AB363,VALUE($C364)*AB363))</f>
        <v/>
      </c>
      <c r="AD364" s="388"/>
      <c r="AE364" s="178" t="str">
        <f ca="1">IF($C364="","",IF($D364="LPSM",AD363,VALUE($C364)*AD363))</f>
        <v/>
      </c>
      <c r="AF364" s="388"/>
      <c r="AG364" s="178" t="str">
        <f ca="1">IF($C364="","",IF($D364="LPSM",AF363,VALUE($C364)*AF363))</f>
        <v/>
      </c>
      <c r="AH364" s="388"/>
      <c r="AI364" s="178" t="str">
        <f ca="1">IF($C364="","",IF($D364="LPSM",AH363,VALUE($C364)*AH363))</f>
        <v/>
      </c>
      <c r="AJ364" s="388"/>
      <c r="AK364" s="178" t="str">
        <f ca="1">IF($C364="","",IF($D364="LPSM",AJ363,VALUE($C364)*AJ363))</f>
        <v/>
      </c>
      <c r="AL364" s="388"/>
      <c r="AM364" s="178" t="str">
        <f ca="1">IF($C364="","",IF($D364="LPSM",AL363,VALUE($C364)*AL363))</f>
        <v/>
      </c>
      <c r="AN364" s="388"/>
      <c r="AO364" s="178" t="str">
        <f ca="1">IF($C364="","",IF($D364="LPSM",AN363,VALUE($C364)*AN363))</f>
        <v/>
      </c>
      <c r="AP364" s="388"/>
      <c r="AQ364" s="178" t="str">
        <f ca="1">IF($C364="","",IF($D364="LPSM",AP363,VALUE($C364)*AP363))</f>
        <v/>
      </c>
      <c r="AR364" s="209" t="str">
        <f ca="1">IF(LEN(B364)&gt;0,ISNUMBER(MATCH(B364,Proposed[Item],0)),"")</f>
        <v/>
      </c>
    </row>
    <row r="365" spans="1:44" ht="15" x14ac:dyDescent="0.2">
      <c r="A365" s="276">
        <f t="shared" ca="1" si="5"/>
        <v>179</v>
      </c>
      <c r="B365" s="168" t="str">
        <f ca="1">IFERROR(INDEX(INDIRECT(RangeItems),MATCH($A365,INDIRECT(RangeCount),0)),"")</f>
        <v/>
      </c>
      <c r="C365" s="365" t="str">
        <f ca="1">INDEX(Calcs[Description],$A365)</f>
        <v/>
      </c>
      <c r="D365" s="365"/>
      <c r="E365" s="365"/>
      <c r="F365" s="365"/>
      <c r="G365" s="365"/>
      <c r="H365" s="388"/>
      <c r="I365" s="177"/>
      <c r="J365" s="388"/>
      <c r="K365" s="177"/>
      <c r="L365" s="388"/>
      <c r="M365" s="177"/>
      <c r="N365" s="388"/>
      <c r="O365" s="177"/>
      <c r="P365" s="388"/>
      <c r="Q365" s="177"/>
      <c r="R365" s="388"/>
      <c r="S365" s="177"/>
      <c r="T365" s="388"/>
      <c r="U365" s="177"/>
      <c r="V365" s="388"/>
      <c r="W365" s="177"/>
      <c r="X365" s="388"/>
      <c r="Y365" s="177"/>
      <c r="Z365" s="388"/>
      <c r="AA365" s="177"/>
      <c r="AB365" s="388"/>
      <c r="AC365" s="177"/>
      <c r="AD365" s="388"/>
      <c r="AE365" s="177"/>
      <c r="AF365" s="388"/>
      <c r="AG365" s="177"/>
      <c r="AH365" s="388"/>
      <c r="AI365" s="177"/>
      <c r="AJ365" s="388"/>
      <c r="AK365" s="177"/>
      <c r="AL365" s="388"/>
      <c r="AM365" s="177"/>
      <c r="AN365" s="388"/>
      <c r="AO365" s="177"/>
      <c r="AP365" s="388"/>
      <c r="AQ365" s="177"/>
      <c r="AR365" s="209" t="str">
        <f ca="1">IF(LEN(B365)&gt;0,ISNUMBER(MATCH(B365,Proposed[Item],0)),"")</f>
        <v/>
      </c>
    </row>
    <row r="366" spans="1:44" ht="15" x14ac:dyDescent="0.2">
      <c r="A366" s="276">
        <f t="shared" ca="1" si="5"/>
        <v>179</v>
      </c>
      <c r="B366" s="111" t="str">
        <f ca="1">IF($A366&lt;=NumPayItems,"Line "&amp;INDEX(Calcs[Line],$A366),"")</f>
        <v/>
      </c>
      <c r="C366" s="169" t="str">
        <f ca="1">IFERROR(IF($D366="LPSM","ALL",TEXT(INDEX(INDIRECT(RangeQuantity),MATCH($A366,INDIRECT(RangeCount),0)),"#,##0"&amp;IF(OFFSET(Items[],MATCH($A366,INDIRECT(RangeCount),0)-1,MATCH(Decimals,Items[#Headers],0)-1,1,1)&gt;0,"."&amp;REPT("0",OFFSET(Items[],MATCH($A366,INDIRECT(RangeCount),0)-1,MATCH(Decimals,Items[#Headers],0)-1,1,1)),""))),"")</f>
        <v/>
      </c>
      <c r="D366" s="170" t="str">
        <f ca="1">IFERROR(INDEX(INDIRECT(RangeUnit),MATCH($A366,INDIRECT(RangeCount),0)),"")</f>
        <v/>
      </c>
      <c r="E366" s="170" t="str">
        <f ca="1">IFERROR(IF(INDEX(INDIRECT(RangeContrQty),MATCH($A366,INDIRECT(RangeCount),0)),"(CQ)",""),"")</f>
        <v/>
      </c>
      <c r="F366" s="171" t="str">
        <f ca="1">IFERROR(INDEX(INDIRECT(RangeUnitPrice),MATCH($A366,INDIRECT(RangeCount),0)),"")</f>
        <v/>
      </c>
      <c r="G366" s="171" t="str">
        <f ca="1">IFERROR(VALUE(C366)*F366,F366)</f>
        <v/>
      </c>
      <c r="H366" s="388"/>
      <c r="I366" s="178" t="str">
        <f ca="1">IF($C366="","",IF($D366="LPSM",H365,VALUE($C366)*H365))</f>
        <v/>
      </c>
      <c r="J366" s="388"/>
      <c r="K366" s="178" t="str">
        <f ca="1">IF($C366="","",IF($D366="LPSM",J365,VALUE($C366)*J365))</f>
        <v/>
      </c>
      <c r="L366" s="388"/>
      <c r="M366" s="178" t="str">
        <f ca="1">IF($C366="","",IF($D366="LPSM",L365,VALUE($C366)*L365))</f>
        <v/>
      </c>
      <c r="N366" s="388"/>
      <c r="O366" s="178" t="str">
        <f ca="1">IF($C366="","",IF($D366="LPSM",N365,VALUE($C366)*N365))</f>
        <v/>
      </c>
      <c r="P366" s="388"/>
      <c r="Q366" s="178" t="str">
        <f ca="1">IF($C366="","",IF($D366="LPSM",P365,VALUE($C366)*P365))</f>
        <v/>
      </c>
      <c r="R366" s="388"/>
      <c r="S366" s="178" t="str">
        <f ca="1">IF($C366="","",IF($D366="LPSM",R365,VALUE($C366)*R365))</f>
        <v/>
      </c>
      <c r="T366" s="388"/>
      <c r="U366" s="178" t="str">
        <f ca="1">IF($C366="","",IF($D366="LPSM",T365,VALUE($C366)*T365))</f>
        <v/>
      </c>
      <c r="V366" s="388"/>
      <c r="W366" s="178" t="str">
        <f ca="1">IF($C366="","",IF($D366="LPSM",V365,VALUE($C366)*V365))</f>
        <v/>
      </c>
      <c r="X366" s="388"/>
      <c r="Y366" s="178" t="str">
        <f ca="1">IF($C366="","",IF($D366="LPSM",X365,VALUE($C366)*X365))</f>
        <v/>
      </c>
      <c r="Z366" s="388"/>
      <c r="AA366" s="178" t="str">
        <f ca="1">IF($C366="","",IF($D366="LPSM",Z365,VALUE($C366)*Z365))</f>
        <v/>
      </c>
      <c r="AB366" s="388"/>
      <c r="AC366" s="178" t="str">
        <f ca="1">IF($C366="","",IF($D366="LPSM",AB365,VALUE($C366)*AB365))</f>
        <v/>
      </c>
      <c r="AD366" s="388"/>
      <c r="AE366" s="178" t="str">
        <f ca="1">IF($C366="","",IF($D366="LPSM",AD365,VALUE($C366)*AD365))</f>
        <v/>
      </c>
      <c r="AF366" s="388"/>
      <c r="AG366" s="178" t="str">
        <f ca="1">IF($C366="","",IF($D366="LPSM",AF365,VALUE($C366)*AF365))</f>
        <v/>
      </c>
      <c r="AH366" s="388"/>
      <c r="AI366" s="178" t="str">
        <f ca="1">IF($C366="","",IF($D366="LPSM",AH365,VALUE($C366)*AH365))</f>
        <v/>
      </c>
      <c r="AJ366" s="388"/>
      <c r="AK366" s="178" t="str">
        <f ca="1">IF($C366="","",IF($D366="LPSM",AJ365,VALUE($C366)*AJ365))</f>
        <v/>
      </c>
      <c r="AL366" s="388"/>
      <c r="AM366" s="178" t="str">
        <f ca="1">IF($C366="","",IF($D366="LPSM",AL365,VALUE($C366)*AL365))</f>
        <v/>
      </c>
      <c r="AN366" s="388"/>
      <c r="AO366" s="178" t="str">
        <f ca="1">IF($C366="","",IF($D366="LPSM",AN365,VALUE($C366)*AN365))</f>
        <v/>
      </c>
      <c r="AP366" s="388"/>
      <c r="AQ366" s="178" t="str">
        <f ca="1">IF($C366="","",IF($D366="LPSM",AP365,VALUE($C366)*AP365))</f>
        <v/>
      </c>
      <c r="AR366" s="209" t="str">
        <f ca="1">IF(LEN(B366)&gt;0,ISNUMBER(MATCH(B366,Proposed[Item],0)),"")</f>
        <v/>
      </c>
    </row>
    <row r="367" spans="1:44" ht="15" x14ac:dyDescent="0.2">
      <c r="A367" s="276">
        <f t="shared" ca="1" si="5"/>
        <v>180</v>
      </c>
      <c r="B367" s="168" t="str">
        <f ca="1">IFERROR(INDEX(INDIRECT(RangeItems),MATCH($A367,INDIRECT(RangeCount),0)),"")</f>
        <v/>
      </c>
      <c r="C367" s="365" t="str">
        <f ca="1">INDEX(Calcs[Description],$A367)</f>
        <v/>
      </c>
      <c r="D367" s="365"/>
      <c r="E367" s="365"/>
      <c r="F367" s="365"/>
      <c r="G367" s="365"/>
      <c r="H367" s="388"/>
      <c r="I367" s="177"/>
      <c r="J367" s="388"/>
      <c r="K367" s="177"/>
      <c r="L367" s="388"/>
      <c r="M367" s="177"/>
      <c r="N367" s="388"/>
      <c r="O367" s="177"/>
      <c r="P367" s="388"/>
      <c r="Q367" s="177"/>
      <c r="R367" s="388"/>
      <c r="S367" s="177"/>
      <c r="T367" s="388"/>
      <c r="U367" s="177"/>
      <c r="V367" s="388"/>
      <c r="W367" s="177"/>
      <c r="X367" s="388"/>
      <c r="Y367" s="177"/>
      <c r="Z367" s="388"/>
      <c r="AA367" s="177"/>
      <c r="AB367" s="388"/>
      <c r="AC367" s="177"/>
      <c r="AD367" s="388"/>
      <c r="AE367" s="177"/>
      <c r="AF367" s="388"/>
      <c r="AG367" s="177"/>
      <c r="AH367" s="388"/>
      <c r="AI367" s="177"/>
      <c r="AJ367" s="388"/>
      <c r="AK367" s="177"/>
      <c r="AL367" s="388"/>
      <c r="AM367" s="177"/>
      <c r="AN367" s="388"/>
      <c r="AO367" s="177"/>
      <c r="AP367" s="388"/>
      <c r="AQ367" s="177"/>
      <c r="AR367" s="209" t="str">
        <f ca="1">IF(LEN(B367)&gt;0,ISNUMBER(MATCH(B367,Proposed[Item],0)),"")</f>
        <v/>
      </c>
    </row>
    <row r="368" spans="1:44" ht="15" x14ac:dyDescent="0.2">
      <c r="A368" s="276">
        <f t="shared" ca="1" si="5"/>
        <v>180</v>
      </c>
      <c r="B368" s="111" t="str">
        <f ca="1">IF($A368&lt;=NumPayItems,"Line "&amp;INDEX(Calcs[Line],$A368),"")</f>
        <v/>
      </c>
      <c r="C368" s="169" t="str">
        <f ca="1">IFERROR(IF($D368="LPSM","ALL",TEXT(INDEX(INDIRECT(RangeQuantity),MATCH($A368,INDIRECT(RangeCount),0)),"#,##0"&amp;IF(OFFSET(Items[],MATCH($A368,INDIRECT(RangeCount),0)-1,MATCH(Decimals,Items[#Headers],0)-1,1,1)&gt;0,"."&amp;REPT("0",OFFSET(Items[],MATCH($A368,INDIRECT(RangeCount),0)-1,MATCH(Decimals,Items[#Headers],0)-1,1,1)),""))),"")</f>
        <v/>
      </c>
      <c r="D368" s="170" t="str">
        <f ca="1">IFERROR(INDEX(INDIRECT(RangeUnit),MATCH($A368,INDIRECT(RangeCount),0)),"")</f>
        <v/>
      </c>
      <c r="E368" s="170" t="str">
        <f ca="1">IFERROR(IF(INDEX(INDIRECT(RangeContrQty),MATCH($A368,INDIRECT(RangeCount),0)),"(CQ)",""),"")</f>
        <v/>
      </c>
      <c r="F368" s="171" t="str">
        <f ca="1">IFERROR(INDEX(INDIRECT(RangeUnitPrice),MATCH($A368,INDIRECT(RangeCount),0)),"")</f>
        <v/>
      </c>
      <c r="G368" s="171" t="str">
        <f ca="1">IFERROR(VALUE(C368)*F368,F368)</f>
        <v/>
      </c>
      <c r="H368" s="388"/>
      <c r="I368" s="178" t="str">
        <f ca="1">IF($C368="","",IF($D368="LPSM",H367,VALUE($C368)*H367))</f>
        <v/>
      </c>
      <c r="J368" s="388"/>
      <c r="K368" s="178" t="str">
        <f ca="1">IF($C368="","",IF($D368="LPSM",J367,VALUE($C368)*J367))</f>
        <v/>
      </c>
      <c r="L368" s="388"/>
      <c r="M368" s="178" t="str">
        <f ca="1">IF($C368="","",IF($D368="LPSM",L367,VALUE($C368)*L367))</f>
        <v/>
      </c>
      <c r="N368" s="388"/>
      <c r="O368" s="178" t="str">
        <f ca="1">IF($C368="","",IF($D368="LPSM",N367,VALUE($C368)*N367))</f>
        <v/>
      </c>
      <c r="P368" s="388"/>
      <c r="Q368" s="178" t="str">
        <f ca="1">IF($C368="","",IF($D368="LPSM",P367,VALUE($C368)*P367))</f>
        <v/>
      </c>
      <c r="R368" s="388"/>
      <c r="S368" s="178" t="str">
        <f ca="1">IF($C368="","",IF($D368="LPSM",R367,VALUE($C368)*R367))</f>
        <v/>
      </c>
      <c r="T368" s="388"/>
      <c r="U368" s="178" t="str">
        <f ca="1">IF($C368="","",IF($D368="LPSM",T367,VALUE($C368)*T367))</f>
        <v/>
      </c>
      <c r="V368" s="388"/>
      <c r="W368" s="178" t="str">
        <f ca="1">IF($C368="","",IF($D368="LPSM",V367,VALUE($C368)*V367))</f>
        <v/>
      </c>
      <c r="X368" s="388"/>
      <c r="Y368" s="178" t="str">
        <f ca="1">IF($C368="","",IF($D368="LPSM",X367,VALUE($C368)*X367))</f>
        <v/>
      </c>
      <c r="Z368" s="388"/>
      <c r="AA368" s="178" t="str">
        <f ca="1">IF($C368="","",IF($D368="LPSM",Z367,VALUE($C368)*Z367))</f>
        <v/>
      </c>
      <c r="AB368" s="388"/>
      <c r="AC368" s="178" t="str">
        <f ca="1">IF($C368="","",IF($D368="LPSM",AB367,VALUE($C368)*AB367))</f>
        <v/>
      </c>
      <c r="AD368" s="388"/>
      <c r="AE368" s="178" t="str">
        <f ca="1">IF($C368="","",IF($D368="LPSM",AD367,VALUE($C368)*AD367))</f>
        <v/>
      </c>
      <c r="AF368" s="388"/>
      <c r="AG368" s="178" t="str">
        <f ca="1">IF($C368="","",IF($D368="LPSM",AF367,VALUE($C368)*AF367))</f>
        <v/>
      </c>
      <c r="AH368" s="388"/>
      <c r="AI368" s="178" t="str">
        <f ca="1">IF($C368="","",IF($D368="LPSM",AH367,VALUE($C368)*AH367))</f>
        <v/>
      </c>
      <c r="AJ368" s="388"/>
      <c r="AK368" s="178" t="str">
        <f ca="1">IF($C368="","",IF($D368="LPSM",AJ367,VALUE($C368)*AJ367))</f>
        <v/>
      </c>
      <c r="AL368" s="388"/>
      <c r="AM368" s="178" t="str">
        <f ca="1">IF($C368="","",IF($D368="LPSM",AL367,VALUE($C368)*AL367))</f>
        <v/>
      </c>
      <c r="AN368" s="388"/>
      <c r="AO368" s="178" t="str">
        <f ca="1">IF($C368="","",IF($D368="LPSM",AN367,VALUE($C368)*AN367))</f>
        <v/>
      </c>
      <c r="AP368" s="388"/>
      <c r="AQ368" s="178" t="str">
        <f ca="1">IF($C368="","",IF($D368="LPSM",AP367,VALUE($C368)*AP367))</f>
        <v/>
      </c>
      <c r="AR368" s="209" t="str">
        <f ca="1">IF(LEN(B368)&gt;0,ISNUMBER(MATCH(B368,Proposed[Item],0)),"")</f>
        <v/>
      </c>
    </row>
    <row r="369" spans="1:44" ht="15" x14ac:dyDescent="0.2">
      <c r="A369" s="276">
        <f t="shared" ca="1" si="5"/>
        <v>181</v>
      </c>
      <c r="B369" s="168" t="str">
        <f ca="1">IFERROR(INDEX(INDIRECT(RangeItems),MATCH($A369,INDIRECT(RangeCount),0)),"")</f>
        <v/>
      </c>
      <c r="C369" s="365" t="str">
        <f ca="1">INDEX(Calcs[Description],$A369)</f>
        <v/>
      </c>
      <c r="D369" s="365"/>
      <c r="E369" s="365"/>
      <c r="F369" s="365"/>
      <c r="G369" s="365"/>
      <c r="H369" s="388"/>
      <c r="I369" s="177"/>
      <c r="J369" s="388"/>
      <c r="K369" s="177"/>
      <c r="L369" s="388"/>
      <c r="M369" s="177"/>
      <c r="N369" s="388"/>
      <c r="O369" s="177"/>
      <c r="P369" s="388"/>
      <c r="Q369" s="177"/>
      <c r="R369" s="388"/>
      <c r="S369" s="177"/>
      <c r="T369" s="388"/>
      <c r="U369" s="177"/>
      <c r="V369" s="388"/>
      <c r="W369" s="177"/>
      <c r="X369" s="388"/>
      <c r="Y369" s="177"/>
      <c r="Z369" s="388"/>
      <c r="AA369" s="177"/>
      <c r="AB369" s="388"/>
      <c r="AC369" s="177"/>
      <c r="AD369" s="388"/>
      <c r="AE369" s="177"/>
      <c r="AF369" s="388"/>
      <c r="AG369" s="177"/>
      <c r="AH369" s="388"/>
      <c r="AI369" s="177"/>
      <c r="AJ369" s="388"/>
      <c r="AK369" s="177"/>
      <c r="AL369" s="388"/>
      <c r="AM369" s="177"/>
      <c r="AN369" s="388"/>
      <c r="AO369" s="177"/>
      <c r="AP369" s="388"/>
      <c r="AQ369" s="177"/>
      <c r="AR369" s="209" t="str">
        <f ca="1">IF(LEN(B369)&gt;0,ISNUMBER(MATCH(B369,Proposed[Item],0)),"")</f>
        <v/>
      </c>
    </row>
    <row r="370" spans="1:44" ht="15" x14ac:dyDescent="0.2">
      <c r="A370" s="276">
        <f t="shared" ca="1" si="5"/>
        <v>181</v>
      </c>
      <c r="B370" s="111" t="str">
        <f ca="1">IF($A370&lt;=NumPayItems,"Line "&amp;INDEX(Calcs[Line],$A370),"")</f>
        <v/>
      </c>
      <c r="C370" s="169" t="str">
        <f ca="1">IFERROR(IF($D370="LPSM","ALL",TEXT(INDEX(INDIRECT(RangeQuantity),MATCH($A370,INDIRECT(RangeCount),0)),"#,##0"&amp;IF(OFFSET(Items[],MATCH($A370,INDIRECT(RangeCount),0)-1,MATCH(Decimals,Items[#Headers],0)-1,1,1)&gt;0,"."&amp;REPT("0",OFFSET(Items[],MATCH($A370,INDIRECT(RangeCount),0)-1,MATCH(Decimals,Items[#Headers],0)-1,1,1)),""))),"")</f>
        <v/>
      </c>
      <c r="D370" s="170" t="str">
        <f ca="1">IFERROR(INDEX(INDIRECT(RangeUnit),MATCH($A370,INDIRECT(RangeCount),0)),"")</f>
        <v/>
      </c>
      <c r="E370" s="170" t="str">
        <f ca="1">IFERROR(IF(INDEX(INDIRECT(RangeContrQty),MATCH($A370,INDIRECT(RangeCount),0)),"(CQ)",""),"")</f>
        <v/>
      </c>
      <c r="F370" s="171" t="str">
        <f ca="1">IFERROR(INDEX(INDIRECT(RangeUnitPrice),MATCH($A370,INDIRECT(RangeCount),0)),"")</f>
        <v/>
      </c>
      <c r="G370" s="171" t="str">
        <f ca="1">IFERROR(VALUE(C370)*F370,F370)</f>
        <v/>
      </c>
      <c r="H370" s="388"/>
      <c r="I370" s="178" t="str">
        <f ca="1">IF($C370="","",IF($D370="LPSM",H369,VALUE($C370)*H369))</f>
        <v/>
      </c>
      <c r="J370" s="388"/>
      <c r="K370" s="178" t="str">
        <f ca="1">IF($C370="","",IF($D370="LPSM",J369,VALUE($C370)*J369))</f>
        <v/>
      </c>
      <c r="L370" s="388"/>
      <c r="M370" s="178" t="str">
        <f ca="1">IF($C370="","",IF($D370="LPSM",L369,VALUE($C370)*L369))</f>
        <v/>
      </c>
      <c r="N370" s="388"/>
      <c r="O370" s="178" t="str">
        <f ca="1">IF($C370="","",IF($D370="LPSM",N369,VALUE($C370)*N369))</f>
        <v/>
      </c>
      <c r="P370" s="388"/>
      <c r="Q370" s="178" t="str">
        <f ca="1">IF($C370="","",IF($D370="LPSM",P369,VALUE($C370)*P369))</f>
        <v/>
      </c>
      <c r="R370" s="388"/>
      <c r="S370" s="178" t="str">
        <f ca="1">IF($C370="","",IF($D370="LPSM",R369,VALUE($C370)*R369))</f>
        <v/>
      </c>
      <c r="T370" s="388"/>
      <c r="U370" s="178" t="str">
        <f ca="1">IF($C370="","",IF($D370="LPSM",T369,VALUE($C370)*T369))</f>
        <v/>
      </c>
      <c r="V370" s="388"/>
      <c r="W370" s="178" t="str">
        <f ca="1">IF($C370="","",IF($D370="LPSM",V369,VALUE($C370)*V369))</f>
        <v/>
      </c>
      <c r="X370" s="388"/>
      <c r="Y370" s="178" t="str">
        <f ca="1">IF($C370="","",IF($D370="LPSM",X369,VALUE($C370)*X369))</f>
        <v/>
      </c>
      <c r="Z370" s="388"/>
      <c r="AA370" s="178" t="str">
        <f ca="1">IF($C370="","",IF($D370="LPSM",Z369,VALUE($C370)*Z369))</f>
        <v/>
      </c>
      <c r="AB370" s="388"/>
      <c r="AC370" s="178" t="str">
        <f ca="1">IF($C370="","",IF($D370="LPSM",AB369,VALUE($C370)*AB369))</f>
        <v/>
      </c>
      <c r="AD370" s="388"/>
      <c r="AE370" s="178" t="str">
        <f ca="1">IF($C370="","",IF($D370="LPSM",AD369,VALUE($C370)*AD369))</f>
        <v/>
      </c>
      <c r="AF370" s="388"/>
      <c r="AG370" s="178" t="str">
        <f ca="1">IF($C370="","",IF($D370="LPSM",AF369,VALUE($C370)*AF369))</f>
        <v/>
      </c>
      <c r="AH370" s="388"/>
      <c r="AI370" s="178" t="str">
        <f ca="1">IF($C370="","",IF($D370="LPSM",AH369,VALUE($C370)*AH369))</f>
        <v/>
      </c>
      <c r="AJ370" s="388"/>
      <c r="AK370" s="178" t="str">
        <f ca="1">IF($C370="","",IF($D370="LPSM",AJ369,VALUE($C370)*AJ369))</f>
        <v/>
      </c>
      <c r="AL370" s="388"/>
      <c r="AM370" s="178" t="str">
        <f ca="1">IF($C370="","",IF($D370="LPSM",AL369,VALUE($C370)*AL369))</f>
        <v/>
      </c>
      <c r="AN370" s="388"/>
      <c r="AO370" s="178" t="str">
        <f ca="1">IF($C370="","",IF($D370="LPSM",AN369,VALUE($C370)*AN369))</f>
        <v/>
      </c>
      <c r="AP370" s="388"/>
      <c r="AQ370" s="178" t="str">
        <f ca="1">IF($C370="","",IF($D370="LPSM",AP369,VALUE($C370)*AP369))</f>
        <v/>
      </c>
      <c r="AR370" s="209" t="str">
        <f ca="1">IF(LEN(B370)&gt;0,ISNUMBER(MATCH(B370,Proposed[Item],0)),"")</f>
        <v/>
      </c>
    </row>
    <row r="371" spans="1:44" ht="15" x14ac:dyDescent="0.2">
      <c r="A371" s="276">
        <f t="shared" ca="1" si="5"/>
        <v>182</v>
      </c>
      <c r="B371" s="168" t="str">
        <f ca="1">IFERROR(INDEX(INDIRECT(RangeItems),MATCH($A371,INDIRECT(RangeCount),0)),"")</f>
        <v/>
      </c>
      <c r="C371" s="365" t="str">
        <f ca="1">INDEX(Calcs[Description],$A371)</f>
        <v/>
      </c>
      <c r="D371" s="365"/>
      <c r="E371" s="365"/>
      <c r="F371" s="365"/>
      <c r="G371" s="365"/>
      <c r="H371" s="388"/>
      <c r="I371" s="177"/>
      <c r="J371" s="388"/>
      <c r="K371" s="177"/>
      <c r="L371" s="388"/>
      <c r="M371" s="177"/>
      <c r="N371" s="388"/>
      <c r="O371" s="177"/>
      <c r="P371" s="388"/>
      <c r="Q371" s="177"/>
      <c r="R371" s="388"/>
      <c r="S371" s="177"/>
      <c r="T371" s="388"/>
      <c r="U371" s="177"/>
      <c r="V371" s="388"/>
      <c r="W371" s="177"/>
      <c r="X371" s="388"/>
      <c r="Y371" s="177"/>
      <c r="Z371" s="388"/>
      <c r="AA371" s="177"/>
      <c r="AB371" s="388"/>
      <c r="AC371" s="177"/>
      <c r="AD371" s="388"/>
      <c r="AE371" s="177"/>
      <c r="AF371" s="388"/>
      <c r="AG371" s="177"/>
      <c r="AH371" s="388"/>
      <c r="AI371" s="177"/>
      <c r="AJ371" s="388"/>
      <c r="AK371" s="177"/>
      <c r="AL371" s="388"/>
      <c r="AM371" s="177"/>
      <c r="AN371" s="388"/>
      <c r="AO371" s="177"/>
      <c r="AP371" s="388"/>
      <c r="AQ371" s="177"/>
      <c r="AR371" s="209" t="str">
        <f ca="1">IF(LEN(B371)&gt;0,ISNUMBER(MATCH(B371,Proposed[Item],0)),"")</f>
        <v/>
      </c>
    </row>
    <row r="372" spans="1:44" ht="15" x14ac:dyDescent="0.2">
      <c r="A372" s="276">
        <f t="shared" ca="1" si="5"/>
        <v>182</v>
      </c>
      <c r="B372" s="111" t="str">
        <f ca="1">IF($A372&lt;=NumPayItems,"Line "&amp;INDEX(Calcs[Line],$A372),"")</f>
        <v/>
      </c>
      <c r="C372" s="169" t="str">
        <f ca="1">IFERROR(IF($D372="LPSM","ALL",TEXT(INDEX(INDIRECT(RangeQuantity),MATCH($A372,INDIRECT(RangeCount),0)),"#,##0"&amp;IF(OFFSET(Items[],MATCH($A372,INDIRECT(RangeCount),0)-1,MATCH(Decimals,Items[#Headers],0)-1,1,1)&gt;0,"."&amp;REPT("0",OFFSET(Items[],MATCH($A372,INDIRECT(RangeCount),0)-1,MATCH(Decimals,Items[#Headers],0)-1,1,1)),""))),"")</f>
        <v/>
      </c>
      <c r="D372" s="170" t="str">
        <f ca="1">IFERROR(INDEX(INDIRECT(RangeUnit),MATCH($A372,INDIRECT(RangeCount),0)),"")</f>
        <v/>
      </c>
      <c r="E372" s="170" t="str">
        <f ca="1">IFERROR(IF(INDEX(INDIRECT(RangeContrQty),MATCH($A372,INDIRECT(RangeCount),0)),"(CQ)",""),"")</f>
        <v/>
      </c>
      <c r="F372" s="171" t="str">
        <f ca="1">IFERROR(INDEX(INDIRECT(RangeUnitPrice),MATCH($A372,INDIRECT(RangeCount),0)),"")</f>
        <v/>
      </c>
      <c r="G372" s="171" t="str">
        <f ca="1">IFERROR(VALUE(C372)*F372,F372)</f>
        <v/>
      </c>
      <c r="H372" s="388"/>
      <c r="I372" s="178" t="str">
        <f ca="1">IF($C372="","",IF($D372="LPSM",H371,VALUE($C372)*H371))</f>
        <v/>
      </c>
      <c r="J372" s="388"/>
      <c r="K372" s="178" t="str">
        <f ca="1">IF($C372="","",IF($D372="LPSM",J371,VALUE($C372)*J371))</f>
        <v/>
      </c>
      <c r="L372" s="388"/>
      <c r="M372" s="178" t="str">
        <f ca="1">IF($C372="","",IF($D372="LPSM",L371,VALUE($C372)*L371))</f>
        <v/>
      </c>
      <c r="N372" s="388"/>
      <c r="O372" s="178" t="str">
        <f ca="1">IF($C372="","",IF($D372="LPSM",N371,VALUE($C372)*N371))</f>
        <v/>
      </c>
      <c r="P372" s="388"/>
      <c r="Q372" s="178" t="str">
        <f ca="1">IF($C372="","",IF($D372="LPSM",P371,VALUE($C372)*P371))</f>
        <v/>
      </c>
      <c r="R372" s="388"/>
      <c r="S372" s="178" t="str">
        <f ca="1">IF($C372="","",IF($D372="LPSM",R371,VALUE($C372)*R371))</f>
        <v/>
      </c>
      <c r="T372" s="388"/>
      <c r="U372" s="178" t="str">
        <f ca="1">IF($C372="","",IF($D372="LPSM",T371,VALUE($C372)*T371))</f>
        <v/>
      </c>
      <c r="V372" s="388"/>
      <c r="W372" s="178" t="str">
        <f ca="1">IF($C372="","",IF($D372="LPSM",V371,VALUE($C372)*V371))</f>
        <v/>
      </c>
      <c r="X372" s="388"/>
      <c r="Y372" s="178" t="str">
        <f ca="1">IF($C372="","",IF($D372="LPSM",X371,VALUE($C372)*X371))</f>
        <v/>
      </c>
      <c r="Z372" s="388"/>
      <c r="AA372" s="178" t="str">
        <f ca="1">IF($C372="","",IF($D372="LPSM",Z371,VALUE($C372)*Z371))</f>
        <v/>
      </c>
      <c r="AB372" s="388"/>
      <c r="AC372" s="178" t="str">
        <f ca="1">IF($C372="","",IF($D372="LPSM",AB371,VALUE($C372)*AB371))</f>
        <v/>
      </c>
      <c r="AD372" s="388"/>
      <c r="AE372" s="178" t="str">
        <f ca="1">IF($C372="","",IF($D372="LPSM",AD371,VALUE($C372)*AD371))</f>
        <v/>
      </c>
      <c r="AF372" s="388"/>
      <c r="AG372" s="178" t="str">
        <f ca="1">IF($C372="","",IF($D372="LPSM",AF371,VALUE($C372)*AF371))</f>
        <v/>
      </c>
      <c r="AH372" s="388"/>
      <c r="AI372" s="178" t="str">
        <f ca="1">IF($C372="","",IF($D372="LPSM",AH371,VALUE($C372)*AH371))</f>
        <v/>
      </c>
      <c r="AJ372" s="388"/>
      <c r="AK372" s="178" t="str">
        <f ca="1">IF($C372="","",IF($D372="LPSM",AJ371,VALUE($C372)*AJ371))</f>
        <v/>
      </c>
      <c r="AL372" s="388"/>
      <c r="AM372" s="178" t="str">
        <f ca="1">IF($C372="","",IF($D372="LPSM",AL371,VALUE($C372)*AL371))</f>
        <v/>
      </c>
      <c r="AN372" s="388"/>
      <c r="AO372" s="178" t="str">
        <f ca="1">IF($C372="","",IF($D372="LPSM",AN371,VALUE($C372)*AN371))</f>
        <v/>
      </c>
      <c r="AP372" s="388"/>
      <c r="AQ372" s="178" t="str">
        <f ca="1">IF($C372="","",IF($D372="LPSM",AP371,VALUE($C372)*AP371))</f>
        <v/>
      </c>
      <c r="AR372" s="209" t="str">
        <f ca="1">IF(LEN(B372)&gt;0,ISNUMBER(MATCH(B372,Proposed[Item],0)),"")</f>
        <v/>
      </c>
    </row>
    <row r="373" spans="1:44" ht="15" x14ac:dyDescent="0.2">
      <c r="A373" s="276">
        <f t="shared" ca="1" si="5"/>
        <v>183</v>
      </c>
      <c r="B373" s="168" t="str">
        <f ca="1">IFERROR(INDEX(INDIRECT(RangeItems),MATCH($A373,INDIRECT(RangeCount),0)),"")</f>
        <v/>
      </c>
      <c r="C373" s="365" t="str">
        <f ca="1">INDEX(Calcs[Description],$A373)</f>
        <v/>
      </c>
      <c r="D373" s="365"/>
      <c r="E373" s="365"/>
      <c r="F373" s="365"/>
      <c r="G373" s="365"/>
      <c r="H373" s="388"/>
      <c r="I373" s="177"/>
      <c r="J373" s="388"/>
      <c r="K373" s="177"/>
      <c r="L373" s="388"/>
      <c r="M373" s="177"/>
      <c r="N373" s="388"/>
      <c r="O373" s="177"/>
      <c r="P373" s="388"/>
      <c r="Q373" s="177"/>
      <c r="R373" s="388"/>
      <c r="S373" s="177"/>
      <c r="T373" s="388"/>
      <c r="U373" s="177"/>
      <c r="V373" s="388"/>
      <c r="W373" s="177"/>
      <c r="X373" s="388"/>
      <c r="Y373" s="177"/>
      <c r="Z373" s="388"/>
      <c r="AA373" s="177"/>
      <c r="AB373" s="388"/>
      <c r="AC373" s="177"/>
      <c r="AD373" s="388"/>
      <c r="AE373" s="177"/>
      <c r="AF373" s="388"/>
      <c r="AG373" s="177"/>
      <c r="AH373" s="388"/>
      <c r="AI373" s="177"/>
      <c r="AJ373" s="388"/>
      <c r="AK373" s="177"/>
      <c r="AL373" s="388"/>
      <c r="AM373" s="177"/>
      <c r="AN373" s="388"/>
      <c r="AO373" s="177"/>
      <c r="AP373" s="388"/>
      <c r="AQ373" s="177"/>
      <c r="AR373" s="209" t="str">
        <f ca="1">IF(LEN(B373)&gt;0,ISNUMBER(MATCH(B373,Proposed[Item],0)),"")</f>
        <v/>
      </c>
    </row>
    <row r="374" spans="1:44" ht="15" x14ac:dyDescent="0.2">
      <c r="A374" s="276">
        <f t="shared" ca="1" si="5"/>
        <v>183</v>
      </c>
      <c r="B374" s="111" t="str">
        <f ca="1">IF($A374&lt;=NumPayItems,"Line "&amp;INDEX(Calcs[Line],$A374),"")</f>
        <v/>
      </c>
      <c r="C374" s="169" t="str">
        <f ca="1">IFERROR(IF($D374="LPSM","ALL",TEXT(INDEX(INDIRECT(RangeQuantity),MATCH($A374,INDIRECT(RangeCount),0)),"#,##0"&amp;IF(OFFSET(Items[],MATCH($A374,INDIRECT(RangeCount),0)-1,MATCH(Decimals,Items[#Headers],0)-1,1,1)&gt;0,"."&amp;REPT("0",OFFSET(Items[],MATCH($A374,INDIRECT(RangeCount),0)-1,MATCH(Decimals,Items[#Headers],0)-1,1,1)),""))),"")</f>
        <v/>
      </c>
      <c r="D374" s="170" t="str">
        <f ca="1">IFERROR(INDEX(INDIRECT(RangeUnit),MATCH($A374,INDIRECT(RangeCount),0)),"")</f>
        <v/>
      </c>
      <c r="E374" s="170" t="str">
        <f ca="1">IFERROR(IF(INDEX(INDIRECT(RangeContrQty),MATCH($A374,INDIRECT(RangeCount),0)),"(CQ)",""),"")</f>
        <v/>
      </c>
      <c r="F374" s="171" t="str">
        <f ca="1">IFERROR(INDEX(INDIRECT(RangeUnitPrice),MATCH($A374,INDIRECT(RangeCount),0)),"")</f>
        <v/>
      </c>
      <c r="G374" s="171" t="str">
        <f ca="1">IFERROR(VALUE(C374)*F374,F374)</f>
        <v/>
      </c>
      <c r="H374" s="388"/>
      <c r="I374" s="178" t="str">
        <f ca="1">IF($C374="","",IF($D374="LPSM",H373,VALUE($C374)*H373))</f>
        <v/>
      </c>
      <c r="J374" s="388"/>
      <c r="K374" s="178" t="str">
        <f ca="1">IF($C374="","",IF($D374="LPSM",J373,VALUE($C374)*J373))</f>
        <v/>
      </c>
      <c r="L374" s="388"/>
      <c r="M374" s="178" t="str">
        <f ca="1">IF($C374="","",IF($D374="LPSM",L373,VALUE($C374)*L373))</f>
        <v/>
      </c>
      <c r="N374" s="388"/>
      <c r="O374" s="178" t="str">
        <f ca="1">IF($C374="","",IF($D374="LPSM",N373,VALUE($C374)*N373))</f>
        <v/>
      </c>
      <c r="P374" s="388"/>
      <c r="Q374" s="178" t="str">
        <f ca="1">IF($C374="","",IF($D374="LPSM",P373,VALUE($C374)*P373))</f>
        <v/>
      </c>
      <c r="R374" s="388"/>
      <c r="S374" s="178" t="str">
        <f ca="1">IF($C374="","",IF($D374="LPSM",R373,VALUE($C374)*R373))</f>
        <v/>
      </c>
      <c r="T374" s="388"/>
      <c r="U374" s="178" t="str">
        <f ca="1">IF($C374="","",IF($D374="LPSM",T373,VALUE($C374)*T373))</f>
        <v/>
      </c>
      <c r="V374" s="388"/>
      <c r="W374" s="178" t="str">
        <f ca="1">IF($C374="","",IF($D374="LPSM",V373,VALUE($C374)*V373))</f>
        <v/>
      </c>
      <c r="X374" s="388"/>
      <c r="Y374" s="178" t="str">
        <f ca="1">IF($C374="","",IF($D374="LPSM",X373,VALUE($C374)*X373))</f>
        <v/>
      </c>
      <c r="Z374" s="388"/>
      <c r="AA374" s="178" t="str">
        <f ca="1">IF($C374="","",IF($D374="LPSM",Z373,VALUE($C374)*Z373))</f>
        <v/>
      </c>
      <c r="AB374" s="388"/>
      <c r="AC374" s="178" t="str">
        <f ca="1">IF($C374="","",IF($D374="LPSM",AB373,VALUE($C374)*AB373))</f>
        <v/>
      </c>
      <c r="AD374" s="388"/>
      <c r="AE374" s="178" t="str">
        <f ca="1">IF($C374="","",IF($D374="LPSM",AD373,VALUE($C374)*AD373))</f>
        <v/>
      </c>
      <c r="AF374" s="388"/>
      <c r="AG374" s="178" t="str">
        <f ca="1">IF($C374="","",IF($D374="LPSM",AF373,VALUE($C374)*AF373))</f>
        <v/>
      </c>
      <c r="AH374" s="388"/>
      <c r="AI374" s="178" t="str">
        <f ca="1">IF($C374="","",IF($D374="LPSM",AH373,VALUE($C374)*AH373))</f>
        <v/>
      </c>
      <c r="AJ374" s="388"/>
      <c r="AK374" s="178" t="str">
        <f ca="1">IF($C374="","",IF($D374="LPSM",AJ373,VALUE($C374)*AJ373))</f>
        <v/>
      </c>
      <c r="AL374" s="388"/>
      <c r="AM374" s="178" t="str">
        <f ca="1">IF($C374="","",IF($D374="LPSM",AL373,VALUE($C374)*AL373))</f>
        <v/>
      </c>
      <c r="AN374" s="388"/>
      <c r="AO374" s="178" t="str">
        <f ca="1">IF($C374="","",IF($D374="LPSM",AN373,VALUE($C374)*AN373))</f>
        <v/>
      </c>
      <c r="AP374" s="388"/>
      <c r="AQ374" s="178" t="str">
        <f ca="1">IF($C374="","",IF($D374="LPSM",AP373,VALUE($C374)*AP373))</f>
        <v/>
      </c>
      <c r="AR374" s="209" t="str">
        <f ca="1">IF(LEN(B374)&gt;0,ISNUMBER(MATCH(B374,Proposed[Item],0)),"")</f>
        <v/>
      </c>
    </row>
    <row r="375" spans="1:44" ht="15" x14ac:dyDescent="0.2">
      <c r="A375" s="276">
        <f t="shared" ca="1" si="5"/>
        <v>184</v>
      </c>
      <c r="B375" s="168" t="str">
        <f ca="1">IFERROR(INDEX(INDIRECT(RangeItems),MATCH($A375,INDIRECT(RangeCount),0)),"")</f>
        <v/>
      </c>
      <c r="C375" s="365" t="str">
        <f ca="1">INDEX(Calcs[Description],$A375)</f>
        <v/>
      </c>
      <c r="D375" s="365"/>
      <c r="E375" s="365"/>
      <c r="F375" s="365"/>
      <c r="G375" s="365"/>
      <c r="H375" s="388"/>
      <c r="I375" s="177"/>
      <c r="J375" s="388"/>
      <c r="K375" s="177"/>
      <c r="L375" s="388"/>
      <c r="M375" s="177"/>
      <c r="N375" s="388"/>
      <c r="O375" s="177"/>
      <c r="P375" s="388"/>
      <c r="Q375" s="177"/>
      <c r="R375" s="388"/>
      <c r="S375" s="177"/>
      <c r="T375" s="388"/>
      <c r="U375" s="177"/>
      <c r="V375" s="388"/>
      <c r="W375" s="177"/>
      <c r="X375" s="388"/>
      <c r="Y375" s="177"/>
      <c r="Z375" s="388"/>
      <c r="AA375" s="177"/>
      <c r="AB375" s="388"/>
      <c r="AC375" s="177"/>
      <c r="AD375" s="388"/>
      <c r="AE375" s="177"/>
      <c r="AF375" s="388"/>
      <c r="AG375" s="177"/>
      <c r="AH375" s="388"/>
      <c r="AI375" s="177"/>
      <c r="AJ375" s="388"/>
      <c r="AK375" s="177"/>
      <c r="AL375" s="388"/>
      <c r="AM375" s="177"/>
      <c r="AN375" s="388"/>
      <c r="AO375" s="177"/>
      <c r="AP375" s="388"/>
      <c r="AQ375" s="177"/>
      <c r="AR375" s="209" t="str">
        <f ca="1">IF(LEN(B375)&gt;0,ISNUMBER(MATCH(B375,Proposed[Item],0)),"")</f>
        <v/>
      </c>
    </row>
    <row r="376" spans="1:44" ht="15" x14ac:dyDescent="0.2">
      <c r="A376" s="276">
        <f t="shared" ca="1" si="5"/>
        <v>184</v>
      </c>
      <c r="B376" s="111" t="str">
        <f ca="1">IF($A376&lt;=NumPayItems,"Line "&amp;INDEX(Calcs[Line],$A376),"")</f>
        <v/>
      </c>
      <c r="C376" s="169" t="str">
        <f ca="1">IFERROR(IF($D376="LPSM","ALL",TEXT(INDEX(INDIRECT(RangeQuantity),MATCH($A376,INDIRECT(RangeCount),0)),"#,##0"&amp;IF(OFFSET(Items[],MATCH($A376,INDIRECT(RangeCount),0)-1,MATCH(Decimals,Items[#Headers],0)-1,1,1)&gt;0,"."&amp;REPT("0",OFFSET(Items[],MATCH($A376,INDIRECT(RangeCount),0)-1,MATCH(Decimals,Items[#Headers],0)-1,1,1)),""))),"")</f>
        <v/>
      </c>
      <c r="D376" s="170" t="str">
        <f ca="1">IFERROR(INDEX(INDIRECT(RangeUnit),MATCH($A376,INDIRECT(RangeCount),0)),"")</f>
        <v/>
      </c>
      <c r="E376" s="170" t="str">
        <f ca="1">IFERROR(IF(INDEX(INDIRECT(RangeContrQty),MATCH($A376,INDIRECT(RangeCount),0)),"(CQ)",""),"")</f>
        <v/>
      </c>
      <c r="F376" s="171" t="str">
        <f ca="1">IFERROR(INDEX(INDIRECT(RangeUnitPrice),MATCH($A376,INDIRECT(RangeCount),0)),"")</f>
        <v/>
      </c>
      <c r="G376" s="171" t="str">
        <f ca="1">IFERROR(VALUE(C376)*F376,F376)</f>
        <v/>
      </c>
      <c r="H376" s="388"/>
      <c r="I376" s="178" t="str">
        <f ca="1">IF($C376="","",IF($D376="LPSM",H375,VALUE($C376)*H375))</f>
        <v/>
      </c>
      <c r="J376" s="388"/>
      <c r="K376" s="178" t="str">
        <f ca="1">IF($C376="","",IF($D376="LPSM",J375,VALUE($C376)*J375))</f>
        <v/>
      </c>
      <c r="L376" s="388"/>
      <c r="M376" s="178" t="str">
        <f ca="1">IF($C376="","",IF($D376="LPSM",L375,VALUE($C376)*L375))</f>
        <v/>
      </c>
      <c r="N376" s="388"/>
      <c r="O376" s="178" t="str">
        <f ca="1">IF($C376="","",IF($D376="LPSM",N375,VALUE($C376)*N375))</f>
        <v/>
      </c>
      <c r="P376" s="388"/>
      <c r="Q376" s="178" t="str">
        <f ca="1">IF($C376="","",IF($D376="LPSM",P375,VALUE($C376)*P375))</f>
        <v/>
      </c>
      <c r="R376" s="388"/>
      <c r="S376" s="178" t="str">
        <f ca="1">IF($C376="","",IF($D376="LPSM",R375,VALUE($C376)*R375))</f>
        <v/>
      </c>
      <c r="T376" s="388"/>
      <c r="U376" s="178" t="str">
        <f ca="1">IF($C376="","",IF($D376="LPSM",T375,VALUE($C376)*T375))</f>
        <v/>
      </c>
      <c r="V376" s="388"/>
      <c r="W376" s="178" t="str">
        <f ca="1">IF($C376="","",IF($D376="LPSM",V375,VALUE($C376)*V375))</f>
        <v/>
      </c>
      <c r="X376" s="388"/>
      <c r="Y376" s="178" t="str">
        <f ca="1">IF($C376="","",IF($D376="LPSM",X375,VALUE($C376)*X375))</f>
        <v/>
      </c>
      <c r="Z376" s="388"/>
      <c r="AA376" s="178" t="str">
        <f ca="1">IF($C376="","",IF($D376="LPSM",Z375,VALUE($C376)*Z375))</f>
        <v/>
      </c>
      <c r="AB376" s="388"/>
      <c r="AC376" s="178" t="str">
        <f ca="1">IF($C376="","",IF($D376="LPSM",AB375,VALUE($C376)*AB375))</f>
        <v/>
      </c>
      <c r="AD376" s="388"/>
      <c r="AE376" s="178" t="str">
        <f ca="1">IF($C376="","",IF($D376="LPSM",AD375,VALUE($C376)*AD375))</f>
        <v/>
      </c>
      <c r="AF376" s="388"/>
      <c r="AG376" s="178" t="str">
        <f ca="1">IF($C376="","",IF($D376="LPSM",AF375,VALUE($C376)*AF375))</f>
        <v/>
      </c>
      <c r="AH376" s="388"/>
      <c r="AI376" s="178" t="str">
        <f ca="1">IF($C376="","",IF($D376="LPSM",AH375,VALUE($C376)*AH375))</f>
        <v/>
      </c>
      <c r="AJ376" s="388"/>
      <c r="AK376" s="178" t="str">
        <f ca="1">IF($C376="","",IF($D376="LPSM",AJ375,VALUE($C376)*AJ375))</f>
        <v/>
      </c>
      <c r="AL376" s="388"/>
      <c r="AM376" s="178" t="str">
        <f ca="1">IF($C376="","",IF($D376="LPSM",AL375,VALUE($C376)*AL375))</f>
        <v/>
      </c>
      <c r="AN376" s="388"/>
      <c r="AO376" s="178" t="str">
        <f ca="1">IF($C376="","",IF($D376="LPSM",AN375,VALUE($C376)*AN375))</f>
        <v/>
      </c>
      <c r="AP376" s="388"/>
      <c r="AQ376" s="178" t="str">
        <f ca="1">IF($C376="","",IF($D376="LPSM",AP375,VALUE($C376)*AP375))</f>
        <v/>
      </c>
      <c r="AR376" s="209" t="str">
        <f ca="1">IF(LEN(B376)&gt;0,ISNUMBER(MATCH(B376,Proposed[Item],0)),"")</f>
        <v/>
      </c>
    </row>
    <row r="377" spans="1:44" ht="15" x14ac:dyDescent="0.2">
      <c r="A377" s="276">
        <f t="shared" ca="1" si="5"/>
        <v>185</v>
      </c>
      <c r="B377" s="168" t="str">
        <f ca="1">IFERROR(INDEX(INDIRECT(RangeItems),MATCH($A377,INDIRECT(RangeCount),0)),"")</f>
        <v/>
      </c>
      <c r="C377" s="365" t="str">
        <f ca="1">INDEX(Calcs[Description],$A377)</f>
        <v/>
      </c>
      <c r="D377" s="365"/>
      <c r="E377" s="365"/>
      <c r="F377" s="365"/>
      <c r="G377" s="365"/>
      <c r="H377" s="388"/>
      <c r="I377" s="177"/>
      <c r="J377" s="388"/>
      <c r="K377" s="177"/>
      <c r="L377" s="388"/>
      <c r="M377" s="177"/>
      <c r="N377" s="388"/>
      <c r="O377" s="177"/>
      <c r="P377" s="388"/>
      <c r="Q377" s="177"/>
      <c r="R377" s="388"/>
      <c r="S377" s="177"/>
      <c r="T377" s="388"/>
      <c r="U377" s="177"/>
      <c r="V377" s="388"/>
      <c r="W377" s="177"/>
      <c r="X377" s="388"/>
      <c r="Y377" s="177"/>
      <c r="Z377" s="388"/>
      <c r="AA377" s="177"/>
      <c r="AB377" s="388"/>
      <c r="AC377" s="177"/>
      <c r="AD377" s="388"/>
      <c r="AE377" s="177"/>
      <c r="AF377" s="388"/>
      <c r="AG377" s="177"/>
      <c r="AH377" s="388"/>
      <c r="AI377" s="177"/>
      <c r="AJ377" s="388"/>
      <c r="AK377" s="177"/>
      <c r="AL377" s="388"/>
      <c r="AM377" s="177"/>
      <c r="AN377" s="388"/>
      <c r="AO377" s="177"/>
      <c r="AP377" s="388"/>
      <c r="AQ377" s="177"/>
      <c r="AR377" s="209" t="str">
        <f ca="1">IF(LEN(B377)&gt;0,ISNUMBER(MATCH(B377,Proposed[Item],0)),"")</f>
        <v/>
      </c>
    </row>
    <row r="378" spans="1:44" ht="15" x14ac:dyDescent="0.2">
      <c r="A378" s="276">
        <f t="shared" ca="1" si="5"/>
        <v>185</v>
      </c>
      <c r="B378" s="111" t="str">
        <f ca="1">IF($A378&lt;=NumPayItems,"Line "&amp;INDEX(Calcs[Line],$A378),"")</f>
        <v/>
      </c>
      <c r="C378" s="169" t="str">
        <f ca="1">IFERROR(IF($D378="LPSM","ALL",TEXT(INDEX(INDIRECT(RangeQuantity),MATCH($A378,INDIRECT(RangeCount),0)),"#,##0"&amp;IF(OFFSET(Items[],MATCH($A378,INDIRECT(RangeCount),0)-1,MATCH(Decimals,Items[#Headers],0)-1,1,1)&gt;0,"."&amp;REPT("0",OFFSET(Items[],MATCH($A378,INDIRECT(RangeCount),0)-1,MATCH(Decimals,Items[#Headers],0)-1,1,1)),""))),"")</f>
        <v/>
      </c>
      <c r="D378" s="170" t="str">
        <f ca="1">IFERROR(INDEX(INDIRECT(RangeUnit),MATCH($A378,INDIRECT(RangeCount),0)),"")</f>
        <v/>
      </c>
      <c r="E378" s="170" t="str">
        <f ca="1">IFERROR(IF(INDEX(INDIRECT(RangeContrQty),MATCH($A378,INDIRECT(RangeCount),0)),"(CQ)",""),"")</f>
        <v/>
      </c>
      <c r="F378" s="171" t="str">
        <f ca="1">IFERROR(INDEX(INDIRECT(RangeUnitPrice),MATCH($A378,INDIRECT(RangeCount),0)),"")</f>
        <v/>
      </c>
      <c r="G378" s="171" t="str">
        <f ca="1">IFERROR(VALUE(C378)*F378,F378)</f>
        <v/>
      </c>
      <c r="H378" s="388"/>
      <c r="I378" s="178" t="str">
        <f ca="1">IF($C378="","",IF($D378="LPSM",H377,VALUE($C378)*H377))</f>
        <v/>
      </c>
      <c r="J378" s="388"/>
      <c r="K378" s="178" t="str">
        <f ca="1">IF($C378="","",IF($D378="LPSM",J377,VALUE($C378)*J377))</f>
        <v/>
      </c>
      <c r="L378" s="388"/>
      <c r="M378" s="178" t="str">
        <f ca="1">IF($C378="","",IF($D378="LPSM",L377,VALUE($C378)*L377))</f>
        <v/>
      </c>
      <c r="N378" s="388"/>
      <c r="O378" s="178" t="str">
        <f ca="1">IF($C378="","",IF($D378="LPSM",N377,VALUE($C378)*N377))</f>
        <v/>
      </c>
      <c r="P378" s="388"/>
      <c r="Q378" s="178" t="str">
        <f ca="1">IF($C378="","",IF($D378="LPSM",P377,VALUE($C378)*P377))</f>
        <v/>
      </c>
      <c r="R378" s="388"/>
      <c r="S378" s="178" t="str">
        <f ca="1">IF($C378="","",IF($D378="LPSM",R377,VALUE($C378)*R377))</f>
        <v/>
      </c>
      <c r="T378" s="388"/>
      <c r="U378" s="178" t="str">
        <f ca="1">IF($C378="","",IF($D378="LPSM",T377,VALUE($C378)*T377))</f>
        <v/>
      </c>
      <c r="V378" s="388"/>
      <c r="W378" s="178" t="str">
        <f ca="1">IF($C378="","",IF($D378="LPSM",V377,VALUE($C378)*V377))</f>
        <v/>
      </c>
      <c r="X378" s="388"/>
      <c r="Y378" s="178" t="str">
        <f ca="1">IF($C378="","",IF($D378="LPSM",X377,VALUE($C378)*X377))</f>
        <v/>
      </c>
      <c r="Z378" s="388"/>
      <c r="AA378" s="178" t="str">
        <f ca="1">IF($C378="","",IF($D378="LPSM",Z377,VALUE($C378)*Z377))</f>
        <v/>
      </c>
      <c r="AB378" s="388"/>
      <c r="AC378" s="178" t="str">
        <f ca="1">IF($C378="","",IF($D378="LPSM",AB377,VALUE($C378)*AB377))</f>
        <v/>
      </c>
      <c r="AD378" s="388"/>
      <c r="AE378" s="178" t="str">
        <f ca="1">IF($C378="","",IF($D378="LPSM",AD377,VALUE($C378)*AD377))</f>
        <v/>
      </c>
      <c r="AF378" s="388"/>
      <c r="AG378" s="178" t="str">
        <f ca="1">IF($C378="","",IF($D378="LPSM",AF377,VALUE($C378)*AF377))</f>
        <v/>
      </c>
      <c r="AH378" s="388"/>
      <c r="AI378" s="178" t="str">
        <f ca="1">IF($C378="","",IF($D378="LPSM",AH377,VALUE($C378)*AH377))</f>
        <v/>
      </c>
      <c r="AJ378" s="388"/>
      <c r="AK378" s="178" t="str">
        <f ca="1">IF($C378="","",IF($D378="LPSM",AJ377,VALUE($C378)*AJ377))</f>
        <v/>
      </c>
      <c r="AL378" s="388"/>
      <c r="AM378" s="178" t="str">
        <f ca="1">IF($C378="","",IF($D378="LPSM",AL377,VALUE($C378)*AL377))</f>
        <v/>
      </c>
      <c r="AN378" s="388"/>
      <c r="AO378" s="178" t="str">
        <f ca="1">IF($C378="","",IF($D378="LPSM",AN377,VALUE($C378)*AN377))</f>
        <v/>
      </c>
      <c r="AP378" s="388"/>
      <c r="AQ378" s="178" t="str">
        <f ca="1">IF($C378="","",IF($D378="LPSM",AP377,VALUE($C378)*AP377))</f>
        <v/>
      </c>
      <c r="AR378" s="209" t="str">
        <f ca="1">IF(LEN(B378)&gt;0,ISNUMBER(MATCH(B378,Proposed[Item],0)),"")</f>
        <v/>
      </c>
    </row>
    <row r="379" spans="1:44" ht="15" x14ac:dyDescent="0.2">
      <c r="A379" s="276">
        <f t="shared" ca="1" si="5"/>
        <v>186</v>
      </c>
      <c r="B379" s="168" t="str">
        <f ca="1">IFERROR(INDEX(INDIRECT(RangeItems),MATCH($A379,INDIRECT(RangeCount),0)),"")</f>
        <v/>
      </c>
      <c r="C379" s="365" t="str">
        <f ca="1">INDEX(Calcs[Description],$A379)</f>
        <v/>
      </c>
      <c r="D379" s="365"/>
      <c r="E379" s="365"/>
      <c r="F379" s="365"/>
      <c r="G379" s="365"/>
      <c r="H379" s="388"/>
      <c r="I379" s="177"/>
      <c r="J379" s="388"/>
      <c r="K379" s="177"/>
      <c r="L379" s="388"/>
      <c r="M379" s="177"/>
      <c r="N379" s="388"/>
      <c r="O379" s="177"/>
      <c r="P379" s="388"/>
      <c r="Q379" s="177"/>
      <c r="R379" s="388"/>
      <c r="S379" s="177"/>
      <c r="T379" s="388"/>
      <c r="U379" s="177"/>
      <c r="V379" s="388"/>
      <c r="W379" s="177"/>
      <c r="X379" s="388"/>
      <c r="Y379" s="177"/>
      <c r="Z379" s="388"/>
      <c r="AA379" s="177"/>
      <c r="AB379" s="388"/>
      <c r="AC379" s="177"/>
      <c r="AD379" s="388"/>
      <c r="AE379" s="177"/>
      <c r="AF379" s="388"/>
      <c r="AG379" s="177"/>
      <c r="AH379" s="388"/>
      <c r="AI379" s="177"/>
      <c r="AJ379" s="388"/>
      <c r="AK379" s="177"/>
      <c r="AL379" s="388"/>
      <c r="AM379" s="177"/>
      <c r="AN379" s="388"/>
      <c r="AO379" s="177"/>
      <c r="AP379" s="388"/>
      <c r="AQ379" s="177"/>
      <c r="AR379" s="209" t="str">
        <f ca="1">IF(LEN(B379)&gt;0,ISNUMBER(MATCH(B379,Proposed[Item],0)),"")</f>
        <v/>
      </c>
    </row>
    <row r="380" spans="1:44" ht="15" x14ac:dyDescent="0.2">
      <c r="A380" s="276">
        <f t="shared" ca="1" si="5"/>
        <v>186</v>
      </c>
      <c r="B380" s="111" t="str">
        <f ca="1">IF($A380&lt;=NumPayItems,"Line "&amp;INDEX(Calcs[Line],$A380),"")</f>
        <v/>
      </c>
      <c r="C380" s="169" t="str">
        <f ca="1">IFERROR(IF($D380="LPSM","ALL",TEXT(INDEX(INDIRECT(RangeQuantity),MATCH($A380,INDIRECT(RangeCount),0)),"#,##0"&amp;IF(OFFSET(Items[],MATCH($A380,INDIRECT(RangeCount),0)-1,MATCH(Decimals,Items[#Headers],0)-1,1,1)&gt;0,"."&amp;REPT("0",OFFSET(Items[],MATCH($A380,INDIRECT(RangeCount),0)-1,MATCH(Decimals,Items[#Headers],0)-1,1,1)),""))),"")</f>
        <v/>
      </c>
      <c r="D380" s="170" t="str">
        <f ca="1">IFERROR(INDEX(INDIRECT(RangeUnit),MATCH($A380,INDIRECT(RangeCount),0)),"")</f>
        <v/>
      </c>
      <c r="E380" s="170" t="str">
        <f ca="1">IFERROR(IF(INDEX(INDIRECT(RangeContrQty),MATCH($A380,INDIRECT(RangeCount),0)),"(CQ)",""),"")</f>
        <v/>
      </c>
      <c r="F380" s="171" t="str">
        <f ca="1">IFERROR(INDEX(INDIRECT(RangeUnitPrice),MATCH($A380,INDIRECT(RangeCount),0)),"")</f>
        <v/>
      </c>
      <c r="G380" s="171" t="str">
        <f ca="1">IFERROR(VALUE(C380)*F380,F380)</f>
        <v/>
      </c>
      <c r="H380" s="388"/>
      <c r="I380" s="178" t="str">
        <f ca="1">IF($C380="","",IF($D380="LPSM",H379,VALUE($C380)*H379))</f>
        <v/>
      </c>
      <c r="J380" s="388"/>
      <c r="K380" s="178" t="str">
        <f ca="1">IF($C380="","",IF($D380="LPSM",J379,VALUE($C380)*J379))</f>
        <v/>
      </c>
      <c r="L380" s="388"/>
      <c r="M380" s="178" t="str">
        <f ca="1">IF($C380="","",IF($D380="LPSM",L379,VALUE($C380)*L379))</f>
        <v/>
      </c>
      <c r="N380" s="388"/>
      <c r="O380" s="178" t="str">
        <f ca="1">IF($C380="","",IF($D380="LPSM",N379,VALUE($C380)*N379))</f>
        <v/>
      </c>
      <c r="P380" s="388"/>
      <c r="Q380" s="178" t="str">
        <f ca="1">IF($C380="","",IF($D380="LPSM",P379,VALUE($C380)*P379))</f>
        <v/>
      </c>
      <c r="R380" s="388"/>
      <c r="S380" s="178" t="str">
        <f ca="1">IF($C380="","",IF($D380="LPSM",R379,VALUE($C380)*R379))</f>
        <v/>
      </c>
      <c r="T380" s="388"/>
      <c r="U380" s="178" t="str">
        <f ca="1">IF($C380="","",IF($D380="LPSM",T379,VALUE($C380)*T379))</f>
        <v/>
      </c>
      <c r="V380" s="388"/>
      <c r="W380" s="178" t="str">
        <f ca="1">IF($C380="","",IF($D380="LPSM",V379,VALUE($C380)*V379))</f>
        <v/>
      </c>
      <c r="X380" s="388"/>
      <c r="Y380" s="178" t="str">
        <f ca="1">IF($C380="","",IF($D380="LPSM",X379,VALUE($C380)*X379))</f>
        <v/>
      </c>
      <c r="Z380" s="388"/>
      <c r="AA380" s="178" t="str">
        <f ca="1">IF($C380="","",IF($D380="LPSM",Z379,VALUE($C380)*Z379))</f>
        <v/>
      </c>
      <c r="AB380" s="388"/>
      <c r="AC380" s="178" t="str">
        <f ca="1">IF($C380="","",IF($D380="LPSM",AB379,VALUE($C380)*AB379))</f>
        <v/>
      </c>
      <c r="AD380" s="388"/>
      <c r="AE380" s="178" t="str">
        <f ca="1">IF($C380="","",IF($D380="LPSM",AD379,VALUE($C380)*AD379))</f>
        <v/>
      </c>
      <c r="AF380" s="388"/>
      <c r="AG380" s="178" t="str">
        <f ca="1">IF($C380="","",IF($D380="LPSM",AF379,VALUE($C380)*AF379))</f>
        <v/>
      </c>
      <c r="AH380" s="388"/>
      <c r="AI380" s="178" t="str">
        <f ca="1">IF($C380="","",IF($D380="LPSM",AH379,VALUE($C380)*AH379))</f>
        <v/>
      </c>
      <c r="AJ380" s="388"/>
      <c r="AK380" s="178" t="str">
        <f ca="1">IF($C380="","",IF($D380="LPSM",AJ379,VALUE($C380)*AJ379))</f>
        <v/>
      </c>
      <c r="AL380" s="388"/>
      <c r="AM380" s="178" t="str">
        <f ca="1">IF($C380="","",IF($D380="LPSM",AL379,VALUE($C380)*AL379))</f>
        <v/>
      </c>
      <c r="AN380" s="388"/>
      <c r="AO380" s="178" t="str">
        <f ca="1">IF($C380="","",IF($D380="LPSM",AN379,VALUE($C380)*AN379))</f>
        <v/>
      </c>
      <c r="AP380" s="388"/>
      <c r="AQ380" s="178" t="str">
        <f ca="1">IF($C380="","",IF($D380="LPSM",AP379,VALUE($C380)*AP379))</f>
        <v/>
      </c>
      <c r="AR380" s="209" t="str">
        <f ca="1">IF(LEN(B380)&gt;0,ISNUMBER(MATCH(B380,Proposed[Item],0)),"")</f>
        <v/>
      </c>
    </row>
    <row r="381" spans="1:44" ht="15" x14ac:dyDescent="0.2">
      <c r="A381" s="276">
        <f t="shared" ca="1" si="5"/>
        <v>187</v>
      </c>
      <c r="B381" s="168" t="str">
        <f ca="1">IFERROR(INDEX(INDIRECT(RangeItems),MATCH($A381,INDIRECT(RangeCount),0)),"")</f>
        <v/>
      </c>
      <c r="C381" s="365" t="str">
        <f ca="1">INDEX(Calcs[Description],$A381)</f>
        <v/>
      </c>
      <c r="D381" s="365"/>
      <c r="E381" s="365"/>
      <c r="F381" s="365"/>
      <c r="G381" s="365"/>
      <c r="H381" s="388"/>
      <c r="I381" s="177"/>
      <c r="J381" s="388"/>
      <c r="K381" s="177"/>
      <c r="L381" s="388"/>
      <c r="M381" s="177"/>
      <c r="N381" s="388"/>
      <c r="O381" s="177"/>
      <c r="P381" s="388"/>
      <c r="Q381" s="177"/>
      <c r="R381" s="388"/>
      <c r="S381" s="177"/>
      <c r="T381" s="388"/>
      <c r="U381" s="177"/>
      <c r="V381" s="388"/>
      <c r="W381" s="177"/>
      <c r="X381" s="388"/>
      <c r="Y381" s="177"/>
      <c r="Z381" s="388"/>
      <c r="AA381" s="177"/>
      <c r="AB381" s="388"/>
      <c r="AC381" s="177"/>
      <c r="AD381" s="388"/>
      <c r="AE381" s="177"/>
      <c r="AF381" s="388"/>
      <c r="AG381" s="177"/>
      <c r="AH381" s="388"/>
      <c r="AI381" s="177"/>
      <c r="AJ381" s="388"/>
      <c r="AK381" s="177"/>
      <c r="AL381" s="388"/>
      <c r="AM381" s="177"/>
      <c r="AN381" s="388"/>
      <c r="AO381" s="177"/>
      <c r="AP381" s="388"/>
      <c r="AQ381" s="177"/>
      <c r="AR381" s="209" t="str">
        <f ca="1">IF(LEN(B381)&gt;0,ISNUMBER(MATCH(B381,Proposed[Item],0)),"")</f>
        <v/>
      </c>
    </row>
    <row r="382" spans="1:44" ht="15" x14ac:dyDescent="0.2">
      <c r="A382" s="276">
        <f t="shared" ca="1" si="5"/>
        <v>187</v>
      </c>
      <c r="B382" s="111" t="str">
        <f ca="1">IF($A382&lt;=NumPayItems,"Line "&amp;INDEX(Calcs[Line],$A382),"")</f>
        <v/>
      </c>
      <c r="C382" s="169" t="str">
        <f ca="1">IFERROR(IF($D382="LPSM","ALL",TEXT(INDEX(INDIRECT(RangeQuantity),MATCH($A382,INDIRECT(RangeCount),0)),"#,##0"&amp;IF(OFFSET(Items[],MATCH($A382,INDIRECT(RangeCount),0)-1,MATCH(Decimals,Items[#Headers],0)-1,1,1)&gt;0,"."&amp;REPT("0",OFFSET(Items[],MATCH($A382,INDIRECT(RangeCount),0)-1,MATCH(Decimals,Items[#Headers],0)-1,1,1)),""))),"")</f>
        <v/>
      </c>
      <c r="D382" s="170" t="str">
        <f ca="1">IFERROR(INDEX(INDIRECT(RangeUnit),MATCH($A382,INDIRECT(RangeCount),0)),"")</f>
        <v/>
      </c>
      <c r="E382" s="170" t="str">
        <f ca="1">IFERROR(IF(INDEX(INDIRECT(RangeContrQty),MATCH($A382,INDIRECT(RangeCount),0)),"(CQ)",""),"")</f>
        <v/>
      </c>
      <c r="F382" s="171" t="str">
        <f ca="1">IFERROR(INDEX(INDIRECT(RangeUnitPrice),MATCH($A382,INDIRECT(RangeCount),0)),"")</f>
        <v/>
      </c>
      <c r="G382" s="171" t="str">
        <f ca="1">IFERROR(VALUE(C382)*F382,F382)</f>
        <v/>
      </c>
      <c r="H382" s="388"/>
      <c r="I382" s="178" t="str">
        <f ca="1">IF($C382="","",IF($D382="LPSM",H381,VALUE($C382)*H381))</f>
        <v/>
      </c>
      <c r="J382" s="388"/>
      <c r="K382" s="178" t="str">
        <f ca="1">IF($C382="","",IF($D382="LPSM",J381,VALUE($C382)*J381))</f>
        <v/>
      </c>
      <c r="L382" s="388"/>
      <c r="M382" s="178" t="str">
        <f ca="1">IF($C382="","",IF($D382="LPSM",L381,VALUE($C382)*L381))</f>
        <v/>
      </c>
      <c r="N382" s="388"/>
      <c r="O382" s="178" t="str">
        <f ca="1">IF($C382="","",IF($D382="LPSM",N381,VALUE($C382)*N381))</f>
        <v/>
      </c>
      <c r="P382" s="388"/>
      <c r="Q382" s="178" t="str">
        <f ca="1">IF($C382="","",IF($D382="LPSM",P381,VALUE($C382)*P381))</f>
        <v/>
      </c>
      <c r="R382" s="388"/>
      <c r="S382" s="178" t="str">
        <f ca="1">IF($C382="","",IF($D382="LPSM",R381,VALUE($C382)*R381))</f>
        <v/>
      </c>
      <c r="T382" s="388"/>
      <c r="U382" s="178" t="str">
        <f ca="1">IF($C382="","",IF($D382="LPSM",T381,VALUE($C382)*T381))</f>
        <v/>
      </c>
      <c r="V382" s="388"/>
      <c r="W382" s="178" t="str">
        <f ca="1">IF($C382="","",IF($D382="LPSM",V381,VALUE($C382)*V381))</f>
        <v/>
      </c>
      <c r="X382" s="388"/>
      <c r="Y382" s="178" t="str">
        <f ca="1">IF($C382="","",IF($D382="LPSM",X381,VALUE($C382)*X381))</f>
        <v/>
      </c>
      <c r="Z382" s="388"/>
      <c r="AA382" s="178" t="str">
        <f ca="1">IF($C382="","",IF($D382="LPSM",Z381,VALUE($C382)*Z381))</f>
        <v/>
      </c>
      <c r="AB382" s="388"/>
      <c r="AC382" s="178" t="str">
        <f ca="1">IF($C382="","",IF($D382="LPSM",AB381,VALUE($C382)*AB381))</f>
        <v/>
      </c>
      <c r="AD382" s="388"/>
      <c r="AE382" s="178" t="str">
        <f ca="1">IF($C382="","",IF($D382="LPSM",AD381,VALUE($C382)*AD381))</f>
        <v/>
      </c>
      <c r="AF382" s="388"/>
      <c r="AG382" s="178" t="str">
        <f ca="1">IF($C382="","",IF($D382="LPSM",AF381,VALUE($C382)*AF381))</f>
        <v/>
      </c>
      <c r="AH382" s="388"/>
      <c r="AI382" s="178" t="str">
        <f ca="1">IF($C382="","",IF($D382="LPSM",AH381,VALUE($C382)*AH381))</f>
        <v/>
      </c>
      <c r="AJ382" s="388"/>
      <c r="AK382" s="178" t="str">
        <f ca="1">IF($C382="","",IF($D382="LPSM",AJ381,VALUE($C382)*AJ381))</f>
        <v/>
      </c>
      <c r="AL382" s="388"/>
      <c r="AM382" s="178" t="str">
        <f ca="1">IF($C382="","",IF($D382="LPSM",AL381,VALUE($C382)*AL381))</f>
        <v/>
      </c>
      <c r="AN382" s="388"/>
      <c r="AO382" s="178" t="str">
        <f ca="1">IF($C382="","",IF($D382="LPSM",AN381,VALUE($C382)*AN381))</f>
        <v/>
      </c>
      <c r="AP382" s="388"/>
      <c r="AQ382" s="178" t="str">
        <f ca="1">IF($C382="","",IF($D382="LPSM",AP381,VALUE($C382)*AP381))</f>
        <v/>
      </c>
      <c r="AR382" s="209" t="str">
        <f ca="1">IF(LEN(B382)&gt;0,ISNUMBER(MATCH(B382,Proposed[Item],0)),"")</f>
        <v/>
      </c>
    </row>
    <row r="383" spans="1:44" ht="15" x14ac:dyDescent="0.2">
      <c r="A383" s="276">
        <f t="shared" ca="1" si="5"/>
        <v>188</v>
      </c>
      <c r="B383" s="168" t="str">
        <f ca="1">IFERROR(INDEX(INDIRECT(RangeItems),MATCH($A383,INDIRECT(RangeCount),0)),"")</f>
        <v/>
      </c>
      <c r="C383" s="365" t="str">
        <f ca="1">INDEX(Calcs[Description],$A383)</f>
        <v/>
      </c>
      <c r="D383" s="365"/>
      <c r="E383" s="365"/>
      <c r="F383" s="365"/>
      <c r="G383" s="365"/>
      <c r="H383" s="388"/>
      <c r="I383" s="177"/>
      <c r="J383" s="388"/>
      <c r="K383" s="177"/>
      <c r="L383" s="388"/>
      <c r="M383" s="177"/>
      <c r="N383" s="388"/>
      <c r="O383" s="177"/>
      <c r="P383" s="388"/>
      <c r="Q383" s="177"/>
      <c r="R383" s="388"/>
      <c r="S383" s="177"/>
      <c r="T383" s="388"/>
      <c r="U383" s="177"/>
      <c r="V383" s="388"/>
      <c r="W383" s="177"/>
      <c r="X383" s="388"/>
      <c r="Y383" s="177"/>
      <c r="Z383" s="388"/>
      <c r="AA383" s="177"/>
      <c r="AB383" s="388"/>
      <c r="AC383" s="177"/>
      <c r="AD383" s="388"/>
      <c r="AE383" s="177"/>
      <c r="AF383" s="388"/>
      <c r="AG383" s="177"/>
      <c r="AH383" s="388"/>
      <c r="AI383" s="177"/>
      <c r="AJ383" s="388"/>
      <c r="AK383" s="177"/>
      <c r="AL383" s="388"/>
      <c r="AM383" s="177"/>
      <c r="AN383" s="388"/>
      <c r="AO383" s="177"/>
      <c r="AP383" s="388"/>
      <c r="AQ383" s="177"/>
      <c r="AR383" s="209" t="str">
        <f ca="1">IF(LEN(B383)&gt;0,ISNUMBER(MATCH(B383,Proposed[Item],0)),"")</f>
        <v/>
      </c>
    </row>
    <row r="384" spans="1:44" ht="15" x14ac:dyDescent="0.2">
      <c r="A384" s="276">
        <f t="shared" ca="1" si="5"/>
        <v>188</v>
      </c>
      <c r="B384" s="111" t="str">
        <f ca="1">IF($A384&lt;=NumPayItems,"Line "&amp;INDEX(Calcs[Line],$A384),"")</f>
        <v/>
      </c>
      <c r="C384" s="169" t="str">
        <f ca="1">IFERROR(IF($D384="LPSM","ALL",TEXT(INDEX(INDIRECT(RangeQuantity),MATCH($A384,INDIRECT(RangeCount),0)),"#,##0"&amp;IF(OFFSET(Items[],MATCH($A384,INDIRECT(RangeCount),0)-1,MATCH(Decimals,Items[#Headers],0)-1,1,1)&gt;0,"."&amp;REPT("0",OFFSET(Items[],MATCH($A384,INDIRECT(RangeCount),0)-1,MATCH(Decimals,Items[#Headers],0)-1,1,1)),""))),"")</f>
        <v/>
      </c>
      <c r="D384" s="170" t="str">
        <f ca="1">IFERROR(INDEX(INDIRECT(RangeUnit),MATCH($A384,INDIRECT(RangeCount),0)),"")</f>
        <v/>
      </c>
      <c r="E384" s="170" t="str">
        <f ca="1">IFERROR(IF(INDEX(INDIRECT(RangeContrQty),MATCH($A384,INDIRECT(RangeCount),0)),"(CQ)",""),"")</f>
        <v/>
      </c>
      <c r="F384" s="171" t="str">
        <f ca="1">IFERROR(INDEX(INDIRECT(RangeUnitPrice),MATCH($A384,INDIRECT(RangeCount),0)),"")</f>
        <v/>
      </c>
      <c r="G384" s="171" t="str">
        <f ca="1">IFERROR(VALUE(C384)*F384,F384)</f>
        <v/>
      </c>
      <c r="H384" s="388"/>
      <c r="I384" s="178" t="str">
        <f ca="1">IF($C384="","",IF($D384="LPSM",H383,VALUE($C384)*H383))</f>
        <v/>
      </c>
      <c r="J384" s="388"/>
      <c r="K384" s="178" t="str">
        <f ca="1">IF($C384="","",IF($D384="LPSM",J383,VALUE($C384)*J383))</f>
        <v/>
      </c>
      <c r="L384" s="388"/>
      <c r="M384" s="178" t="str">
        <f ca="1">IF($C384="","",IF($D384="LPSM",L383,VALUE($C384)*L383))</f>
        <v/>
      </c>
      <c r="N384" s="388"/>
      <c r="O384" s="178" t="str">
        <f ca="1">IF($C384="","",IF($D384="LPSM",N383,VALUE($C384)*N383))</f>
        <v/>
      </c>
      <c r="P384" s="388"/>
      <c r="Q384" s="178" t="str">
        <f ca="1">IF($C384="","",IF($D384="LPSM",P383,VALUE($C384)*P383))</f>
        <v/>
      </c>
      <c r="R384" s="388"/>
      <c r="S384" s="178" t="str">
        <f ca="1">IF($C384="","",IF($D384="LPSM",R383,VALUE($C384)*R383))</f>
        <v/>
      </c>
      <c r="T384" s="388"/>
      <c r="U384" s="178" t="str">
        <f ca="1">IF($C384="","",IF($D384="LPSM",T383,VALUE($C384)*T383))</f>
        <v/>
      </c>
      <c r="V384" s="388"/>
      <c r="W384" s="178" t="str">
        <f ca="1">IF($C384="","",IF($D384="LPSM",V383,VALUE($C384)*V383))</f>
        <v/>
      </c>
      <c r="X384" s="388"/>
      <c r="Y384" s="178" t="str">
        <f ca="1">IF($C384="","",IF($D384="LPSM",X383,VALUE($C384)*X383))</f>
        <v/>
      </c>
      <c r="Z384" s="388"/>
      <c r="AA384" s="178" t="str">
        <f ca="1">IF($C384="","",IF($D384="LPSM",Z383,VALUE($C384)*Z383))</f>
        <v/>
      </c>
      <c r="AB384" s="388"/>
      <c r="AC384" s="178" t="str">
        <f ca="1">IF($C384="","",IF($D384="LPSM",AB383,VALUE($C384)*AB383))</f>
        <v/>
      </c>
      <c r="AD384" s="388"/>
      <c r="AE384" s="178" t="str">
        <f ca="1">IF($C384="","",IF($D384="LPSM",AD383,VALUE($C384)*AD383))</f>
        <v/>
      </c>
      <c r="AF384" s="388"/>
      <c r="AG384" s="178" t="str">
        <f ca="1">IF($C384="","",IF($D384="LPSM",AF383,VALUE($C384)*AF383))</f>
        <v/>
      </c>
      <c r="AH384" s="388"/>
      <c r="AI384" s="178" t="str">
        <f ca="1">IF($C384="","",IF($D384="LPSM",AH383,VALUE($C384)*AH383))</f>
        <v/>
      </c>
      <c r="AJ384" s="388"/>
      <c r="AK384" s="178" t="str">
        <f ca="1">IF($C384="","",IF($D384="LPSM",AJ383,VALUE($C384)*AJ383))</f>
        <v/>
      </c>
      <c r="AL384" s="388"/>
      <c r="AM384" s="178" t="str">
        <f ca="1">IF($C384="","",IF($D384="LPSM",AL383,VALUE($C384)*AL383))</f>
        <v/>
      </c>
      <c r="AN384" s="388"/>
      <c r="AO384" s="178" t="str">
        <f ca="1">IF($C384="","",IF($D384="LPSM",AN383,VALUE($C384)*AN383))</f>
        <v/>
      </c>
      <c r="AP384" s="388"/>
      <c r="AQ384" s="178" t="str">
        <f ca="1">IF($C384="","",IF($D384="LPSM",AP383,VALUE($C384)*AP383))</f>
        <v/>
      </c>
      <c r="AR384" s="209" t="str">
        <f ca="1">IF(LEN(B384)&gt;0,ISNUMBER(MATCH(B384,Proposed[Item],0)),"")</f>
        <v/>
      </c>
    </row>
    <row r="385" spans="1:44" ht="15" x14ac:dyDescent="0.2">
      <c r="A385" s="276">
        <f t="shared" ca="1" si="5"/>
        <v>189</v>
      </c>
      <c r="B385" s="168" t="str">
        <f ca="1">IFERROR(INDEX(INDIRECT(RangeItems),MATCH($A385,INDIRECT(RangeCount),0)),"")</f>
        <v/>
      </c>
      <c r="C385" s="365" t="str">
        <f ca="1">INDEX(Calcs[Description],$A385)</f>
        <v/>
      </c>
      <c r="D385" s="365"/>
      <c r="E385" s="365"/>
      <c r="F385" s="365"/>
      <c r="G385" s="365"/>
      <c r="H385" s="388"/>
      <c r="I385" s="177"/>
      <c r="J385" s="388"/>
      <c r="K385" s="177"/>
      <c r="L385" s="388"/>
      <c r="M385" s="177"/>
      <c r="N385" s="388"/>
      <c r="O385" s="177"/>
      <c r="P385" s="388"/>
      <c r="Q385" s="177"/>
      <c r="R385" s="388"/>
      <c r="S385" s="177"/>
      <c r="T385" s="388"/>
      <c r="U385" s="177"/>
      <c r="V385" s="388"/>
      <c r="W385" s="177"/>
      <c r="X385" s="388"/>
      <c r="Y385" s="177"/>
      <c r="Z385" s="388"/>
      <c r="AA385" s="177"/>
      <c r="AB385" s="388"/>
      <c r="AC385" s="177"/>
      <c r="AD385" s="388"/>
      <c r="AE385" s="177"/>
      <c r="AF385" s="388"/>
      <c r="AG385" s="177"/>
      <c r="AH385" s="388"/>
      <c r="AI385" s="177"/>
      <c r="AJ385" s="388"/>
      <c r="AK385" s="177"/>
      <c r="AL385" s="388"/>
      <c r="AM385" s="177"/>
      <c r="AN385" s="388"/>
      <c r="AO385" s="177"/>
      <c r="AP385" s="388"/>
      <c r="AQ385" s="177"/>
      <c r="AR385" s="209" t="str">
        <f ca="1">IF(LEN(B385)&gt;0,ISNUMBER(MATCH(B385,Proposed[Item],0)),"")</f>
        <v/>
      </c>
    </row>
    <row r="386" spans="1:44" ht="15" x14ac:dyDescent="0.2">
      <c r="A386" s="276">
        <f t="shared" ca="1" si="5"/>
        <v>189</v>
      </c>
      <c r="B386" s="111" t="str">
        <f ca="1">IF($A386&lt;=NumPayItems,"Line "&amp;INDEX(Calcs[Line],$A386),"")</f>
        <v/>
      </c>
      <c r="C386" s="169" t="str">
        <f ca="1">IFERROR(IF($D386="LPSM","ALL",TEXT(INDEX(INDIRECT(RangeQuantity),MATCH($A386,INDIRECT(RangeCount),0)),"#,##0"&amp;IF(OFFSET(Items[],MATCH($A386,INDIRECT(RangeCount),0)-1,MATCH(Decimals,Items[#Headers],0)-1,1,1)&gt;0,"."&amp;REPT("0",OFFSET(Items[],MATCH($A386,INDIRECT(RangeCount),0)-1,MATCH(Decimals,Items[#Headers],0)-1,1,1)),""))),"")</f>
        <v/>
      </c>
      <c r="D386" s="170" t="str">
        <f ca="1">IFERROR(INDEX(INDIRECT(RangeUnit),MATCH($A386,INDIRECT(RangeCount),0)),"")</f>
        <v/>
      </c>
      <c r="E386" s="170" t="str">
        <f ca="1">IFERROR(IF(INDEX(INDIRECT(RangeContrQty),MATCH($A386,INDIRECT(RangeCount),0)),"(CQ)",""),"")</f>
        <v/>
      </c>
      <c r="F386" s="171" t="str">
        <f ca="1">IFERROR(INDEX(INDIRECT(RangeUnitPrice),MATCH($A386,INDIRECT(RangeCount),0)),"")</f>
        <v/>
      </c>
      <c r="G386" s="171" t="str">
        <f ca="1">IFERROR(VALUE(C386)*F386,F386)</f>
        <v/>
      </c>
      <c r="H386" s="388"/>
      <c r="I386" s="178" t="str">
        <f ca="1">IF($C386="","",IF($D386="LPSM",H385,VALUE($C386)*H385))</f>
        <v/>
      </c>
      <c r="J386" s="388"/>
      <c r="K386" s="178" t="str">
        <f ca="1">IF($C386="","",IF($D386="LPSM",J385,VALUE($C386)*J385))</f>
        <v/>
      </c>
      <c r="L386" s="388"/>
      <c r="M386" s="178" t="str">
        <f ca="1">IF($C386="","",IF($D386="LPSM",L385,VALUE($C386)*L385))</f>
        <v/>
      </c>
      <c r="N386" s="388"/>
      <c r="O386" s="178" t="str">
        <f ca="1">IF($C386="","",IF($D386="LPSM",N385,VALUE($C386)*N385))</f>
        <v/>
      </c>
      <c r="P386" s="388"/>
      <c r="Q386" s="178" t="str">
        <f ca="1">IF($C386="","",IF($D386="LPSM",P385,VALUE($C386)*P385))</f>
        <v/>
      </c>
      <c r="R386" s="388"/>
      <c r="S386" s="178" t="str">
        <f ca="1">IF($C386="","",IF($D386="LPSM",R385,VALUE($C386)*R385))</f>
        <v/>
      </c>
      <c r="T386" s="388"/>
      <c r="U386" s="178" t="str">
        <f ca="1">IF($C386="","",IF($D386="LPSM",T385,VALUE($C386)*T385))</f>
        <v/>
      </c>
      <c r="V386" s="388"/>
      <c r="W386" s="178" t="str">
        <f ca="1">IF($C386="","",IF($D386="LPSM",V385,VALUE($C386)*V385))</f>
        <v/>
      </c>
      <c r="X386" s="388"/>
      <c r="Y386" s="178" t="str">
        <f ca="1">IF($C386="","",IF($D386="LPSM",X385,VALUE($C386)*X385))</f>
        <v/>
      </c>
      <c r="Z386" s="388"/>
      <c r="AA386" s="178" t="str">
        <f ca="1">IF($C386="","",IF($D386="LPSM",Z385,VALUE($C386)*Z385))</f>
        <v/>
      </c>
      <c r="AB386" s="388"/>
      <c r="AC386" s="178" t="str">
        <f ca="1">IF($C386="","",IF($D386="LPSM",AB385,VALUE($C386)*AB385))</f>
        <v/>
      </c>
      <c r="AD386" s="388"/>
      <c r="AE386" s="178" t="str">
        <f ca="1">IF($C386="","",IF($D386="LPSM",AD385,VALUE($C386)*AD385))</f>
        <v/>
      </c>
      <c r="AF386" s="388"/>
      <c r="AG386" s="178" t="str">
        <f ca="1">IF($C386="","",IF($D386="LPSM",AF385,VALUE($C386)*AF385))</f>
        <v/>
      </c>
      <c r="AH386" s="388"/>
      <c r="AI386" s="178" t="str">
        <f ca="1">IF($C386="","",IF($D386="LPSM",AH385,VALUE($C386)*AH385))</f>
        <v/>
      </c>
      <c r="AJ386" s="388"/>
      <c r="AK386" s="178" t="str">
        <f ca="1">IF($C386="","",IF($D386="LPSM",AJ385,VALUE($C386)*AJ385))</f>
        <v/>
      </c>
      <c r="AL386" s="388"/>
      <c r="AM386" s="178" t="str">
        <f ca="1">IF($C386="","",IF($D386="LPSM",AL385,VALUE($C386)*AL385))</f>
        <v/>
      </c>
      <c r="AN386" s="388"/>
      <c r="AO386" s="178" t="str">
        <f ca="1">IF($C386="","",IF($D386="LPSM",AN385,VALUE($C386)*AN385))</f>
        <v/>
      </c>
      <c r="AP386" s="388"/>
      <c r="AQ386" s="178" t="str">
        <f ca="1">IF($C386="","",IF($D386="LPSM",AP385,VALUE($C386)*AP385))</f>
        <v/>
      </c>
      <c r="AR386" s="209" t="str">
        <f ca="1">IF(LEN(B386)&gt;0,ISNUMBER(MATCH(B386,Proposed[Item],0)),"")</f>
        <v/>
      </c>
    </row>
    <row r="387" spans="1:44" ht="15" x14ac:dyDescent="0.2">
      <c r="A387" s="276">
        <f t="shared" ca="1" si="5"/>
        <v>190</v>
      </c>
      <c r="B387" s="168" t="str">
        <f ca="1">IFERROR(INDEX(INDIRECT(RangeItems),MATCH($A387,INDIRECT(RangeCount),0)),"")</f>
        <v/>
      </c>
      <c r="C387" s="365" t="str">
        <f ca="1">INDEX(Calcs[Description],$A387)</f>
        <v/>
      </c>
      <c r="D387" s="365"/>
      <c r="E387" s="365"/>
      <c r="F387" s="365"/>
      <c r="G387" s="365"/>
      <c r="H387" s="388"/>
      <c r="I387" s="177"/>
      <c r="J387" s="388"/>
      <c r="K387" s="177"/>
      <c r="L387" s="388"/>
      <c r="M387" s="177"/>
      <c r="N387" s="388"/>
      <c r="O387" s="177"/>
      <c r="P387" s="388"/>
      <c r="Q387" s="177"/>
      <c r="R387" s="388"/>
      <c r="S387" s="177"/>
      <c r="T387" s="388"/>
      <c r="U387" s="177"/>
      <c r="V387" s="388"/>
      <c r="W387" s="177"/>
      <c r="X387" s="388"/>
      <c r="Y387" s="177"/>
      <c r="Z387" s="388"/>
      <c r="AA387" s="177"/>
      <c r="AB387" s="388"/>
      <c r="AC387" s="177"/>
      <c r="AD387" s="388"/>
      <c r="AE387" s="177"/>
      <c r="AF387" s="388"/>
      <c r="AG387" s="177"/>
      <c r="AH387" s="388"/>
      <c r="AI387" s="177"/>
      <c r="AJ387" s="388"/>
      <c r="AK387" s="177"/>
      <c r="AL387" s="388"/>
      <c r="AM387" s="177"/>
      <c r="AN387" s="388"/>
      <c r="AO387" s="177"/>
      <c r="AP387" s="388"/>
      <c r="AQ387" s="177"/>
      <c r="AR387" s="209" t="str">
        <f ca="1">IF(LEN(B387)&gt;0,ISNUMBER(MATCH(B387,Proposed[Item],0)),"")</f>
        <v/>
      </c>
    </row>
    <row r="388" spans="1:44" ht="15" x14ac:dyDescent="0.2">
      <c r="A388" s="276">
        <f t="shared" ca="1" si="5"/>
        <v>190</v>
      </c>
      <c r="B388" s="111" t="str">
        <f ca="1">IF($A388&lt;=NumPayItems,"Line "&amp;INDEX(Calcs[Line],$A388),"")</f>
        <v/>
      </c>
      <c r="C388" s="169" t="str">
        <f ca="1">IFERROR(IF($D388="LPSM","ALL",TEXT(INDEX(INDIRECT(RangeQuantity),MATCH($A388,INDIRECT(RangeCount),0)),"#,##0"&amp;IF(OFFSET(Items[],MATCH($A388,INDIRECT(RangeCount),0)-1,MATCH(Decimals,Items[#Headers],0)-1,1,1)&gt;0,"."&amp;REPT("0",OFFSET(Items[],MATCH($A388,INDIRECT(RangeCount),0)-1,MATCH(Decimals,Items[#Headers],0)-1,1,1)),""))),"")</f>
        <v/>
      </c>
      <c r="D388" s="170" t="str">
        <f ca="1">IFERROR(INDEX(INDIRECT(RangeUnit),MATCH($A388,INDIRECT(RangeCount),0)),"")</f>
        <v/>
      </c>
      <c r="E388" s="170" t="str">
        <f ca="1">IFERROR(IF(INDEX(INDIRECT(RangeContrQty),MATCH($A388,INDIRECT(RangeCount),0)),"(CQ)",""),"")</f>
        <v/>
      </c>
      <c r="F388" s="171" t="str">
        <f ca="1">IFERROR(INDEX(INDIRECT(RangeUnitPrice),MATCH($A388,INDIRECT(RangeCount),0)),"")</f>
        <v/>
      </c>
      <c r="G388" s="171" t="str">
        <f ca="1">IFERROR(VALUE(C388)*F388,F388)</f>
        <v/>
      </c>
      <c r="H388" s="388"/>
      <c r="I388" s="178" t="str">
        <f ca="1">IF($C388="","",IF($D388="LPSM",H387,VALUE($C388)*H387))</f>
        <v/>
      </c>
      <c r="J388" s="388"/>
      <c r="K388" s="178" t="str">
        <f ca="1">IF($C388="","",IF($D388="LPSM",J387,VALUE($C388)*J387))</f>
        <v/>
      </c>
      <c r="L388" s="388"/>
      <c r="M388" s="178" t="str">
        <f ca="1">IF($C388="","",IF($D388="LPSM",L387,VALUE($C388)*L387))</f>
        <v/>
      </c>
      <c r="N388" s="388"/>
      <c r="O388" s="178" t="str">
        <f ca="1">IF($C388="","",IF($D388="LPSM",N387,VALUE($C388)*N387))</f>
        <v/>
      </c>
      <c r="P388" s="388"/>
      <c r="Q388" s="178" t="str">
        <f ca="1">IF($C388="","",IF($D388="LPSM",P387,VALUE($C388)*P387))</f>
        <v/>
      </c>
      <c r="R388" s="388"/>
      <c r="S388" s="178" t="str">
        <f ca="1">IF($C388="","",IF($D388="LPSM",R387,VALUE($C388)*R387))</f>
        <v/>
      </c>
      <c r="T388" s="388"/>
      <c r="U388" s="178" t="str">
        <f ca="1">IF($C388="","",IF($D388="LPSM",T387,VALUE($C388)*T387))</f>
        <v/>
      </c>
      <c r="V388" s="388"/>
      <c r="W388" s="178" t="str">
        <f ca="1">IF($C388="","",IF($D388="LPSM",V387,VALUE($C388)*V387))</f>
        <v/>
      </c>
      <c r="X388" s="388"/>
      <c r="Y388" s="178" t="str">
        <f ca="1">IF($C388="","",IF($D388="LPSM",X387,VALUE($C388)*X387))</f>
        <v/>
      </c>
      <c r="Z388" s="388"/>
      <c r="AA388" s="178" t="str">
        <f ca="1">IF($C388="","",IF($D388="LPSM",Z387,VALUE($C388)*Z387))</f>
        <v/>
      </c>
      <c r="AB388" s="388"/>
      <c r="AC388" s="178" t="str">
        <f ca="1">IF($C388="","",IF($D388="LPSM",AB387,VALUE($C388)*AB387))</f>
        <v/>
      </c>
      <c r="AD388" s="388"/>
      <c r="AE388" s="178" t="str">
        <f ca="1">IF($C388="","",IF($D388="LPSM",AD387,VALUE($C388)*AD387))</f>
        <v/>
      </c>
      <c r="AF388" s="388"/>
      <c r="AG388" s="178" t="str">
        <f ca="1">IF($C388="","",IF($D388="LPSM",AF387,VALUE($C388)*AF387))</f>
        <v/>
      </c>
      <c r="AH388" s="388"/>
      <c r="AI388" s="178" t="str">
        <f ca="1">IF($C388="","",IF($D388="LPSM",AH387,VALUE($C388)*AH387))</f>
        <v/>
      </c>
      <c r="AJ388" s="388"/>
      <c r="AK388" s="178" t="str">
        <f ca="1">IF($C388="","",IF($D388="LPSM",AJ387,VALUE($C388)*AJ387))</f>
        <v/>
      </c>
      <c r="AL388" s="388"/>
      <c r="AM388" s="178" t="str">
        <f ca="1">IF($C388="","",IF($D388="LPSM",AL387,VALUE($C388)*AL387))</f>
        <v/>
      </c>
      <c r="AN388" s="388"/>
      <c r="AO388" s="178" t="str">
        <f ca="1">IF($C388="","",IF($D388="LPSM",AN387,VALUE($C388)*AN387))</f>
        <v/>
      </c>
      <c r="AP388" s="388"/>
      <c r="AQ388" s="178" t="str">
        <f ca="1">IF($C388="","",IF($D388="LPSM",AP387,VALUE($C388)*AP387))</f>
        <v/>
      </c>
      <c r="AR388" s="209" t="str">
        <f ca="1">IF(LEN(B388)&gt;0,ISNUMBER(MATCH(B388,Proposed[Item],0)),"")</f>
        <v/>
      </c>
    </row>
    <row r="389" spans="1:44" ht="15" x14ac:dyDescent="0.2">
      <c r="A389" s="276">
        <f t="shared" ca="1" si="5"/>
        <v>191</v>
      </c>
      <c r="B389" s="168" t="str">
        <f ca="1">IFERROR(INDEX(INDIRECT(RangeItems),MATCH($A389,INDIRECT(RangeCount),0)),"")</f>
        <v/>
      </c>
      <c r="C389" s="365" t="str">
        <f ca="1">INDEX(Calcs[Description],$A389)</f>
        <v/>
      </c>
      <c r="D389" s="365"/>
      <c r="E389" s="365"/>
      <c r="F389" s="365"/>
      <c r="G389" s="365"/>
      <c r="H389" s="388"/>
      <c r="I389" s="177"/>
      <c r="J389" s="388"/>
      <c r="K389" s="177"/>
      <c r="L389" s="388"/>
      <c r="M389" s="177"/>
      <c r="N389" s="388"/>
      <c r="O389" s="177"/>
      <c r="P389" s="388"/>
      <c r="Q389" s="177"/>
      <c r="R389" s="388"/>
      <c r="S389" s="177"/>
      <c r="T389" s="388"/>
      <c r="U389" s="177"/>
      <c r="V389" s="388"/>
      <c r="W389" s="177"/>
      <c r="X389" s="388"/>
      <c r="Y389" s="177"/>
      <c r="Z389" s="388"/>
      <c r="AA389" s="177"/>
      <c r="AB389" s="388"/>
      <c r="AC389" s="177"/>
      <c r="AD389" s="388"/>
      <c r="AE389" s="177"/>
      <c r="AF389" s="388"/>
      <c r="AG389" s="177"/>
      <c r="AH389" s="388"/>
      <c r="AI389" s="177"/>
      <c r="AJ389" s="388"/>
      <c r="AK389" s="177"/>
      <c r="AL389" s="388"/>
      <c r="AM389" s="177"/>
      <c r="AN389" s="388"/>
      <c r="AO389" s="177"/>
      <c r="AP389" s="388"/>
      <c r="AQ389" s="177"/>
      <c r="AR389" s="209" t="str">
        <f ca="1">IF(LEN(B389)&gt;0,ISNUMBER(MATCH(B389,Proposed[Item],0)),"")</f>
        <v/>
      </c>
    </row>
    <row r="390" spans="1:44" ht="15" x14ac:dyDescent="0.2">
      <c r="A390" s="276">
        <f t="shared" ca="1" si="5"/>
        <v>191</v>
      </c>
      <c r="B390" s="111" t="str">
        <f ca="1">IF($A390&lt;=NumPayItems,"Line "&amp;INDEX(Calcs[Line],$A390),"")</f>
        <v/>
      </c>
      <c r="C390" s="169" t="str">
        <f ca="1">IFERROR(IF($D390="LPSM","ALL",TEXT(INDEX(INDIRECT(RangeQuantity),MATCH($A390,INDIRECT(RangeCount),0)),"#,##0"&amp;IF(OFFSET(Items[],MATCH($A390,INDIRECT(RangeCount),0)-1,MATCH(Decimals,Items[#Headers],0)-1,1,1)&gt;0,"."&amp;REPT("0",OFFSET(Items[],MATCH($A390,INDIRECT(RangeCount),0)-1,MATCH(Decimals,Items[#Headers],0)-1,1,1)),""))),"")</f>
        <v/>
      </c>
      <c r="D390" s="170" t="str">
        <f ca="1">IFERROR(INDEX(INDIRECT(RangeUnit),MATCH($A390,INDIRECT(RangeCount),0)),"")</f>
        <v/>
      </c>
      <c r="E390" s="170" t="str">
        <f ca="1">IFERROR(IF(INDEX(INDIRECT(RangeContrQty),MATCH($A390,INDIRECT(RangeCount),0)),"(CQ)",""),"")</f>
        <v/>
      </c>
      <c r="F390" s="171" t="str">
        <f ca="1">IFERROR(INDEX(INDIRECT(RangeUnitPrice),MATCH($A390,INDIRECT(RangeCount),0)),"")</f>
        <v/>
      </c>
      <c r="G390" s="171" t="str">
        <f ca="1">IFERROR(VALUE(C390)*F390,F390)</f>
        <v/>
      </c>
      <c r="H390" s="388"/>
      <c r="I390" s="178" t="str">
        <f ca="1">IF($C390="","",IF($D390="LPSM",H389,VALUE($C390)*H389))</f>
        <v/>
      </c>
      <c r="J390" s="388"/>
      <c r="K390" s="178" t="str">
        <f ca="1">IF($C390="","",IF($D390="LPSM",J389,VALUE($C390)*J389))</f>
        <v/>
      </c>
      <c r="L390" s="388"/>
      <c r="M390" s="178" t="str">
        <f ca="1">IF($C390="","",IF($D390="LPSM",L389,VALUE($C390)*L389))</f>
        <v/>
      </c>
      <c r="N390" s="388"/>
      <c r="O390" s="178" t="str">
        <f ca="1">IF($C390="","",IF($D390="LPSM",N389,VALUE($C390)*N389))</f>
        <v/>
      </c>
      <c r="P390" s="388"/>
      <c r="Q390" s="178" t="str">
        <f ca="1">IF($C390="","",IF($D390="LPSM",P389,VALUE($C390)*P389))</f>
        <v/>
      </c>
      <c r="R390" s="388"/>
      <c r="S390" s="178" t="str">
        <f ca="1">IF($C390="","",IF($D390="LPSM",R389,VALUE($C390)*R389))</f>
        <v/>
      </c>
      <c r="T390" s="388"/>
      <c r="U390" s="178" t="str">
        <f ca="1">IF($C390="","",IF($D390="LPSM",T389,VALUE($C390)*T389))</f>
        <v/>
      </c>
      <c r="V390" s="388"/>
      <c r="W390" s="178" t="str">
        <f ca="1">IF($C390="","",IF($D390="LPSM",V389,VALUE($C390)*V389))</f>
        <v/>
      </c>
      <c r="X390" s="388"/>
      <c r="Y390" s="178" t="str">
        <f ca="1">IF($C390="","",IF($D390="LPSM",X389,VALUE($C390)*X389))</f>
        <v/>
      </c>
      <c r="Z390" s="388"/>
      <c r="AA390" s="178" t="str">
        <f ca="1">IF($C390="","",IF($D390="LPSM",Z389,VALUE($C390)*Z389))</f>
        <v/>
      </c>
      <c r="AB390" s="388"/>
      <c r="AC390" s="178" t="str">
        <f ca="1">IF($C390="","",IF($D390="LPSM",AB389,VALUE($C390)*AB389))</f>
        <v/>
      </c>
      <c r="AD390" s="388"/>
      <c r="AE390" s="178" t="str">
        <f ca="1">IF($C390="","",IF($D390="LPSM",AD389,VALUE($C390)*AD389))</f>
        <v/>
      </c>
      <c r="AF390" s="388"/>
      <c r="AG390" s="178" t="str">
        <f ca="1">IF($C390="","",IF($D390="LPSM",AF389,VALUE($C390)*AF389))</f>
        <v/>
      </c>
      <c r="AH390" s="388"/>
      <c r="AI390" s="178" t="str">
        <f ca="1">IF($C390="","",IF($D390="LPSM",AH389,VALUE($C390)*AH389))</f>
        <v/>
      </c>
      <c r="AJ390" s="388"/>
      <c r="AK390" s="178" t="str">
        <f ca="1">IF($C390="","",IF($D390="LPSM",AJ389,VALUE($C390)*AJ389))</f>
        <v/>
      </c>
      <c r="AL390" s="388"/>
      <c r="AM390" s="178" t="str">
        <f ca="1">IF($C390="","",IF($D390="LPSM",AL389,VALUE($C390)*AL389))</f>
        <v/>
      </c>
      <c r="AN390" s="388"/>
      <c r="AO390" s="178" t="str">
        <f ca="1">IF($C390="","",IF($D390="LPSM",AN389,VALUE($C390)*AN389))</f>
        <v/>
      </c>
      <c r="AP390" s="388"/>
      <c r="AQ390" s="178" t="str">
        <f ca="1">IF($C390="","",IF($D390="LPSM",AP389,VALUE($C390)*AP389))</f>
        <v/>
      </c>
      <c r="AR390" s="209" t="str">
        <f ca="1">IF(LEN(B390)&gt;0,ISNUMBER(MATCH(B390,Proposed[Item],0)),"")</f>
        <v/>
      </c>
    </row>
    <row r="391" spans="1:44" ht="15" x14ac:dyDescent="0.2">
      <c r="A391" s="276">
        <f t="shared" ca="1" si="5"/>
        <v>192</v>
      </c>
      <c r="B391" s="168" t="str">
        <f ca="1">IFERROR(INDEX(INDIRECT(RangeItems),MATCH($A391,INDIRECT(RangeCount),0)),"")</f>
        <v/>
      </c>
      <c r="C391" s="365" t="str">
        <f ca="1">INDEX(Calcs[Description],$A391)</f>
        <v/>
      </c>
      <c r="D391" s="365"/>
      <c r="E391" s="365"/>
      <c r="F391" s="365"/>
      <c r="G391" s="365"/>
      <c r="H391" s="388"/>
      <c r="I391" s="177"/>
      <c r="J391" s="388"/>
      <c r="K391" s="177"/>
      <c r="L391" s="388"/>
      <c r="M391" s="177"/>
      <c r="N391" s="388"/>
      <c r="O391" s="177"/>
      <c r="P391" s="388"/>
      <c r="Q391" s="177"/>
      <c r="R391" s="388"/>
      <c r="S391" s="177"/>
      <c r="T391" s="388"/>
      <c r="U391" s="177"/>
      <c r="V391" s="388"/>
      <c r="W391" s="177"/>
      <c r="X391" s="388"/>
      <c r="Y391" s="177"/>
      <c r="Z391" s="388"/>
      <c r="AA391" s="177"/>
      <c r="AB391" s="388"/>
      <c r="AC391" s="177"/>
      <c r="AD391" s="388"/>
      <c r="AE391" s="177"/>
      <c r="AF391" s="388"/>
      <c r="AG391" s="177"/>
      <c r="AH391" s="388"/>
      <c r="AI391" s="177"/>
      <c r="AJ391" s="388"/>
      <c r="AK391" s="177"/>
      <c r="AL391" s="388"/>
      <c r="AM391" s="177"/>
      <c r="AN391" s="388"/>
      <c r="AO391" s="177"/>
      <c r="AP391" s="388"/>
      <c r="AQ391" s="177"/>
      <c r="AR391" s="209" t="str">
        <f ca="1">IF(LEN(B391)&gt;0,ISNUMBER(MATCH(B391,Proposed[Item],0)),"")</f>
        <v/>
      </c>
    </row>
    <row r="392" spans="1:44" ht="15" x14ac:dyDescent="0.2">
      <c r="A392" s="276">
        <f t="shared" ca="1" si="5"/>
        <v>192</v>
      </c>
      <c r="B392" s="111" t="str">
        <f ca="1">IF($A392&lt;=NumPayItems,"Line "&amp;INDEX(Calcs[Line],$A392),"")</f>
        <v/>
      </c>
      <c r="C392" s="169" t="str">
        <f ca="1">IFERROR(IF($D392="LPSM","ALL",TEXT(INDEX(INDIRECT(RangeQuantity),MATCH($A392,INDIRECT(RangeCount),0)),"#,##0"&amp;IF(OFFSET(Items[],MATCH($A392,INDIRECT(RangeCount),0)-1,MATCH(Decimals,Items[#Headers],0)-1,1,1)&gt;0,"."&amp;REPT("0",OFFSET(Items[],MATCH($A392,INDIRECT(RangeCount),0)-1,MATCH(Decimals,Items[#Headers],0)-1,1,1)),""))),"")</f>
        <v/>
      </c>
      <c r="D392" s="170" t="str">
        <f ca="1">IFERROR(INDEX(INDIRECT(RangeUnit),MATCH($A392,INDIRECT(RangeCount),0)),"")</f>
        <v/>
      </c>
      <c r="E392" s="170" t="str">
        <f ca="1">IFERROR(IF(INDEX(INDIRECT(RangeContrQty),MATCH($A392,INDIRECT(RangeCount),0)),"(CQ)",""),"")</f>
        <v/>
      </c>
      <c r="F392" s="171" t="str">
        <f ca="1">IFERROR(INDEX(INDIRECT(RangeUnitPrice),MATCH($A392,INDIRECT(RangeCount),0)),"")</f>
        <v/>
      </c>
      <c r="G392" s="171" t="str">
        <f ca="1">IFERROR(VALUE(C392)*F392,F392)</f>
        <v/>
      </c>
      <c r="H392" s="388"/>
      <c r="I392" s="178" t="str">
        <f ca="1">IF($C392="","",IF($D392="LPSM",H391,VALUE($C392)*H391))</f>
        <v/>
      </c>
      <c r="J392" s="388"/>
      <c r="K392" s="178" t="str">
        <f ca="1">IF($C392="","",IF($D392="LPSM",J391,VALUE($C392)*J391))</f>
        <v/>
      </c>
      <c r="L392" s="388"/>
      <c r="M392" s="178" t="str">
        <f ca="1">IF($C392="","",IF($D392="LPSM",L391,VALUE($C392)*L391))</f>
        <v/>
      </c>
      <c r="N392" s="388"/>
      <c r="O392" s="178" t="str">
        <f ca="1">IF($C392="","",IF($D392="LPSM",N391,VALUE($C392)*N391))</f>
        <v/>
      </c>
      <c r="P392" s="388"/>
      <c r="Q392" s="178" t="str">
        <f ca="1">IF($C392="","",IF($D392="LPSM",P391,VALUE($C392)*P391))</f>
        <v/>
      </c>
      <c r="R392" s="388"/>
      <c r="S392" s="178" t="str">
        <f ca="1">IF($C392="","",IF($D392="LPSM",R391,VALUE($C392)*R391))</f>
        <v/>
      </c>
      <c r="T392" s="388"/>
      <c r="U392" s="178" t="str">
        <f ca="1">IF($C392="","",IF($D392="LPSM",T391,VALUE($C392)*T391))</f>
        <v/>
      </c>
      <c r="V392" s="388"/>
      <c r="W392" s="178" t="str">
        <f ca="1">IF($C392="","",IF($D392="LPSM",V391,VALUE($C392)*V391))</f>
        <v/>
      </c>
      <c r="X392" s="388"/>
      <c r="Y392" s="178" t="str">
        <f ca="1">IF($C392="","",IF($D392="LPSM",X391,VALUE($C392)*X391))</f>
        <v/>
      </c>
      <c r="Z392" s="388"/>
      <c r="AA392" s="178" t="str">
        <f ca="1">IF($C392="","",IF($D392="LPSM",Z391,VALUE($C392)*Z391))</f>
        <v/>
      </c>
      <c r="AB392" s="388"/>
      <c r="AC392" s="178" t="str">
        <f ca="1">IF($C392="","",IF($D392="LPSM",AB391,VALUE($C392)*AB391))</f>
        <v/>
      </c>
      <c r="AD392" s="388"/>
      <c r="AE392" s="178" t="str">
        <f ca="1">IF($C392="","",IF($D392="LPSM",AD391,VALUE($C392)*AD391))</f>
        <v/>
      </c>
      <c r="AF392" s="388"/>
      <c r="AG392" s="178" t="str">
        <f ca="1">IF($C392="","",IF($D392="LPSM",AF391,VALUE($C392)*AF391))</f>
        <v/>
      </c>
      <c r="AH392" s="388"/>
      <c r="AI392" s="178" t="str">
        <f ca="1">IF($C392="","",IF($D392="LPSM",AH391,VALUE($C392)*AH391))</f>
        <v/>
      </c>
      <c r="AJ392" s="388"/>
      <c r="AK392" s="178" t="str">
        <f ca="1">IF($C392="","",IF($D392="LPSM",AJ391,VALUE($C392)*AJ391))</f>
        <v/>
      </c>
      <c r="AL392" s="388"/>
      <c r="AM392" s="178" t="str">
        <f ca="1">IF($C392="","",IF($D392="LPSM",AL391,VALUE($C392)*AL391))</f>
        <v/>
      </c>
      <c r="AN392" s="388"/>
      <c r="AO392" s="178" t="str">
        <f ca="1">IF($C392="","",IF($D392="LPSM",AN391,VALUE($C392)*AN391))</f>
        <v/>
      </c>
      <c r="AP392" s="388"/>
      <c r="AQ392" s="178" t="str">
        <f ca="1">IF($C392="","",IF($D392="LPSM",AP391,VALUE($C392)*AP391))</f>
        <v/>
      </c>
      <c r="AR392" s="209" t="str">
        <f ca="1">IF(LEN(B392)&gt;0,ISNUMBER(MATCH(B392,Proposed[Item],0)),"")</f>
        <v/>
      </c>
    </row>
    <row r="393" spans="1:44" ht="15" x14ac:dyDescent="0.2">
      <c r="A393" s="276">
        <f t="shared" ref="A393:A456" ca="1" si="6">OFFSET(A393,-2,0)+1</f>
        <v>193</v>
      </c>
      <c r="B393" s="168" t="str">
        <f ca="1">IFERROR(INDEX(INDIRECT(RangeItems),MATCH($A393,INDIRECT(RangeCount),0)),"")</f>
        <v/>
      </c>
      <c r="C393" s="365" t="str">
        <f ca="1">INDEX(Calcs[Description],$A393)</f>
        <v/>
      </c>
      <c r="D393" s="365"/>
      <c r="E393" s="365"/>
      <c r="F393" s="365"/>
      <c r="G393" s="365"/>
      <c r="H393" s="388"/>
      <c r="I393" s="177"/>
      <c r="J393" s="388"/>
      <c r="K393" s="177"/>
      <c r="L393" s="388"/>
      <c r="M393" s="177"/>
      <c r="N393" s="388"/>
      <c r="O393" s="177"/>
      <c r="P393" s="388"/>
      <c r="Q393" s="177"/>
      <c r="R393" s="388"/>
      <c r="S393" s="177"/>
      <c r="T393" s="388"/>
      <c r="U393" s="177"/>
      <c r="V393" s="388"/>
      <c r="W393" s="177"/>
      <c r="X393" s="388"/>
      <c r="Y393" s="177"/>
      <c r="Z393" s="388"/>
      <c r="AA393" s="177"/>
      <c r="AB393" s="388"/>
      <c r="AC393" s="177"/>
      <c r="AD393" s="388"/>
      <c r="AE393" s="177"/>
      <c r="AF393" s="388"/>
      <c r="AG393" s="177"/>
      <c r="AH393" s="388"/>
      <c r="AI393" s="177"/>
      <c r="AJ393" s="388"/>
      <c r="AK393" s="177"/>
      <c r="AL393" s="388"/>
      <c r="AM393" s="177"/>
      <c r="AN393" s="388"/>
      <c r="AO393" s="177"/>
      <c r="AP393" s="388"/>
      <c r="AQ393" s="177"/>
      <c r="AR393" s="209" t="str">
        <f ca="1">IF(LEN(B393)&gt;0,ISNUMBER(MATCH(B393,Proposed[Item],0)),"")</f>
        <v/>
      </c>
    </row>
    <row r="394" spans="1:44" ht="15" x14ac:dyDescent="0.2">
      <c r="A394" s="276">
        <f t="shared" ca="1" si="6"/>
        <v>193</v>
      </c>
      <c r="B394" s="111" t="str">
        <f ca="1">IF($A394&lt;=NumPayItems,"Line "&amp;INDEX(Calcs[Line],$A394),"")</f>
        <v/>
      </c>
      <c r="C394" s="169" t="str">
        <f ca="1">IFERROR(IF($D394="LPSM","ALL",TEXT(INDEX(INDIRECT(RangeQuantity),MATCH($A394,INDIRECT(RangeCount),0)),"#,##0"&amp;IF(OFFSET(Items[],MATCH($A394,INDIRECT(RangeCount),0)-1,MATCH(Decimals,Items[#Headers],0)-1,1,1)&gt;0,"."&amp;REPT("0",OFFSET(Items[],MATCH($A394,INDIRECT(RangeCount),0)-1,MATCH(Decimals,Items[#Headers],0)-1,1,1)),""))),"")</f>
        <v/>
      </c>
      <c r="D394" s="170" t="str">
        <f ca="1">IFERROR(INDEX(INDIRECT(RangeUnit),MATCH($A394,INDIRECT(RangeCount),0)),"")</f>
        <v/>
      </c>
      <c r="E394" s="170" t="str">
        <f ca="1">IFERROR(IF(INDEX(INDIRECT(RangeContrQty),MATCH($A394,INDIRECT(RangeCount),0)),"(CQ)",""),"")</f>
        <v/>
      </c>
      <c r="F394" s="171" t="str">
        <f ca="1">IFERROR(INDEX(INDIRECT(RangeUnitPrice),MATCH($A394,INDIRECT(RangeCount),0)),"")</f>
        <v/>
      </c>
      <c r="G394" s="171" t="str">
        <f ca="1">IFERROR(VALUE(C394)*F394,F394)</f>
        <v/>
      </c>
      <c r="H394" s="388"/>
      <c r="I394" s="178" t="str">
        <f ca="1">IF($C394="","",IF($D394="LPSM",H393,VALUE($C394)*H393))</f>
        <v/>
      </c>
      <c r="J394" s="388"/>
      <c r="K394" s="178" t="str">
        <f ca="1">IF($C394="","",IF($D394="LPSM",J393,VALUE($C394)*J393))</f>
        <v/>
      </c>
      <c r="L394" s="388"/>
      <c r="M394" s="178" t="str">
        <f ca="1">IF($C394="","",IF($D394="LPSM",L393,VALUE($C394)*L393))</f>
        <v/>
      </c>
      <c r="N394" s="388"/>
      <c r="O394" s="178" t="str">
        <f ca="1">IF($C394="","",IF($D394="LPSM",N393,VALUE($C394)*N393))</f>
        <v/>
      </c>
      <c r="P394" s="388"/>
      <c r="Q394" s="178" t="str">
        <f ca="1">IF($C394="","",IF($D394="LPSM",P393,VALUE($C394)*P393))</f>
        <v/>
      </c>
      <c r="R394" s="388"/>
      <c r="S394" s="178" t="str">
        <f ca="1">IF($C394="","",IF($D394="LPSM",R393,VALUE($C394)*R393))</f>
        <v/>
      </c>
      <c r="T394" s="388"/>
      <c r="U394" s="178" t="str">
        <f ca="1">IF($C394="","",IF($D394="LPSM",T393,VALUE($C394)*T393))</f>
        <v/>
      </c>
      <c r="V394" s="388"/>
      <c r="W394" s="178" t="str">
        <f ca="1">IF($C394="","",IF($D394="LPSM",V393,VALUE($C394)*V393))</f>
        <v/>
      </c>
      <c r="X394" s="388"/>
      <c r="Y394" s="178" t="str">
        <f ca="1">IF($C394="","",IF($D394="LPSM",X393,VALUE($C394)*X393))</f>
        <v/>
      </c>
      <c r="Z394" s="388"/>
      <c r="AA394" s="178" t="str">
        <f ca="1">IF($C394="","",IF($D394="LPSM",Z393,VALUE($C394)*Z393))</f>
        <v/>
      </c>
      <c r="AB394" s="388"/>
      <c r="AC394" s="178" t="str">
        <f ca="1">IF($C394="","",IF($D394="LPSM",AB393,VALUE($C394)*AB393))</f>
        <v/>
      </c>
      <c r="AD394" s="388"/>
      <c r="AE394" s="178" t="str">
        <f ca="1">IF($C394="","",IF($D394="LPSM",AD393,VALUE($C394)*AD393))</f>
        <v/>
      </c>
      <c r="AF394" s="388"/>
      <c r="AG394" s="178" t="str">
        <f ca="1">IF($C394="","",IF($D394="LPSM",AF393,VALUE($C394)*AF393))</f>
        <v/>
      </c>
      <c r="AH394" s="388"/>
      <c r="AI394" s="178" t="str">
        <f ca="1">IF($C394="","",IF($D394="LPSM",AH393,VALUE($C394)*AH393))</f>
        <v/>
      </c>
      <c r="AJ394" s="388"/>
      <c r="AK394" s="178" t="str">
        <f ca="1">IF($C394="","",IF($D394="LPSM",AJ393,VALUE($C394)*AJ393))</f>
        <v/>
      </c>
      <c r="AL394" s="388"/>
      <c r="AM394" s="178" t="str">
        <f ca="1">IF($C394="","",IF($D394="LPSM",AL393,VALUE($C394)*AL393))</f>
        <v/>
      </c>
      <c r="AN394" s="388"/>
      <c r="AO394" s="178" t="str">
        <f ca="1">IF($C394="","",IF($D394="LPSM",AN393,VALUE($C394)*AN393))</f>
        <v/>
      </c>
      <c r="AP394" s="388"/>
      <c r="AQ394" s="178" t="str">
        <f ca="1">IF($C394="","",IF($D394="LPSM",AP393,VALUE($C394)*AP393))</f>
        <v/>
      </c>
      <c r="AR394" s="209" t="str">
        <f ca="1">IF(LEN(B394)&gt;0,ISNUMBER(MATCH(B394,Proposed[Item],0)),"")</f>
        <v/>
      </c>
    </row>
    <row r="395" spans="1:44" ht="15" x14ac:dyDescent="0.2">
      <c r="A395" s="276">
        <f t="shared" ca="1" si="6"/>
        <v>194</v>
      </c>
      <c r="B395" s="168" t="str">
        <f ca="1">IFERROR(INDEX(INDIRECT(RangeItems),MATCH($A395,INDIRECT(RangeCount),0)),"")</f>
        <v/>
      </c>
      <c r="C395" s="365" t="str">
        <f ca="1">INDEX(Calcs[Description],$A395)</f>
        <v/>
      </c>
      <c r="D395" s="365"/>
      <c r="E395" s="365"/>
      <c r="F395" s="365"/>
      <c r="G395" s="365"/>
      <c r="H395" s="388"/>
      <c r="I395" s="177"/>
      <c r="J395" s="388"/>
      <c r="K395" s="177"/>
      <c r="L395" s="388"/>
      <c r="M395" s="177"/>
      <c r="N395" s="388"/>
      <c r="O395" s="177"/>
      <c r="P395" s="388"/>
      <c r="Q395" s="177"/>
      <c r="R395" s="388"/>
      <c r="S395" s="177"/>
      <c r="T395" s="388"/>
      <c r="U395" s="177"/>
      <c r="V395" s="388"/>
      <c r="W395" s="177"/>
      <c r="X395" s="388"/>
      <c r="Y395" s="177"/>
      <c r="Z395" s="388"/>
      <c r="AA395" s="177"/>
      <c r="AB395" s="388"/>
      <c r="AC395" s="177"/>
      <c r="AD395" s="388"/>
      <c r="AE395" s="177"/>
      <c r="AF395" s="388"/>
      <c r="AG395" s="177"/>
      <c r="AH395" s="388"/>
      <c r="AI395" s="177"/>
      <c r="AJ395" s="388"/>
      <c r="AK395" s="177"/>
      <c r="AL395" s="388"/>
      <c r="AM395" s="177"/>
      <c r="AN395" s="388"/>
      <c r="AO395" s="177"/>
      <c r="AP395" s="388"/>
      <c r="AQ395" s="177"/>
      <c r="AR395" s="209" t="str">
        <f ca="1">IF(LEN(B395)&gt;0,ISNUMBER(MATCH(B395,Proposed[Item],0)),"")</f>
        <v/>
      </c>
    </row>
    <row r="396" spans="1:44" ht="15" x14ac:dyDescent="0.2">
      <c r="A396" s="276">
        <f t="shared" ca="1" si="6"/>
        <v>194</v>
      </c>
      <c r="B396" s="111" t="str">
        <f ca="1">IF($A396&lt;=NumPayItems,"Line "&amp;INDEX(Calcs[Line],$A396),"")</f>
        <v/>
      </c>
      <c r="C396" s="169" t="str">
        <f ca="1">IFERROR(IF($D396="LPSM","ALL",TEXT(INDEX(INDIRECT(RangeQuantity),MATCH($A396,INDIRECT(RangeCount),0)),"#,##0"&amp;IF(OFFSET(Items[],MATCH($A396,INDIRECT(RangeCount),0)-1,MATCH(Decimals,Items[#Headers],0)-1,1,1)&gt;0,"."&amp;REPT("0",OFFSET(Items[],MATCH($A396,INDIRECT(RangeCount),0)-1,MATCH(Decimals,Items[#Headers],0)-1,1,1)),""))),"")</f>
        <v/>
      </c>
      <c r="D396" s="170" t="str">
        <f ca="1">IFERROR(INDEX(INDIRECT(RangeUnit),MATCH($A396,INDIRECT(RangeCount),0)),"")</f>
        <v/>
      </c>
      <c r="E396" s="170" t="str">
        <f ca="1">IFERROR(IF(INDEX(INDIRECT(RangeContrQty),MATCH($A396,INDIRECT(RangeCount),0)),"(CQ)",""),"")</f>
        <v/>
      </c>
      <c r="F396" s="171" t="str">
        <f ca="1">IFERROR(INDEX(INDIRECT(RangeUnitPrice),MATCH($A396,INDIRECT(RangeCount),0)),"")</f>
        <v/>
      </c>
      <c r="G396" s="171" t="str">
        <f ca="1">IFERROR(VALUE(C396)*F396,F396)</f>
        <v/>
      </c>
      <c r="H396" s="388"/>
      <c r="I396" s="178" t="str">
        <f ca="1">IF($C396="","",IF($D396="LPSM",H395,VALUE($C396)*H395))</f>
        <v/>
      </c>
      <c r="J396" s="388"/>
      <c r="K396" s="178" t="str">
        <f ca="1">IF($C396="","",IF($D396="LPSM",J395,VALUE($C396)*J395))</f>
        <v/>
      </c>
      <c r="L396" s="388"/>
      <c r="M396" s="178" t="str">
        <f ca="1">IF($C396="","",IF($D396="LPSM",L395,VALUE($C396)*L395))</f>
        <v/>
      </c>
      <c r="N396" s="388"/>
      <c r="O396" s="178" t="str">
        <f ca="1">IF($C396="","",IF($D396="LPSM",N395,VALUE($C396)*N395))</f>
        <v/>
      </c>
      <c r="P396" s="388"/>
      <c r="Q396" s="178" t="str">
        <f ca="1">IF($C396="","",IF($D396="LPSM",P395,VALUE($C396)*P395))</f>
        <v/>
      </c>
      <c r="R396" s="388"/>
      <c r="S396" s="178" t="str">
        <f ca="1">IF($C396="","",IF($D396="LPSM",R395,VALUE($C396)*R395))</f>
        <v/>
      </c>
      <c r="T396" s="388"/>
      <c r="U396" s="178" t="str">
        <f ca="1">IF($C396="","",IF($D396="LPSM",T395,VALUE($C396)*T395))</f>
        <v/>
      </c>
      <c r="V396" s="388"/>
      <c r="W396" s="178" t="str">
        <f ca="1">IF($C396="","",IF($D396="LPSM",V395,VALUE($C396)*V395))</f>
        <v/>
      </c>
      <c r="X396" s="388"/>
      <c r="Y396" s="178" t="str">
        <f ca="1">IF($C396="","",IF($D396="LPSM",X395,VALUE($C396)*X395))</f>
        <v/>
      </c>
      <c r="Z396" s="388"/>
      <c r="AA396" s="178" t="str">
        <f ca="1">IF($C396="","",IF($D396="LPSM",Z395,VALUE($C396)*Z395))</f>
        <v/>
      </c>
      <c r="AB396" s="388"/>
      <c r="AC396" s="178" t="str">
        <f ca="1">IF($C396="","",IF($D396="LPSM",AB395,VALUE($C396)*AB395))</f>
        <v/>
      </c>
      <c r="AD396" s="388"/>
      <c r="AE396" s="178" t="str">
        <f ca="1">IF($C396="","",IF($D396="LPSM",AD395,VALUE($C396)*AD395))</f>
        <v/>
      </c>
      <c r="AF396" s="388"/>
      <c r="AG396" s="178" t="str">
        <f ca="1">IF($C396="","",IF($D396="LPSM",AF395,VALUE($C396)*AF395))</f>
        <v/>
      </c>
      <c r="AH396" s="388"/>
      <c r="AI396" s="178" t="str">
        <f ca="1">IF($C396="","",IF($D396="LPSM",AH395,VALUE($C396)*AH395))</f>
        <v/>
      </c>
      <c r="AJ396" s="388"/>
      <c r="AK396" s="178" t="str">
        <f ca="1">IF($C396="","",IF($D396="LPSM",AJ395,VALUE($C396)*AJ395))</f>
        <v/>
      </c>
      <c r="AL396" s="388"/>
      <c r="AM396" s="178" t="str">
        <f ca="1">IF($C396="","",IF($D396="LPSM",AL395,VALUE($C396)*AL395))</f>
        <v/>
      </c>
      <c r="AN396" s="388"/>
      <c r="AO396" s="178" t="str">
        <f ca="1">IF($C396="","",IF($D396="LPSM",AN395,VALUE($C396)*AN395))</f>
        <v/>
      </c>
      <c r="AP396" s="388"/>
      <c r="AQ396" s="178" t="str">
        <f ca="1">IF($C396="","",IF($D396="LPSM",AP395,VALUE($C396)*AP395))</f>
        <v/>
      </c>
      <c r="AR396" s="209" t="str">
        <f ca="1">IF(LEN(B396)&gt;0,ISNUMBER(MATCH(B396,Proposed[Item],0)),"")</f>
        <v/>
      </c>
    </row>
    <row r="397" spans="1:44" ht="15" x14ac:dyDescent="0.2">
      <c r="A397" s="276">
        <f t="shared" ca="1" si="6"/>
        <v>195</v>
      </c>
      <c r="B397" s="168" t="str">
        <f ca="1">IFERROR(INDEX(INDIRECT(RangeItems),MATCH($A397,INDIRECT(RangeCount),0)),"")</f>
        <v/>
      </c>
      <c r="C397" s="365" t="str">
        <f ca="1">INDEX(Calcs[Description],$A397)</f>
        <v/>
      </c>
      <c r="D397" s="365"/>
      <c r="E397" s="365"/>
      <c r="F397" s="365"/>
      <c r="G397" s="365"/>
      <c r="H397" s="388"/>
      <c r="I397" s="177"/>
      <c r="J397" s="388"/>
      <c r="K397" s="177"/>
      <c r="L397" s="388"/>
      <c r="M397" s="177"/>
      <c r="N397" s="388"/>
      <c r="O397" s="177"/>
      <c r="P397" s="388"/>
      <c r="Q397" s="177"/>
      <c r="R397" s="388"/>
      <c r="S397" s="177"/>
      <c r="T397" s="388"/>
      <c r="U397" s="177"/>
      <c r="V397" s="388"/>
      <c r="W397" s="177"/>
      <c r="X397" s="388"/>
      <c r="Y397" s="177"/>
      <c r="Z397" s="388"/>
      <c r="AA397" s="177"/>
      <c r="AB397" s="388"/>
      <c r="AC397" s="177"/>
      <c r="AD397" s="388"/>
      <c r="AE397" s="177"/>
      <c r="AF397" s="388"/>
      <c r="AG397" s="177"/>
      <c r="AH397" s="388"/>
      <c r="AI397" s="177"/>
      <c r="AJ397" s="388"/>
      <c r="AK397" s="177"/>
      <c r="AL397" s="388"/>
      <c r="AM397" s="177"/>
      <c r="AN397" s="388"/>
      <c r="AO397" s="177"/>
      <c r="AP397" s="388"/>
      <c r="AQ397" s="177"/>
      <c r="AR397" s="209" t="str">
        <f ca="1">IF(LEN(B397)&gt;0,ISNUMBER(MATCH(B397,Proposed[Item],0)),"")</f>
        <v/>
      </c>
    </row>
    <row r="398" spans="1:44" ht="15" x14ac:dyDescent="0.2">
      <c r="A398" s="276">
        <f t="shared" ca="1" si="6"/>
        <v>195</v>
      </c>
      <c r="B398" s="111" t="str">
        <f ca="1">IF($A398&lt;=NumPayItems,"Line "&amp;INDEX(Calcs[Line],$A398),"")</f>
        <v/>
      </c>
      <c r="C398" s="169" t="str">
        <f ca="1">IFERROR(IF($D398="LPSM","ALL",TEXT(INDEX(INDIRECT(RangeQuantity),MATCH($A398,INDIRECT(RangeCount),0)),"#,##0"&amp;IF(OFFSET(Items[],MATCH($A398,INDIRECT(RangeCount),0)-1,MATCH(Decimals,Items[#Headers],0)-1,1,1)&gt;0,"."&amp;REPT("0",OFFSET(Items[],MATCH($A398,INDIRECT(RangeCount),0)-1,MATCH(Decimals,Items[#Headers],0)-1,1,1)),""))),"")</f>
        <v/>
      </c>
      <c r="D398" s="170" t="str">
        <f ca="1">IFERROR(INDEX(INDIRECT(RangeUnit),MATCH($A398,INDIRECT(RangeCount),0)),"")</f>
        <v/>
      </c>
      <c r="E398" s="170" t="str">
        <f ca="1">IFERROR(IF(INDEX(INDIRECT(RangeContrQty),MATCH($A398,INDIRECT(RangeCount),0)),"(CQ)",""),"")</f>
        <v/>
      </c>
      <c r="F398" s="171" t="str">
        <f ca="1">IFERROR(INDEX(INDIRECT(RangeUnitPrice),MATCH($A398,INDIRECT(RangeCount),0)),"")</f>
        <v/>
      </c>
      <c r="G398" s="171" t="str">
        <f ca="1">IFERROR(VALUE(C398)*F398,F398)</f>
        <v/>
      </c>
      <c r="H398" s="388"/>
      <c r="I398" s="178" t="str">
        <f ca="1">IF($C398="","",IF($D398="LPSM",H397,VALUE($C398)*H397))</f>
        <v/>
      </c>
      <c r="J398" s="388"/>
      <c r="K398" s="178" t="str">
        <f ca="1">IF($C398="","",IF($D398="LPSM",J397,VALUE($C398)*J397))</f>
        <v/>
      </c>
      <c r="L398" s="388"/>
      <c r="M398" s="178" t="str">
        <f ca="1">IF($C398="","",IF($D398="LPSM",L397,VALUE($C398)*L397))</f>
        <v/>
      </c>
      <c r="N398" s="388"/>
      <c r="O398" s="178" t="str">
        <f ca="1">IF($C398="","",IF($D398="LPSM",N397,VALUE($C398)*N397))</f>
        <v/>
      </c>
      <c r="P398" s="388"/>
      <c r="Q398" s="178" t="str">
        <f ca="1">IF($C398="","",IF($D398="LPSM",P397,VALUE($C398)*P397))</f>
        <v/>
      </c>
      <c r="R398" s="388"/>
      <c r="S398" s="178" t="str">
        <f ca="1">IF($C398="","",IF($D398="LPSM",R397,VALUE($C398)*R397))</f>
        <v/>
      </c>
      <c r="T398" s="388"/>
      <c r="U398" s="178" t="str">
        <f ca="1">IF($C398="","",IF($D398="LPSM",T397,VALUE($C398)*T397))</f>
        <v/>
      </c>
      <c r="V398" s="388"/>
      <c r="W398" s="178" t="str">
        <f ca="1">IF($C398="","",IF($D398="LPSM",V397,VALUE($C398)*V397))</f>
        <v/>
      </c>
      <c r="X398" s="388"/>
      <c r="Y398" s="178" t="str">
        <f ca="1">IF($C398="","",IF($D398="LPSM",X397,VALUE($C398)*X397))</f>
        <v/>
      </c>
      <c r="Z398" s="388"/>
      <c r="AA398" s="178" t="str">
        <f ca="1">IF($C398="","",IF($D398="LPSM",Z397,VALUE($C398)*Z397))</f>
        <v/>
      </c>
      <c r="AB398" s="388"/>
      <c r="AC398" s="178" t="str">
        <f ca="1">IF($C398="","",IF($D398="LPSM",AB397,VALUE($C398)*AB397))</f>
        <v/>
      </c>
      <c r="AD398" s="388"/>
      <c r="AE398" s="178" t="str">
        <f ca="1">IF($C398="","",IF($D398="LPSM",AD397,VALUE($C398)*AD397))</f>
        <v/>
      </c>
      <c r="AF398" s="388"/>
      <c r="AG398" s="178" t="str">
        <f ca="1">IF($C398="","",IF($D398="LPSM",AF397,VALUE($C398)*AF397))</f>
        <v/>
      </c>
      <c r="AH398" s="388"/>
      <c r="AI398" s="178" t="str">
        <f ca="1">IF($C398="","",IF($D398="LPSM",AH397,VALUE($C398)*AH397))</f>
        <v/>
      </c>
      <c r="AJ398" s="388"/>
      <c r="AK398" s="178" t="str">
        <f ca="1">IF($C398="","",IF($D398="LPSM",AJ397,VALUE($C398)*AJ397))</f>
        <v/>
      </c>
      <c r="AL398" s="388"/>
      <c r="AM398" s="178" t="str">
        <f ca="1">IF($C398="","",IF($D398="LPSM",AL397,VALUE($C398)*AL397))</f>
        <v/>
      </c>
      <c r="AN398" s="388"/>
      <c r="AO398" s="178" t="str">
        <f ca="1">IF($C398="","",IF($D398="LPSM",AN397,VALUE($C398)*AN397))</f>
        <v/>
      </c>
      <c r="AP398" s="388"/>
      <c r="AQ398" s="178" t="str">
        <f ca="1">IF($C398="","",IF($D398="LPSM",AP397,VALUE($C398)*AP397))</f>
        <v/>
      </c>
      <c r="AR398" s="209" t="str">
        <f ca="1">IF(LEN(B398)&gt;0,ISNUMBER(MATCH(B398,Proposed[Item],0)),"")</f>
        <v/>
      </c>
    </row>
    <row r="399" spans="1:44" ht="15" x14ac:dyDescent="0.2">
      <c r="A399" s="276">
        <f t="shared" ca="1" si="6"/>
        <v>196</v>
      </c>
      <c r="B399" s="168" t="str">
        <f ca="1">IFERROR(INDEX(INDIRECT(RangeItems),MATCH($A399,INDIRECT(RangeCount),0)),"")</f>
        <v/>
      </c>
      <c r="C399" s="365" t="str">
        <f ca="1">INDEX(Calcs[Description],$A399)</f>
        <v/>
      </c>
      <c r="D399" s="365"/>
      <c r="E399" s="365"/>
      <c r="F399" s="365"/>
      <c r="G399" s="365"/>
      <c r="H399" s="388"/>
      <c r="I399" s="177"/>
      <c r="J399" s="388"/>
      <c r="K399" s="177"/>
      <c r="L399" s="388"/>
      <c r="M399" s="177"/>
      <c r="N399" s="388"/>
      <c r="O399" s="177"/>
      <c r="P399" s="388"/>
      <c r="Q399" s="177"/>
      <c r="R399" s="388"/>
      <c r="S399" s="177"/>
      <c r="T399" s="388"/>
      <c r="U399" s="177"/>
      <c r="V399" s="388"/>
      <c r="W399" s="177"/>
      <c r="X399" s="388"/>
      <c r="Y399" s="177"/>
      <c r="Z399" s="388"/>
      <c r="AA399" s="177"/>
      <c r="AB399" s="388"/>
      <c r="AC399" s="177"/>
      <c r="AD399" s="388"/>
      <c r="AE399" s="177"/>
      <c r="AF399" s="388"/>
      <c r="AG399" s="177"/>
      <c r="AH399" s="388"/>
      <c r="AI399" s="177"/>
      <c r="AJ399" s="388"/>
      <c r="AK399" s="177"/>
      <c r="AL399" s="388"/>
      <c r="AM399" s="177"/>
      <c r="AN399" s="388"/>
      <c r="AO399" s="177"/>
      <c r="AP399" s="388"/>
      <c r="AQ399" s="177"/>
      <c r="AR399" s="209" t="str">
        <f ca="1">IF(LEN(B399)&gt;0,ISNUMBER(MATCH(B399,Proposed[Item],0)),"")</f>
        <v/>
      </c>
    </row>
    <row r="400" spans="1:44" ht="15" x14ac:dyDescent="0.2">
      <c r="A400" s="276">
        <f t="shared" ca="1" si="6"/>
        <v>196</v>
      </c>
      <c r="B400" s="111" t="str">
        <f ca="1">IF($A400&lt;=NumPayItems,"Line "&amp;INDEX(Calcs[Line],$A400),"")</f>
        <v/>
      </c>
      <c r="C400" s="169" t="str">
        <f ca="1">IFERROR(IF($D400="LPSM","ALL",TEXT(INDEX(INDIRECT(RangeQuantity),MATCH($A400,INDIRECT(RangeCount),0)),"#,##0"&amp;IF(OFFSET(Items[],MATCH($A400,INDIRECT(RangeCount),0)-1,MATCH(Decimals,Items[#Headers],0)-1,1,1)&gt;0,"."&amp;REPT("0",OFFSET(Items[],MATCH($A400,INDIRECT(RangeCount),0)-1,MATCH(Decimals,Items[#Headers],0)-1,1,1)),""))),"")</f>
        <v/>
      </c>
      <c r="D400" s="170" t="str">
        <f ca="1">IFERROR(INDEX(INDIRECT(RangeUnit),MATCH($A400,INDIRECT(RangeCount),0)),"")</f>
        <v/>
      </c>
      <c r="E400" s="170" t="str">
        <f ca="1">IFERROR(IF(INDEX(INDIRECT(RangeContrQty),MATCH($A400,INDIRECT(RangeCount),0)),"(CQ)",""),"")</f>
        <v/>
      </c>
      <c r="F400" s="171" t="str">
        <f ca="1">IFERROR(INDEX(INDIRECT(RangeUnitPrice),MATCH($A400,INDIRECT(RangeCount),0)),"")</f>
        <v/>
      </c>
      <c r="G400" s="171" t="str">
        <f ca="1">IFERROR(VALUE(C400)*F400,F400)</f>
        <v/>
      </c>
      <c r="H400" s="388"/>
      <c r="I400" s="178" t="str">
        <f ca="1">IF($C400="","",IF($D400="LPSM",H399,VALUE($C400)*H399))</f>
        <v/>
      </c>
      <c r="J400" s="388"/>
      <c r="K400" s="178" t="str">
        <f ca="1">IF($C400="","",IF($D400="LPSM",J399,VALUE($C400)*J399))</f>
        <v/>
      </c>
      <c r="L400" s="388"/>
      <c r="M400" s="178" t="str">
        <f ca="1">IF($C400="","",IF($D400="LPSM",L399,VALUE($C400)*L399))</f>
        <v/>
      </c>
      <c r="N400" s="388"/>
      <c r="O400" s="178" t="str">
        <f ca="1">IF($C400="","",IF($D400="LPSM",N399,VALUE($C400)*N399))</f>
        <v/>
      </c>
      <c r="P400" s="388"/>
      <c r="Q400" s="178" t="str">
        <f ca="1">IF($C400="","",IF($D400="LPSM",P399,VALUE($C400)*P399))</f>
        <v/>
      </c>
      <c r="R400" s="388"/>
      <c r="S400" s="178" t="str">
        <f ca="1">IF($C400="","",IF($D400="LPSM",R399,VALUE($C400)*R399))</f>
        <v/>
      </c>
      <c r="T400" s="388"/>
      <c r="U400" s="178" t="str">
        <f ca="1">IF($C400="","",IF($D400="LPSM",T399,VALUE($C400)*T399))</f>
        <v/>
      </c>
      <c r="V400" s="388"/>
      <c r="W400" s="178" t="str">
        <f ca="1">IF($C400="","",IF($D400="LPSM",V399,VALUE($C400)*V399))</f>
        <v/>
      </c>
      <c r="X400" s="388"/>
      <c r="Y400" s="178" t="str">
        <f ca="1">IF($C400="","",IF($D400="LPSM",X399,VALUE($C400)*X399))</f>
        <v/>
      </c>
      <c r="Z400" s="388"/>
      <c r="AA400" s="178" t="str">
        <f ca="1">IF($C400="","",IF($D400="LPSM",Z399,VALUE($C400)*Z399))</f>
        <v/>
      </c>
      <c r="AB400" s="388"/>
      <c r="AC400" s="178" t="str">
        <f ca="1">IF($C400="","",IF($D400="LPSM",AB399,VALUE($C400)*AB399))</f>
        <v/>
      </c>
      <c r="AD400" s="388"/>
      <c r="AE400" s="178" t="str">
        <f ca="1">IF($C400="","",IF($D400="LPSM",AD399,VALUE($C400)*AD399))</f>
        <v/>
      </c>
      <c r="AF400" s="388"/>
      <c r="AG400" s="178" t="str">
        <f ca="1">IF($C400="","",IF($D400="LPSM",AF399,VALUE($C400)*AF399))</f>
        <v/>
      </c>
      <c r="AH400" s="388"/>
      <c r="AI400" s="178" t="str">
        <f ca="1">IF($C400="","",IF($D400="LPSM",AH399,VALUE($C400)*AH399))</f>
        <v/>
      </c>
      <c r="AJ400" s="388"/>
      <c r="AK400" s="178" t="str">
        <f ca="1">IF($C400="","",IF($D400="LPSM",AJ399,VALUE($C400)*AJ399))</f>
        <v/>
      </c>
      <c r="AL400" s="388"/>
      <c r="AM400" s="178" t="str">
        <f ca="1">IF($C400="","",IF($D400="LPSM",AL399,VALUE($C400)*AL399))</f>
        <v/>
      </c>
      <c r="AN400" s="388"/>
      <c r="AO400" s="178" t="str">
        <f ca="1">IF($C400="","",IF($D400="LPSM",AN399,VALUE($C400)*AN399))</f>
        <v/>
      </c>
      <c r="AP400" s="388"/>
      <c r="AQ400" s="178" t="str">
        <f ca="1">IF($C400="","",IF($D400="LPSM",AP399,VALUE($C400)*AP399))</f>
        <v/>
      </c>
      <c r="AR400" s="209" t="str">
        <f ca="1">IF(LEN(B400)&gt;0,ISNUMBER(MATCH(B400,Proposed[Item],0)),"")</f>
        <v/>
      </c>
    </row>
    <row r="401" spans="1:44" ht="15" x14ac:dyDescent="0.2">
      <c r="A401" s="276">
        <f t="shared" ca="1" si="6"/>
        <v>197</v>
      </c>
      <c r="B401" s="168" t="str">
        <f ca="1">IFERROR(INDEX(INDIRECT(RangeItems),MATCH($A401,INDIRECT(RangeCount),0)),"")</f>
        <v/>
      </c>
      <c r="C401" s="365" t="str">
        <f ca="1">INDEX(Calcs[Description],$A401)</f>
        <v/>
      </c>
      <c r="D401" s="365"/>
      <c r="E401" s="365"/>
      <c r="F401" s="365"/>
      <c r="G401" s="365"/>
      <c r="H401" s="388"/>
      <c r="I401" s="177"/>
      <c r="J401" s="388"/>
      <c r="K401" s="177"/>
      <c r="L401" s="388"/>
      <c r="M401" s="177"/>
      <c r="N401" s="388"/>
      <c r="O401" s="177"/>
      <c r="P401" s="388"/>
      <c r="Q401" s="177"/>
      <c r="R401" s="388"/>
      <c r="S401" s="177"/>
      <c r="T401" s="388"/>
      <c r="U401" s="177"/>
      <c r="V401" s="388"/>
      <c r="W401" s="177"/>
      <c r="X401" s="388"/>
      <c r="Y401" s="177"/>
      <c r="Z401" s="388"/>
      <c r="AA401" s="177"/>
      <c r="AB401" s="388"/>
      <c r="AC401" s="177"/>
      <c r="AD401" s="388"/>
      <c r="AE401" s="177"/>
      <c r="AF401" s="388"/>
      <c r="AG401" s="177"/>
      <c r="AH401" s="388"/>
      <c r="AI401" s="177"/>
      <c r="AJ401" s="388"/>
      <c r="AK401" s="177"/>
      <c r="AL401" s="388"/>
      <c r="AM401" s="177"/>
      <c r="AN401" s="388"/>
      <c r="AO401" s="177"/>
      <c r="AP401" s="388"/>
      <c r="AQ401" s="177"/>
      <c r="AR401" s="209" t="str">
        <f ca="1">IF(LEN(B401)&gt;0,ISNUMBER(MATCH(B401,Proposed[Item],0)),"")</f>
        <v/>
      </c>
    </row>
    <row r="402" spans="1:44" ht="15" x14ac:dyDescent="0.2">
      <c r="A402" s="276">
        <f t="shared" ca="1" si="6"/>
        <v>197</v>
      </c>
      <c r="B402" s="111" t="str">
        <f ca="1">IF($A402&lt;=NumPayItems,"Line "&amp;INDEX(Calcs[Line],$A402),"")</f>
        <v/>
      </c>
      <c r="C402" s="169" t="str">
        <f ca="1">IFERROR(IF($D402="LPSM","ALL",TEXT(INDEX(INDIRECT(RangeQuantity),MATCH($A402,INDIRECT(RangeCount),0)),"#,##0"&amp;IF(OFFSET(Items[],MATCH($A402,INDIRECT(RangeCount),0)-1,MATCH(Decimals,Items[#Headers],0)-1,1,1)&gt;0,"."&amp;REPT("0",OFFSET(Items[],MATCH($A402,INDIRECT(RangeCount),0)-1,MATCH(Decimals,Items[#Headers],0)-1,1,1)),""))),"")</f>
        <v/>
      </c>
      <c r="D402" s="170" t="str">
        <f ca="1">IFERROR(INDEX(INDIRECT(RangeUnit),MATCH($A402,INDIRECT(RangeCount),0)),"")</f>
        <v/>
      </c>
      <c r="E402" s="170" t="str">
        <f ca="1">IFERROR(IF(INDEX(INDIRECT(RangeContrQty),MATCH($A402,INDIRECT(RangeCount),0)),"(CQ)",""),"")</f>
        <v/>
      </c>
      <c r="F402" s="171" t="str">
        <f ca="1">IFERROR(INDEX(INDIRECT(RangeUnitPrice),MATCH($A402,INDIRECT(RangeCount),0)),"")</f>
        <v/>
      </c>
      <c r="G402" s="171" t="str">
        <f ca="1">IFERROR(VALUE(C402)*F402,F402)</f>
        <v/>
      </c>
      <c r="H402" s="388"/>
      <c r="I402" s="178" t="str">
        <f ca="1">IF($C402="","",IF($D402="LPSM",H401,VALUE($C402)*H401))</f>
        <v/>
      </c>
      <c r="J402" s="388"/>
      <c r="K402" s="178" t="str">
        <f ca="1">IF($C402="","",IF($D402="LPSM",J401,VALUE($C402)*J401))</f>
        <v/>
      </c>
      <c r="L402" s="388"/>
      <c r="M402" s="178" t="str">
        <f ca="1">IF($C402="","",IF($D402="LPSM",L401,VALUE($C402)*L401))</f>
        <v/>
      </c>
      <c r="N402" s="388"/>
      <c r="O402" s="178" t="str">
        <f ca="1">IF($C402="","",IF($D402="LPSM",N401,VALUE($C402)*N401))</f>
        <v/>
      </c>
      <c r="P402" s="388"/>
      <c r="Q402" s="178" t="str">
        <f ca="1">IF($C402="","",IF($D402="LPSM",P401,VALUE($C402)*P401))</f>
        <v/>
      </c>
      <c r="R402" s="388"/>
      <c r="S402" s="178" t="str">
        <f ca="1">IF($C402="","",IF($D402="LPSM",R401,VALUE($C402)*R401))</f>
        <v/>
      </c>
      <c r="T402" s="388"/>
      <c r="U402" s="178" t="str">
        <f ca="1">IF($C402="","",IF($D402="LPSM",T401,VALUE($C402)*T401))</f>
        <v/>
      </c>
      <c r="V402" s="388"/>
      <c r="W402" s="178" t="str">
        <f ca="1">IF($C402="","",IF($D402="LPSM",V401,VALUE($C402)*V401))</f>
        <v/>
      </c>
      <c r="X402" s="388"/>
      <c r="Y402" s="178" t="str">
        <f ca="1">IF($C402="","",IF($D402="LPSM",X401,VALUE($C402)*X401))</f>
        <v/>
      </c>
      <c r="Z402" s="388"/>
      <c r="AA402" s="178" t="str">
        <f ca="1">IF($C402="","",IF($D402="LPSM",Z401,VALUE($C402)*Z401))</f>
        <v/>
      </c>
      <c r="AB402" s="388"/>
      <c r="AC402" s="178" t="str">
        <f ca="1">IF($C402="","",IF($D402="LPSM",AB401,VALUE($C402)*AB401))</f>
        <v/>
      </c>
      <c r="AD402" s="388"/>
      <c r="AE402" s="178" t="str">
        <f ca="1">IF($C402="","",IF($D402="LPSM",AD401,VALUE($C402)*AD401))</f>
        <v/>
      </c>
      <c r="AF402" s="388"/>
      <c r="AG402" s="178" t="str">
        <f ca="1">IF($C402="","",IF($D402="LPSM",AF401,VALUE($C402)*AF401))</f>
        <v/>
      </c>
      <c r="AH402" s="388"/>
      <c r="AI402" s="178" t="str">
        <f ca="1">IF($C402="","",IF($D402="LPSM",AH401,VALUE($C402)*AH401))</f>
        <v/>
      </c>
      <c r="AJ402" s="388"/>
      <c r="AK402" s="178" t="str">
        <f ca="1">IF($C402="","",IF($D402="LPSM",AJ401,VALUE($C402)*AJ401))</f>
        <v/>
      </c>
      <c r="AL402" s="388"/>
      <c r="AM402" s="178" t="str">
        <f ca="1">IF($C402="","",IF($D402="LPSM",AL401,VALUE($C402)*AL401))</f>
        <v/>
      </c>
      <c r="AN402" s="388"/>
      <c r="AO402" s="178" t="str">
        <f ca="1">IF($C402="","",IF($D402="LPSM",AN401,VALUE($C402)*AN401))</f>
        <v/>
      </c>
      <c r="AP402" s="388"/>
      <c r="AQ402" s="178" t="str">
        <f ca="1">IF($C402="","",IF($D402="LPSM",AP401,VALUE($C402)*AP401))</f>
        <v/>
      </c>
      <c r="AR402" s="209" t="str">
        <f ca="1">IF(LEN(B402)&gt;0,ISNUMBER(MATCH(B402,Proposed[Item],0)),"")</f>
        <v/>
      </c>
    </row>
    <row r="403" spans="1:44" ht="15" x14ac:dyDescent="0.2">
      <c r="A403" s="276">
        <f t="shared" ca="1" si="6"/>
        <v>198</v>
      </c>
      <c r="B403" s="168" t="str">
        <f ca="1">IFERROR(INDEX(INDIRECT(RangeItems),MATCH($A403,INDIRECT(RangeCount),0)),"")</f>
        <v/>
      </c>
      <c r="C403" s="365" t="str">
        <f ca="1">INDEX(Calcs[Description],$A403)</f>
        <v/>
      </c>
      <c r="D403" s="365"/>
      <c r="E403" s="365"/>
      <c r="F403" s="365"/>
      <c r="G403" s="365"/>
      <c r="H403" s="388"/>
      <c r="I403" s="177"/>
      <c r="J403" s="388"/>
      <c r="K403" s="177"/>
      <c r="L403" s="388"/>
      <c r="M403" s="177"/>
      <c r="N403" s="388"/>
      <c r="O403" s="177"/>
      <c r="P403" s="388"/>
      <c r="Q403" s="177"/>
      <c r="R403" s="388"/>
      <c r="S403" s="177"/>
      <c r="T403" s="388"/>
      <c r="U403" s="177"/>
      <c r="V403" s="388"/>
      <c r="W403" s="177"/>
      <c r="X403" s="388"/>
      <c r="Y403" s="177"/>
      <c r="Z403" s="388"/>
      <c r="AA403" s="177"/>
      <c r="AB403" s="388"/>
      <c r="AC403" s="177"/>
      <c r="AD403" s="388"/>
      <c r="AE403" s="177"/>
      <c r="AF403" s="388"/>
      <c r="AG403" s="177"/>
      <c r="AH403" s="388"/>
      <c r="AI403" s="177"/>
      <c r="AJ403" s="388"/>
      <c r="AK403" s="177"/>
      <c r="AL403" s="388"/>
      <c r="AM403" s="177"/>
      <c r="AN403" s="388"/>
      <c r="AO403" s="177"/>
      <c r="AP403" s="388"/>
      <c r="AQ403" s="177"/>
      <c r="AR403" s="209" t="str">
        <f ca="1">IF(LEN(B403)&gt;0,ISNUMBER(MATCH(B403,Proposed[Item],0)),"")</f>
        <v/>
      </c>
    </row>
    <row r="404" spans="1:44" ht="15" x14ac:dyDescent="0.2">
      <c r="A404" s="276">
        <f t="shared" ca="1" si="6"/>
        <v>198</v>
      </c>
      <c r="B404" s="111" t="str">
        <f ca="1">IF($A404&lt;=NumPayItems,"Line "&amp;INDEX(Calcs[Line],$A404),"")</f>
        <v/>
      </c>
      <c r="C404" s="169" t="str">
        <f ca="1">IFERROR(IF($D404="LPSM","ALL",TEXT(INDEX(INDIRECT(RangeQuantity),MATCH($A404,INDIRECT(RangeCount),0)),"#,##0"&amp;IF(OFFSET(Items[],MATCH($A404,INDIRECT(RangeCount),0)-1,MATCH(Decimals,Items[#Headers],0)-1,1,1)&gt;0,"."&amp;REPT("0",OFFSET(Items[],MATCH($A404,INDIRECT(RangeCount),0)-1,MATCH(Decimals,Items[#Headers],0)-1,1,1)),""))),"")</f>
        <v/>
      </c>
      <c r="D404" s="170" t="str">
        <f ca="1">IFERROR(INDEX(INDIRECT(RangeUnit),MATCH($A404,INDIRECT(RangeCount),0)),"")</f>
        <v/>
      </c>
      <c r="E404" s="170" t="str">
        <f ca="1">IFERROR(IF(INDEX(INDIRECT(RangeContrQty),MATCH($A404,INDIRECT(RangeCount),0)),"(CQ)",""),"")</f>
        <v/>
      </c>
      <c r="F404" s="171" t="str">
        <f ca="1">IFERROR(INDEX(INDIRECT(RangeUnitPrice),MATCH($A404,INDIRECT(RangeCount),0)),"")</f>
        <v/>
      </c>
      <c r="G404" s="171" t="str">
        <f ca="1">IFERROR(VALUE(C404)*F404,F404)</f>
        <v/>
      </c>
      <c r="H404" s="388"/>
      <c r="I404" s="178" t="str">
        <f ca="1">IF($C404="","",IF($D404="LPSM",H403,VALUE($C404)*H403))</f>
        <v/>
      </c>
      <c r="J404" s="388"/>
      <c r="K404" s="178" t="str">
        <f ca="1">IF($C404="","",IF($D404="LPSM",J403,VALUE($C404)*J403))</f>
        <v/>
      </c>
      <c r="L404" s="388"/>
      <c r="M404" s="178" t="str">
        <f ca="1">IF($C404="","",IF($D404="LPSM",L403,VALUE($C404)*L403))</f>
        <v/>
      </c>
      <c r="N404" s="388"/>
      <c r="O404" s="178" t="str">
        <f ca="1">IF($C404="","",IF($D404="LPSM",N403,VALUE($C404)*N403))</f>
        <v/>
      </c>
      <c r="P404" s="388"/>
      <c r="Q404" s="178" t="str">
        <f ca="1">IF($C404="","",IF($D404="LPSM",P403,VALUE($C404)*P403))</f>
        <v/>
      </c>
      <c r="R404" s="388"/>
      <c r="S404" s="178" t="str">
        <f ca="1">IF($C404="","",IF($D404="LPSM",R403,VALUE($C404)*R403))</f>
        <v/>
      </c>
      <c r="T404" s="388"/>
      <c r="U404" s="178" t="str">
        <f ca="1">IF($C404="","",IF($D404="LPSM",T403,VALUE($C404)*T403))</f>
        <v/>
      </c>
      <c r="V404" s="388"/>
      <c r="W404" s="178" t="str">
        <f ca="1">IF($C404="","",IF($D404="LPSM",V403,VALUE($C404)*V403))</f>
        <v/>
      </c>
      <c r="X404" s="388"/>
      <c r="Y404" s="178" t="str">
        <f ca="1">IF($C404="","",IF($D404="LPSM",X403,VALUE($C404)*X403))</f>
        <v/>
      </c>
      <c r="Z404" s="388"/>
      <c r="AA404" s="178" t="str">
        <f ca="1">IF($C404="","",IF($D404="LPSM",Z403,VALUE($C404)*Z403))</f>
        <v/>
      </c>
      <c r="AB404" s="388"/>
      <c r="AC404" s="178" t="str">
        <f ca="1">IF($C404="","",IF($D404="LPSM",AB403,VALUE($C404)*AB403))</f>
        <v/>
      </c>
      <c r="AD404" s="388"/>
      <c r="AE404" s="178" t="str">
        <f ca="1">IF($C404="","",IF($D404="LPSM",AD403,VALUE($C404)*AD403))</f>
        <v/>
      </c>
      <c r="AF404" s="388"/>
      <c r="AG404" s="178" t="str">
        <f ca="1">IF($C404="","",IF($D404="LPSM",AF403,VALUE($C404)*AF403))</f>
        <v/>
      </c>
      <c r="AH404" s="388"/>
      <c r="AI404" s="178" t="str">
        <f ca="1">IF($C404="","",IF($D404="LPSM",AH403,VALUE($C404)*AH403))</f>
        <v/>
      </c>
      <c r="AJ404" s="388"/>
      <c r="AK404" s="178" t="str">
        <f ca="1">IF($C404="","",IF($D404="LPSM",AJ403,VALUE($C404)*AJ403))</f>
        <v/>
      </c>
      <c r="AL404" s="388"/>
      <c r="AM404" s="178" t="str">
        <f ca="1">IF($C404="","",IF($D404="LPSM",AL403,VALUE($C404)*AL403))</f>
        <v/>
      </c>
      <c r="AN404" s="388"/>
      <c r="AO404" s="178" t="str">
        <f ca="1">IF($C404="","",IF($D404="LPSM",AN403,VALUE($C404)*AN403))</f>
        <v/>
      </c>
      <c r="AP404" s="388"/>
      <c r="AQ404" s="178" t="str">
        <f ca="1">IF($C404="","",IF($D404="LPSM",AP403,VALUE($C404)*AP403))</f>
        <v/>
      </c>
      <c r="AR404" s="209" t="str">
        <f ca="1">IF(LEN(B404)&gt;0,ISNUMBER(MATCH(B404,Proposed[Item],0)),"")</f>
        <v/>
      </c>
    </row>
    <row r="405" spans="1:44" ht="15" x14ac:dyDescent="0.2">
      <c r="A405" s="276">
        <f t="shared" ca="1" si="6"/>
        <v>199</v>
      </c>
      <c r="B405" s="168" t="str">
        <f ca="1">IFERROR(INDEX(INDIRECT(RangeItems),MATCH($A405,INDIRECT(RangeCount),0)),"")</f>
        <v/>
      </c>
      <c r="C405" s="365" t="str">
        <f ca="1">INDEX(Calcs[Description],$A405)</f>
        <v/>
      </c>
      <c r="D405" s="365"/>
      <c r="E405" s="365"/>
      <c r="F405" s="365"/>
      <c r="G405" s="365"/>
      <c r="H405" s="388"/>
      <c r="I405" s="177"/>
      <c r="J405" s="388"/>
      <c r="K405" s="177"/>
      <c r="L405" s="388"/>
      <c r="M405" s="177"/>
      <c r="N405" s="388"/>
      <c r="O405" s="177"/>
      <c r="P405" s="388"/>
      <c r="Q405" s="177"/>
      <c r="R405" s="388"/>
      <c r="S405" s="177"/>
      <c r="T405" s="388"/>
      <c r="U405" s="177"/>
      <c r="V405" s="388"/>
      <c r="W405" s="177"/>
      <c r="X405" s="388"/>
      <c r="Y405" s="177"/>
      <c r="Z405" s="388"/>
      <c r="AA405" s="177"/>
      <c r="AB405" s="388"/>
      <c r="AC405" s="177"/>
      <c r="AD405" s="388"/>
      <c r="AE405" s="177"/>
      <c r="AF405" s="388"/>
      <c r="AG405" s="177"/>
      <c r="AH405" s="388"/>
      <c r="AI405" s="177"/>
      <c r="AJ405" s="388"/>
      <c r="AK405" s="177"/>
      <c r="AL405" s="388"/>
      <c r="AM405" s="177"/>
      <c r="AN405" s="388"/>
      <c r="AO405" s="177"/>
      <c r="AP405" s="388"/>
      <c r="AQ405" s="177"/>
      <c r="AR405" s="209" t="str">
        <f ca="1">IF(LEN(B405)&gt;0,ISNUMBER(MATCH(B405,Proposed[Item],0)),"")</f>
        <v/>
      </c>
    </row>
    <row r="406" spans="1:44" ht="15" x14ac:dyDescent="0.2">
      <c r="A406" s="276">
        <f t="shared" ca="1" si="6"/>
        <v>199</v>
      </c>
      <c r="B406" s="111" t="str">
        <f ca="1">IF($A406&lt;=NumPayItems,"Line "&amp;INDEX(Calcs[Line],$A406),"")</f>
        <v/>
      </c>
      <c r="C406" s="169" t="str">
        <f ca="1">IFERROR(IF($D406="LPSM","ALL",TEXT(INDEX(INDIRECT(RangeQuantity),MATCH($A406,INDIRECT(RangeCount),0)),"#,##0"&amp;IF(OFFSET(Items[],MATCH($A406,INDIRECT(RangeCount),0)-1,MATCH(Decimals,Items[#Headers],0)-1,1,1)&gt;0,"."&amp;REPT("0",OFFSET(Items[],MATCH($A406,INDIRECT(RangeCount),0)-1,MATCH(Decimals,Items[#Headers],0)-1,1,1)),""))),"")</f>
        <v/>
      </c>
      <c r="D406" s="170" t="str">
        <f ca="1">IFERROR(INDEX(INDIRECT(RangeUnit),MATCH($A406,INDIRECT(RangeCount),0)),"")</f>
        <v/>
      </c>
      <c r="E406" s="170" t="str">
        <f ca="1">IFERROR(IF(INDEX(INDIRECT(RangeContrQty),MATCH($A406,INDIRECT(RangeCount),0)),"(CQ)",""),"")</f>
        <v/>
      </c>
      <c r="F406" s="171" t="str">
        <f ca="1">IFERROR(INDEX(INDIRECT(RangeUnitPrice),MATCH($A406,INDIRECT(RangeCount),0)),"")</f>
        <v/>
      </c>
      <c r="G406" s="171" t="str">
        <f ca="1">IFERROR(VALUE(C406)*F406,F406)</f>
        <v/>
      </c>
      <c r="H406" s="388"/>
      <c r="I406" s="178" t="str">
        <f ca="1">IF($C406="","",IF($D406="LPSM",H405,VALUE($C406)*H405))</f>
        <v/>
      </c>
      <c r="J406" s="388"/>
      <c r="K406" s="178" t="str">
        <f ca="1">IF($C406="","",IF($D406="LPSM",J405,VALUE($C406)*J405))</f>
        <v/>
      </c>
      <c r="L406" s="388"/>
      <c r="M406" s="178" t="str">
        <f ca="1">IF($C406="","",IF($D406="LPSM",L405,VALUE($C406)*L405))</f>
        <v/>
      </c>
      <c r="N406" s="388"/>
      <c r="O406" s="178" t="str">
        <f ca="1">IF($C406="","",IF($D406="LPSM",N405,VALUE($C406)*N405))</f>
        <v/>
      </c>
      <c r="P406" s="388"/>
      <c r="Q406" s="178" t="str">
        <f ca="1">IF($C406="","",IF($D406="LPSM",P405,VALUE($C406)*P405))</f>
        <v/>
      </c>
      <c r="R406" s="388"/>
      <c r="S406" s="178" t="str">
        <f ca="1">IF($C406="","",IF($D406="LPSM",R405,VALUE($C406)*R405))</f>
        <v/>
      </c>
      <c r="T406" s="388"/>
      <c r="U406" s="178" t="str">
        <f ca="1">IF($C406="","",IF($D406="LPSM",T405,VALUE($C406)*T405))</f>
        <v/>
      </c>
      <c r="V406" s="388"/>
      <c r="W406" s="178" t="str">
        <f ca="1">IF($C406="","",IF($D406="LPSM",V405,VALUE($C406)*V405))</f>
        <v/>
      </c>
      <c r="X406" s="388"/>
      <c r="Y406" s="178" t="str">
        <f ca="1">IF($C406="","",IF($D406="LPSM",X405,VALUE($C406)*X405))</f>
        <v/>
      </c>
      <c r="Z406" s="388"/>
      <c r="AA406" s="178" t="str">
        <f ca="1">IF($C406="","",IF($D406="LPSM",Z405,VALUE($C406)*Z405))</f>
        <v/>
      </c>
      <c r="AB406" s="388"/>
      <c r="AC406" s="178" t="str">
        <f ca="1">IF($C406="","",IF($D406="LPSM",AB405,VALUE($C406)*AB405))</f>
        <v/>
      </c>
      <c r="AD406" s="388"/>
      <c r="AE406" s="178" t="str">
        <f ca="1">IF($C406="","",IF($D406="LPSM",AD405,VALUE($C406)*AD405))</f>
        <v/>
      </c>
      <c r="AF406" s="388"/>
      <c r="AG406" s="178" t="str">
        <f ca="1">IF($C406="","",IF($D406="LPSM",AF405,VALUE($C406)*AF405))</f>
        <v/>
      </c>
      <c r="AH406" s="388"/>
      <c r="AI406" s="178" t="str">
        <f ca="1">IF($C406="","",IF($D406="LPSM",AH405,VALUE($C406)*AH405))</f>
        <v/>
      </c>
      <c r="AJ406" s="388"/>
      <c r="AK406" s="178" t="str">
        <f ca="1">IF($C406="","",IF($D406="LPSM",AJ405,VALUE($C406)*AJ405))</f>
        <v/>
      </c>
      <c r="AL406" s="388"/>
      <c r="AM406" s="178" t="str">
        <f ca="1">IF($C406="","",IF($D406="LPSM",AL405,VALUE($C406)*AL405))</f>
        <v/>
      </c>
      <c r="AN406" s="388"/>
      <c r="AO406" s="178" t="str">
        <f ca="1">IF($C406="","",IF($D406="LPSM",AN405,VALUE($C406)*AN405))</f>
        <v/>
      </c>
      <c r="AP406" s="388"/>
      <c r="AQ406" s="178" t="str">
        <f ca="1">IF($C406="","",IF($D406="LPSM",AP405,VALUE($C406)*AP405))</f>
        <v/>
      </c>
      <c r="AR406" s="209" t="str">
        <f ca="1">IF(LEN(B406)&gt;0,ISNUMBER(MATCH(B406,Proposed[Item],0)),"")</f>
        <v/>
      </c>
    </row>
    <row r="407" spans="1:44" ht="15" x14ac:dyDescent="0.2">
      <c r="A407" s="276">
        <f t="shared" ca="1" si="6"/>
        <v>200</v>
      </c>
      <c r="B407" s="168" t="str">
        <f ca="1">IFERROR(INDEX(INDIRECT(RangeItems),MATCH($A407,INDIRECT(RangeCount),0)),"")</f>
        <v/>
      </c>
      <c r="C407" s="365" t="str">
        <f ca="1">INDEX(Calcs[Description],$A407)</f>
        <v/>
      </c>
      <c r="D407" s="365"/>
      <c r="E407" s="365"/>
      <c r="F407" s="365"/>
      <c r="G407" s="365"/>
      <c r="H407" s="388"/>
      <c r="I407" s="177"/>
      <c r="J407" s="388"/>
      <c r="K407" s="177"/>
      <c r="L407" s="388"/>
      <c r="M407" s="177"/>
      <c r="N407" s="388"/>
      <c r="O407" s="177"/>
      <c r="P407" s="388"/>
      <c r="Q407" s="177"/>
      <c r="R407" s="388"/>
      <c r="S407" s="177"/>
      <c r="T407" s="388"/>
      <c r="U407" s="177"/>
      <c r="V407" s="388"/>
      <c r="W407" s="177"/>
      <c r="X407" s="388"/>
      <c r="Y407" s="177"/>
      <c r="Z407" s="388"/>
      <c r="AA407" s="177"/>
      <c r="AB407" s="388"/>
      <c r="AC407" s="177"/>
      <c r="AD407" s="388"/>
      <c r="AE407" s="177"/>
      <c r="AF407" s="388"/>
      <c r="AG407" s="177"/>
      <c r="AH407" s="388"/>
      <c r="AI407" s="177"/>
      <c r="AJ407" s="388"/>
      <c r="AK407" s="177"/>
      <c r="AL407" s="388"/>
      <c r="AM407" s="177"/>
      <c r="AN407" s="388"/>
      <c r="AO407" s="177"/>
      <c r="AP407" s="388"/>
      <c r="AQ407" s="177"/>
      <c r="AR407" s="209" t="str">
        <f ca="1">IF(LEN(B407)&gt;0,ISNUMBER(MATCH(B407,Proposed[Item],0)),"")</f>
        <v/>
      </c>
    </row>
    <row r="408" spans="1:44" ht="15" x14ac:dyDescent="0.2">
      <c r="A408" s="276">
        <f t="shared" ca="1" si="6"/>
        <v>200</v>
      </c>
      <c r="B408" s="111" t="str">
        <f ca="1">IF($A408&lt;=NumPayItems,"Line "&amp;INDEX(Calcs[Line],$A408),"")</f>
        <v/>
      </c>
      <c r="C408" s="169" t="str">
        <f ca="1">IFERROR(IF($D408="LPSM","ALL",TEXT(INDEX(INDIRECT(RangeQuantity),MATCH($A408,INDIRECT(RangeCount),0)),"#,##0"&amp;IF(OFFSET(Items[],MATCH($A408,INDIRECT(RangeCount),0)-1,MATCH(Decimals,Items[#Headers],0)-1,1,1)&gt;0,"."&amp;REPT("0",OFFSET(Items[],MATCH($A408,INDIRECT(RangeCount),0)-1,MATCH(Decimals,Items[#Headers],0)-1,1,1)),""))),"")</f>
        <v/>
      </c>
      <c r="D408" s="170" t="str">
        <f ca="1">IFERROR(INDEX(INDIRECT(RangeUnit),MATCH($A408,INDIRECT(RangeCount),0)),"")</f>
        <v/>
      </c>
      <c r="E408" s="170" t="str">
        <f ca="1">IFERROR(IF(INDEX(INDIRECT(RangeContrQty),MATCH($A408,INDIRECT(RangeCount),0)),"(CQ)",""),"")</f>
        <v/>
      </c>
      <c r="F408" s="171" t="str">
        <f ca="1">IFERROR(INDEX(INDIRECT(RangeUnitPrice),MATCH($A408,INDIRECT(RangeCount),0)),"")</f>
        <v/>
      </c>
      <c r="G408" s="171" t="str">
        <f ca="1">IFERROR(VALUE(C408)*F408,F408)</f>
        <v/>
      </c>
      <c r="H408" s="388"/>
      <c r="I408" s="178" t="str">
        <f ca="1">IF($C408="","",IF($D408="LPSM",H407,VALUE($C408)*H407))</f>
        <v/>
      </c>
      <c r="J408" s="388"/>
      <c r="K408" s="178" t="str">
        <f ca="1">IF($C408="","",IF($D408="LPSM",J407,VALUE($C408)*J407))</f>
        <v/>
      </c>
      <c r="L408" s="388"/>
      <c r="M408" s="178" t="str">
        <f ca="1">IF($C408="","",IF($D408="LPSM",L407,VALUE($C408)*L407))</f>
        <v/>
      </c>
      <c r="N408" s="388"/>
      <c r="O408" s="178" t="str">
        <f ca="1">IF($C408="","",IF($D408="LPSM",N407,VALUE($C408)*N407))</f>
        <v/>
      </c>
      <c r="P408" s="388"/>
      <c r="Q408" s="178" t="str">
        <f ca="1">IF($C408="","",IF($D408="LPSM",P407,VALUE($C408)*P407))</f>
        <v/>
      </c>
      <c r="R408" s="388"/>
      <c r="S408" s="178" t="str">
        <f ca="1">IF($C408="","",IF($D408="LPSM",R407,VALUE($C408)*R407))</f>
        <v/>
      </c>
      <c r="T408" s="388"/>
      <c r="U408" s="178" t="str">
        <f ca="1">IF($C408="","",IF($D408="LPSM",T407,VALUE($C408)*T407))</f>
        <v/>
      </c>
      <c r="V408" s="388"/>
      <c r="W408" s="178" t="str">
        <f ca="1">IF($C408="","",IF($D408="LPSM",V407,VALUE($C408)*V407))</f>
        <v/>
      </c>
      <c r="X408" s="388"/>
      <c r="Y408" s="178" t="str">
        <f ca="1">IF($C408="","",IF($D408="LPSM",X407,VALUE($C408)*X407))</f>
        <v/>
      </c>
      <c r="Z408" s="388"/>
      <c r="AA408" s="178" t="str">
        <f ca="1">IF($C408="","",IF($D408="LPSM",Z407,VALUE($C408)*Z407))</f>
        <v/>
      </c>
      <c r="AB408" s="388"/>
      <c r="AC408" s="178" t="str">
        <f ca="1">IF($C408="","",IF($D408="LPSM",AB407,VALUE($C408)*AB407))</f>
        <v/>
      </c>
      <c r="AD408" s="388"/>
      <c r="AE408" s="178" t="str">
        <f ca="1">IF($C408="","",IF($D408="LPSM",AD407,VALUE($C408)*AD407))</f>
        <v/>
      </c>
      <c r="AF408" s="388"/>
      <c r="AG408" s="178" t="str">
        <f ca="1">IF($C408="","",IF($D408="LPSM",AF407,VALUE($C408)*AF407))</f>
        <v/>
      </c>
      <c r="AH408" s="388"/>
      <c r="AI408" s="178" t="str">
        <f ca="1">IF($C408="","",IF($D408="LPSM",AH407,VALUE($C408)*AH407))</f>
        <v/>
      </c>
      <c r="AJ408" s="388"/>
      <c r="AK408" s="178" t="str">
        <f ca="1">IF($C408="","",IF($D408="LPSM",AJ407,VALUE($C408)*AJ407))</f>
        <v/>
      </c>
      <c r="AL408" s="388"/>
      <c r="AM408" s="178" t="str">
        <f ca="1">IF($C408="","",IF($D408="LPSM",AL407,VALUE($C408)*AL407))</f>
        <v/>
      </c>
      <c r="AN408" s="388"/>
      <c r="AO408" s="178" t="str">
        <f ca="1">IF($C408="","",IF($D408="LPSM",AN407,VALUE($C408)*AN407))</f>
        <v/>
      </c>
      <c r="AP408" s="388"/>
      <c r="AQ408" s="178" t="str">
        <f ca="1">IF($C408="","",IF($D408="LPSM",AP407,VALUE($C408)*AP407))</f>
        <v/>
      </c>
      <c r="AR408" s="209" t="str">
        <f ca="1">IF(LEN(B408)&gt;0,ISNUMBER(MATCH(B408,Proposed[Item],0)),"")</f>
        <v/>
      </c>
    </row>
    <row r="409" spans="1:44" ht="15" x14ac:dyDescent="0.2">
      <c r="A409" s="276">
        <f t="shared" ca="1" si="6"/>
        <v>201</v>
      </c>
      <c r="B409" s="168" t="str">
        <f ca="1">IFERROR(INDEX(INDIRECT(RangeItems),MATCH($A409,INDIRECT(RangeCount),0)),"")</f>
        <v/>
      </c>
      <c r="C409" s="365" t="str">
        <f ca="1">INDEX(Calcs[Description],$A409)</f>
        <v/>
      </c>
      <c r="D409" s="365"/>
      <c r="E409" s="365"/>
      <c r="F409" s="365"/>
      <c r="G409" s="365"/>
      <c r="H409" s="388"/>
      <c r="I409" s="177"/>
      <c r="J409" s="388"/>
      <c r="K409" s="177"/>
      <c r="L409" s="388"/>
      <c r="M409" s="177"/>
      <c r="N409" s="388"/>
      <c r="O409" s="177"/>
      <c r="P409" s="388"/>
      <c r="Q409" s="177"/>
      <c r="R409" s="388"/>
      <c r="S409" s="177"/>
      <c r="T409" s="388"/>
      <c r="U409" s="177"/>
      <c r="V409" s="388"/>
      <c r="W409" s="177"/>
      <c r="X409" s="388"/>
      <c r="Y409" s="177"/>
      <c r="Z409" s="388"/>
      <c r="AA409" s="177"/>
      <c r="AB409" s="388"/>
      <c r="AC409" s="177"/>
      <c r="AD409" s="388"/>
      <c r="AE409" s="177"/>
      <c r="AF409" s="388"/>
      <c r="AG409" s="177"/>
      <c r="AH409" s="388"/>
      <c r="AI409" s="177"/>
      <c r="AJ409" s="388"/>
      <c r="AK409" s="177"/>
      <c r="AL409" s="388"/>
      <c r="AM409" s="177"/>
      <c r="AN409" s="388"/>
      <c r="AO409" s="177"/>
      <c r="AP409" s="388"/>
      <c r="AQ409" s="177"/>
      <c r="AR409" s="209" t="str">
        <f ca="1">IF(LEN(B409)&gt;0,ISNUMBER(MATCH(B409,Proposed[Item],0)),"")</f>
        <v/>
      </c>
    </row>
    <row r="410" spans="1:44" ht="15" x14ac:dyDescent="0.2">
      <c r="A410" s="276">
        <f t="shared" ca="1" si="6"/>
        <v>201</v>
      </c>
      <c r="B410" s="111" t="str">
        <f ca="1">IF($A410&lt;=NumPayItems,"Line "&amp;INDEX(Calcs[Line],$A410),"")</f>
        <v/>
      </c>
      <c r="C410" s="169" t="str">
        <f ca="1">IFERROR(IF($D410="LPSM","ALL",TEXT(INDEX(INDIRECT(RangeQuantity),MATCH($A410,INDIRECT(RangeCount),0)),"#,##0"&amp;IF(OFFSET(Items[],MATCH($A410,INDIRECT(RangeCount),0)-1,MATCH(Decimals,Items[#Headers],0)-1,1,1)&gt;0,"."&amp;REPT("0",OFFSET(Items[],MATCH($A410,INDIRECT(RangeCount),0)-1,MATCH(Decimals,Items[#Headers],0)-1,1,1)),""))),"")</f>
        <v/>
      </c>
      <c r="D410" s="170" t="str">
        <f ca="1">IFERROR(INDEX(INDIRECT(RangeUnit),MATCH($A410,INDIRECT(RangeCount),0)),"")</f>
        <v/>
      </c>
      <c r="E410" s="170" t="str">
        <f ca="1">IFERROR(IF(INDEX(INDIRECT(RangeContrQty),MATCH($A410,INDIRECT(RangeCount),0)),"(CQ)",""),"")</f>
        <v/>
      </c>
      <c r="F410" s="171" t="str">
        <f ca="1">IFERROR(INDEX(INDIRECT(RangeUnitPrice),MATCH($A410,INDIRECT(RangeCount),0)),"")</f>
        <v/>
      </c>
      <c r="G410" s="171" t="str">
        <f ca="1">IFERROR(VALUE(C410)*F410,F410)</f>
        <v/>
      </c>
      <c r="H410" s="388"/>
      <c r="I410" s="178" t="str">
        <f ca="1">IF($C410="","",IF($D410="LPSM",H409,VALUE($C410)*H409))</f>
        <v/>
      </c>
      <c r="J410" s="388"/>
      <c r="K410" s="178" t="str">
        <f ca="1">IF($C410="","",IF($D410="LPSM",J409,VALUE($C410)*J409))</f>
        <v/>
      </c>
      <c r="L410" s="388"/>
      <c r="M410" s="178" t="str">
        <f ca="1">IF($C410="","",IF($D410="LPSM",L409,VALUE($C410)*L409))</f>
        <v/>
      </c>
      <c r="N410" s="388"/>
      <c r="O410" s="178" t="str">
        <f ca="1">IF($C410="","",IF($D410="LPSM",N409,VALUE($C410)*N409))</f>
        <v/>
      </c>
      <c r="P410" s="388"/>
      <c r="Q410" s="178" t="str">
        <f ca="1">IF($C410="","",IF($D410="LPSM",P409,VALUE($C410)*P409))</f>
        <v/>
      </c>
      <c r="R410" s="388"/>
      <c r="S410" s="178" t="str">
        <f ca="1">IF($C410="","",IF($D410="LPSM",R409,VALUE($C410)*R409))</f>
        <v/>
      </c>
      <c r="T410" s="388"/>
      <c r="U410" s="178" t="str">
        <f ca="1">IF($C410="","",IF($D410="LPSM",T409,VALUE($C410)*T409))</f>
        <v/>
      </c>
      <c r="V410" s="388"/>
      <c r="W410" s="178" t="str">
        <f ca="1">IF($C410="","",IF($D410="LPSM",V409,VALUE($C410)*V409))</f>
        <v/>
      </c>
      <c r="X410" s="388"/>
      <c r="Y410" s="178" t="str">
        <f ca="1">IF($C410="","",IF($D410="LPSM",X409,VALUE($C410)*X409))</f>
        <v/>
      </c>
      <c r="Z410" s="388"/>
      <c r="AA410" s="178" t="str">
        <f ca="1">IF($C410="","",IF($D410="LPSM",Z409,VALUE($C410)*Z409))</f>
        <v/>
      </c>
      <c r="AB410" s="388"/>
      <c r="AC410" s="178" t="str">
        <f ca="1">IF($C410="","",IF($D410="LPSM",AB409,VALUE($C410)*AB409))</f>
        <v/>
      </c>
      <c r="AD410" s="388"/>
      <c r="AE410" s="178" t="str">
        <f ca="1">IF($C410="","",IF($D410="LPSM",AD409,VALUE($C410)*AD409))</f>
        <v/>
      </c>
      <c r="AF410" s="388"/>
      <c r="AG410" s="178" t="str">
        <f ca="1">IF($C410="","",IF($D410="LPSM",AF409,VALUE($C410)*AF409))</f>
        <v/>
      </c>
      <c r="AH410" s="388"/>
      <c r="AI410" s="178" t="str">
        <f ca="1">IF($C410="","",IF($D410="LPSM",AH409,VALUE($C410)*AH409))</f>
        <v/>
      </c>
      <c r="AJ410" s="388"/>
      <c r="AK410" s="178" t="str">
        <f ca="1">IF($C410="","",IF($D410="LPSM",AJ409,VALUE($C410)*AJ409))</f>
        <v/>
      </c>
      <c r="AL410" s="388"/>
      <c r="AM410" s="178" t="str">
        <f ca="1">IF($C410="","",IF($D410="LPSM",AL409,VALUE($C410)*AL409))</f>
        <v/>
      </c>
      <c r="AN410" s="388"/>
      <c r="AO410" s="178" t="str">
        <f ca="1">IF($C410="","",IF($D410="LPSM",AN409,VALUE($C410)*AN409))</f>
        <v/>
      </c>
      <c r="AP410" s="388"/>
      <c r="AQ410" s="178" t="str">
        <f ca="1">IF($C410="","",IF($D410="LPSM",AP409,VALUE($C410)*AP409))</f>
        <v/>
      </c>
      <c r="AR410" s="209" t="str">
        <f ca="1">IF(LEN(B410)&gt;0,ISNUMBER(MATCH(B410,Proposed[Item],0)),"")</f>
        <v/>
      </c>
    </row>
    <row r="411" spans="1:44" ht="15" x14ac:dyDescent="0.2">
      <c r="A411" s="276">
        <f t="shared" ca="1" si="6"/>
        <v>202</v>
      </c>
      <c r="B411" s="168" t="str">
        <f ca="1">IFERROR(INDEX(INDIRECT(RangeItems),MATCH($A411,INDIRECT(RangeCount),0)),"")</f>
        <v/>
      </c>
      <c r="C411" s="365" t="str">
        <f ca="1">INDEX(Calcs[Description],$A411)</f>
        <v/>
      </c>
      <c r="D411" s="365"/>
      <c r="E411" s="365"/>
      <c r="F411" s="365"/>
      <c r="G411" s="365"/>
      <c r="H411" s="388"/>
      <c r="I411" s="177"/>
      <c r="J411" s="388"/>
      <c r="K411" s="177"/>
      <c r="L411" s="388"/>
      <c r="M411" s="177"/>
      <c r="N411" s="388"/>
      <c r="O411" s="177"/>
      <c r="P411" s="388"/>
      <c r="Q411" s="177"/>
      <c r="R411" s="388"/>
      <c r="S411" s="177"/>
      <c r="T411" s="388"/>
      <c r="U411" s="177"/>
      <c r="V411" s="388"/>
      <c r="W411" s="177"/>
      <c r="X411" s="388"/>
      <c r="Y411" s="177"/>
      <c r="Z411" s="388"/>
      <c r="AA411" s="177"/>
      <c r="AB411" s="388"/>
      <c r="AC411" s="177"/>
      <c r="AD411" s="388"/>
      <c r="AE411" s="177"/>
      <c r="AF411" s="388"/>
      <c r="AG411" s="177"/>
      <c r="AH411" s="388"/>
      <c r="AI411" s="177"/>
      <c r="AJ411" s="388"/>
      <c r="AK411" s="177"/>
      <c r="AL411" s="388"/>
      <c r="AM411" s="177"/>
      <c r="AN411" s="388"/>
      <c r="AO411" s="177"/>
      <c r="AP411" s="388"/>
      <c r="AQ411" s="177"/>
      <c r="AR411" s="209" t="str">
        <f ca="1">IF(LEN(B411)&gt;0,ISNUMBER(MATCH(B411,Proposed[Item],0)),"")</f>
        <v/>
      </c>
    </row>
    <row r="412" spans="1:44" ht="15" x14ac:dyDescent="0.2">
      <c r="A412" s="276">
        <f t="shared" ca="1" si="6"/>
        <v>202</v>
      </c>
      <c r="B412" s="111" t="str">
        <f ca="1">IF($A412&lt;=NumPayItems,"Line "&amp;INDEX(Calcs[Line],$A412),"")</f>
        <v/>
      </c>
      <c r="C412" s="169" t="str">
        <f ca="1">IFERROR(IF($D412="LPSM","ALL",TEXT(INDEX(INDIRECT(RangeQuantity),MATCH($A412,INDIRECT(RangeCount),0)),"#,##0"&amp;IF(OFFSET(Items[],MATCH($A412,INDIRECT(RangeCount),0)-1,MATCH(Decimals,Items[#Headers],0)-1,1,1)&gt;0,"."&amp;REPT("0",OFFSET(Items[],MATCH($A412,INDIRECT(RangeCount),0)-1,MATCH(Decimals,Items[#Headers],0)-1,1,1)),""))),"")</f>
        <v/>
      </c>
      <c r="D412" s="170" t="str">
        <f ca="1">IFERROR(INDEX(INDIRECT(RangeUnit),MATCH($A412,INDIRECT(RangeCount),0)),"")</f>
        <v/>
      </c>
      <c r="E412" s="170" t="str">
        <f ca="1">IFERROR(IF(INDEX(INDIRECT(RangeContrQty),MATCH($A412,INDIRECT(RangeCount),0)),"(CQ)",""),"")</f>
        <v/>
      </c>
      <c r="F412" s="171" t="str">
        <f ca="1">IFERROR(INDEX(INDIRECT(RangeUnitPrice),MATCH($A412,INDIRECT(RangeCount),0)),"")</f>
        <v/>
      </c>
      <c r="G412" s="171" t="str">
        <f ca="1">IFERROR(VALUE(C412)*F412,F412)</f>
        <v/>
      </c>
      <c r="H412" s="388"/>
      <c r="I412" s="178" t="str">
        <f ca="1">IF($C412="","",IF($D412="LPSM",H411,VALUE($C412)*H411))</f>
        <v/>
      </c>
      <c r="J412" s="388"/>
      <c r="K412" s="178" t="str">
        <f ca="1">IF($C412="","",IF($D412="LPSM",J411,VALUE($C412)*J411))</f>
        <v/>
      </c>
      <c r="L412" s="388"/>
      <c r="M412" s="178" t="str">
        <f ca="1">IF($C412="","",IF($D412="LPSM",L411,VALUE($C412)*L411))</f>
        <v/>
      </c>
      <c r="N412" s="388"/>
      <c r="O412" s="178" t="str">
        <f ca="1">IF($C412="","",IF($D412="LPSM",N411,VALUE($C412)*N411))</f>
        <v/>
      </c>
      <c r="P412" s="388"/>
      <c r="Q412" s="178" t="str">
        <f ca="1">IF($C412="","",IF($D412="LPSM",P411,VALUE($C412)*P411))</f>
        <v/>
      </c>
      <c r="R412" s="388"/>
      <c r="S412" s="178" t="str">
        <f ca="1">IF($C412="","",IF($D412="LPSM",R411,VALUE($C412)*R411))</f>
        <v/>
      </c>
      <c r="T412" s="388"/>
      <c r="U412" s="178" t="str">
        <f ca="1">IF($C412="","",IF($D412="LPSM",T411,VALUE($C412)*T411))</f>
        <v/>
      </c>
      <c r="V412" s="388"/>
      <c r="W412" s="178" t="str">
        <f ca="1">IF($C412="","",IF($D412="LPSM",V411,VALUE($C412)*V411))</f>
        <v/>
      </c>
      <c r="X412" s="388"/>
      <c r="Y412" s="178" t="str">
        <f ca="1">IF($C412="","",IF($D412="LPSM",X411,VALUE($C412)*X411))</f>
        <v/>
      </c>
      <c r="Z412" s="388"/>
      <c r="AA412" s="178" t="str">
        <f ca="1">IF($C412="","",IF($D412="LPSM",Z411,VALUE($C412)*Z411))</f>
        <v/>
      </c>
      <c r="AB412" s="388"/>
      <c r="AC412" s="178" t="str">
        <f ca="1">IF($C412="","",IF($D412="LPSM",AB411,VALUE($C412)*AB411))</f>
        <v/>
      </c>
      <c r="AD412" s="388"/>
      <c r="AE412" s="178" t="str">
        <f ca="1">IF($C412="","",IF($D412="LPSM",AD411,VALUE($C412)*AD411))</f>
        <v/>
      </c>
      <c r="AF412" s="388"/>
      <c r="AG412" s="178" t="str">
        <f ca="1">IF($C412="","",IF($D412="LPSM",AF411,VALUE($C412)*AF411))</f>
        <v/>
      </c>
      <c r="AH412" s="388"/>
      <c r="AI412" s="178" t="str">
        <f ca="1">IF($C412="","",IF($D412="LPSM",AH411,VALUE($C412)*AH411))</f>
        <v/>
      </c>
      <c r="AJ412" s="388"/>
      <c r="AK412" s="178" t="str">
        <f ca="1">IF($C412="","",IF($D412="LPSM",AJ411,VALUE($C412)*AJ411))</f>
        <v/>
      </c>
      <c r="AL412" s="388"/>
      <c r="AM412" s="178" t="str">
        <f ca="1">IF($C412="","",IF($D412="LPSM",AL411,VALUE($C412)*AL411))</f>
        <v/>
      </c>
      <c r="AN412" s="388"/>
      <c r="AO412" s="178" t="str">
        <f ca="1">IF($C412="","",IF($D412="LPSM",AN411,VALUE($C412)*AN411))</f>
        <v/>
      </c>
      <c r="AP412" s="388"/>
      <c r="AQ412" s="178" t="str">
        <f ca="1">IF($C412="","",IF($D412="LPSM",AP411,VALUE($C412)*AP411))</f>
        <v/>
      </c>
      <c r="AR412" s="209" t="str">
        <f ca="1">IF(LEN(B412)&gt;0,ISNUMBER(MATCH(B412,Proposed[Item],0)),"")</f>
        <v/>
      </c>
    </row>
    <row r="413" spans="1:44" ht="15" x14ac:dyDescent="0.2">
      <c r="A413" s="276">
        <f t="shared" ca="1" si="6"/>
        <v>203</v>
      </c>
      <c r="B413" s="168" t="str">
        <f ca="1">IFERROR(INDEX(INDIRECT(RangeItems),MATCH($A413,INDIRECT(RangeCount),0)),"")</f>
        <v/>
      </c>
      <c r="C413" s="365" t="str">
        <f ca="1">INDEX(Calcs[Description],$A413)</f>
        <v/>
      </c>
      <c r="D413" s="365"/>
      <c r="E413" s="365"/>
      <c r="F413" s="365"/>
      <c r="G413" s="365"/>
      <c r="H413" s="388"/>
      <c r="I413" s="177"/>
      <c r="J413" s="388"/>
      <c r="K413" s="177"/>
      <c r="L413" s="388"/>
      <c r="M413" s="177"/>
      <c r="N413" s="388"/>
      <c r="O413" s="177"/>
      <c r="P413" s="388"/>
      <c r="Q413" s="177"/>
      <c r="R413" s="388"/>
      <c r="S413" s="177"/>
      <c r="T413" s="388"/>
      <c r="U413" s="177"/>
      <c r="V413" s="388"/>
      <c r="W413" s="177"/>
      <c r="X413" s="388"/>
      <c r="Y413" s="177"/>
      <c r="Z413" s="388"/>
      <c r="AA413" s="177"/>
      <c r="AB413" s="388"/>
      <c r="AC413" s="177"/>
      <c r="AD413" s="388"/>
      <c r="AE413" s="177"/>
      <c r="AF413" s="388"/>
      <c r="AG413" s="177"/>
      <c r="AH413" s="388"/>
      <c r="AI413" s="177"/>
      <c r="AJ413" s="388"/>
      <c r="AK413" s="177"/>
      <c r="AL413" s="388"/>
      <c r="AM413" s="177"/>
      <c r="AN413" s="388"/>
      <c r="AO413" s="177"/>
      <c r="AP413" s="388"/>
      <c r="AQ413" s="177"/>
      <c r="AR413" s="209" t="str">
        <f ca="1">IF(LEN(B413)&gt;0,ISNUMBER(MATCH(B413,Proposed[Item],0)),"")</f>
        <v/>
      </c>
    </row>
    <row r="414" spans="1:44" ht="15" x14ac:dyDescent="0.2">
      <c r="A414" s="276">
        <f t="shared" ca="1" si="6"/>
        <v>203</v>
      </c>
      <c r="B414" s="111" t="str">
        <f ca="1">IF($A414&lt;=NumPayItems,"Line "&amp;INDEX(Calcs[Line],$A414),"")</f>
        <v/>
      </c>
      <c r="C414" s="169" t="str">
        <f ca="1">IFERROR(IF($D414="LPSM","ALL",TEXT(INDEX(INDIRECT(RangeQuantity),MATCH($A414,INDIRECT(RangeCount),0)),"#,##0"&amp;IF(OFFSET(Items[],MATCH($A414,INDIRECT(RangeCount),0)-1,MATCH(Decimals,Items[#Headers],0)-1,1,1)&gt;0,"."&amp;REPT("0",OFFSET(Items[],MATCH($A414,INDIRECT(RangeCount),0)-1,MATCH(Decimals,Items[#Headers],0)-1,1,1)),""))),"")</f>
        <v/>
      </c>
      <c r="D414" s="170" t="str">
        <f ca="1">IFERROR(INDEX(INDIRECT(RangeUnit),MATCH($A414,INDIRECT(RangeCount),0)),"")</f>
        <v/>
      </c>
      <c r="E414" s="170" t="str">
        <f ca="1">IFERROR(IF(INDEX(INDIRECT(RangeContrQty),MATCH($A414,INDIRECT(RangeCount),0)),"(CQ)",""),"")</f>
        <v/>
      </c>
      <c r="F414" s="171" t="str">
        <f ca="1">IFERROR(INDEX(INDIRECT(RangeUnitPrice),MATCH($A414,INDIRECT(RangeCount),0)),"")</f>
        <v/>
      </c>
      <c r="G414" s="171" t="str">
        <f ca="1">IFERROR(VALUE(C414)*F414,F414)</f>
        <v/>
      </c>
      <c r="H414" s="388"/>
      <c r="I414" s="178" t="str">
        <f ca="1">IF($C414="","",IF($D414="LPSM",H413,VALUE($C414)*H413))</f>
        <v/>
      </c>
      <c r="J414" s="388"/>
      <c r="K414" s="178" t="str">
        <f ca="1">IF($C414="","",IF($D414="LPSM",J413,VALUE($C414)*J413))</f>
        <v/>
      </c>
      <c r="L414" s="388"/>
      <c r="M414" s="178" t="str">
        <f ca="1">IF($C414="","",IF($D414="LPSM",L413,VALUE($C414)*L413))</f>
        <v/>
      </c>
      <c r="N414" s="388"/>
      <c r="O414" s="178" t="str">
        <f ca="1">IF($C414="","",IF($D414="LPSM",N413,VALUE($C414)*N413))</f>
        <v/>
      </c>
      <c r="P414" s="388"/>
      <c r="Q414" s="178" t="str">
        <f ca="1">IF($C414="","",IF($D414="LPSM",P413,VALUE($C414)*P413))</f>
        <v/>
      </c>
      <c r="R414" s="388"/>
      <c r="S414" s="178" t="str">
        <f ca="1">IF($C414="","",IF($D414="LPSM",R413,VALUE($C414)*R413))</f>
        <v/>
      </c>
      <c r="T414" s="388"/>
      <c r="U414" s="178" t="str">
        <f ca="1">IF($C414="","",IF($D414="LPSM",T413,VALUE($C414)*T413))</f>
        <v/>
      </c>
      <c r="V414" s="388"/>
      <c r="W414" s="178" t="str">
        <f ca="1">IF($C414="","",IF($D414="LPSM",V413,VALUE($C414)*V413))</f>
        <v/>
      </c>
      <c r="X414" s="388"/>
      <c r="Y414" s="178" t="str">
        <f ca="1">IF($C414="","",IF($D414="LPSM",X413,VALUE($C414)*X413))</f>
        <v/>
      </c>
      <c r="Z414" s="388"/>
      <c r="AA414" s="178" t="str">
        <f ca="1">IF($C414="","",IF($D414="LPSM",Z413,VALUE($C414)*Z413))</f>
        <v/>
      </c>
      <c r="AB414" s="388"/>
      <c r="AC414" s="178" t="str">
        <f ca="1">IF($C414="","",IF($D414="LPSM",AB413,VALUE($C414)*AB413))</f>
        <v/>
      </c>
      <c r="AD414" s="388"/>
      <c r="AE414" s="178" t="str">
        <f ca="1">IF($C414="","",IF($D414="LPSM",AD413,VALUE($C414)*AD413))</f>
        <v/>
      </c>
      <c r="AF414" s="388"/>
      <c r="AG414" s="178" t="str">
        <f ca="1">IF($C414="","",IF($D414="LPSM",AF413,VALUE($C414)*AF413))</f>
        <v/>
      </c>
      <c r="AH414" s="388"/>
      <c r="AI414" s="178" t="str">
        <f ca="1">IF($C414="","",IF($D414="LPSM",AH413,VALUE($C414)*AH413))</f>
        <v/>
      </c>
      <c r="AJ414" s="388"/>
      <c r="AK414" s="178" t="str">
        <f ca="1">IF($C414="","",IF($D414="LPSM",AJ413,VALUE($C414)*AJ413))</f>
        <v/>
      </c>
      <c r="AL414" s="388"/>
      <c r="AM414" s="178" t="str">
        <f ca="1">IF($C414="","",IF($D414="LPSM",AL413,VALUE($C414)*AL413))</f>
        <v/>
      </c>
      <c r="AN414" s="388"/>
      <c r="AO414" s="178" t="str">
        <f ca="1">IF($C414="","",IF($D414="LPSM",AN413,VALUE($C414)*AN413))</f>
        <v/>
      </c>
      <c r="AP414" s="388"/>
      <c r="AQ414" s="178" t="str">
        <f ca="1">IF($C414="","",IF($D414="LPSM",AP413,VALUE($C414)*AP413))</f>
        <v/>
      </c>
      <c r="AR414" s="209" t="str">
        <f ca="1">IF(LEN(B414)&gt;0,ISNUMBER(MATCH(B414,Proposed[Item],0)),"")</f>
        <v/>
      </c>
    </row>
    <row r="415" spans="1:44" ht="15" x14ac:dyDescent="0.2">
      <c r="A415" s="276">
        <f t="shared" ca="1" si="6"/>
        <v>204</v>
      </c>
      <c r="B415" s="168" t="str">
        <f ca="1">IFERROR(INDEX(INDIRECT(RangeItems),MATCH($A415,INDIRECT(RangeCount),0)),"")</f>
        <v/>
      </c>
      <c r="C415" s="365" t="str">
        <f ca="1">INDEX(Calcs[Description],$A415)</f>
        <v/>
      </c>
      <c r="D415" s="365"/>
      <c r="E415" s="365"/>
      <c r="F415" s="365"/>
      <c r="G415" s="365"/>
      <c r="H415" s="388"/>
      <c r="I415" s="177"/>
      <c r="J415" s="388"/>
      <c r="K415" s="177"/>
      <c r="L415" s="388"/>
      <c r="M415" s="177"/>
      <c r="N415" s="388"/>
      <c r="O415" s="177"/>
      <c r="P415" s="388"/>
      <c r="Q415" s="177"/>
      <c r="R415" s="388"/>
      <c r="S415" s="177"/>
      <c r="T415" s="388"/>
      <c r="U415" s="177"/>
      <c r="V415" s="388"/>
      <c r="W415" s="177"/>
      <c r="X415" s="388"/>
      <c r="Y415" s="177"/>
      <c r="Z415" s="388"/>
      <c r="AA415" s="177"/>
      <c r="AB415" s="388"/>
      <c r="AC415" s="177"/>
      <c r="AD415" s="388"/>
      <c r="AE415" s="177"/>
      <c r="AF415" s="388"/>
      <c r="AG415" s="177"/>
      <c r="AH415" s="388"/>
      <c r="AI415" s="177"/>
      <c r="AJ415" s="388"/>
      <c r="AK415" s="177"/>
      <c r="AL415" s="388"/>
      <c r="AM415" s="177"/>
      <c r="AN415" s="388"/>
      <c r="AO415" s="177"/>
      <c r="AP415" s="388"/>
      <c r="AQ415" s="177"/>
      <c r="AR415" s="209" t="str">
        <f ca="1">IF(LEN(B415)&gt;0,ISNUMBER(MATCH(B415,Proposed[Item],0)),"")</f>
        <v/>
      </c>
    </row>
    <row r="416" spans="1:44" ht="15" x14ac:dyDescent="0.2">
      <c r="A416" s="276">
        <f t="shared" ca="1" si="6"/>
        <v>204</v>
      </c>
      <c r="B416" s="111" t="str">
        <f ca="1">IF($A416&lt;=NumPayItems,"Line "&amp;INDEX(Calcs[Line],$A416),"")</f>
        <v/>
      </c>
      <c r="C416" s="169" t="str">
        <f ca="1">IFERROR(IF($D416="LPSM","ALL",TEXT(INDEX(INDIRECT(RangeQuantity),MATCH($A416,INDIRECT(RangeCount),0)),"#,##0"&amp;IF(OFFSET(Items[],MATCH($A416,INDIRECT(RangeCount),0)-1,MATCH(Decimals,Items[#Headers],0)-1,1,1)&gt;0,"."&amp;REPT("0",OFFSET(Items[],MATCH($A416,INDIRECT(RangeCount),0)-1,MATCH(Decimals,Items[#Headers],0)-1,1,1)),""))),"")</f>
        <v/>
      </c>
      <c r="D416" s="170" t="str">
        <f ca="1">IFERROR(INDEX(INDIRECT(RangeUnit),MATCH($A416,INDIRECT(RangeCount),0)),"")</f>
        <v/>
      </c>
      <c r="E416" s="170" t="str">
        <f ca="1">IFERROR(IF(INDEX(INDIRECT(RangeContrQty),MATCH($A416,INDIRECT(RangeCount),0)),"(CQ)",""),"")</f>
        <v/>
      </c>
      <c r="F416" s="171" t="str">
        <f ca="1">IFERROR(INDEX(INDIRECT(RangeUnitPrice),MATCH($A416,INDIRECT(RangeCount),0)),"")</f>
        <v/>
      </c>
      <c r="G416" s="171" t="str">
        <f ca="1">IFERROR(VALUE(C416)*F416,F416)</f>
        <v/>
      </c>
      <c r="H416" s="388"/>
      <c r="I416" s="178" t="str">
        <f ca="1">IF($C416="","",IF($D416="LPSM",H415,VALUE($C416)*H415))</f>
        <v/>
      </c>
      <c r="J416" s="388"/>
      <c r="K416" s="178" t="str">
        <f ca="1">IF($C416="","",IF($D416="LPSM",J415,VALUE($C416)*J415))</f>
        <v/>
      </c>
      <c r="L416" s="388"/>
      <c r="M416" s="178" t="str">
        <f ca="1">IF($C416="","",IF($D416="LPSM",L415,VALUE($C416)*L415))</f>
        <v/>
      </c>
      <c r="N416" s="388"/>
      <c r="O416" s="178" t="str">
        <f ca="1">IF($C416="","",IF($D416="LPSM",N415,VALUE($C416)*N415))</f>
        <v/>
      </c>
      <c r="P416" s="388"/>
      <c r="Q416" s="178" t="str">
        <f ca="1">IF($C416="","",IF($D416="LPSM",P415,VALUE($C416)*P415))</f>
        <v/>
      </c>
      <c r="R416" s="388"/>
      <c r="S416" s="178" t="str">
        <f ca="1">IF($C416="","",IF($D416="LPSM",R415,VALUE($C416)*R415))</f>
        <v/>
      </c>
      <c r="T416" s="388"/>
      <c r="U416" s="178" t="str">
        <f ca="1">IF($C416="","",IF($D416="LPSM",T415,VALUE($C416)*T415))</f>
        <v/>
      </c>
      <c r="V416" s="388"/>
      <c r="W416" s="178" t="str">
        <f ca="1">IF($C416="","",IF($D416="LPSM",V415,VALUE($C416)*V415))</f>
        <v/>
      </c>
      <c r="X416" s="388"/>
      <c r="Y416" s="178" t="str">
        <f ca="1">IF($C416="","",IF($D416="LPSM",X415,VALUE($C416)*X415))</f>
        <v/>
      </c>
      <c r="Z416" s="388"/>
      <c r="AA416" s="178" t="str">
        <f ca="1">IF($C416="","",IF($D416="LPSM",Z415,VALUE($C416)*Z415))</f>
        <v/>
      </c>
      <c r="AB416" s="388"/>
      <c r="AC416" s="178" t="str">
        <f ca="1">IF($C416="","",IF($D416="LPSM",AB415,VALUE($C416)*AB415))</f>
        <v/>
      </c>
      <c r="AD416" s="388"/>
      <c r="AE416" s="178" t="str">
        <f ca="1">IF($C416="","",IF($D416="LPSM",AD415,VALUE($C416)*AD415))</f>
        <v/>
      </c>
      <c r="AF416" s="388"/>
      <c r="AG416" s="178" t="str">
        <f ca="1">IF($C416="","",IF($D416="LPSM",AF415,VALUE($C416)*AF415))</f>
        <v/>
      </c>
      <c r="AH416" s="388"/>
      <c r="AI416" s="178" t="str">
        <f ca="1">IF($C416="","",IF($D416="LPSM",AH415,VALUE($C416)*AH415))</f>
        <v/>
      </c>
      <c r="AJ416" s="388"/>
      <c r="AK416" s="178" t="str">
        <f ca="1">IF($C416="","",IF($D416="LPSM",AJ415,VALUE($C416)*AJ415))</f>
        <v/>
      </c>
      <c r="AL416" s="388"/>
      <c r="AM416" s="178" t="str">
        <f ca="1">IF($C416="","",IF($D416="LPSM",AL415,VALUE($C416)*AL415))</f>
        <v/>
      </c>
      <c r="AN416" s="388"/>
      <c r="AO416" s="178" t="str">
        <f ca="1">IF($C416="","",IF($D416="LPSM",AN415,VALUE($C416)*AN415))</f>
        <v/>
      </c>
      <c r="AP416" s="388"/>
      <c r="AQ416" s="178" t="str">
        <f ca="1">IF($C416="","",IF($D416="LPSM",AP415,VALUE($C416)*AP415))</f>
        <v/>
      </c>
      <c r="AR416" s="209" t="str">
        <f ca="1">IF(LEN(B416)&gt;0,ISNUMBER(MATCH(B416,Proposed[Item],0)),"")</f>
        <v/>
      </c>
    </row>
    <row r="417" spans="1:44" ht="15" x14ac:dyDescent="0.2">
      <c r="A417" s="276">
        <f t="shared" ca="1" si="6"/>
        <v>205</v>
      </c>
      <c r="B417" s="168" t="str">
        <f ca="1">IFERROR(INDEX(INDIRECT(RangeItems),MATCH($A417,INDIRECT(RangeCount),0)),"")</f>
        <v/>
      </c>
      <c r="C417" s="365" t="str">
        <f ca="1">INDEX(Calcs[Description],$A417)</f>
        <v/>
      </c>
      <c r="D417" s="365"/>
      <c r="E417" s="365"/>
      <c r="F417" s="365"/>
      <c r="G417" s="365"/>
      <c r="H417" s="388"/>
      <c r="I417" s="177"/>
      <c r="J417" s="388"/>
      <c r="K417" s="177"/>
      <c r="L417" s="388"/>
      <c r="M417" s="177"/>
      <c r="N417" s="388"/>
      <c r="O417" s="177"/>
      <c r="P417" s="388"/>
      <c r="Q417" s="177"/>
      <c r="R417" s="388"/>
      <c r="S417" s="177"/>
      <c r="T417" s="388"/>
      <c r="U417" s="177"/>
      <c r="V417" s="388"/>
      <c r="W417" s="177"/>
      <c r="X417" s="388"/>
      <c r="Y417" s="177"/>
      <c r="Z417" s="388"/>
      <c r="AA417" s="177"/>
      <c r="AB417" s="388"/>
      <c r="AC417" s="177"/>
      <c r="AD417" s="388"/>
      <c r="AE417" s="177"/>
      <c r="AF417" s="388"/>
      <c r="AG417" s="177"/>
      <c r="AH417" s="388"/>
      <c r="AI417" s="177"/>
      <c r="AJ417" s="388"/>
      <c r="AK417" s="177"/>
      <c r="AL417" s="388"/>
      <c r="AM417" s="177"/>
      <c r="AN417" s="388"/>
      <c r="AO417" s="177"/>
      <c r="AP417" s="388"/>
      <c r="AQ417" s="177"/>
      <c r="AR417" s="209" t="str">
        <f ca="1">IF(LEN(B417)&gt;0,ISNUMBER(MATCH(B417,Proposed[Item],0)),"")</f>
        <v/>
      </c>
    </row>
    <row r="418" spans="1:44" ht="15" x14ac:dyDescent="0.2">
      <c r="A418" s="276">
        <f t="shared" ca="1" si="6"/>
        <v>205</v>
      </c>
      <c r="B418" s="111" t="str">
        <f ca="1">IF($A418&lt;=NumPayItems,"Line "&amp;INDEX(Calcs[Line],$A418),"")</f>
        <v/>
      </c>
      <c r="C418" s="169" t="str">
        <f ca="1">IFERROR(IF($D418="LPSM","ALL",TEXT(INDEX(INDIRECT(RangeQuantity),MATCH($A418,INDIRECT(RangeCount),0)),"#,##0"&amp;IF(OFFSET(Items[],MATCH($A418,INDIRECT(RangeCount),0)-1,MATCH(Decimals,Items[#Headers],0)-1,1,1)&gt;0,"."&amp;REPT("0",OFFSET(Items[],MATCH($A418,INDIRECT(RangeCount),0)-1,MATCH(Decimals,Items[#Headers],0)-1,1,1)),""))),"")</f>
        <v/>
      </c>
      <c r="D418" s="170" t="str">
        <f ca="1">IFERROR(INDEX(INDIRECT(RangeUnit),MATCH($A418,INDIRECT(RangeCount),0)),"")</f>
        <v/>
      </c>
      <c r="E418" s="170" t="str">
        <f ca="1">IFERROR(IF(INDEX(INDIRECT(RangeContrQty),MATCH($A418,INDIRECT(RangeCount),0)),"(CQ)",""),"")</f>
        <v/>
      </c>
      <c r="F418" s="171" t="str">
        <f ca="1">IFERROR(INDEX(INDIRECT(RangeUnitPrice),MATCH($A418,INDIRECT(RangeCount),0)),"")</f>
        <v/>
      </c>
      <c r="G418" s="171" t="str">
        <f ca="1">IFERROR(VALUE(C418)*F418,F418)</f>
        <v/>
      </c>
      <c r="H418" s="388"/>
      <c r="I418" s="178" t="str">
        <f ca="1">IF($C418="","",IF($D418="LPSM",H417,VALUE($C418)*H417))</f>
        <v/>
      </c>
      <c r="J418" s="388"/>
      <c r="K418" s="178" t="str">
        <f ca="1">IF($C418="","",IF($D418="LPSM",J417,VALUE($C418)*J417))</f>
        <v/>
      </c>
      <c r="L418" s="388"/>
      <c r="M418" s="178" t="str">
        <f ca="1">IF($C418="","",IF($D418="LPSM",L417,VALUE($C418)*L417))</f>
        <v/>
      </c>
      <c r="N418" s="388"/>
      <c r="O418" s="178" t="str">
        <f ca="1">IF($C418="","",IF($D418="LPSM",N417,VALUE($C418)*N417))</f>
        <v/>
      </c>
      <c r="P418" s="388"/>
      <c r="Q418" s="178" t="str">
        <f ca="1">IF($C418="","",IF($D418="LPSM",P417,VALUE($C418)*P417))</f>
        <v/>
      </c>
      <c r="R418" s="388"/>
      <c r="S418" s="178" t="str">
        <f ca="1">IF($C418="","",IF($D418="LPSM",R417,VALUE($C418)*R417))</f>
        <v/>
      </c>
      <c r="T418" s="388"/>
      <c r="U418" s="178" t="str">
        <f ca="1">IF($C418="","",IF($D418="LPSM",T417,VALUE($C418)*T417))</f>
        <v/>
      </c>
      <c r="V418" s="388"/>
      <c r="W418" s="178" t="str">
        <f ca="1">IF($C418="","",IF($D418="LPSM",V417,VALUE($C418)*V417))</f>
        <v/>
      </c>
      <c r="X418" s="388"/>
      <c r="Y418" s="178" t="str">
        <f ca="1">IF($C418="","",IF($D418="LPSM",X417,VALUE($C418)*X417))</f>
        <v/>
      </c>
      <c r="Z418" s="388"/>
      <c r="AA418" s="178" t="str">
        <f ca="1">IF($C418="","",IF($D418="LPSM",Z417,VALUE($C418)*Z417))</f>
        <v/>
      </c>
      <c r="AB418" s="388"/>
      <c r="AC418" s="178" t="str">
        <f ca="1">IF($C418="","",IF($D418="LPSM",AB417,VALUE($C418)*AB417))</f>
        <v/>
      </c>
      <c r="AD418" s="388"/>
      <c r="AE418" s="178" t="str">
        <f ca="1">IF($C418="","",IF($D418="LPSM",AD417,VALUE($C418)*AD417))</f>
        <v/>
      </c>
      <c r="AF418" s="388"/>
      <c r="AG418" s="178" t="str">
        <f ca="1">IF($C418="","",IF($D418="LPSM",AF417,VALUE($C418)*AF417))</f>
        <v/>
      </c>
      <c r="AH418" s="388"/>
      <c r="AI418" s="178" t="str">
        <f ca="1">IF($C418="","",IF($D418="LPSM",AH417,VALUE($C418)*AH417))</f>
        <v/>
      </c>
      <c r="AJ418" s="388"/>
      <c r="AK418" s="178" t="str">
        <f ca="1">IF($C418="","",IF($D418="LPSM",AJ417,VALUE($C418)*AJ417))</f>
        <v/>
      </c>
      <c r="AL418" s="388"/>
      <c r="AM418" s="178" t="str">
        <f ca="1">IF($C418="","",IF($D418="LPSM",AL417,VALUE($C418)*AL417))</f>
        <v/>
      </c>
      <c r="AN418" s="388"/>
      <c r="AO418" s="178" t="str">
        <f ca="1">IF($C418="","",IF($D418="LPSM",AN417,VALUE($C418)*AN417))</f>
        <v/>
      </c>
      <c r="AP418" s="388"/>
      <c r="AQ418" s="178" t="str">
        <f ca="1">IF($C418="","",IF($D418="LPSM",AP417,VALUE($C418)*AP417))</f>
        <v/>
      </c>
      <c r="AR418" s="209" t="str">
        <f ca="1">IF(LEN(B418)&gt;0,ISNUMBER(MATCH(B418,Proposed[Item],0)),"")</f>
        <v/>
      </c>
    </row>
    <row r="419" spans="1:44" ht="15" x14ac:dyDescent="0.2">
      <c r="A419" s="276">
        <f t="shared" ca="1" si="6"/>
        <v>206</v>
      </c>
      <c r="B419" s="168" t="str">
        <f ca="1">IFERROR(INDEX(INDIRECT(RangeItems),MATCH($A419,INDIRECT(RangeCount),0)),"")</f>
        <v/>
      </c>
      <c r="C419" s="365" t="str">
        <f ca="1">INDEX(Calcs[Description],$A419)</f>
        <v/>
      </c>
      <c r="D419" s="365"/>
      <c r="E419" s="365"/>
      <c r="F419" s="365"/>
      <c r="G419" s="365"/>
      <c r="H419" s="388"/>
      <c r="I419" s="177"/>
      <c r="J419" s="388"/>
      <c r="K419" s="177"/>
      <c r="L419" s="388"/>
      <c r="M419" s="177"/>
      <c r="N419" s="388"/>
      <c r="O419" s="177"/>
      <c r="P419" s="388"/>
      <c r="Q419" s="177"/>
      <c r="R419" s="388"/>
      <c r="S419" s="177"/>
      <c r="T419" s="388"/>
      <c r="U419" s="177"/>
      <c r="V419" s="388"/>
      <c r="W419" s="177"/>
      <c r="X419" s="388"/>
      <c r="Y419" s="177"/>
      <c r="Z419" s="388"/>
      <c r="AA419" s="177"/>
      <c r="AB419" s="388"/>
      <c r="AC419" s="177"/>
      <c r="AD419" s="388"/>
      <c r="AE419" s="177"/>
      <c r="AF419" s="388"/>
      <c r="AG419" s="177"/>
      <c r="AH419" s="388"/>
      <c r="AI419" s="177"/>
      <c r="AJ419" s="388"/>
      <c r="AK419" s="177"/>
      <c r="AL419" s="388"/>
      <c r="AM419" s="177"/>
      <c r="AN419" s="388"/>
      <c r="AO419" s="177"/>
      <c r="AP419" s="388"/>
      <c r="AQ419" s="177"/>
      <c r="AR419" s="209" t="str">
        <f ca="1">IF(LEN(B419)&gt;0,ISNUMBER(MATCH(B419,Proposed[Item],0)),"")</f>
        <v/>
      </c>
    </row>
    <row r="420" spans="1:44" ht="15" x14ac:dyDescent="0.2">
      <c r="A420" s="276">
        <f t="shared" ca="1" si="6"/>
        <v>206</v>
      </c>
      <c r="B420" s="111" t="str">
        <f ca="1">IF($A420&lt;=NumPayItems,"Line "&amp;INDEX(Calcs[Line],$A420),"")</f>
        <v/>
      </c>
      <c r="C420" s="169" t="str">
        <f ca="1">IFERROR(IF($D420="LPSM","ALL",TEXT(INDEX(INDIRECT(RangeQuantity),MATCH($A420,INDIRECT(RangeCount),0)),"#,##0"&amp;IF(OFFSET(Items[],MATCH($A420,INDIRECT(RangeCount),0)-1,MATCH(Decimals,Items[#Headers],0)-1,1,1)&gt;0,"."&amp;REPT("0",OFFSET(Items[],MATCH($A420,INDIRECT(RangeCount),0)-1,MATCH(Decimals,Items[#Headers],0)-1,1,1)),""))),"")</f>
        <v/>
      </c>
      <c r="D420" s="170" t="str">
        <f ca="1">IFERROR(INDEX(INDIRECT(RangeUnit),MATCH($A420,INDIRECT(RangeCount),0)),"")</f>
        <v/>
      </c>
      <c r="E420" s="170" t="str">
        <f ca="1">IFERROR(IF(INDEX(INDIRECT(RangeContrQty),MATCH($A420,INDIRECT(RangeCount),0)),"(CQ)",""),"")</f>
        <v/>
      </c>
      <c r="F420" s="171" t="str">
        <f ca="1">IFERROR(INDEX(INDIRECT(RangeUnitPrice),MATCH($A420,INDIRECT(RangeCount),0)),"")</f>
        <v/>
      </c>
      <c r="G420" s="171" t="str">
        <f ca="1">IFERROR(VALUE(C420)*F420,F420)</f>
        <v/>
      </c>
      <c r="H420" s="388"/>
      <c r="I420" s="178" t="str">
        <f ca="1">IF($C420="","",IF($D420="LPSM",H419,VALUE($C420)*H419))</f>
        <v/>
      </c>
      <c r="J420" s="388"/>
      <c r="K420" s="178" t="str">
        <f ca="1">IF($C420="","",IF($D420="LPSM",J419,VALUE($C420)*J419))</f>
        <v/>
      </c>
      <c r="L420" s="388"/>
      <c r="M420" s="178" t="str">
        <f ca="1">IF($C420="","",IF($D420="LPSM",L419,VALUE($C420)*L419))</f>
        <v/>
      </c>
      <c r="N420" s="388"/>
      <c r="O420" s="178" t="str">
        <f ca="1">IF($C420="","",IF($D420="LPSM",N419,VALUE($C420)*N419))</f>
        <v/>
      </c>
      <c r="P420" s="388"/>
      <c r="Q420" s="178" t="str">
        <f ca="1">IF($C420="","",IF($D420="LPSM",P419,VALUE($C420)*P419))</f>
        <v/>
      </c>
      <c r="R420" s="388"/>
      <c r="S420" s="178" t="str">
        <f ca="1">IF($C420="","",IF($D420="LPSM",R419,VALUE($C420)*R419))</f>
        <v/>
      </c>
      <c r="T420" s="388"/>
      <c r="U420" s="178" t="str">
        <f ca="1">IF($C420="","",IF($D420="LPSM",T419,VALUE($C420)*T419))</f>
        <v/>
      </c>
      <c r="V420" s="388"/>
      <c r="W420" s="178" t="str">
        <f ca="1">IF($C420="","",IF($D420="LPSM",V419,VALUE($C420)*V419))</f>
        <v/>
      </c>
      <c r="X420" s="388"/>
      <c r="Y420" s="178" t="str">
        <f ca="1">IF($C420="","",IF($D420="LPSM",X419,VALUE($C420)*X419))</f>
        <v/>
      </c>
      <c r="Z420" s="388"/>
      <c r="AA420" s="178" t="str">
        <f ca="1">IF($C420="","",IF($D420="LPSM",Z419,VALUE($C420)*Z419))</f>
        <v/>
      </c>
      <c r="AB420" s="388"/>
      <c r="AC420" s="178" t="str">
        <f ca="1">IF($C420="","",IF($D420="LPSM",AB419,VALUE($C420)*AB419))</f>
        <v/>
      </c>
      <c r="AD420" s="388"/>
      <c r="AE420" s="178" t="str">
        <f ca="1">IF($C420="","",IF($D420="LPSM",AD419,VALUE($C420)*AD419))</f>
        <v/>
      </c>
      <c r="AF420" s="388"/>
      <c r="AG420" s="178" t="str">
        <f ca="1">IF($C420="","",IF($D420="LPSM",AF419,VALUE($C420)*AF419))</f>
        <v/>
      </c>
      <c r="AH420" s="388"/>
      <c r="AI420" s="178" t="str">
        <f ca="1">IF($C420="","",IF($D420="LPSM",AH419,VALUE($C420)*AH419))</f>
        <v/>
      </c>
      <c r="AJ420" s="388"/>
      <c r="AK420" s="178" t="str">
        <f ca="1">IF($C420="","",IF($D420="LPSM",AJ419,VALUE($C420)*AJ419))</f>
        <v/>
      </c>
      <c r="AL420" s="388"/>
      <c r="AM420" s="178" t="str">
        <f ca="1">IF($C420="","",IF($D420="LPSM",AL419,VALUE($C420)*AL419))</f>
        <v/>
      </c>
      <c r="AN420" s="388"/>
      <c r="AO420" s="178" t="str">
        <f ca="1">IF($C420="","",IF($D420="LPSM",AN419,VALUE($C420)*AN419))</f>
        <v/>
      </c>
      <c r="AP420" s="388"/>
      <c r="AQ420" s="178" t="str">
        <f ca="1">IF($C420="","",IF($D420="LPSM",AP419,VALUE($C420)*AP419))</f>
        <v/>
      </c>
      <c r="AR420" s="209" t="str">
        <f ca="1">IF(LEN(B420)&gt;0,ISNUMBER(MATCH(B420,Proposed[Item],0)),"")</f>
        <v/>
      </c>
    </row>
    <row r="421" spans="1:44" ht="15" x14ac:dyDescent="0.2">
      <c r="A421" s="276">
        <f t="shared" ca="1" si="6"/>
        <v>207</v>
      </c>
      <c r="B421" s="168" t="str">
        <f ca="1">IFERROR(INDEX(INDIRECT(RangeItems),MATCH($A421,INDIRECT(RangeCount),0)),"")</f>
        <v/>
      </c>
      <c r="C421" s="365" t="str">
        <f ca="1">INDEX(Calcs[Description],$A421)</f>
        <v/>
      </c>
      <c r="D421" s="365"/>
      <c r="E421" s="365"/>
      <c r="F421" s="365"/>
      <c r="G421" s="365"/>
      <c r="H421" s="388"/>
      <c r="I421" s="177"/>
      <c r="J421" s="388"/>
      <c r="K421" s="177"/>
      <c r="L421" s="388"/>
      <c r="M421" s="177"/>
      <c r="N421" s="388"/>
      <c r="O421" s="177"/>
      <c r="P421" s="388"/>
      <c r="Q421" s="177"/>
      <c r="R421" s="388"/>
      <c r="S421" s="177"/>
      <c r="T421" s="388"/>
      <c r="U421" s="177"/>
      <c r="V421" s="388"/>
      <c r="W421" s="177"/>
      <c r="X421" s="388"/>
      <c r="Y421" s="177"/>
      <c r="Z421" s="388"/>
      <c r="AA421" s="177"/>
      <c r="AB421" s="388"/>
      <c r="AC421" s="177"/>
      <c r="AD421" s="388"/>
      <c r="AE421" s="177"/>
      <c r="AF421" s="388"/>
      <c r="AG421" s="177"/>
      <c r="AH421" s="388"/>
      <c r="AI421" s="177"/>
      <c r="AJ421" s="388"/>
      <c r="AK421" s="177"/>
      <c r="AL421" s="388"/>
      <c r="AM421" s="177"/>
      <c r="AN421" s="388"/>
      <c r="AO421" s="177"/>
      <c r="AP421" s="388"/>
      <c r="AQ421" s="177"/>
      <c r="AR421" s="209" t="str">
        <f ca="1">IF(LEN(B421)&gt;0,ISNUMBER(MATCH(B421,Proposed[Item],0)),"")</f>
        <v/>
      </c>
    </row>
    <row r="422" spans="1:44" ht="15" x14ac:dyDescent="0.2">
      <c r="A422" s="276">
        <f t="shared" ca="1" si="6"/>
        <v>207</v>
      </c>
      <c r="B422" s="111" t="str">
        <f ca="1">IF($A422&lt;=NumPayItems,"Line "&amp;INDEX(Calcs[Line],$A422),"")</f>
        <v/>
      </c>
      <c r="C422" s="169" t="str">
        <f ca="1">IFERROR(IF($D422="LPSM","ALL",TEXT(INDEX(INDIRECT(RangeQuantity),MATCH($A422,INDIRECT(RangeCount),0)),"#,##0"&amp;IF(OFFSET(Items[],MATCH($A422,INDIRECT(RangeCount),0)-1,MATCH(Decimals,Items[#Headers],0)-1,1,1)&gt;0,"."&amp;REPT("0",OFFSET(Items[],MATCH($A422,INDIRECT(RangeCount),0)-1,MATCH(Decimals,Items[#Headers],0)-1,1,1)),""))),"")</f>
        <v/>
      </c>
      <c r="D422" s="170" t="str">
        <f ca="1">IFERROR(INDEX(INDIRECT(RangeUnit),MATCH($A422,INDIRECT(RangeCount),0)),"")</f>
        <v/>
      </c>
      <c r="E422" s="170" t="str">
        <f ca="1">IFERROR(IF(INDEX(INDIRECT(RangeContrQty),MATCH($A422,INDIRECT(RangeCount),0)),"(CQ)",""),"")</f>
        <v/>
      </c>
      <c r="F422" s="171" t="str">
        <f ca="1">IFERROR(INDEX(INDIRECT(RangeUnitPrice),MATCH($A422,INDIRECT(RangeCount),0)),"")</f>
        <v/>
      </c>
      <c r="G422" s="171" t="str">
        <f ca="1">IFERROR(VALUE(C422)*F422,F422)</f>
        <v/>
      </c>
      <c r="H422" s="388"/>
      <c r="I422" s="178" t="str">
        <f ca="1">IF($C422="","",IF($D422="LPSM",H421,VALUE($C422)*H421))</f>
        <v/>
      </c>
      <c r="J422" s="388"/>
      <c r="K422" s="178" t="str">
        <f ca="1">IF($C422="","",IF($D422="LPSM",J421,VALUE($C422)*J421))</f>
        <v/>
      </c>
      <c r="L422" s="388"/>
      <c r="M422" s="178" t="str">
        <f ca="1">IF($C422="","",IF($D422="LPSM",L421,VALUE($C422)*L421))</f>
        <v/>
      </c>
      <c r="N422" s="388"/>
      <c r="O422" s="178" t="str">
        <f ca="1">IF($C422="","",IF($D422="LPSM",N421,VALUE($C422)*N421))</f>
        <v/>
      </c>
      <c r="P422" s="388"/>
      <c r="Q422" s="178" t="str">
        <f ca="1">IF($C422="","",IF($D422="LPSM",P421,VALUE($C422)*P421))</f>
        <v/>
      </c>
      <c r="R422" s="388"/>
      <c r="S422" s="178" t="str">
        <f ca="1">IF($C422="","",IF($D422="LPSM",R421,VALUE($C422)*R421))</f>
        <v/>
      </c>
      <c r="T422" s="388"/>
      <c r="U422" s="178" t="str">
        <f ca="1">IF($C422="","",IF($D422="LPSM",T421,VALUE($C422)*T421))</f>
        <v/>
      </c>
      <c r="V422" s="388"/>
      <c r="W422" s="178" t="str">
        <f ca="1">IF($C422="","",IF($D422="LPSM",V421,VALUE($C422)*V421))</f>
        <v/>
      </c>
      <c r="X422" s="388"/>
      <c r="Y422" s="178" t="str">
        <f ca="1">IF($C422="","",IF($D422="LPSM",X421,VALUE($C422)*X421))</f>
        <v/>
      </c>
      <c r="Z422" s="388"/>
      <c r="AA422" s="178" t="str">
        <f ca="1">IF($C422="","",IF($D422="LPSM",Z421,VALUE($C422)*Z421))</f>
        <v/>
      </c>
      <c r="AB422" s="388"/>
      <c r="AC422" s="178" t="str">
        <f ca="1">IF($C422="","",IF($D422="LPSM",AB421,VALUE($C422)*AB421))</f>
        <v/>
      </c>
      <c r="AD422" s="388"/>
      <c r="AE422" s="178" t="str">
        <f ca="1">IF($C422="","",IF($D422="LPSM",AD421,VALUE($C422)*AD421))</f>
        <v/>
      </c>
      <c r="AF422" s="388"/>
      <c r="AG422" s="178" t="str">
        <f ca="1">IF($C422="","",IF($D422="LPSM",AF421,VALUE($C422)*AF421))</f>
        <v/>
      </c>
      <c r="AH422" s="388"/>
      <c r="AI422" s="178" t="str">
        <f ca="1">IF($C422="","",IF($D422="LPSM",AH421,VALUE($C422)*AH421))</f>
        <v/>
      </c>
      <c r="AJ422" s="388"/>
      <c r="AK422" s="178" t="str">
        <f ca="1">IF($C422="","",IF($D422="LPSM",AJ421,VALUE($C422)*AJ421))</f>
        <v/>
      </c>
      <c r="AL422" s="388"/>
      <c r="AM422" s="178" t="str">
        <f ca="1">IF($C422="","",IF($D422="LPSM",AL421,VALUE($C422)*AL421))</f>
        <v/>
      </c>
      <c r="AN422" s="388"/>
      <c r="AO422" s="178" t="str">
        <f ca="1">IF($C422="","",IF($D422="LPSM",AN421,VALUE($C422)*AN421))</f>
        <v/>
      </c>
      <c r="AP422" s="388"/>
      <c r="AQ422" s="178" t="str">
        <f ca="1">IF($C422="","",IF($D422="LPSM",AP421,VALUE($C422)*AP421))</f>
        <v/>
      </c>
      <c r="AR422" s="209" t="str">
        <f ca="1">IF(LEN(B422)&gt;0,ISNUMBER(MATCH(B422,Proposed[Item],0)),"")</f>
        <v/>
      </c>
    </row>
    <row r="423" spans="1:44" ht="15" x14ac:dyDescent="0.2">
      <c r="A423" s="276">
        <f t="shared" ca="1" si="6"/>
        <v>208</v>
      </c>
      <c r="B423" s="168" t="str">
        <f ca="1">IFERROR(INDEX(INDIRECT(RangeItems),MATCH($A423,INDIRECT(RangeCount),0)),"")</f>
        <v/>
      </c>
      <c r="C423" s="365" t="str">
        <f ca="1">INDEX(Calcs[Description],$A423)</f>
        <v/>
      </c>
      <c r="D423" s="365"/>
      <c r="E423" s="365"/>
      <c r="F423" s="365"/>
      <c r="G423" s="365"/>
      <c r="H423" s="388"/>
      <c r="I423" s="177"/>
      <c r="J423" s="388"/>
      <c r="K423" s="177"/>
      <c r="L423" s="388"/>
      <c r="M423" s="177"/>
      <c r="N423" s="388"/>
      <c r="O423" s="177"/>
      <c r="P423" s="388"/>
      <c r="Q423" s="177"/>
      <c r="R423" s="388"/>
      <c r="S423" s="177"/>
      <c r="T423" s="388"/>
      <c r="U423" s="177"/>
      <c r="V423" s="388"/>
      <c r="W423" s="177"/>
      <c r="X423" s="388"/>
      <c r="Y423" s="177"/>
      <c r="Z423" s="388"/>
      <c r="AA423" s="177"/>
      <c r="AB423" s="388"/>
      <c r="AC423" s="177"/>
      <c r="AD423" s="388"/>
      <c r="AE423" s="177"/>
      <c r="AF423" s="388"/>
      <c r="AG423" s="177"/>
      <c r="AH423" s="388"/>
      <c r="AI423" s="177"/>
      <c r="AJ423" s="388"/>
      <c r="AK423" s="177"/>
      <c r="AL423" s="388"/>
      <c r="AM423" s="177"/>
      <c r="AN423" s="388"/>
      <c r="AO423" s="177"/>
      <c r="AP423" s="388"/>
      <c r="AQ423" s="177"/>
      <c r="AR423" s="209" t="str">
        <f ca="1">IF(LEN(B423)&gt;0,ISNUMBER(MATCH(B423,Proposed[Item],0)),"")</f>
        <v/>
      </c>
    </row>
    <row r="424" spans="1:44" ht="15" x14ac:dyDescent="0.2">
      <c r="A424" s="276">
        <f t="shared" ca="1" si="6"/>
        <v>208</v>
      </c>
      <c r="B424" s="111" t="str">
        <f ca="1">IF($A424&lt;=NumPayItems,"Line "&amp;INDEX(Calcs[Line],$A424),"")</f>
        <v/>
      </c>
      <c r="C424" s="169" t="str">
        <f ca="1">IFERROR(IF($D424="LPSM","ALL",TEXT(INDEX(INDIRECT(RangeQuantity),MATCH($A424,INDIRECT(RangeCount),0)),"#,##0"&amp;IF(OFFSET(Items[],MATCH($A424,INDIRECT(RangeCount),0)-1,MATCH(Decimals,Items[#Headers],0)-1,1,1)&gt;0,"."&amp;REPT("0",OFFSET(Items[],MATCH($A424,INDIRECT(RangeCount),0)-1,MATCH(Decimals,Items[#Headers],0)-1,1,1)),""))),"")</f>
        <v/>
      </c>
      <c r="D424" s="170" t="str">
        <f ca="1">IFERROR(INDEX(INDIRECT(RangeUnit),MATCH($A424,INDIRECT(RangeCount),0)),"")</f>
        <v/>
      </c>
      <c r="E424" s="170" t="str">
        <f ca="1">IFERROR(IF(INDEX(INDIRECT(RangeContrQty),MATCH($A424,INDIRECT(RangeCount),0)),"(CQ)",""),"")</f>
        <v/>
      </c>
      <c r="F424" s="171" t="str">
        <f ca="1">IFERROR(INDEX(INDIRECT(RangeUnitPrice),MATCH($A424,INDIRECT(RangeCount),0)),"")</f>
        <v/>
      </c>
      <c r="G424" s="171" t="str">
        <f ca="1">IFERROR(VALUE(C424)*F424,F424)</f>
        <v/>
      </c>
      <c r="H424" s="388"/>
      <c r="I424" s="178" t="str">
        <f ca="1">IF($C424="","",IF($D424="LPSM",H423,VALUE($C424)*H423))</f>
        <v/>
      </c>
      <c r="J424" s="388"/>
      <c r="K424" s="178" t="str">
        <f ca="1">IF($C424="","",IF($D424="LPSM",J423,VALUE($C424)*J423))</f>
        <v/>
      </c>
      <c r="L424" s="388"/>
      <c r="M424" s="178" t="str">
        <f ca="1">IF($C424="","",IF($D424="LPSM",L423,VALUE($C424)*L423))</f>
        <v/>
      </c>
      <c r="N424" s="388"/>
      <c r="O424" s="178" t="str">
        <f ca="1">IF($C424="","",IF($D424="LPSM",N423,VALUE($C424)*N423))</f>
        <v/>
      </c>
      <c r="P424" s="388"/>
      <c r="Q424" s="178" t="str">
        <f ca="1">IF($C424="","",IF($D424="LPSM",P423,VALUE($C424)*P423))</f>
        <v/>
      </c>
      <c r="R424" s="388"/>
      <c r="S424" s="178" t="str">
        <f ca="1">IF($C424="","",IF($D424="LPSM",R423,VALUE($C424)*R423))</f>
        <v/>
      </c>
      <c r="T424" s="388"/>
      <c r="U424" s="178" t="str">
        <f ca="1">IF($C424="","",IF($D424="LPSM",T423,VALUE($C424)*T423))</f>
        <v/>
      </c>
      <c r="V424" s="388"/>
      <c r="W424" s="178" t="str">
        <f ca="1">IF($C424="","",IF($D424="LPSM",V423,VALUE($C424)*V423))</f>
        <v/>
      </c>
      <c r="X424" s="388"/>
      <c r="Y424" s="178" t="str">
        <f ca="1">IF($C424="","",IF($D424="LPSM",X423,VALUE($C424)*X423))</f>
        <v/>
      </c>
      <c r="Z424" s="388"/>
      <c r="AA424" s="178" t="str">
        <f ca="1">IF($C424="","",IF($D424="LPSM",Z423,VALUE($C424)*Z423))</f>
        <v/>
      </c>
      <c r="AB424" s="388"/>
      <c r="AC424" s="178" t="str">
        <f ca="1">IF($C424="","",IF($D424="LPSM",AB423,VALUE($C424)*AB423))</f>
        <v/>
      </c>
      <c r="AD424" s="388"/>
      <c r="AE424" s="178" t="str">
        <f ca="1">IF($C424="","",IF($D424="LPSM",AD423,VALUE($C424)*AD423))</f>
        <v/>
      </c>
      <c r="AF424" s="388"/>
      <c r="AG424" s="178" t="str">
        <f ca="1">IF($C424="","",IF($D424="LPSM",AF423,VALUE($C424)*AF423))</f>
        <v/>
      </c>
      <c r="AH424" s="388"/>
      <c r="AI424" s="178" t="str">
        <f ca="1">IF($C424="","",IF($D424="LPSM",AH423,VALUE($C424)*AH423))</f>
        <v/>
      </c>
      <c r="AJ424" s="388"/>
      <c r="AK424" s="178" t="str">
        <f ca="1">IF($C424="","",IF($D424="LPSM",AJ423,VALUE($C424)*AJ423))</f>
        <v/>
      </c>
      <c r="AL424" s="388"/>
      <c r="AM424" s="178" t="str">
        <f ca="1">IF($C424="","",IF($D424="LPSM",AL423,VALUE($C424)*AL423))</f>
        <v/>
      </c>
      <c r="AN424" s="388"/>
      <c r="AO424" s="178" t="str">
        <f ca="1">IF($C424="","",IF($D424="LPSM",AN423,VALUE($C424)*AN423))</f>
        <v/>
      </c>
      <c r="AP424" s="388"/>
      <c r="AQ424" s="178" t="str">
        <f ca="1">IF($C424="","",IF($D424="LPSM",AP423,VALUE($C424)*AP423))</f>
        <v/>
      </c>
      <c r="AR424" s="209" t="str">
        <f ca="1">IF(LEN(B424)&gt;0,ISNUMBER(MATCH(B424,Proposed[Item],0)),"")</f>
        <v/>
      </c>
    </row>
    <row r="425" spans="1:44" ht="15" x14ac:dyDescent="0.2">
      <c r="A425" s="276">
        <f t="shared" ca="1" si="6"/>
        <v>209</v>
      </c>
      <c r="B425" s="168" t="str">
        <f ca="1">IFERROR(INDEX(INDIRECT(RangeItems),MATCH($A425,INDIRECT(RangeCount),0)),"")</f>
        <v/>
      </c>
      <c r="C425" s="365" t="str">
        <f ca="1">INDEX(Calcs[Description],$A425)</f>
        <v/>
      </c>
      <c r="D425" s="365"/>
      <c r="E425" s="365"/>
      <c r="F425" s="365"/>
      <c r="G425" s="365"/>
      <c r="H425" s="388"/>
      <c r="I425" s="177"/>
      <c r="J425" s="388"/>
      <c r="K425" s="177"/>
      <c r="L425" s="388"/>
      <c r="M425" s="177"/>
      <c r="N425" s="388"/>
      <c r="O425" s="177"/>
      <c r="P425" s="388"/>
      <c r="Q425" s="177"/>
      <c r="R425" s="388"/>
      <c r="S425" s="177"/>
      <c r="T425" s="388"/>
      <c r="U425" s="177"/>
      <c r="V425" s="388"/>
      <c r="W425" s="177"/>
      <c r="X425" s="388"/>
      <c r="Y425" s="177"/>
      <c r="Z425" s="388"/>
      <c r="AA425" s="177"/>
      <c r="AB425" s="388"/>
      <c r="AC425" s="177"/>
      <c r="AD425" s="388"/>
      <c r="AE425" s="177"/>
      <c r="AF425" s="388"/>
      <c r="AG425" s="177"/>
      <c r="AH425" s="388"/>
      <c r="AI425" s="177"/>
      <c r="AJ425" s="388"/>
      <c r="AK425" s="177"/>
      <c r="AL425" s="388"/>
      <c r="AM425" s="177"/>
      <c r="AN425" s="388"/>
      <c r="AO425" s="177"/>
      <c r="AP425" s="388"/>
      <c r="AQ425" s="177"/>
      <c r="AR425" s="209" t="str">
        <f ca="1">IF(LEN(B425)&gt;0,ISNUMBER(MATCH(B425,Proposed[Item],0)),"")</f>
        <v/>
      </c>
    </row>
    <row r="426" spans="1:44" ht="15" x14ac:dyDescent="0.2">
      <c r="A426" s="276">
        <f t="shared" ca="1" si="6"/>
        <v>209</v>
      </c>
      <c r="B426" s="111" t="str">
        <f ca="1">IF($A426&lt;=NumPayItems,"Line "&amp;INDEX(Calcs[Line],$A426),"")</f>
        <v/>
      </c>
      <c r="C426" s="169" t="str">
        <f ca="1">IFERROR(IF($D426="LPSM","ALL",TEXT(INDEX(INDIRECT(RangeQuantity),MATCH($A426,INDIRECT(RangeCount),0)),"#,##0"&amp;IF(OFFSET(Items[],MATCH($A426,INDIRECT(RangeCount),0)-1,MATCH(Decimals,Items[#Headers],0)-1,1,1)&gt;0,"."&amp;REPT("0",OFFSET(Items[],MATCH($A426,INDIRECT(RangeCount),0)-1,MATCH(Decimals,Items[#Headers],0)-1,1,1)),""))),"")</f>
        <v/>
      </c>
      <c r="D426" s="170" t="str">
        <f ca="1">IFERROR(INDEX(INDIRECT(RangeUnit),MATCH($A426,INDIRECT(RangeCount),0)),"")</f>
        <v/>
      </c>
      <c r="E426" s="170" t="str">
        <f ca="1">IFERROR(IF(INDEX(INDIRECT(RangeContrQty),MATCH($A426,INDIRECT(RangeCount),0)),"(CQ)",""),"")</f>
        <v/>
      </c>
      <c r="F426" s="171" t="str">
        <f ca="1">IFERROR(INDEX(INDIRECT(RangeUnitPrice),MATCH($A426,INDIRECT(RangeCount),0)),"")</f>
        <v/>
      </c>
      <c r="G426" s="171" t="str">
        <f ca="1">IFERROR(VALUE(C426)*F426,F426)</f>
        <v/>
      </c>
      <c r="H426" s="388"/>
      <c r="I426" s="178" t="str">
        <f ca="1">IF($C426="","",IF($D426="LPSM",H425,VALUE($C426)*H425))</f>
        <v/>
      </c>
      <c r="J426" s="388"/>
      <c r="K426" s="178" t="str">
        <f ca="1">IF($C426="","",IF($D426="LPSM",J425,VALUE($C426)*J425))</f>
        <v/>
      </c>
      <c r="L426" s="388"/>
      <c r="M426" s="178" t="str">
        <f ca="1">IF($C426="","",IF($D426="LPSM",L425,VALUE($C426)*L425))</f>
        <v/>
      </c>
      <c r="N426" s="388"/>
      <c r="O426" s="178" t="str">
        <f ca="1">IF($C426="","",IF($D426="LPSM",N425,VALUE($C426)*N425))</f>
        <v/>
      </c>
      <c r="P426" s="388"/>
      <c r="Q426" s="178" t="str">
        <f ca="1">IF($C426="","",IF($D426="LPSM",P425,VALUE($C426)*P425))</f>
        <v/>
      </c>
      <c r="R426" s="388"/>
      <c r="S426" s="178" t="str">
        <f ca="1">IF($C426="","",IF($D426="LPSM",R425,VALUE($C426)*R425))</f>
        <v/>
      </c>
      <c r="T426" s="388"/>
      <c r="U426" s="178" t="str">
        <f ca="1">IF($C426="","",IF($D426="LPSM",T425,VALUE($C426)*T425))</f>
        <v/>
      </c>
      <c r="V426" s="388"/>
      <c r="W426" s="178" t="str">
        <f ca="1">IF($C426="","",IF($D426="LPSM",V425,VALUE($C426)*V425))</f>
        <v/>
      </c>
      <c r="X426" s="388"/>
      <c r="Y426" s="178" t="str">
        <f ca="1">IF($C426="","",IF($D426="LPSM",X425,VALUE($C426)*X425))</f>
        <v/>
      </c>
      <c r="Z426" s="388"/>
      <c r="AA426" s="178" t="str">
        <f ca="1">IF($C426="","",IF($D426="LPSM",Z425,VALUE($C426)*Z425))</f>
        <v/>
      </c>
      <c r="AB426" s="388"/>
      <c r="AC426" s="178" t="str">
        <f ca="1">IF($C426="","",IF($D426="LPSM",AB425,VALUE($C426)*AB425))</f>
        <v/>
      </c>
      <c r="AD426" s="388"/>
      <c r="AE426" s="178" t="str">
        <f ca="1">IF($C426="","",IF($D426="LPSM",AD425,VALUE($C426)*AD425))</f>
        <v/>
      </c>
      <c r="AF426" s="388"/>
      <c r="AG426" s="178" t="str">
        <f ca="1">IF($C426="","",IF($D426="LPSM",AF425,VALUE($C426)*AF425))</f>
        <v/>
      </c>
      <c r="AH426" s="388"/>
      <c r="AI426" s="178" t="str">
        <f ca="1">IF($C426="","",IF($D426="LPSM",AH425,VALUE($C426)*AH425))</f>
        <v/>
      </c>
      <c r="AJ426" s="388"/>
      <c r="AK426" s="178" t="str">
        <f ca="1">IF($C426="","",IF($D426="LPSM",AJ425,VALUE($C426)*AJ425))</f>
        <v/>
      </c>
      <c r="AL426" s="388"/>
      <c r="AM426" s="178" t="str">
        <f ca="1">IF($C426="","",IF($D426="LPSM",AL425,VALUE($C426)*AL425))</f>
        <v/>
      </c>
      <c r="AN426" s="388"/>
      <c r="AO426" s="178" t="str">
        <f ca="1">IF($C426="","",IF($D426="LPSM",AN425,VALUE($C426)*AN425))</f>
        <v/>
      </c>
      <c r="AP426" s="388"/>
      <c r="AQ426" s="178" t="str">
        <f ca="1">IF($C426="","",IF($D426="LPSM",AP425,VALUE($C426)*AP425))</f>
        <v/>
      </c>
      <c r="AR426" s="209" t="str">
        <f ca="1">IF(LEN(B426)&gt;0,ISNUMBER(MATCH(B426,Proposed[Item],0)),"")</f>
        <v/>
      </c>
    </row>
    <row r="427" spans="1:44" ht="15" x14ac:dyDescent="0.2">
      <c r="A427" s="276">
        <f t="shared" ca="1" si="6"/>
        <v>210</v>
      </c>
      <c r="B427" s="168" t="str">
        <f ca="1">IFERROR(INDEX(INDIRECT(RangeItems),MATCH($A427,INDIRECT(RangeCount),0)),"")</f>
        <v/>
      </c>
      <c r="C427" s="365" t="str">
        <f ca="1">INDEX(Calcs[Description],$A427)</f>
        <v/>
      </c>
      <c r="D427" s="365"/>
      <c r="E427" s="365"/>
      <c r="F427" s="365"/>
      <c r="G427" s="365"/>
      <c r="H427" s="388"/>
      <c r="I427" s="177"/>
      <c r="J427" s="388"/>
      <c r="K427" s="177"/>
      <c r="L427" s="388"/>
      <c r="M427" s="177"/>
      <c r="N427" s="388"/>
      <c r="O427" s="177"/>
      <c r="P427" s="388"/>
      <c r="Q427" s="177"/>
      <c r="R427" s="388"/>
      <c r="S427" s="177"/>
      <c r="T427" s="388"/>
      <c r="U427" s="177"/>
      <c r="V427" s="388"/>
      <c r="W427" s="177"/>
      <c r="X427" s="388"/>
      <c r="Y427" s="177"/>
      <c r="Z427" s="388"/>
      <c r="AA427" s="177"/>
      <c r="AB427" s="388"/>
      <c r="AC427" s="177"/>
      <c r="AD427" s="388"/>
      <c r="AE427" s="177"/>
      <c r="AF427" s="388"/>
      <c r="AG427" s="177"/>
      <c r="AH427" s="388"/>
      <c r="AI427" s="177"/>
      <c r="AJ427" s="388"/>
      <c r="AK427" s="177"/>
      <c r="AL427" s="388"/>
      <c r="AM427" s="177"/>
      <c r="AN427" s="388"/>
      <c r="AO427" s="177"/>
      <c r="AP427" s="388"/>
      <c r="AQ427" s="177"/>
      <c r="AR427" s="209" t="str">
        <f ca="1">IF(LEN(B427)&gt;0,ISNUMBER(MATCH(B427,Proposed[Item],0)),"")</f>
        <v/>
      </c>
    </row>
    <row r="428" spans="1:44" ht="15" x14ac:dyDescent="0.2">
      <c r="A428" s="276">
        <f t="shared" ca="1" si="6"/>
        <v>210</v>
      </c>
      <c r="B428" s="111" t="str">
        <f ca="1">IF($A428&lt;=NumPayItems,"Line "&amp;INDEX(Calcs[Line],$A428),"")</f>
        <v/>
      </c>
      <c r="C428" s="169" t="str">
        <f ca="1">IFERROR(IF($D428="LPSM","ALL",TEXT(INDEX(INDIRECT(RangeQuantity),MATCH($A428,INDIRECT(RangeCount),0)),"#,##0"&amp;IF(OFFSET(Items[],MATCH($A428,INDIRECT(RangeCount),0)-1,MATCH(Decimals,Items[#Headers],0)-1,1,1)&gt;0,"."&amp;REPT("0",OFFSET(Items[],MATCH($A428,INDIRECT(RangeCount),0)-1,MATCH(Decimals,Items[#Headers],0)-1,1,1)),""))),"")</f>
        <v/>
      </c>
      <c r="D428" s="170" t="str">
        <f ca="1">IFERROR(INDEX(INDIRECT(RangeUnit),MATCH($A428,INDIRECT(RangeCount),0)),"")</f>
        <v/>
      </c>
      <c r="E428" s="170" t="str">
        <f ca="1">IFERROR(IF(INDEX(INDIRECT(RangeContrQty),MATCH($A428,INDIRECT(RangeCount),0)),"(CQ)",""),"")</f>
        <v/>
      </c>
      <c r="F428" s="171" t="str">
        <f ca="1">IFERROR(INDEX(INDIRECT(RangeUnitPrice),MATCH($A428,INDIRECT(RangeCount),0)),"")</f>
        <v/>
      </c>
      <c r="G428" s="171" t="str">
        <f ca="1">IFERROR(VALUE(C428)*F428,F428)</f>
        <v/>
      </c>
      <c r="H428" s="388"/>
      <c r="I428" s="178" t="str">
        <f ca="1">IF($C428="","",IF($D428="LPSM",H427,VALUE($C428)*H427))</f>
        <v/>
      </c>
      <c r="J428" s="388"/>
      <c r="K428" s="178" t="str">
        <f ca="1">IF($C428="","",IF($D428="LPSM",J427,VALUE($C428)*J427))</f>
        <v/>
      </c>
      <c r="L428" s="388"/>
      <c r="M428" s="178" t="str">
        <f ca="1">IF($C428="","",IF($D428="LPSM",L427,VALUE($C428)*L427))</f>
        <v/>
      </c>
      <c r="N428" s="388"/>
      <c r="O428" s="178" t="str">
        <f ca="1">IF($C428="","",IF($D428="LPSM",N427,VALUE($C428)*N427))</f>
        <v/>
      </c>
      <c r="P428" s="388"/>
      <c r="Q428" s="178" t="str">
        <f ca="1">IF($C428="","",IF($D428="LPSM",P427,VALUE($C428)*P427))</f>
        <v/>
      </c>
      <c r="R428" s="388"/>
      <c r="S428" s="178" t="str">
        <f ca="1">IF($C428="","",IF($D428="LPSM",R427,VALUE($C428)*R427))</f>
        <v/>
      </c>
      <c r="T428" s="388"/>
      <c r="U428" s="178" t="str">
        <f ca="1">IF($C428="","",IF($D428="LPSM",T427,VALUE($C428)*T427))</f>
        <v/>
      </c>
      <c r="V428" s="388"/>
      <c r="W428" s="178" t="str">
        <f ca="1">IF($C428="","",IF($D428="LPSM",V427,VALUE($C428)*V427))</f>
        <v/>
      </c>
      <c r="X428" s="388"/>
      <c r="Y428" s="178" t="str">
        <f ca="1">IF($C428="","",IF($D428="LPSM",X427,VALUE($C428)*X427))</f>
        <v/>
      </c>
      <c r="Z428" s="388"/>
      <c r="AA428" s="178" t="str">
        <f ca="1">IF($C428="","",IF($D428="LPSM",Z427,VALUE($C428)*Z427))</f>
        <v/>
      </c>
      <c r="AB428" s="388"/>
      <c r="AC428" s="178" t="str">
        <f ca="1">IF($C428="","",IF($D428="LPSM",AB427,VALUE($C428)*AB427))</f>
        <v/>
      </c>
      <c r="AD428" s="388"/>
      <c r="AE428" s="178" t="str">
        <f ca="1">IF($C428="","",IF($D428="LPSM",AD427,VALUE($C428)*AD427))</f>
        <v/>
      </c>
      <c r="AF428" s="388"/>
      <c r="AG428" s="178" t="str">
        <f ca="1">IF($C428="","",IF($D428="LPSM",AF427,VALUE($C428)*AF427))</f>
        <v/>
      </c>
      <c r="AH428" s="388"/>
      <c r="AI428" s="178" t="str">
        <f ca="1">IF($C428="","",IF($D428="LPSM",AH427,VALUE($C428)*AH427))</f>
        <v/>
      </c>
      <c r="AJ428" s="388"/>
      <c r="AK428" s="178" t="str">
        <f ca="1">IF($C428="","",IF($D428="LPSM",AJ427,VALUE($C428)*AJ427))</f>
        <v/>
      </c>
      <c r="AL428" s="388"/>
      <c r="AM428" s="178" t="str">
        <f ca="1">IF($C428="","",IF($D428="LPSM",AL427,VALUE($C428)*AL427))</f>
        <v/>
      </c>
      <c r="AN428" s="388"/>
      <c r="AO428" s="178" t="str">
        <f ca="1">IF($C428="","",IF($D428="LPSM",AN427,VALUE($C428)*AN427))</f>
        <v/>
      </c>
      <c r="AP428" s="388"/>
      <c r="AQ428" s="178" t="str">
        <f ca="1">IF($C428="","",IF($D428="LPSM",AP427,VALUE($C428)*AP427))</f>
        <v/>
      </c>
      <c r="AR428" s="209" t="str">
        <f ca="1">IF(LEN(B428)&gt;0,ISNUMBER(MATCH(B428,Proposed[Item],0)),"")</f>
        <v/>
      </c>
    </row>
    <row r="429" spans="1:44" ht="15" x14ac:dyDescent="0.2">
      <c r="A429" s="276">
        <f t="shared" ca="1" si="6"/>
        <v>211</v>
      </c>
      <c r="B429" s="168" t="str">
        <f ca="1">IFERROR(INDEX(INDIRECT(RangeItems),MATCH($A429,INDIRECT(RangeCount),0)),"")</f>
        <v/>
      </c>
      <c r="C429" s="365" t="str">
        <f ca="1">INDEX(Calcs[Description],$A429)</f>
        <v/>
      </c>
      <c r="D429" s="365"/>
      <c r="E429" s="365"/>
      <c r="F429" s="365"/>
      <c r="G429" s="365"/>
      <c r="H429" s="388"/>
      <c r="I429" s="177"/>
      <c r="J429" s="388"/>
      <c r="K429" s="177"/>
      <c r="L429" s="388"/>
      <c r="M429" s="177"/>
      <c r="N429" s="388"/>
      <c r="O429" s="177"/>
      <c r="P429" s="388"/>
      <c r="Q429" s="177"/>
      <c r="R429" s="388"/>
      <c r="S429" s="177"/>
      <c r="T429" s="388"/>
      <c r="U429" s="177"/>
      <c r="V429" s="388"/>
      <c r="W429" s="177"/>
      <c r="X429" s="388"/>
      <c r="Y429" s="177"/>
      <c r="Z429" s="388"/>
      <c r="AA429" s="177"/>
      <c r="AB429" s="388"/>
      <c r="AC429" s="177"/>
      <c r="AD429" s="388"/>
      <c r="AE429" s="177"/>
      <c r="AF429" s="388"/>
      <c r="AG429" s="177"/>
      <c r="AH429" s="388"/>
      <c r="AI429" s="177"/>
      <c r="AJ429" s="388"/>
      <c r="AK429" s="177"/>
      <c r="AL429" s="388"/>
      <c r="AM429" s="177"/>
      <c r="AN429" s="388"/>
      <c r="AO429" s="177"/>
      <c r="AP429" s="388"/>
      <c r="AQ429" s="177"/>
      <c r="AR429" s="209" t="str">
        <f ca="1">IF(LEN(B429)&gt;0,ISNUMBER(MATCH(B429,Proposed[Item],0)),"")</f>
        <v/>
      </c>
    </row>
    <row r="430" spans="1:44" ht="15" x14ac:dyDescent="0.2">
      <c r="A430" s="276">
        <f t="shared" ca="1" si="6"/>
        <v>211</v>
      </c>
      <c r="B430" s="111" t="str">
        <f ca="1">IF($A430&lt;=NumPayItems,"Line "&amp;INDEX(Calcs[Line],$A430),"")</f>
        <v/>
      </c>
      <c r="C430" s="169" t="str">
        <f ca="1">IFERROR(IF($D430="LPSM","ALL",TEXT(INDEX(INDIRECT(RangeQuantity),MATCH($A430,INDIRECT(RangeCount),0)),"#,##0"&amp;IF(OFFSET(Items[],MATCH($A430,INDIRECT(RangeCount),0)-1,MATCH(Decimals,Items[#Headers],0)-1,1,1)&gt;0,"."&amp;REPT("0",OFFSET(Items[],MATCH($A430,INDIRECT(RangeCount),0)-1,MATCH(Decimals,Items[#Headers],0)-1,1,1)),""))),"")</f>
        <v/>
      </c>
      <c r="D430" s="170" t="str">
        <f ca="1">IFERROR(INDEX(INDIRECT(RangeUnit),MATCH($A430,INDIRECT(RangeCount),0)),"")</f>
        <v/>
      </c>
      <c r="E430" s="170" t="str">
        <f ca="1">IFERROR(IF(INDEX(INDIRECT(RangeContrQty),MATCH($A430,INDIRECT(RangeCount),0)),"(CQ)",""),"")</f>
        <v/>
      </c>
      <c r="F430" s="171" t="str">
        <f ca="1">IFERROR(INDEX(INDIRECT(RangeUnitPrice),MATCH($A430,INDIRECT(RangeCount),0)),"")</f>
        <v/>
      </c>
      <c r="G430" s="171" t="str">
        <f ca="1">IFERROR(VALUE(C430)*F430,F430)</f>
        <v/>
      </c>
      <c r="H430" s="388"/>
      <c r="I430" s="178" t="str">
        <f ca="1">IF($C430="","",IF($D430="LPSM",H429,VALUE($C430)*H429))</f>
        <v/>
      </c>
      <c r="J430" s="388"/>
      <c r="K430" s="178" t="str">
        <f ca="1">IF($C430="","",IF($D430="LPSM",J429,VALUE($C430)*J429))</f>
        <v/>
      </c>
      <c r="L430" s="388"/>
      <c r="M430" s="178" t="str">
        <f ca="1">IF($C430="","",IF($D430="LPSM",L429,VALUE($C430)*L429))</f>
        <v/>
      </c>
      <c r="N430" s="388"/>
      <c r="O430" s="178" t="str">
        <f ca="1">IF($C430="","",IF($D430="LPSM",N429,VALUE($C430)*N429))</f>
        <v/>
      </c>
      <c r="P430" s="388"/>
      <c r="Q430" s="178" t="str">
        <f ca="1">IF($C430="","",IF($D430="LPSM",P429,VALUE($C430)*P429))</f>
        <v/>
      </c>
      <c r="R430" s="388"/>
      <c r="S430" s="178" t="str">
        <f ca="1">IF($C430="","",IF($D430="LPSM",R429,VALUE($C430)*R429))</f>
        <v/>
      </c>
      <c r="T430" s="388"/>
      <c r="U430" s="178" t="str">
        <f ca="1">IF($C430="","",IF($D430="LPSM",T429,VALUE($C430)*T429))</f>
        <v/>
      </c>
      <c r="V430" s="388"/>
      <c r="W430" s="178" t="str">
        <f ca="1">IF($C430="","",IF($D430="LPSM",V429,VALUE($C430)*V429))</f>
        <v/>
      </c>
      <c r="X430" s="388"/>
      <c r="Y430" s="178" t="str">
        <f ca="1">IF($C430="","",IF($D430="LPSM",X429,VALUE($C430)*X429))</f>
        <v/>
      </c>
      <c r="Z430" s="388"/>
      <c r="AA430" s="178" t="str">
        <f ca="1">IF($C430="","",IF($D430="LPSM",Z429,VALUE($C430)*Z429))</f>
        <v/>
      </c>
      <c r="AB430" s="388"/>
      <c r="AC430" s="178" t="str">
        <f ca="1">IF($C430="","",IF($D430="LPSM",AB429,VALUE($C430)*AB429))</f>
        <v/>
      </c>
      <c r="AD430" s="388"/>
      <c r="AE430" s="178" t="str">
        <f ca="1">IF($C430="","",IF($D430="LPSM",AD429,VALUE($C430)*AD429))</f>
        <v/>
      </c>
      <c r="AF430" s="388"/>
      <c r="AG430" s="178" t="str">
        <f ca="1">IF($C430="","",IF($D430="LPSM",AF429,VALUE($C430)*AF429))</f>
        <v/>
      </c>
      <c r="AH430" s="388"/>
      <c r="AI430" s="178" t="str">
        <f ca="1">IF($C430="","",IF($D430="LPSM",AH429,VALUE($C430)*AH429))</f>
        <v/>
      </c>
      <c r="AJ430" s="388"/>
      <c r="AK430" s="178" t="str">
        <f ca="1">IF($C430="","",IF($D430="LPSM",AJ429,VALUE($C430)*AJ429))</f>
        <v/>
      </c>
      <c r="AL430" s="388"/>
      <c r="AM430" s="178" t="str">
        <f ca="1">IF($C430="","",IF($D430="LPSM",AL429,VALUE($C430)*AL429))</f>
        <v/>
      </c>
      <c r="AN430" s="388"/>
      <c r="AO430" s="178" t="str">
        <f ca="1">IF($C430="","",IF($D430="LPSM",AN429,VALUE($C430)*AN429))</f>
        <v/>
      </c>
      <c r="AP430" s="388"/>
      <c r="AQ430" s="178" t="str">
        <f ca="1">IF($C430="","",IF($D430="LPSM",AP429,VALUE($C430)*AP429))</f>
        <v/>
      </c>
      <c r="AR430" s="209" t="str">
        <f ca="1">IF(LEN(B430)&gt;0,ISNUMBER(MATCH(B430,Proposed[Item],0)),"")</f>
        <v/>
      </c>
    </row>
    <row r="431" spans="1:44" ht="15" x14ac:dyDescent="0.2">
      <c r="A431" s="276">
        <f t="shared" ca="1" si="6"/>
        <v>212</v>
      </c>
      <c r="B431" s="168" t="str">
        <f ca="1">IFERROR(INDEX(INDIRECT(RangeItems),MATCH($A431,INDIRECT(RangeCount),0)),"")</f>
        <v/>
      </c>
      <c r="C431" s="365" t="str">
        <f ca="1">INDEX(Calcs[Description],$A431)</f>
        <v/>
      </c>
      <c r="D431" s="365"/>
      <c r="E431" s="365"/>
      <c r="F431" s="365"/>
      <c r="G431" s="365"/>
      <c r="H431" s="388"/>
      <c r="I431" s="177"/>
      <c r="J431" s="388"/>
      <c r="K431" s="177"/>
      <c r="L431" s="388"/>
      <c r="M431" s="177"/>
      <c r="N431" s="388"/>
      <c r="O431" s="177"/>
      <c r="P431" s="388"/>
      <c r="Q431" s="177"/>
      <c r="R431" s="388"/>
      <c r="S431" s="177"/>
      <c r="T431" s="388"/>
      <c r="U431" s="177"/>
      <c r="V431" s="388"/>
      <c r="W431" s="177"/>
      <c r="X431" s="388"/>
      <c r="Y431" s="177"/>
      <c r="Z431" s="388"/>
      <c r="AA431" s="177"/>
      <c r="AB431" s="388"/>
      <c r="AC431" s="177"/>
      <c r="AD431" s="388"/>
      <c r="AE431" s="177"/>
      <c r="AF431" s="388"/>
      <c r="AG431" s="177"/>
      <c r="AH431" s="388"/>
      <c r="AI431" s="177"/>
      <c r="AJ431" s="388"/>
      <c r="AK431" s="177"/>
      <c r="AL431" s="388"/>
      <c r="AM431" s="177"/>
      <c r="AN431" s="388"/>
      <c r="AO431" s="177"/>
      <c r="AP431" s="388"/>
      <c r="AQ431" s="177"/>
      <c r="AR431" s="209" t="str">
        <f ca="1">IF(LEN(B431)&gt;0,ISNUMBER(MATCH(B431,Proposed[Item],0)),"")</f>
        <v/>
      </c>
    </row>
    <row r="432" spans="1:44" ht="15" x14ac:dyDescent="0.2">
      <c r="A432" s="276">
        <f t="shared" ca="1" si="6"/>
        <v>212</v>
      </c>
      <c r="B432" s="111" t="str">
        <f ca="1">IF($A432&lt;=NumPayItems,"Line "&amp;INDEX(Calcs[Line],$A432),"")</f>
        <v/>
      </c>
      <c r="C432" s="169" t="str">
        <f ca="1">IFERROR(IF($D432="LPSM","ALL",TEXT(INDEX(INDIRECT(RangeQuantity),MATCH($A432,INDIRECT(RangeCount),0)),"#,##0"&amp;IF(OFFSET(Items[],MATCH($A432,INDIRECT(RangeCount),0)-1,MATCH(Decimals,Items[#Headers],0)-1,1,1)&gt;0,"."&amp;REPT("0",OFFSET(Items[],MATCH($A432,INDIRECT(RangeCount),0)-1,MATCH(Decimals,Items[#Headers],0)-1,1,1)),""))),"")</f>
        <v/>
      </c>
      <c r="D432" s="170" t="str">
        <f ca="1">IFERROR(INDEX(INDIRECT(RangeUnit),MATCH($A432,INDIRECT(RangeCount),0)),"")</f>
        <v/>
      </c>
      <c r="E432" s="170" t="str">
        <f ca="1">IFERROR(IF(INDEX(INDIRECT(RangeContrQty),MATCH($A432,INDIRECT(RangeCount),0)),"(CQ)",""),"")</f>
        <v/>
      </c>
      <c r="F432" s="171" t="str">
        <f ca="1">IFERROR(INDEX(INDIRECT(RangeUnitPrice),MATCH($A432,INDIRECT(RangeCount),0)),"")</f>
        <v/>
      </c>
      <c r="G432" s="171" t="str">
        <f ca="1">IFERROR(VALUE(C432)*F432,F432)</f>
        <v/>
      </c>
      <c r="H432" s="388"/>
      <c r="I432" s="178" t="str">
        <f ca="1">IF($C432="","",IF($D432="LPSM",H431,VALUE($C432)*H431))</f>
        <v/>
      </c>
      <c r="J432" s="388"/>
      <c r="K432" s="178" t="str">
        <f ca="1">IF($C432="","",IF($D432="LPSM",J431,VALUE($C432)*J431))</f>
        <v/>
      </c>
      <c r="L432" s="388"/>
      <c r="M432" s="178" t="str">
        <f ca="1">IF($C432="","",IF($D432="LPSM",L431,VALUE($C432)*L431))</f>
        <v/>
      </c>
      <c r="N432" s="388"/>
      <c r="O432" s="178" t="str">
        <f ca="1">IF($C432="","",IF($D432="LPSM",N431,VALUE($C432)*N431))</f>
        <v/>
      </c>
      <c r="P432" s="388"/>
      <c r="Q432" s="178" t="str">
        <f ca="1">IF($C432="","",IF($D432="LPSM",P431,VALUE($C432)*P431))</f>
        <v/>
      </c>
      <c r="R432" s="388"/>
      <c r="S432" s="178" t="str">
        <f ca="1">IF($C432="","",IF($D432="LPSM",R431,VALUE($C432)*R431))</f>
        <v/>
      </c>
      <c r="T432" s="388"/>
      <c r="U432" s="178" t="str">
        <f ca="1">IF($C432="","",IF($D432="LPSM",T431,VALUE($C432)*T431))</f>
        <v/>
      </c>
      <c r="V432" s="388"/>
      <c r="W432" s="178" t="str">
        <f ca="1">IF($C432="","",IF($D432="LPSM",V431,VALUE($C432)*V431))</f>
        <v/>
      </c>
      <c r="X432" s="388"/>
      <c r="Y432" s="178" t="str">
        <f ca="1">IF($C432="","",IF($D432="LPSM",X431,VALUE($C432)*X431))</f>
        <v/>
      </c>
      <c r="Z432" s="388"/>
      <c r="AA432" s="178" t="str">
        <f ca="1">IF($C432="","",IF($D432="LPSM",Z431,VALUE($C432)*Z431))</f>
        <v/>
      </c>
      <c r="AB432" s="388"/>
      <c r="AC432" s="178" t="str">
        <f ca="1">IF($C432="","",IF($D432="LPSM",AB431,VALUE($C432)*AB431))</f>
        <v/>
      </c>
      <c r="AD432" s="388"/>
      <c r="AE432" s="178" t="str">
        <f ca="1">IF($C432="","",IF($D432="LPSM",AD431,VALUE($C432)*AD431))</f>
        <v/>
      </c>
      <c r="AF432" s="388"/>
      <c r="AG432" s="178" t="str">
        <f ca="1">IF($C432="","",IF($D432="LPSM",AF431,VALUE($C432)*AF431))</f>
        <v/>
      </c>
      <c r="AH432" s="388"/>
      <c r="AI432" s="178" t="str">
        <f ca="1">IF($C432="","",IF($D432="LPSM",AH431,VALUE($C432)*AH431))</f>
        <v/>
      </c>
      <c r="AJ432" s="388"/>
      <c r="AK432" s="178" t="str">
        <f ca="1">IF($C432="","",IF($D432="LPSM",AJ431,VALUE($C432)*AJ431))</f>
        <v/>
      </c>
      <c r="AL432" s="388"/>
      <c r="AM432" s="178" t="str">
        <f ca="1">IF($C432="","",IF($D432="LPSM",AL431,VALUE($C432)*AL431))</f>
        <v/>
      </c>
      <c r="AN432" s="388"/>
      <c r="AO432" s="178" t="str">
        <f ca="1">IF($C432="","",IF($D432="LPSM",AN431,VALUE($C432)*AN431))</f>
        <v/>
      </c>
      <c r="AP432" s="388"/>
      <c r="AQ432" s="178" t="str">
        <f ca="1">IF($C432="","",IF($D432="LPSM",AP431,VALUE($C432)*AP431))</f>
        <v/>
      </c>
      <c r="AR432" s="209" t="str">
        <f ca="1">IF(LEN(B432)&gt;0,ISNUMBER(MATCH(B432,Proposed[Item],0)),"")</f>
        <v/>
      </c>
    </row>
    <row r="433" spans="1:44" ht="15" x14ac:dyDescent="0.2">
      <c r="A433" s="276">
        <f t="shared" ca="1" si="6"/>
        <v>213</v>
      </c>
      <c r="B433" s="168" t="str">
        <f ca="1">IFERROR(INDEX(INDIRECT(RangeItems),MATCH($A433,INDIRECT(RangeCount),0)),"")</f>
        <v/>
      </c>
      <c r="C433" s="365" t="str">
        <f ca="1">INDEX(Calcs[Description],$A433)</f>
        <v/>
      </c>
      <c r="D433" s="365"/>
      <c r="E433" s="365"/>
      <c r="F433" s="365"/>
      <c r="G433" s="365"/>
      <c r="H433" s="388"/>
      <c r="I433" s="177"/>
      <c r="J433" s="388"/>
      <c r="K433" s="177"/>
      <c r="L433" s="388"/>
      <c r="M433" s="177"/>
      <c r="N433" s="388"/>
      <c r="O433" s="177"/>
      <c r="P433" s="388"/>
      <c r="Q433" s="177"/>
      <c r="R433" s="388"/>
      <c r="S433" s="177"/>
      <c r="T433" s="388"/>
      <c r="U433" s="177"/>
      <c r="V433" s="388"/>
      <c r="W433" s="177"/>
      <c r="X433" s="388"/>
      <c r="Y433" s="177"/>
      <c r="Z433" s="388"/>
      <c r="AA433" s="177"/>
      <c r="AB433" s="388"/>
      <c r="AC433" s="177"/>
      <c r="AD433" s="388"/>
      <c r="AE433" s="177"/>
      <c r="AF433" s="388"/>
      <c r="AG433" s="177"/>
      <c r="AH433" s="388"/>
      <c r="AI433" s="177"/>
      <c r="AJ433" s="388"/>
      <c r="AK433" s="177"/>
      <c r="AL433" s="388"/>
      <c r="AM433" s="177"/>
      <c r="AN433" s="388"/>
      <c r="AO433" s="177"/>
      <c r="AP433" s="388"/>
      <c r="AQ433" s="177"/>
      <c r="AR433" s="209" t="str">
        <f ca="1">IF(LEN(B433)&gt;0,ISNUMBER(MATCH(B433,Proposed[Item],0)),"")</f>
        <v/>
      </c>
    </row>
    <row r="434" spans="1:44" ht="15" x14ac:dyDescent="0.2">
      <c r="A434" s="276">
        <f t="shared" ca="1" si="6"/>
        <v>213</v>
      </c>
      <c r="B434" s="111" t="str">
        <f ca="1">IF($A434&lt;=NumPayItems,"Line "&amp;INDEX(Calcs[Line],$A434),"")</f>
        <v/>
      </c>
      <c r="C434" s="169" t="str">
        <f ca="1">IFERROR(IF($D434="LPSM","ALL",TEXT(INDEX(INDIRECT(RangeQuantity),MATCH($A434,INDIRECT(RangeCount),0)),"#,##0"&amp;IF(OFFSET(Items[],MATCH($A434,INDIRECT(RangeCount),0)-1,MATCH(Decimals,Items[#Headers],0)-1,1,1)&gt;0,"."&amp;REPT("0",OFFSET(Items[],MATCH($A434,INDIRECT(RangeCount),0)-1,MATCH(Decimals,Items[#Headers],0)-1,1,1)),""))),"")</f>
        <v/>
      </c>
      <c r="D434" s="170" t="str">
        <f ca="1">IFERROR(INDEX(INDIRECT(RangeUnit),MATCH($A434,INDIRECT(RangeCount),0)),"")</f>
        <v/>
      </c>
      <c r="E434" s="170" t="str">
        <f ca="1">IFERROR(IF(INDEX(INDIRECT(RangeContrQty),MATCH($A434,INDIRECT(RangeCount),0)),"(CQ)",""),"")</f>
        <v/>
      </c>
      <c r="F434" s="171" t="str">
        <f ca="1">IFERROR(INDEX(INDIRECT(RangeUnitPrice),MATCH($A434,INDIRECT(RangeCount),0)),"")</f>
        <v/>
      </c>
      <c r="G434" s="171" t="str">
        <f ca="1">IFERROR(VALUE(C434)*F434,F434)</f>
        <v/>
      </c>
      <c r="H434" s="388"/>
      <c r="I434" s="178" t="str">
        <f ca="1">IF($C434="","",IF($D434="LPSM",H433,VALUE($C434)*H433))</f>
        <v/>
      </c>
      <c r="J434" s="388"/>
      <c r="K434" s="178" t="str">
        <f ca="1">IF($C434="","",IF($D434="LPSM",J433,VALUE($C434)*J433))</f>
        <v/>
      </c>
      <c r="L434" s="388"/>
      <c r="M434" s="178" t="str">
        <f ca="1">IF($C434="","",IF($D434="LPSM",L433,VALUE($C434)*L433))</f>
        <v/>
      </c>
      <c r="N434" s="388"/>
      <c r="O434" s="178" t="str">
        <f ca="1">IF($C434="","",IF($D434="LPSM",N433,VALUE($C434)*N433))</f>
        <v/>
      </c>
      <c r="P434" s="388"/>
      <c r="Q434" s="178" t="str">
        <f ca="1">IF($C434="","",IF($D434="LPSM",P433,VALUE($C434)*P433))</f>
        <v/>
      </c>
      <c r="R434" s="388"/>
      <c r="S434" s="178" t="str">
        <f ca="1">IF($C434="","",IF($D434="LPSM",R433,VALUE($C434)*R433))</f>
        <v/>
      </c>
      <c r="T434" s="388"/>
      <c r="U434" s="178" t="str">
        <f ca="1">IF($C434="","",IF($D434="LPSM",T433,VALUE($C434)*T433))</f>
        <v/>
      </c>
      <c r="V434" s="388"/>
      <c r="W434" s="178" t="str">
        <f ca="1">IF($C434="","",IF($D434="LPSM",V433,VALUE($C434)*V433))</f>
        <v/>
      </c>
      <c r="X434" s="388"/>
      <c r="Y434" s="178" t="str">
        <f ca="1">IF($C434="","",IF($D434="LPSM",X433,VALUE($C434)*X433))</f>
        <v/>
      </c>
      <c r="Z434" s="388"/>
      <c r="AA434" s="178" t="str">
        <f ca="1">IF($C434="","",IF($D434="LPSM",Z433,VALUE($C434)*Z433))</f>
        <v/>
      </c>
      <c r="AB434" s="388"/>
      <c r="AC434" s="178" t="str">
        <f ca="1">IF($C434="","",IF($D434="LPSM",AB433,VALUE($C434)*AB433))</f>
        <v/>
      </c>
      <c r="AD434" s="388"/>
      <c r="AE434" s="178" t="str">
        <f ca="1">IF($C434="","",IF($D434="LPSM",AD433,VALUE($C434)*AD433))</f>
        <v/>
      </c>
      <c r="AF434" s="388"/>
      <c r="AG434" s="178" t="str">
        <f ca="1">IF($C434="","",IF($D434="LPSM",AF433,VALUE($C434)*AF433))</f>
        <v/>
      </c>
      <c r="AH434" s="388"/>
      <c r="AI434" s="178" t="str">
        <f ca="1">IF($C434="","",IF($D434="LPSM",AH433,VALUE($C434)*AH433))</f>
        <v/>
      </c>
      <c r="AJ434" s="388"/>
      <c r="AK434" s="178" t="str">
        <f ca="1">IF($C434="","",IF($D434="LPSM",AJ433,VALUE($C434)*AJ433))</f>
        <v/>
      </c>
      <c r="AL434" s="388"/>
      <c r="AM434" s="178" t="str">
        <f ca="1">IF($C434="","",IF($D434="LPSM",AL433,VALUE($C434)*AL433))</f>
        <v/>
      </c>
      <c r="AN434" s="388"/>
      <c r="AO434" s="178" t="str">
        <f ca="1">IF($C434="","",IF($D434="LPSM",AN433,VALUE($C434)*AN433))</f>
        <v/>
      </c>
      <c r="AP434" s="388"/>
      <c r="AQ434" s="178" t="str">
        <f ca="1">IF($C434="","",IF($D434="LPSM",AP433,VALUE($C434)*AP433))</f>
        <v/>
      </c>
      <c r="AR434" s="209" t="str">
        <f ca="1">IF(LEN(B434)&gt;0,ISNUMBER(MATCH(B434,Proposed[Item],0)),"")</f>
        <v/>
      </c>
    </row>
    <row r="435" spans="1:44" ht="15" x14ac:dyDescent="0.2">
      <c r="A435" s="276">
        <f t="shared" ca="1" si="6"/>
        <v>214</v>
      </c>
      <c r="B435" s="168" t="str">
        <f ca="1">IFERROR(INDEX(INDIRECT(RangeItems),MATCH($A435,INDIRECT(RangeCount),0)),"")</f>
        <v/>
      </c>
      <c r="C435" s="365" t="str">
        <f ca="1">INDEX(Calcs[Description],$A435)</f>
        <v/>
      </c>
      <c r="D435" s="365"/>
      <c r="E435" s="365"/>
      <c r="F435" s="365"/>
      <c r="G435" s="365"/>
      <c r="H435" s="388"/>
      <c r="I435" s="177"/>
      <c r="J435" s="388"/>
      <c r="K435" s="177"/>
      <c r="L435" s="388"/>
      <c r="M435" s="177"/>
      <c r="N435" s="388"/>
      <c r="O435" s="177"/>
      <c r="P435" s="388"/>
      <c r="Q435" s="177"/>
      <c r="R435" s="388"/>
      <c r="S435" s="177"/>
      <c r="T435" s="388"/>
      <c r="U435" s="177"/>
      <c r="V435" s="388"/>
      <c r="W435" s="177"/>
      <c r="X435" s="388"/>
      <c r="Y435" s="177"/>
      <c r="Z435" s="388"/>
      <c r="AA435" s="177"/>
      <c r="AB435" s="388"/>
      <c r="AC435" s="177"/>
      <c r="AD435" s="388"/>
      <c r="AE435" s="177"/>
      <c r="AF435" s="388"/>
      <c r="AG435" s="177"/>
      <c r="AH435" s="388"/>
      <c r="AI435" s="177"/>
      <c r="AJ435" s="388"/>
      <c r="AK435" s="177"/>
      <c r="AL435" s="388"/>
      <c r="AM435" s="177"/>
      <c r="AN435" s="388"/>
      <c r="AO435" s="177"/>
      <c r="AP435" s="388"/>
      <c r="AQ435" s="177"/>
      <c r="AR435" s="209" t="str">
        <f ca="1">IF(LEN(B435)&gt;0,ISNUMBER(MATCH(B435,Proposed[Item],0)),"")</f>
        <v/>
      </c>
    </row>
    <row r="436" spans="1:44" ht="15" x14ac:dyDescent="0.2">
      <c r="A436" s="276">
        <f t="shared" ca="1" si="6"/>
        <v>214</v>
      </c>
      <c r="B436" s="111" t="str">
        <f ca="1">IF($A436&lt;=NumPayItems,"Line "&amp;INDEX(Calcs[Line],$A436),"")</f>
        <v/>
      </c>
      <c r="C436" s="169" t="str">
        <f ca="1">IFERROR(IF($D436="LPSM","ALL",TEXT(INDEX(INDIRECT(RangeQuantity),MATCH($A436,INDIRECT(RangeCount),0)),"#,##0"&amp;IF(OFFSET(Items[],MATCH($A436,INDIRECT(RangeCount),0)-1,MATCH(Decimals,Items[#Headers],0)-1,1,1)&gt;0,"."&amp;REPT("0",OFFSET(Items[],MATCH($A436,INDIRECT(RangeCount),0)-1,MATCH(Decimals,Items[#Headers],0)-1,1,1)),""))),"")</f>
        <v/>
      </c>
      <c r="D436" s="170" t="str">
        <f ca="1">IFERROR(INDEX(INDIRECT(RangeUnit),MATCH($A436,INDIRECT(RangeCount),0)),"")</f>
        <v/>
      </c>
      <c r="E436" s="170" t="str">
        <f ca="1">IFERROR(IF(INDEX(INDIRECT(RangeContrQty),MATCH($A436,INDIRECT(RangeCount),0)),"(CQ)",""),"")</f>
        <v/>
      </c>
      <c r="F436" s="171" t="str">
        <f ca="1">IFERROR(INDEX(INDIRECT(RangeUnitPrice),MATCH($A436,INDIRECT(RangeCount),0)),"")</f>
        <v/>
      </c>
      <c r="G436" s="171" t="str">
        <f ca="1">IFERROR(VALUE(C436)*F436,F436)</f>
        <v/>
      </c>
      <c r="H436" s="388"/>
      <c r="I436" s="178" t="str">
        <f ca="1">IF($C436="","",IF($D436="LPSM",H435,VALUE($C436)*H435))</f>
        <v/>
      </c>
      <c r="J436" s="388"/>
      <c r="K436" s="178" t="str">
        <f ca="1">IF($C436="","",IF($D436="LPSM",J435,VALUE($C436)*J435))</f>
        <v/>
      </c>
      <c r="L436" s="388"/>
      <c r="M436" s="178" t="str">
        <f ca="1">IF($C436="","",IF($D436="LPSM",L435,VALUE($C436)*L435))</f>
        <v/>
      </c>
      <c r="N436" s="388"/>
      <c r="O436" s="178" t="str">
        <f ca="1">IF($C436="","",IF($D436="LPSM",N435,VALUE($C436)*N435))</f>
        <v/>
      </c>
      <c r="P436" s="388"/>
      <c r="Q436" s="178" t="str">
        <f ca="1">IF($C436="","",IF($D436="LPSM",P435,VALUE($C436)*P435))</f>
        <v/>
      </c>
      <c r="R436" s="388"/>
      <c r="S436" s="178" t="str">
        <f ca="1">IF($C436="","",IF($D436="LPSM",R435,VALUE($C436)*R435))</f>
        <v/>
      </c>
      <c r="T436" s="388"/>
      <c r="U436" s="178" t="str">
        <f ca="1">IF($C436="","",IF($D436="LPSM",T435,VALUE($C436)*T435))</f>
        <v/>
      </c>
      <c r="V436" s="388"/>
      <c r="W436" s="178" t="str">
        <f ca="1">IF($C436="","",IF($D436="LPSM",V435,VALUE($C436)*V435))</f>
        <v/>
      </c>
      <c r="X436" s="388"/>
      <c r="Y436" s="178" t="str">
        <f ca="1">IF($C436="","",IF($D436="LPSM",X435,VALUE($C436)*X435))</f>
        <v/>
      </c>
      <c r="Z436" s="388"/>
      <c r="AA436" s="178" t="str">
        <f ca="1">IF($C436="","",IF($D436="LPSM",Z435,VALUE($C436)*Z435))</f>
        <v/>
      </c>
      <c r="AB436" s="388"/>
      <c r="AC436" s="178" t="str">
        <f ca="1">IF($C436="","",IF($D436="LPSM",AB435,VALUE($C436)*AB435))</f>
        <v/>
      </c>
      <c r="AD436" s="388"/>
      <c r="AE436" s="178" t="str">
        <f ca="1">IF($C436="","",IF($D436="LPSM",AD435,VALUE($C436)*AD435))</f>
        <v/>
      </c>
      <c r="AF436" s="388"/>
      <c r="AG436" s="178" t="str">
        <f ca="1">IF($C436="","",IF($D436="LPSM",AF435,VALUE($C436)*AF435))</f>
        <v/>
      </c>
      <c r="AH436" s="388"/>
      <c r="AI436" s="178" t="str">
        <f ca="1">IF($C436="","",IF($D436="LPSM",AH435,VALUE($C436)*AH435))</f>
        <v/>
      </c>
      <c r="AJ436" s="388"/>
      <c r="AK436" s="178" t="str">
        <f ca="1">IF($C436="","",IF($D436="LPSM",AJ435,VALUE($C436)*AJ435))</f>
        <v/>
      </c>
      <c r="AL436" s="388"/>
      <c r="AM436" s="178" t="str">
        <f ca="1">IF($C436="","",IF($D436="LPSM",AL435,VALUE($C436)*AL435))</f>
        <v/>
      </c>
      <c r="AN436" s="388"/>
      <c r="AO436" s="178" t="str">
        <f ca="1">IF($C436="","",IF($D436="LPSM",AN435,VALUE($C436)*AN435))</f>
        <v/>
      </c>
      <c r="AP436" s="388"/>
      <c r="AQ436" s="178" t="str">
        <f ca="1">IF($C436="","",IF($D436="LPSM",AP435,VALUE($C436)*AP435))</f>
        <v/>
      </c>
      <c r="AR436" s="209" t="str">
        <f ca="1">IF(LEN(B436)&gt;0,ISNUMBER(MATCH(B436,Proposed[Item],0)),"")</f>
        <v/>
      </c>
    </row>
    <row r="437" spans="1:44" ht="15" x14ac:dyDescent="0.2">
      <c r="A437" s="276">
        <f t="shared" ca="1" si="6"/>
        <v>215</v>
      </c>
      <c r="B437" s="168" t="str">
        <f ca="1">IFERROR(INDEX(INDIRECT(RangeItems),MATCH($A437,INDIRECT(RangeCount),0)),"")</f>
        <v/>
      </c>
      <c r="C437" s="365" t="str">
        <f ca="1">INDEX(Calcs[Description],$A437)</f>
        <v/>
      </c>
      <c r="D437" s="365"/>
      <c r="E437" s="365"/>
      <c r="F437" s="365"/>
      <c r="G437" s="365"/>
      <c r="H437" s="388"/>
      <c r="I437" s="177"/>
      <c r="J437" s="388"/>
      <c r="K437" s="177"/>
      <c r="L437" s="388"/>
      <c r="M437" s="177"/>
      <c r="N437" s="388"/>
      <c r="O437" s="177"/>
      <c r="P437" s="388"/>
      <c r="Q437" s="177"/>
      <c r="R437" s="388"/>
      <c r="S437" s="177"/>
      <c r="T437" s="388"/>
      <c r="U437" s="177"/>
      <c r="V437" s="388"/>
      <c r="W437" s="177"/>
      <c r="X437" s="388"/>
      <c r="Y437" s="177"/>
      <c r="Z437" s="388"/>
      <c r="AA437" s="177"/>
      <c r="AB437" s="388"/>
      <c r="AC437" s="177"/>
      <c r="AD437" s="388"/>
      <c r="AE437" s="177"/>
      <c r="AF437" s="388"/>
      <c r="AG437" s="177"/>
      <c r="AH437" s="388"/>
      <c r="AI437" s="177"/>
      <c r="AJ437" s="388"/>
      <c r="AK437" s="177"/>
      <c r="AL437" s="388"/>
      <c r="AM437" s="177"/>
      <c r="AN437" s="388"/>
      <c r="AO437" s="177"/>
      <c r="AP437" s="388"/>
      <c r="AQ437" s="177"/>
      <c r="AR437" s="209" t="str">
        <f ca="1">IF(LEN(B437)&gt;0,ISNUMBER(MATCH(B437,Proposed[Item],0)),"")</f>
        <v/>
      </c>
    </row>
    <row r="438" spans="1:44" ht="15" x14ac:dyDescent="0.2">
      <c r="A438" s="276">
        <f t="shared" ca="1" si="6"/>
        <v>215</v>
      </c>
      <c r="B438" s="111" t="str">
        <f ca="1">IF($A438&lt;=NumPayItems,"Line "&amp;INDEX(Calcs[Line],$A438),"")</f>
        <v/>
      </c>
      <c r="C438" s="169" t="str">
        <f ca="1">IFERROR(IF($D438="LPSM","ALL",TEXT(INDEX(INDIRECT(RangeQuantity),MATCH($A438,INDIRECT(RangeCount),0)),"#,##0"&amp;IF(OFFSET(Items[],MATCH($A438,INDIRECT(RangeCount),0)-1,MATCH(Decimals,Items[#Headers],0)-1,1,1)&gt;0,"."&amp;REPT("0",OFFSET(Items[],MATCH($A438,INDIRECT(RangeCount),0)-1,MATCH(Decimals,Items[#Headers],0)-1,1,1)),""))),"")</f>
        <v/>
      </c>
      <c r="D438" s="170" t="str">
        <f ca="1">IFERROR(INDEX(INDIRECT(RangeUnit),MATCH($A438,INDIRECT(RangeCount),0)),"")</f>
        <v/>
      </c>
      <c r="E438" s="170" t="str">
        <f ca="1">IFERROR(IF(INDEX(INDIRECT(RangeContrQty),MATCH($A438,INDIRECT(RangeCount),0)),"(CQ)",""),"")</f>
        <v/>
      </c>
      <c r="F438" s="171" t="str">
        <f ca="1">IFERROR(INDEX(INDIRECT(RangeUnitPrice),MATCH($A438,INDIRECT(RangeCount),0)),"")</f>
        <v/>
      </c>
      <c r="G438" s="171" t="str">
        <f ca="1">IFERROR(VALUE(C438)*F438,F438)</f>
        <v/>
      </c>
      <c r="H438" s="388"/>
      <c r="I438" s="178" t="str">
        <f ca="1">IF($C438="","",IF($D438="LPSM",H437,VALUE($C438)*H437))</f>
        <v/>
      </c>
      <c r="J438" s="388"/>
      <c r="K438" s="178" t="str">
        <f ca="1">IF($C438="","",IF($D438="LPSM",J437,VALUE($C438)*J437))</f>
        <v/>
      </c>
      <c r="L438" s="388"/>
      <c r="M438" s="178" t="str">
        <f ca="1">IF($C438="","",IF($D438="LPSM",L437,VALUE($C438)*L437))</f>
        <v/>
      </c>
      <c r="N438" s="388"/>
      <c r="O438" s="178" t="str">
        <f ca="1">IF($C438="","",IF($D438="LPSM",N437,VALUE($C438)*N437))</f>
        <v/>
      </c>
      <c r="P438" s="388"/>
      <c r="Q438" s="178" t="str">
        <f ca="1">IF($C438="","",IF($D438="LPSM",P437,VALUE($C438)*P437))</f>
        <v/>
      </c>
      <c r="R438" s="388"/>
      <c r="S438" s="178" t="str">
        <f ca="1">IF($C438="","",IF($D438="LPSM",R437,VALUE($C438)*R437))</f>
        <v/>
      </c>
      <c r="T438" s="388"/>
      <c r="U438" s="178" t="str">
        <f ca="1">IF($C438="","",IF($D438="LPSM",T437,VALUE($C438)*T437))</f>
        <v/>
      </c>
      <c r="V438" s="388"/>
      <c r="W438" s="178" t="str">
        <f ca="1">IF($C438="","",IF($D438="LPSM",V437,VALUE($C438)*V437))</f>
        <v/>
      </c>
      <c r="X438" s="388"/>
      <c r="Y438" s="178" t="str">
        <f ca="1">IF($C438="","",IF($D438="LPSM",X437,VALUE($C438)*X437))</f>
        <v/>
      </c>
      <c r="Z438" s="388"/>
      <c r="AA438" s="178" t="str">
        <f ca="1">IF($C438="","",IF($D438="LPSM",Z437,VALUE($C438)*Z437))</f>
        <v/>
      </c>
      <c r="AB438" s="388"/>
      <c r="AC438" s="178" t="str">
        <f ca="1">IF($C438="","",IF($D438="LPSM",AB437,VALUE($C438)*AB437))</f>
        <v/>
      </c>
      <c r="AD438" s="388"/>
      <c r="AE438" s="178" t="str">
        <f ca="1">IF($C438="","",IF($D438="LPSM",AD437,VALUE($C438)*AD437))</f>
        <v/>
      </c>
      <c r="AF438" s="388"/>
      <c r="AG438" s="178" t="str">
        <f ca="1">IF($C438="","",IF($D438="LPSM",AF437,VALUE($C438)*AF437))</f>
        <v/>
      </c>
      <c r="AH438" s="388"/>
      <c r="AI438" s="178" t="str">
        <f ca="1">IF($C438="","",IF($D438="LPSM",AH437,VALUE($C438)*AH437))</f>
        <v/>
      </c>
      <c r="AJ438" s="388"/>
      <c r="AK438" s="178" t="str">
        <f ca="1">IF($C438="","",IF($D438="LPSM",AJ437,VALUE($C438)*AJ437))</f>
        <v/>
      </c>
      <c r="AL438" s="388"/>
      <c r="AM438" s="178" t="str">
        <f ca="1">IF($C438="","",IF($D438="LPSM",AL437,VALUE($C438)*AL437))</f>
        <v/>
      </c>
      <c r="AN438" s="388"/>
      <c r="AO438" s="178" t="str">
        <f ca="1">IF($C438="","",IF($D438="LPSM",AN437,VALUE($C438)*AN437))</f>
        <v/>
      </c>
      <c r="AP438" s="388"/>
      <c r="AQ438" s="178" t="str">
        <f ca="1">IF($C438="","",IF($D438="LPSM",AP437,VALUE($C438)*AP437))</f>
        <v/>
      </c>
      <c r="AR438" s="209" t="str">
        <f ca="1">IF(LEN(B438)&gt;0,ISNUMBER(MATCH(B438,Proposed[Item],0)),"")</f>
        <v/>
      </c>
    </row>
    <row r="439" spans="1:44" ht="15" x14ac:dyDescent="0.2">
      <c r="A439" s="276">
        <f t="shared" ca="1" si="6"/>
        <v>216</v>
      </c>
      <c r="B439" s="168" t="str">
        <f ca="1">IFERROR(INDEX(INDIRECT(RangeItems),MATCH($A439,INDIRECT(RangeCount),0)),"")</f>
        <v/>
      </c>
      <c r="C439" s="365" t="str">
        <f ca="1">INDEX(Calcs[Description],$A439)</f>
        <v/>
      </c>
      <c r="D439" s="365"/>
      <c r="E439" s="365"/>
      <c r="F439" s="365"/>
      <c r="G439" s="365"/>
      <c r="H439" s="388"/>
      <c r="I439" s="177"/>
      <c r="J439" s="388"/>
      <c r="K439" s="177"/>
      <c r="L439" s="388"/>
      <c r="M439" s="177"/>
      <c r="N439" s="388"/>
      <c r="O439" s="177"/>
      <c r="P439" s="388"/>
      <c r="Q439" s="177"/>
      <c r="R439" s="388"/>
      <c r="S439" s="177"/>
      <c r="T439" s="388"/>
      <c r="U439" s="177"/>
      <c r="V439" s="388"/>
      <c r="W439" s="177"/>
      <c r="X439" s="388"/>
      <c r="Y439" s="177"/>
      <c r="Z439" s="388"/>
      <c r="AA439" s="177"/>
      <c r="AB439" s="388"/>
      <c r="AC439" s="177"/>
      <c r="AD439" s="388"/>
      <c r="AE439" s="177"/>
      <c r="AF439" s="388"/>
      <c r="AG439" s="177"/>
      <c r="AH439" s="388"/>
      <c r="AI439" s="177"/>
      <c r="AJ439" s="388"/>
      <c r="AK439" s="177"/>
      <c r="AL439" s="388"/>
      <c r="AM439" s="177"/>
      <c r="AN439" s="388"/>
      <c r="AO439" s="177"/>
      <c r="AP439" s="388"/>
      <c r="AQ439" s="177"/>
      <c r="AR439" s="209" t="str">
        <f ca="1">IF(LEN(B439)&gt;0,ISNUMBER(MATCH(B439,Proposed[Item],0)),"")</f>
        <v/>
      </c>
    </row>
    <row r="440" spans="1:44" ht="15" x14ac:dyDescent="0.2">
      <c r="A440" s="276">
        <f t="shared" ca="1" si="6"/>
        <v>216</v>
      </c>
      <c r="B440" s="111" t="str">
        <f ca="1">IF($A440&lt;=NumPayItems,"Line "&amp;INDEX(Calcs[Line],$A440),"")</f>
        <v/>
      </c>
      <c r="C440" s="169" t="str">
        <f ca="1">IFERROR(IF($D440="LPSM","ALL",TEXT(INDEX(INDIRECT(RangeQuantity),MATCH($A440,INDIRECT(RangeCount),0)),"#,##0"&amp;IF(OFFSET(Items[],MATCH($A440,INDIRECT(RangeCount),0)-1,MATCH(Decimals,Items[#Headers],0)-1,1,1)&gt;0,"."&amp;REPT("0",OFFSET(Items[],MATCH($A440,INDIRECT(RangeCount),0)-1,MATCH(Decimals,Items[#Headers],0)-1,1,1)),""))),"")</f>
        <v/>
      </c>
      <c r="D440" s="170" t="str">
        <f ca="1">IFERROR(INDEX(INDIRECT(RangeUnit),MATCH($A440,INDIRECT(RangeCount),0)),"")</f>
        <v/>
      </c>
      <c r="E440" s="170" t="str">
        <f ca="1">IFERROR(IF(INDEX(INDIRECT(RangeContrQty),MATCH($A440,INDIRECT(RangeCount),0)),"(CQ)",""),"")</f>
        <v/>
      </c>
      <c r="F440" s="171" t="str">
        <f ca="1">IFERROR(INDEX(INDIRECT(RangeUnitPrice),MATCH($A440,INDIRECT(RangeCount),0)),"")</f>
        <v/>
      </c>
      <c r="G440" s="171" t="str">
        <f ca="1">IFERROR(VALUE(C440)*F440,F440)</f>
        <v/>
      </c>
      <c r="H440" s="388"/>
      <c r="I440" s="178" t="str">
        <f ca="1">IF($C440="","",IF($D440="LPSM",H439,VALUE($C440)*H439))</f>
        <v/>
      </c>
      <c r="J440" s="388"/>
      <c r="K440" s="178" t="str">
        <f ca="1">IF($C440="","",IF($D440="LPSM",J439,VALUE($C440)*J439))</f>
        <v/>
      </c>
      <c r="L440" s="388"/>
      <c r="M440" s="178" t="str">
        <f ca="1">IF($C440="","",IF($D440="LPSM",L439,VALUE($C440)*L439))</f>
        <v/>
      </c>
      <c r="N440" s="388"/>
      <c r="O440" s="178" t="str">
        <f ca="1">IF($C440="","",IF($D440="LPSM",N439,VALUE($C440)*N439))</f>
        <v/>
      </c>
      <c r="P440" s="388"/>
      <c r="Q440" s="178" t="str">
        <f ca="1">IF($C440="","",IF($D440="LPSM",P439,VALUE($C440)*P439))</f>
        <v/>
      </c>
      <c r="R440" s="388"/>
      <c r="S440" s="178" t="str">
        <f ca="1">IF($C440="","",IF($D440="LPSM",R439,VALUE($C440)*R439))</f>
        <v/>
      </c>
      <c r="T440" s="388"/>
      <c r="U440" s="178" t="str">
        <f ca="1">IF($C440="","",IF($D440="LPSM",T439,VALUE($C440)*T439))</f>
        <v/>
      </c>
      <c r="V440" s="388"/>
      <c r="W440" s="178" t="str">
        <f ca="1">IF($C440="","",IF($D440="LPSM",V439,VALUE($C440)*V439))</f>
        <v/>
      </c>
      <c r="X440" s="388"/>
      <c r="Y440" s="178" t="str">
        <f ca="1">IF($C440="","",IF($D440="LPSM",X439,VALUE($C440)*X439))</f>
        <v/>
      </c>
      <c r="Z440" s="388"/>
      <c r="AA440" s="178" t="str">
        <f ca="1">IF($C440="","",IF($D440="LPSM",Z439,VALUE($C440)*Z439))</f>
        <v/>
      </c>
      <c r="AB440" s="388"/>
      <c r="AC440" s="178" t="str">
        <f ca="1">IF($C440="","",IF($D440="LPSM",AB439,VALUE($C440)*AB439))</f>
        <v/>
      </c>
      <c r="AD440" s="388"/>
      <c r="AE440" s="178" t="str">
        <f ca="1">IF($C440="","",IF($D440="LPSM",AD439,VALUE($C440)*AD439))</f>
        <v/>
      </c>
      <c r="AF440" s="388"/>
      <c r="AG440" s="178" t="str">
        <f ca="1">IF($C440="","",IF($D440="LPSM",AF439,VALUE($C440)*AF439))</f>
        <v/>
      </c>
      <c r="AH440" s="388"/>
      <c r="AI440" s="178" t="str">
        <f ca="1">IF($C440="","",IF($D440="LPSM",AH439,VALUE($C440)*AH439))</f>
        <v/>
      </c>
      <c r="AJ440" s="388"/>
      <c r="AK440" s="178" t="str">
        <f ca="1">IF($C440="","",IF($D440="LPSM",AJ439,VALUE($C440)*AJ439))</f>
        <v/>
      </c>
      <c r="AL440" s="388"/>
      <c r="AM440" s="178" t="str">
        <f ca="1">IF($C440="","",IF($D440="LPSM",AL439,VALUE($C440)*AL439))</f>
        <v/>
      </c>
      <c r="AN440" s="388"/>
      <c r="AO440" s="178" t="str">
        <f ca="1">IF($C440="","",IF($D440="LPSM",AN439,VALUE($C440)*AN439))</f>
        <v/>
      </c>
      <c r="AP440" s="388"/>
      <c r="AQ440" s="178" t="str">
        <f ca="1">IF($C440="","",IF($D440="LPSM",AP439,VALUE($C440)*AP439))</f>
        <v/>
      </c>
      <c r="AR440" s="209" t="str">
        <f ca="1">IF(LEN(B440)&gt;0,ISNUMBER(MATCH(B440,Proposed[Item],0)),"")</f>
        <v/>
      </c>
    </row>
    <row r="441" spans="1:44" ht="15" x14ac:dyDescent="0.2">
      <c r="A441" s="276">
        <f t="shared" ca="1" si="6"/>
        <v>217</v>
      </c>
      <c r="B441" s="168" t="str">
        <f ca="1">IFERROR(INDEX(INDIRECT(RangeItems),MATCH($A441,INDIRECT(RangeCount),0)),"")</f>
        <v/>
      </c>
      <c r="C441" s="365" t="str">
        <f ca="1">INDEX(Calcs[Description],$A441)</f>
        <v/>
      </c>
      <c r="D441" s="365"/>
      <c r="E441" s="365"/>
      <c r="F441" s="365"/>
      <c r="G441" s="365"/>
      <c r="H441" s="388"/>
      <c r="I441" s="177"/>
      <c r="J441" s="388"/>
      <c r="K441" s="177"/>
      <c r="L441" s="388"/>
      <c r="M441" s="177"/>
      <c r="N441" s="388"/>
      <c r="O441" s="177"/>
      <c r="P441" s="388"/>
      <c r="Q441" s="177"/>
      <c r="R441" s="388"/>
      <c r="S441" s="177"/>
      <c r="T441" s="388"/>
      <c r="U441" s="177"/>
      <c r="V441" s="388"/>
      <c r="W441" s="177"/>
      <c r="X441" s="388"/>
      <c r="Y441" s="177"/>
      <c r="Z441" s="388"/>
      <c r="AA441" s="177"/>
      <c r="AB441" s="388"/>
      <c r="AC441" s="177"/>
      <c r="AD441" s="388"/>
      <c r="AE441" s="177"/>
      <c r="AF441" s="388"/>
      <c r="AG441" s="177"/>
      <c r="AH441" s="388"/>
      <c r="AI441" s="177"/>
      <c r="AJ441" s="388"/>
      <c r="AK441" s="177"/>
      <c r="AL441" s="388"/>
      <c r="AM441" s="177"/>
      <c r="AN441" s="388"/>
      <c r="AO441" s="177"/>
      <c r="AP441" s="388"/>
      <c r="AQ441" s="177"/>
      <c r="AR441" s="209" t="str">
        <f ca="1">IF(LEN(B441)&gt;0,ISNUMBER(MATCH(B441,Proposed[Item],0)),"")</f>
        <v/>
      </c>
    </row>
    <row r="442" spans="1:44" ht="15" x14ac:dyDescent="0.2">
      <c r="A442" s="276">
        <f t="shared" ca="1" si="6"/>
        <v>217</v>
      </c>
      <c r="B442" s="111" t="str">
        <f ca="1">IF($A442&lt;=NumPayItems,"Line "&amp;INDEX(Calcs[Line],$A442),"")</f>
        <v/>
      </c>
      <c r="C442" s="169" t="str">
        <f ca="1">IFERROR(IF($D442="LPSM","ALL",TEXT(INDEX(INDIRECT(RangeQuantity),MATCH($A442,INDIRECT(RangeCount),0)),"#,##0"&amp;IF(OFFSET(Items[],MATCH($A442,INDIRECT(RangeCount),0)-1,MATCH(Decimals,Items[#Headers],0)-1,1,1)&gt;0,"."&amp;REPT("0",OFFSET(Items[],MATCH($A442,INDIRECT(RangeCount),0)-1,MATCH(Decimals,Items[#Headers],0)-1,1,1)),""))),"")</f>
        <v/>
      </c>
      <c r="D442" s="170" t="str">
        <f ca="1">IFERROR(INDEX(INDIRECT(RangeUnit),MATCH($A442,INDIRECT(RangeCount),0)),"")</f>
        <v/>
      </c>
      <c r="E442" s="170" t="str">
        <f ca="1">IFERROR(IF(INDEX(INDIRECT(RangeContrQty),MATCH($A442,INDIRECT(RangeCount),0)),"(CQ)",""),"")</f>
        <v/>
      </c>
      <c r="F442" s="171" t="str">
        <f ca="1">IFERROR(INDEX(INDIRECT(RangeUnitPrice),MATCH($A442,INDIRECT(RangeCount),0)),"")</f>
        <v/>
      </c>
      <c r="G442" s="171" t="str">
        <f ca="1">IFERROR(VALUE(C442)*F442,F442)</f>
        <v/>
      </c>
      <c r="H442" s="388"/>
      <c r="I442" s="178" t="str">
        <f ca="1">IF($C442="","",IF($D442="LPSM",H441,VALUE($C442)*H441))</f>
        <v/>
      </c>
      <c r="J442" s="388"/>
      <c r="K442" s="178" t="str">
        <f ca="1">IF($C442="","",IF($D442="LPSM",J441,VALUE($C442)*J441))</f>
        <v/>
      </c>
      <c r="L442" s="388"/>
      <c r="M442" s="178" t="str">
        <f ca="1">IF($C442="","",IF($D442="LPSM",L441,VALUE($C442)*L441))</f>
        <v/>
      </c>
      <c r="N442" s="388"/>
      <c r="O442" s="178" t="str">
        <f ca="1">IF($C442="","",IF($D442="LPSM",N441,VALUE($C442)*N441))</f>
        <v/>
      </c>
      <c r="P442" s="388"/>
      <c r="Q442" s="178" t="str">
        <f ca="1">IF($C442="","",IF($D442="LPSM",P441,VALUE($C442)*P441))</f>
        <v/>
      </c>
      <c r="R442" s="388"/>
      <c r="S442" s="178" t="str">
        <f ca="1">IF($C442="","",IF($D442="LPSM",R441,VALUE($C442)*R441))</f>
        <v/>
      </c>
      <c r="T442" s="388"/>
      <c r="U442" s="178" t="str">
        <f ca="1">IF($C442="","",IF($D442="LPSM",T441,VALUE($C442)*T441))</f>
        <v/>
      </c>
      <c r="V442" s="388"/>
      <c r="W442" s="178" t="str">
        <f ca="1">IF($C442="","",IF($D442="LPSM",V441,VALUE($C442)*V441))</f>
        <v/>
      </c>
      <c r="X442" s="388"/>
      <c r="Y442" s="178" t="str">
        <f ca="1">IF($C442="","",IF($D442="LPSM",X441,VALUE($C442)*X441))</f>
        <v/>
      </c>
      <c r="Z442" s="388"/>
      <c r="AA442" s="178" t="str">
        <f ca="1">IF($C442="","",IF($D442="LPSM",Z441,VALUE($C442)*Z441))</f>
        <v/>
      </c>
      <c r="AB442" s="388"/>
      <c r="AC442" s="178" t="str">
        <f ca="1">IF($C442="","",IF($D442="LPSM",AB441,VALUE($C442)*AB441))</f>
        <v/>
      </c>
      <c r="AD442" s="388"/>
      <c r="AE442" s="178" t="str">
        <f ca="1">IF($C442="","",IF($D442="LPSM",AD441,VALUE($C442)*AD441))</f>
        <v/>
      </c>
      <c r="AF442" s="388"/>
      <c r="AG442" s="178" t="str">
        <f ca="1">IF($C442="","",IF($D442="LPSM",AF441,VALUE($C442)*AF441))</f>
        <v/>
      </c>
      <c r="AH442" s="388"/>
      <c r="AI442" s="178" t="str">
        <f ca="1">IF($C442="","",IF($D442="LPSM",AH441,VALUE($C442)*AH441))</f>
        <v/>
      </c>
      <c r="AJ442" s="388"/>
      <c r="AK442" s="178" t="str">
        <f ca="1">IF($C442="","",IF($D442="LPSM",AJ441,VALUE($C442)*AJ441))</f>
        <v/>
      </c>
      <c r="AL442" s="388"/>
      <c r="AM442" s="178" t="str">
        <f ca="1">IF($C442="","",IF($D442="LPSM",AL441,VALUE($C442)*AL441))</f>
        <v/>
      </c>
      <c r="AN442" s="388"/>
      <c r="AO442" s="178" t="str">
        <f ca="1">IF($C442="","",IF($D442="LPSM",AN441,VALUE($C442)*AN441))</f>
        <v/>
      </c>
      <c r="AP442" s="388"/>
      <c r="AQ442" s="178" t="str">
        <f ca="1">IF($C442="","",IF($D442="LPSM",AP441,VALUE($C442)*AP441))</f>
        <v/>
      </c>
      <c r="AR442" s="209" t="str">
        <f ca="1">IF(LEN(B442)&gt;0,ISNUMBER(MATCH(B442,Proposed[Item],0)),"")</f>
        <v/>
      </c>
    </row>
    <row r="443" spans="1:44" ht="15" x14ac:dyDescent="0.2">
      <c r="A443" s="276">
        <f t="shared" ca="1" si="6"/>
        <v>218</v>
      </c>
      <c r="B443" s="168" t="str">
        <f ca="1">IFERROR(INDEX(INDIRECT(RangeItems),MATCH($A443,INDIRECT(RangeCount),0)),"")</f>
        <v/>
      </c>
      <c r="C443" s="365" t="str">
        <f ca="1">INDEX(Calcs[Description],$A443)</f>
        <v/>
      </c>
      <c r="D443" s="365"/>
      <c r="E443" s="365"/>
      <c r="F443" s="365"/>
      <c r="G443" s="365"/>
      <c r="H443" s="388"/>
      <c r="I443" s="177"/>
      <c r="J443" s="388"/>
      <c r="K443" s="177"/>
      <c r="L443" s="388"/>
      <c r="M443" s="177"/>
      <c r="N443" s="388"/>
      <c r="O443" s="177"/>
      <c r="P443" s="388"/>
      <c r="Q443" s="177"/>
      <c r="R443" s="388"/>
      <c r="S443" s="177"/>
      <c r="T443" s="388"/>
      <c r="U443" s="177"/>
      <c r="V443" s="388"/>
      <c r="W443" s="177"/>
      <c r="X443" s="388"/>
      <c r="Y443" s="177"/>
      <c r="Z443" s="388"/>
      <c r="AA443" s="177"/>
      <c r="AB443" s="388"/>
      <c r="AC443" s="177"/>
      <c r="AD443" s="388"/>
      <c r="AE443" s="177"/>
      <c r="AF443" s="388"/>
      <c r="AG443" s="177"/>
      <c r="AH443" s="388"/>
      <c r="AI443" s="177"/>
      <c r="AJ443" s="388"/>
      <c r="AK443" s="177"/>
      <c r="AL443" s="388"/>
      <c r="AM443" s="177"/>
      <c r="AN443" s="388"/>
      <c r="AO443" s="177"/>
      <c r="AP443" s="388"/>
      <c r="AQ443" s="177"/>
      <c r="AR443" s="209" t="str">
        <f ca="1">IF(LEN(B443)&gt;0,ISNUMBER(MATCH(B443,Proposed[Item],0)),"")</f>
        <v/>
      </c>
    </row>
    <row r="444" spans="1:44" ht="15" x14ac:dyDescent="0.2">
      <c r="A444" s="276">
        <f t="shared" ca="1" si="6"/>
        <v>218</v>
      </c>
      <c r="B444" s="111" t="str">
        <f ca="1">IF($A444&lt;=NumPayItems,"Line "&amp;INDEX(Calcs[Line],$A444),"")</f>
        <v/>
      </c>
      <c r="C444" s="169" t="str">
        <f ca="1">IFERROR(IF($D444="LPSM","ALL",TEXT(INDEX(INDIRECT(RangeQuantity),MATCH($A444,INDIRECT(RangeCount),0)),"#,##0"&amp;IF(OFFSET(Items[],MATCH($A444,INDIRECT(RangeCount),0)-1,MATCH(Decimals,Items[#Headers],0)-1,1,1)&gt;0,"."&amp;REPT("0",OFFSET(Items[],MATCH($A444,INDIRECT(RangeCount),0)-1,MATCH(Decimals,Items[#Headers],0)-1,1,1)),""))),"")</f>
        <v/>
      </c>
      <c r="D444" s="170" t="str">
        <f ca="1">IFERROR(INDEX(INDIRECT(RangeUnit),MATCH($A444,INDIRECT(RangeCount),0)),"")</f>
        <v/>
      </c>
      <c r="E444" s="170" t="str">
        <f ca="1">IFERROR(IF(INDEX(INDIRECT(RangeContrQty),MATCH($A444,INDIRECT(RangeCount),0)),"(CQ)",""),"")</f>
        <v/>
      </c>
      <c r="F444" s="171" t="str">
        <f ca="1">IFERROR(INDEX(INDIRECT(RangeUnitPrice),MATCH($A444,INDIRECT(RangeCount),0)),"")</f>
        <v/>
      </c>
      <c r="G444" s="171" t="str">
        <f ca="1">IFERROR(VALUE(C444)*F444,F444)</f>
        <v/>
      </c>
      <c r="H444" s="388"/>
      <c r="I444" s="178" t="str">
        <f ca="1">IF($C444="","",IF($D444="LPSM",H443,VALUE($C444)*H443))</f>
        <v/>
      </c>
      <c r="J444" s="388"/>
      <c r="K444" s="178" t="str">
        <f ca="1">IF($C444="","",IF($D444="LPSM",J443,VALUE($C444)*J443))</f>
        <v/>
      </c>
      <c r="L444" s="388"/>
      <c r="M444" s="178" t="str">
        <f ca="1">IF($C444="","",IF($D444="LPSM",L443,VALUE($C444)*L443))</f>
        <v/>
      </c>
      <c r="N444" s="388"/>
      <c r="O444" s="178" t="str">
        <f ca="1">IF($C444="","",IF($D444="LPSM",N443,VALUE($C444)*N443))</f>
        <v/>
      </c>
      <c r="P444" s="388"/>
      <c r="Q444" s="178" t="str">
        <f ca="1">IF($C444="","",IF($D444="LPSM",P443,VALUE($C444)*P443))</f>
        <v/>
      </c>
      <c r="R444" s="388"/>
      <c r="S444" s="178" t="str">
        <f ca="1">IF($C444="","",IF($D444="LPSM",R443,VALUE($C444)*R443))</f>
        <v/>
      </c>
      <c r="T444" s="388"/>
      <c r="U444" s="178" t="str">
        <f ca="1">IF($C444="","",IF($D444="LPSM",T443,VALUE($C444)*T443))</f>
        <v/>
      </c>
      <c r="V444" s="388"/>
      <c r="W444" s="178" t="str">
        <f ca="1">IF($C444="","",IF($D444="LPSM",V443,VALUE($C444)*V443))</f>
        <v/>
      </c>
      <c r="X444" s="388"/>
      <c r="Y444" s="178" t="str">
        <f ca="1">IF($C444="","",IF($D444="LPSM",X443,VALUE($C444)*X443))</f>
        <v/>
      </c>
      <c r="Z444" s="388"/>
      <c r="AA444" s="178" t="str">
        <f ca="1">IF($C444="","",IF($D444="LPSM",Z443,VALUE($C444)*Z443))</f>
        <v/>
      </c>
      <c r="AB444" s="388"/>
      <c r="AC444" s="178" t="str">
        <f ca="1">IF($C444="","",IF($D444="LPSM",AB443,VALUE($C444)*AB443))</f>
        <v/>
      </c>
      <c r="AD444" s="388"/>
      <c r="AE444" s="178" t="str">
        <f ca="1">IF($C444="","",IF($D444="LPSM",AD443,VALUE($C444)*AD443))</f>
        <v/>
      </c>
      <c r="AF444" s="388"/>
      <c r="AG444" s="178" t="str">
        <f ca="1">IF($C444="","",IF($D444="LPSM",AF443,VALUE($C444)*AF443))</f>
        <v/>
      </c>
      <c r="AH444" s="388"/>
      <c r="AI444" s="178" t="str">
        <f ca="1">IF($C444="","",IF($D444="LPSM",AH443,VALUE($C444)*AH443))</f>
        <v/>
      </c>
      <c r="AJ444" s="388"/>
      <c r="AK444" s="178" t="str">
        <f ca="1">IF($C444="","",IF($D444="LPSM",AJ443,VALUE($C444)*AJ443))</f>
        <v/>
      </c>
      <c r="AL444" s="388"/>
      <c r="AM444" s="178" t="str">
        <f ca="1">IF($C444="","",IF($D444="LPSM",AL443,VALUE($C444)*AL443))</f>
        <v/>
      </c>
      <c r="AN444" s="388"/>
      <c r="AO444" s="178" t="str">
        <f ca="1">IF($C444="","",IF($D444="LPSM",AN443,VALUE($C444)*AN443))</f>
        <v/>
      </c>
      <c r="AP444" s="388"/>
      <c r="AQ444" s="178" t="str">
        <f ca="1">IF($C444="","",IF($D444="LPSM",AP443,VALUE($C444)*AP443))</f>
        <v/>
      </c>
      <c r="AR444" s="209" t="str">
        <f ca="1">IF(LEN(B444)&gt;0,ISNUMBER(MATCH(B444,Proposed[Item],0)),"")</f>
        <v/>
      </c>
    </row>
    <row r="445" spans="1:44" ht="15" x14ac:dyDescent="0.2">
      <c r="A445" s="276">
        <f t="shared" ca="1" si="6"/>
        <v>219</v>
      </c>
      <c r="B445" s="168" t="str">
        <f ca="1">IFERROR(INDEX(INDIRECT(RangeItems),MATCH($A445,INDIRECT(RangeCount),0)),"")</f>
        <v/>
      </c>
      <c r="C445" s="365" t="str">
        <f ca="1">INDEX(Calcs[Description],$A445)</f>
        <v/>
      </c>
      <c r="D445" s="365"/>
      <c r="E445" s="365"/>
      <c r="F445" s="365"/>
      <c r="G445" s="365"/>
      <c r="H445" s="388"/>
      <c r="I445" s="177"/>
      <c r="J445" s="388"/>
      <c r="K445" s="177"/>
      <c r="L445" s="388"/>
      <c r="M445" s="177"/>
      <c r="N445" s="388"/>
      <c r="O445" s="177"/>
      <c r="P445" s="388"/>
      <c r="Q445" s="177"/>
      <c r="R445" s="388"/>
      <c r="S445" s="177"/>
      <c r="T445" s="388"/>
      <c r="U445" s="177"/>
      <c r="V445" s="388"/>
      <c r="W445" s="177"/>
      <c r="X445" s="388"/>
      <c r="Y445" s="177"/>
      <c r="Z445" s="388"/>
      <c r="AA445" s="177"/>
      <c r="AB445" s="388"/>
      <c r="AC445" s="177"/>
      <c r="AD445" s="388"/>
      <c r="AE445" s="177"/>
      <c r="AF445" s="388"/>
      <c r="AG445" s="177"/>
      <c r="AH445" s="388"/>
      <c r="AI445" s="177"/>
      <c r="AJ445" s="388"/>
      <c r="AK445" s="177"/>
      <c r="AL445" s="388"/>
      <c r="AM445" s="177"/>
      <c r="AN445" s="388"/>
      <c r="AO445" s="177"/>
      <c r="AP445" s="388"/>
      <c r="AQ445" s="177"/>
      <c r="AR445" s="209" t="str">
        <f ca="1">IF(LEN(B445)&gt;0,ISNUMBER(MATCH(B445,Proposed[Item],0)),"")</f>
        <v/>
      </c>
    </row>
    <row r="446" spans="1:44" ht="15" x14ac:dyDescent="0.2">
      <c r="A446" s="276">
        <f t="shared" ca="1" si="6"/>
        <v>219</v>
      </c>
      <c r="B446" s="111" t="str">
        <f ca="1">IF($A446&lt;=NumPayItems,"Line "&amp;INDEX(Calcs[Line],$A446),"")</f>
        <v/>
      </c>
      <c r="C446" s="169" t="str">
        <f ca="1">IFERROR(IF($D446="LPSM","ALL",TEXT(INDEX(INDIRECT(RangeQuantity),MATCH($A446,INDIRECT(RangeCount),0)),"#,##0"&amp;IF(OFFSET(Items[],MATCH($A446,INDIRECT(RangeCount),0)-1,MATCH(Decimals,Items[#Headers],0)-1,1,1)&gt;0,"."&amp;REPT("0",OFFSET(Items[],MATCH($A446,INDIRECT(RangeCount),0)-1,MATCH(Decimals,Items[#Headers],0)-1,1,1)),""))),"")</f>
        <v/>
      </c>
      <c r="D446" s="170" t="str">
        <f ca="1">IFERROR(INDEX(INDIRECT(RangeUnit),MATCH($A446,INDIRECT(RangeCount),0)),"")</f>
        <v/>
      </c>
      <c r="E446" s="170" t="str">
        <f ca="1">IFERROR(IF(INDEX(INDIRECT(RangeContrQty),MATCH($A446,INDIRECT(RangeCount),0)),"(CQ)",""),"")</f>
        <v/>
      </c>
      <c r="F446" s="171" t="str">
        <f ca="1">IFERROR(INDEX(INDIRECT(RangeUnitPrice),MATCH($A446,INDIRECT(RangeCount),0)),"")</f>
        <v/>
      </c>
      <c r="G446" s="171" t="str">
        <f ca="1">IFERROR(VALUE(C446)*F446,F446)</f>
        <v/>
      </c>
      <c r="H446" s="388"/>
      <c r="I446" s="178" t="str">
        <f ca="1">IF($C446="","",IF($D446="LPSM",H445,VALUE($C446)*H445))</f>
        <v/>
      </c>
      <c r="J446" s="388"/>
      <c r="K446" s="178" t="str">
        <f ca="1">IF($C446="","",IF($D446="LPSM",J445,VALUE($C446)*J445))</f>
        <v/>
      </c>
      <c r="L446" s="388"/>
      <c r="M446" s="178" t="str">
        <f ca="1">IF($C446="","",IF($D446="LPSM",L445,VALUE($C446)*L445))</f>
        <v/>
      </c>
      <c r="N446" s="388"/>
      <c r="O446" s="178" t="str">
        <f ca="1">IF($C446="","",IF($D446="LPSM",N445,VALUE($C446)*N445))</f>
        <v/>
      </c>
      <c r="P446" s="388"/>
      <c r="Q446" s="178" t="str">
        <f ca="1">IF($C446="","",IF($D446="LPSM",P445,VALUE($C446)*P445))</f>
        <v/>
      </c>
      <c r="R446" s="388"/>
      <c r="S446" s="178" t="str">
        <f ca="1">IF($C446="","",IF($D446="LPSM",R445,VALUE($C446)*R445))</f>
        <v/>
      </c>
      <c r="T446" s="388"/>
      <c r="U446" s="178" t="str">
        <f ca="1">IF($C446="","",IF($D446="LPSM",T445,VALUE($C446)*T445))</f>
        <v/>
      </c>
      <c r="V446" s="388"/>
      <c r="W446" s="178" t="str">
        <f ca="1">IF($C446="","",IF($D446="LPSM",V445,VALUE($C446)*V445))</f>
        <v/>
      </c>
      <c r="X446" s="388"/>
      <c r="Y446" s="178" t="str">
        <f ca="1">IF($C446="","",IF($D446="LPSM",X445,VALUE($C446)*X445))</f>
        <v/>
      </c>
      <c r="Z446" s="388"/>
      <c r="AA446" s="178" t="str">
        <f ca="1">IF($C446="","",IF($D446="LPSM",Z445,VALUE($C446)*Z445))</f>
        <v/>
      </c>
      <c r="AB446" s="388"/>
      <c r="AC446" s="178" t="str">
        <f ca="1">IF($C446="","",IF($D446="LPSM",AB445,VALUE($C446)*AB445))</f>
        <v/>
      </c>
      <c r="AD446" s="388"/>
      <c r="AE446" s="178" t="str">
        <f ca="1">IF($C446="","",IF($D446="LPSM",AD445,VALUE($C446)*AD445))</f>
        <v/>
      </c>
      <c r="AF446" s="388"/>
      <c r="AG446" s="178" t="str">
        <f ca="1">IF($C446="","",IF($D446="LPSM",AF445,VALUE($C446)*AF445))</f>
        <v/>
      </c>
      <c r="AH446" s="388"/>
      <c r="AI446" s="178" t="str">
        <f ca="1">IF($C446="","",IF($D446="LPSM",AH445,VALUE($C446)*AH445))</f>
        <v/>
      </c>
      <c r="AJ446" s="388"/>
      <c r="AK446" s="178" t="str">
        <f ca="1">IF($C446="","",IF($D446="LPSM",AJ445,VALUE($C446)*AJ445))</f>
        <v/>
      </c>
      <c r="AL446" s="388"/>
      <c r="AM446" s="178" t="str">
        <f ca="1">IF($C446="","",IF($D446="LPSM",AL445,VALUE($C446)*AL445))</f>
        <v/>
      </c>
      <c r="AN446" s="388"/>
      <c r="AO446" s="178" t="str">
        <f ca="1">IF($C446="","",IF($D446="LPSM",AN445,VALUE($C446)*AN445))</f>
        <v/>
      </c>
      <c r="AP446" s="388"/>
      <c r="AQ446" s="178" t="str">
        <f ca="1">IF($C446="","",IF($D446="LPSM",AP445,VALUE($C446)*AP445))</f>
        <v/>
      </c>
      <c r="AR446" s="209" t="str">
        <f ca="1">IF(LEN(B446)&gt;0,ISNUMBER(MATCH(B446,Proposed[Item],0)),"")</f>
        <v/>
      </c>
    </row>
    <row r="447" spans="1:44" ht="15" x14ac:dyDescent="0.2">
      <c r="A447" s="276">
        <f t="shared" ca="1" si="6"/>
        <v>220</v>
      </c>
      <c r="B447" s="168" t="str">
        <f ca="1">IFERROR(INDEX(INDIRECT(RangeItems),MATCH($A447,INDIRECT(RangeCount),0)),"")</f>
        <v/>
      </c>
      <c r="C447" s="365" t="str">
        <f ca="1">INDEX(Calcs[Description],$A447)</f>
        <v/>
      </c>
      <c r="D447" s="365"/>
      <c r="E447" s="365"/>
      <c r="F447" s="365"/>
      <c r="G447" s="365"/>
      <c r="H447" s="388"/>
      <c r="I447" s="177"/>
      <c r="J447" s="388"/>
      <c r="K447" s="177"/>
      <c r="L447" s="388"/>
      <c r="M447" s="177"/>
      <c r="N447" s="388"/>
      <c r="O447" s="177"/>
      <c r="P447" s="388"/>
      <c r="Q447" s="177"/>
      <c r="R447" s="388"/>
      <c r="S447" s="177"/>
      <c r="T447" s="388"/>
      <c r="U447" s="177"/>
      <c r="V447" s="388"/>
      <c r="W447" s="177"/>
      <c r="X447" s="388"/>
      <c r="Y447" s="177"/>
      <c r="Z447" s="388"/>
      <c r="AA447" s="177"/>
      <c r="AB447" s="388"/>
      <c r="AC447" s="177"/>
      <c r="AD447" s="388"/>
      <c r="AE447" s="177"/>
      <c r="AF447" s="388"/>
      <c r="AG447" s="177"/>
      <c r="AH447" s="388"/>
      <c r="AI447" s="177"/>
      <c r="AJ447" s="388"/>
      <c r="AK447" s="177"/>
      <c r="AL447" s="388"/>
      <c r="AM447" s="177"/>
      <c r="AN447" s="388"/>
      <c r="AO447" s="177"/>
      <c r="AP447" s="388"/>
      <c r="AQ447" s="177"/>
      <c r="AR447" s="209" t="str">
        <f ca="1">IF(LEN(B447)&gt;0,ISNUMBER(MATCH(B447,Proposed[Item],0)),"")</f>
        <v/>
      </c>
    </row>
    <row r="448" spans="1:44" ht="15" x14ac:dyDescent="0.2">
      <c r="A448" s="276">
        <f t="shared" ca="1" si="6"/>
        <v>220</v>
      </c>
      <c r="B448" s="111" t="str">
        <f ca="1">IF($A448&lt;=NumPayItems,"Line "&amp;INDEX(Calcs[Line],$A448),"")</f>
        <v/>
      </c>
      <c r="C448" s="169" t="str">
        <f ca="1">IFERROR(IF($D448="LPSM","ALL",TEXT(INDEX(INDIRECT(RangeQuantity),MATCH($A448,INDIRECT(RangeCount),0)),"#,##0"&amp;IF(OFFSET(Items[],MATCH($A448,INDIRECT(RangeCount),0)-1,MATCH(Decimals,Items[#Headers],0)-1,1,1)&gt;0,"."&amp;REPT("0",OFFSET(Items[],MATCH($A448,INDIRECT(RangeCount),0)-1,MATCH(Decimals,Items[#Headers],0)-1,1,1)),""))),"")</f>
        <v/>
      </c>
      <c r="D448" s="170" t="str">
        <f ca="1">IFERROR(INDEX(INDIRECT(RangeUnit),MATCH($A448,INDIRECT(RangeCount),0)),"")</f>
        <v/>
      </c>
      <c r="E448" s="170" t="str">
        <f ca="1">IFERROR(IF(INDEX(INDIRECT(RangeContrQty),MATCH($A448,INDIRECT(RangeCount),0)),"(CQ)",""),"")</f>
        <v/>
      </c>
      <c r="F448" s="171" t="str">
        <f ca="1">IFERROR(INDEX(INDIRECT(RangeUnitPrice),MATCH($A448,INDIRECT(RangeCount),0)),"")</f>
        <v/>
      </c>
      <c r="G448" s="171" t="str">
        <f ca="1">IFERROR(VALUE(C448)*F448,F448)</f>
        <v/>
      </c>
      <c r="H448" s="388"/>
      <c r="I448" s="178" t="str">
        <f ca="1">IF($C448="","",IF($D448="LPSM",H447,VALUE($C448)*H447))</f>
        <v/>
      </c>
      <c r="J448" s="388"/>
      <c r="K448" s="178" t="str">
        <f ca="1">IF($C448="","",IF($D448="LPSM",J447,VALUE($C448)*J447))</f>
        <v/>
      </c>
      <c r="L448" s="388"/>
      <c r="M448" s="178" t="str">
        <f ca="1">IF($C448="","",IF($D448="LPSM",L447,VALUE($C448)*L447))</f>
        <v/>
      </c>
      <c r="N448" s="388"/>
      <c r="O448" s="178" t="str">
        <f ca="1">IF($C448="","",IF($D448="LPSM",N447,VALUE($C448)*N447))</f>
        <v/>
      </c>
      <c r="P448" s="388"/>
      <c r="Q448" s="178" t="str">
        <f ca="1">IF($C448="","",IF($D448="LPSM",P447,VALUE($C448)*P447))</f>
        <v/>
      </c>
      <c r="R448" s="388"/>
      <c r="S448" s="178" t="str">
        <f ca="1">IF($C448="","",IF($D448="LPSM",R447,VALUE($C448)*R447))</f>
        <v/>
      </c>
      <c r="T448" s="388"/>
      <c r="U448" s="178" t="str">
        <f ca="1">IF($C448="","",IF($D448="LPSM",T447,VALUE($C448)*T447))</f>
        <v/>
      </c>
      <c r="V448" s="388"/>
      <c r="W448" s="178" t="str">
        <f ca="1">IF($C448="","",IF($D448="LPSM",V447,VALUE($C448)*V447))</f>
        <v/>
      </c>
      <c r="X448" s="388"/>
      <c r="Y448" s="178" t="str">
        <f ca="1">IF($C448="","",IF($D448="LPSM",X447,VALUE($C448)*X447))</f>
        <v/>
      </c>
      <c r="Z448" s="388"/>
      <c r="AA448" s="178" t="str">
        <f ca="1">IF($C448="","",IF($D448="LPSM",Z447,VALUE($C448)*Z447))</f>
        <v/>
      </c>
      <c r="AB448" s="388"/>
      <c r="AC448" s="178" t="str">
        <f ca="1">IF($C448="","",IF($D448="LPSM",AB447,VALUE($C448)*AB447))</f>
        <v/>
      </c>
      <c r="AD448" s="388"/>
      <c r="AE448" s="178" t="str">
        <f ca="1">IF($C448="","",IF($D448="LPSM",AD447,VALUE($C448)*AD447))</f>
        <v/>
      </c>
      <c r="AF448" s="388"/>
      <c r="AG448" s="178" t="str">
        <f ca="1">IF($C448="","",IF($D448="LPSM",AF447,VALUE($C448)*AF447))</f>
        <v/>
      </c>
      <c r="AH448" s="388"/>
      <c r="AI448" s="178" t="str">
        <f ca="1">IF($C448="","",IF($D448="LPSM",AH447,VALUE($C448)*AH447))</f>
        <v/>
      </c>
      <c r="AJ448" s="388"/>
      <c r="AK448" s="178" t="str">
        <f ca="1">IF($C448="","",IF($D448="LPSM",AJ447,VALUE($C448)*AJ447))</f>
        <v/>
      </c>
      <c r="AL448" s="388"/>
      <c r="AM448" s="178" t="str">
        <f ca="1">IF($C448="","",IF($D448="LPSM",AL447,VALUE($C448)*AL447))</f>
        <v/>
      </c>
      <c r="AN448" s="388"/>
      <c r="AO448" s="178" t="str">
        <f ca="1">IF($C448="","",IF($D448="LPSM",AN447,VALUE($C448)*AN447))</f>
        <v/>
      </c>
      <c r="AP448" s="388"/>
      <c r="AQ448" s="178" t="str">
        <f ca="1">IF($C448="","",IF($D448="LPSM",AP447,VALUE($C448)*AP447))</f>
        <v/>
      </c>
      <c r="AR448" s="209" t="str">
        <f ca="1">IF(LEN(B448)&gt;0,ISNUMBER(MATCH(B448,Proposed[Item],0)),"")</f>
        <v/>
      </c>
    </row>
    <row r="449" spans="1:44" ht="15" x14ac:dyDescent="0.2">
      <c r="A449" s="276">
        <f t="shared" ca="1" si="6"/>
        <v>221</v>
      </c>
      <c r="B449" s="168" t="str">
        <f ca="1">IFERROR(INDEX(INDIRECT(RangeItems),MATCH($A449,INDIRECT(RangeCount),0)),"")</f>
        <v/>
      </c>
      <c r="C449" s="365" t="str">
        <f ca="1">INDEX(Calcs[Description],$A449)</f>
        <v/>
      </c>
      <c r="D449" s="365"/>
      <c r="E449" s="365"/>
      <c r="F449" s="365"/>
      <c r="G449" s="365"/>
      <c r="H449" s="388"/>
      <c r="I449" s="177"/>
      <c r="J449" s="388"/>
      <c r="K449" s="177"/>
      <c r="L449" s="388"/>
      <c r="M449" s="177"/>
      <c r="N449" s="388"/>
      <c r="O449" s="177"/>
      <c r="P449" s="388"/>
      <c r="Q449" s="177"/>
      <c r="R449" s="388"/>
      <c r="S449" s="177"/>
      <c r="T449" s="388"/>
      <c r="U449" s="177"/>
      <c r="V449" s="388"/>
      <c r="W449" s="177"/>
      <c r="X449" s="388"/>
      <c r="Y449" s="177"/>
      <c r="Z449" s="388"/>
      <c r="AA449" s="177"/>
      <c r="AB449" s="388"/>
      <c r="AC449" s="177"/>
      <c r="AD449" s="388"/>
      <c r="AE449" s="177"/>
      <c r="AF449" s="388"/>
      <c r="AG449" s="177"/>
      <c r="AH449" s="388"/>
      <c r="AI449" s="177"/>
      <c r="AJ449" s="388"/>
      <c r="AK449" s="177"/>
      <c r="AL449" s="388"/>
      <c r="AM449" s="177"/>
      <c r="AN449" s="388"/>
      <c r="AO449" s="177"/>
      <c r="AP449" s="388"/>
      <c r="AQ449" s="177"/>
      <c r="AR449" s="209" t="str">
        <f ca="1">IF(LEN(B449)&gt;0,ISNUMBER(MATCH(B449,Proposed[Item],0)),"")</f>
        <v/>
      </c>
    </row>
    <row r="450" spans="1:44" ht="15" x14ac:dyDescent="0.2">
      <c r="A450" s="276">
        <f t="shared" ca="1" si="6"/>
        <v>221</v>
      </c>
      <c r="B450" s="111" t="str">
        <f ca="1">IF($A450&lt;=NumPayItems,"Line "&amp;INDEX(Calcs[Line],$A450),"")</f>
        <v/>
      </c>
      <c r="C450" s="169" t="str">
        <f ca="1">IFERROR(IF($D450="LPSM","ALL",TEXT(INDEX(INDIRECT(RangeQuantity),MATCH($A450,INDIRECT(RangeCount),0)),"#,##0"&amp;IF(OFFSET(Items[],MATCH($A450,INDIRECT(RangeCount),0)-1,MATCH(Decimals,Items[#Headers],0)-1,1,1)&gt;0,"."&amp;REPT("0",OFFSET(Items[],MATCH($A450,INDIRECT(RangeCount),0)-1,MATCH(Decimals,Items[#Headers],0)-1,1,1)),""))),"")</f>
        <v/>
      </c>
      <c r="D450" s="170" t="str">
        <f ca="1">IFERROR(INDEX(INDIRECT(RangeUnit),MATCH($A450,INDIRECT(RangeCount),0)),"")</f>
        <v/>
      </c>
      <c r="E450" s="170" t="str">
        <f ca="1">IFERROR(IF(INDEX(INDIRECT(RangeContrQty),MATCH($A450,INDIRECT(RangeCount),0)),"(CQ)",""),"")</f>
        <v/>
      </c>
      <c r="F450" s="171" t="str">
        <f ca="1">IFERROR(INDEX(INDIRECT(RangeUnitPrice),MATCH($A450,INDIRECT(RangeCount),0)),"")</f>
        <v/>
      </c>
      <c r="G450" s="171" t="str">
        <f ca="1">IFERROR(VALUE(C450)*F450,F450)</f>
        <v/>
      </c>
      <c r="H450" s="388"/>
      <c r="I450" s="178" t="str">
        <f ca="1">IF($C450="","",IF($D450="LPSM",H449,VALUE($C450)*H449))</f>
        <v/>
      </c>
      <c r="J450" s="388"/>
      <c r="K450" s="178" t="str">
        <f ca="1">IF($C450="","",IF($D450="LPSM",J449,VALUE($C450)*J449))</f>
        <v/>
      </c>
      <c r="L450" s="388"/>
      <c r="M450" s="178" t="str">
        <f ca="1">IF($C450="","",IF($D450="LPSM",L449,VALUE($C450)*L449))</f>
        <v/>
      </c>
      <c r="N450" s="388"/>
      <c r="O450" s="178" t="str">
        <f ca="1">IF($C450="","",IF($D450="LPSM",N449,VALUE($C450)*N449))</f>
        <v/>
      </c>
      <c r="P450" s="388"/>
      <c r="Q450" s="178" t="str">
        <f ca="1">IF($C450="","",IF($D450="LPSM",P449,VALUE($C450)*P449))</f>
        <v/>
      </c>
      <c r="R450" s="388"/>
      <c r="S450" s="178" t="str">
        <f ca="1">IF($C450="","",IF($D450="LPSM",R449,VALUE($C450)*R449))</f>
        <v/>
      </c>
      <c r="T450" s="388"/>
      <c r="U450" s="178" t="str">
        <f ca="1">IF($C450="","",IF($D450="LPSM",T449,VALUE($C450)*T449))</f>
        <v/>
      </c>
      <c r="V450" s="388"/>
      <c r="W450" s="178" t="str">
        <f ca="1">IF($C450="","",IF($D450="LPSM",V449,VALUE($C450)*V449))</f>
        <v/>
      </c>
      <c r="X450" s="388"/>
      <c r="Y450" s="178" t="str">
        <f ca="1">IF($C450="","",IF($D450="LPSM",X449,VALUE($C450)*X449))</f>
        <v/>
      </c>
      <c r="Z450" s="388"/>
      <c r="AA450" s="178" t="str">
        <f ca="1">IF($C450="","",IF($D450="LPSM",Z449,VALUE($C450)*Z449))</f>
        <v/>
      </c>
      <c r="AB450" s="388"/>
      <c r="AC450" s="178" t="str">
        <f ca="1">IF($C450="","",IF($D450="LPSM",AB449,VALUE($C450)*AB449))</f>
        <v/>
      </c>
      <c r="AD450" s="388"/>
      <c r="AE450" s="178" t="str">
        <f ca="1">IF($C450="","",IF($D450="LPSM",AD449,VALUE($C450)*AD449))</f>
        <v/>
      </c>
      <c r="AF450" s="388"/>
      <c r="AG450" s="178" t="str">
        <f ca="1">IF($C450="","",IF($D450="LPSM",AF449,VALUE($C450)*AF449))</f>
        <v/>
      </c>
      <c r="AH450" s="388"/>
      <c r="AI450" s="178" t="str">
        <f ca="1">IF($C450="","",IF($D450="LPSM",AH449,VALUE($C450)*AH449))</f>
        <v/>
      </c>
      <c r="AJ450" s="388"/>
      <c r="AK450" s="178" t="str">
        <f ca="1">IF($C450="","",IF($D450="LPSM",AJ449,VALUE($C450)*AJ449))</f>
        <v/>
      </c>
      <c r="AL450" s="388"/>
      <c r="AM450" s="178" t="str">
        <f ca="1">IF($C450="","",IF($D450="LPSM",AL449,VALUE($C450)*AL449))</f>
        <v/>
      </c>
      <c r="AN450" s="388"/>
      <c r="AO450" s="178" t="str">
        <f ca="1">IF($C450="","",IF($D450="LPSM",AN449,VALUE($C450)*AN449))</f>
        <v/>
      </c>
      <c r="AP450" s="388"/>
      <c r="AQ450" s="178" t="str">
        <f ca="1">IF($C450="","",IF($D450="LPSM",AP449,VALUE($C450)*AP449))</f>
        <v/>
      </c>
      <c r="AR450" s="209" t="str">
        <f ca="1">IF(LEN(B450)&gt;0,ISNUMBER(MATCH(B450,Proposed[Item],0)),"")</f>
        <v/>
      </c>
    </row>
    <row r="451" spans="1:44" ht="15" x14ac:dyDescent="0.2">
      <c r="A451" s="276">
        <f t="shared" ca="1" si="6"/>
        <v>222</v>
      </c>
      <c r="B451" s="168" t="str">
        <f ca="1">IFERROR(INDEX(INDIRECT(RangeItems),MATCH($A451,INDIRECT(RangeCount),0)),"")</f>
        <v/>
      </c>
      <c r="C451" s="365" t="str">
        <f ca="1">INDEX(Calcs[Description],$A451)</f>
        <v/>
      </c>
      <c r="D451" s="365"/>
      <c r="E451" s="365"/>
      <c r="F451" s="365"/>
      <c r="G451" s="365"/>
      <c r="H451" s="388"/>
      <c r="I451" s="177"/>
      <c r="J451" s="388"/>
      <c r="K451" s="177"/>
      <c r="L451" s="388"/>
      <c r="M451" s="177"/>
      <c r="N451" s="388"/>
      <c r="O451" s="177"/>
      <c r="P451" s="388"/>
      <c r="Q451" s="177"/>
      <c r="R451" s="388"/>
      <c r="S451" s="177"/>
      <c r="T451" s="388"/>
      <c r="U451" s="177"/>
      <c r="V451" s="388"/>
      <c r="W451" s="177"/>
      <c r="X451" s="388"/>
      <c r="Y451" s="177"/>
      <c r="Z451" s="388"/>
      <c r="AA451" s="177"/>
      <c r="AB451" s="388"/>
      <c r="AC451" s="177"/>
      <c r="AD451" s="388"/>
      <c r="AE451" s="177"/>
      <c r="AF451" s="388"/>
      <c r="AG451" s="177"/>
      <c r="AH451" s="388"/>
      <c r="AI451" s="177"/>
      <c r="AJ451" s="388"/>
      <c r="AK451" s="177"/>
      <c r="AL451" s="388"/>
      <c r="AM451" s="177"/>
      <c r="AN451" s="388"/>
      <c r="AO451" s="177"/>
      <c r="AP451" s="388"/>
      <c r="AQ451" s="177"/>
      <c r="AR451" s="209" t="str">
        <f ca="1">IF(LEN(B451)&gt;0,ISNUMBER(MATCH(B451,Proposed[Item],0)),"")</f>
        <v/>
      </c>
    </row>
    <row r="452" spans="1:44" ht="15" x14ac:dyDescent="0.2">
      <c r="A452" s="276">
        <f t="shared" ca="1" si="6"/>
        <v>222</v>
      </c>
      <c r="B452" s="111" t="str">
        <f ca="1">IF($A452&lt;=NumPayItems,"Line "&amp;INDEX(Calcs[Line],$A452),"")</f>
        <v/>
      </c>
      <c r="C452" s="169" t="str">
        <f ca="1">IFERROR(IF($D452="LPSM","ALL",TEXT(INDEX(INDIRECT(RangeQuantity),MATCH($A452,INDIRECT(RangeCount),0)),"#,##0"&amp;IF(OFFSET(Items[],MATCH($A452,INDIRECT(RangeCount),0)-1,MATCH(Decimals,Items[#Headers],0)-1,1,1)&gt;0,"."&amp;REPT("0",OFFSET(Items[],MATCH($A452,INDIRECT(RangeCount),0)-1,MATCH(Decimals,Items[#Headers],0)-1,1,1)),""))),"")</f>
        <v/>
      </c>
      <c r="D452" s="170" t="str">
        <f ca="1">IFERROR(INDEX(INDIRECT(RangeUnit),MATCH($A452,INDIRECT(RangeCount),0)),"")</f>
        <v/>
      </c>
      <c r="E452" s="170" t="str">
        <f ca="1">IFERROR(IF(INDEX(INDIRECT(RangeContrQty),MATCH($A452,INDIRECT(RangeCount),0)),"(CQ)",""),"")</f>
        <v/>
      </c>
      <c r="F452" s="171" t="str">
        <f ca="1">IFERROR(INDEX(INDIRECT(RangeUnitPrice),MATCH($A452,INDIRECT(RangeCount),0)),"")</f>
        <v/>
      </c>
      <c r="G452" s="171" t="str">
        <f ca="1">IFERROR(VALUE(C452)*F452,F452)</f>
        <v/>
      </c>
      <c r="H452" s="388"/>
      <c r="I452" s="178" t="str">
        <f ca="1">IF($C452="","",IF($D452="LPSM",H451,VALUE($C452)*H451))</f>
        <v/>
      </c>
      <c r="J452" s="388"/>
      <c r="K452" s="178" t="str">
        <f ca="1">IF($C452="","",IF($D452="LPSM",J451,VALUE($C452)*J451))</f>
        <v/>
      </c>
      <c r="L452" s="388"/>
      <c r="M452" s="178" t="str">
        <f ca="1">IF($C452="","",IF($D452="LPSM",L451,VALUE($C452)*L451))</f>
        <v/>
      </c>
      <c r="N452" s="388"/>
      <c r="O452" s="178" t="str">
        <f ca="1">IF($C452="","",IF($D452="LPSM",N451,VALUE($C452)*N451))</f>
        <v/>
      </c>
      <c r="P452" s="388"/>
      <c r="Q452" s="178" t="str">
        <f ca="1">IF($C452="","",IF($D452="LPSM",P451,VALUE($C452)*P451))</f>
        <v/>
      </c>
      <c r="R452" s="388"/>
      <c r="S452" s="178" t="str">
        <f ca="1">IF($C452="","",IF($D452="LPSM",R451,VALUE($C452)*R451))</f>
        <v/>
      </c>
      <c r="T452" s="388"/>
      <c r="U452" s="178" t="str">
        <f ca="1">IF($C452="","",IF($D452="LPSM",T451,VALUE($C452)*T451))</f>
        <v/>
      </c>
      <c r="V452" s="388"/>
      <c r="W452" s="178" t="str">
        <f ca="1">IF($C452="","",IF($D452="LPSM",V451,VALUE($C452)*V451))</f>
        <v/>
      </c>
      <c r="X452" s="388"/>
      <c r="Y452" s="178" t="str">
        <f ca="1">IF($C452="","",IF($D452="LPSM",X451,VALUE($C452)*X451))</f>
        <v/>
      </c>
      <c r="Z452" s="388"/>
      <c r="AA452" s="178" t="str">
        <f ca="1">IF($C452="","",IF($D452="LPSM",Z451,VALUE($C452)*Z451))</f>
        <v/>
      </c>
      <c r="AB452" s="388"/>
      <c r="AC452" s="178" t="str">
        <f ca="1">IF($C452="","",IF($D452="LPSM",AB451,VALUE($C452)*AB451))</f>
        <v/>
      </c>
      <c r="AD452" s="388"/>
      <c r="AE452" s="178" t="str">
        <f ca="1">IF($C452="","",IF($D452="LPSM",AD451,VALUE($C452)*AD451))</f>
        <v/>
      </c>
      <c r="AF452" s="388"/>
      <c r="AG452" s="178" t="str">
        <f ca="1">IF($C452="","",IF($D452="LPSM",AF451,VALUE($C452)*AF451))</f>
        <v/>
      </c>
      <c r="AH452" s="388"/>
      <c r="AI452" s="178" t="str">
        <f ca="1">IF($C452="","",IF($D452="LPSM",AH451,VALUE($C452)*AH451))</f>
        <v/>
      </c>
      <c r="AJ452" s="388"/>
      <c r="AK452" s="178" t="str">
        <f ca="1">IF($C452="","",IF($D452="LPSM",AJ451,VALUE($C452)*AJ451))</f>
        <v/>
      </c>
      <c r="AL452" s="388"/>
      <c r="AM452" s="178" t="str">
        <f ca="1">IF($C452="","",IF($D452="LPSM",AL451,VALUE($C452)*AL451))</f>
        <v/>
      </c>
      <c r="AN452" s="388"/>
      <c r="AO452" s="178" t="str">
        <f ca="1">IF($C452="","",IF($D452="LPSM",AN451,VALUE($C452)*AN451))</f>
        <v/>
      </c>
      <c r="AP452" s="388"/>
      <c r="AQ452" s="178" t="str">
        <f ca="1">IF($C452="","",IF($D452="LPSM",AP451,VALUE($C452)*AP451))</f>
        <v/>
      </c>
      <c r="AR452" s="209" t="str">
        <f ca="1">IF(LEN(B452)&gt;0,ISNUMBER(MATCH(B452,Proposed[Item],0)),"")</f>
        <v/>
      </c>
    </row>
    <row r="453" spans="1:44" ht="15" x14ac:dyDescent="0.2">
      <c r="A453" s="276">
        <f t="shared" ca="1" si="6"/>
        <v>223</v>
      </c>
      <c r="B453" s="168" t="str">
        <f ca="1">IFERROR(INDEX(INDIRECT(RangeItems),MATCH($A453,INDIRECT(RangeCount),0)),"")</f>
        <v/>
      </c>
      <c r="C453" s="365" t="str">
        <f ca="1">INDEX(Calcs[Description],$A453)</f>
        <v/>
      </c>
      <c r="D453" s="365"/>
      <c r="E453" s="365"/>
      <c r="F453" s="365"/>
      <c r="G453" s="365"/>
      <c r="H453" s="388"/>
      <c r="I453" s="177"/>
      <c r="J453" s="388"/>
      <c r="K453" s="177"/>
      <c r="L453" s="388"/>
      <c r="M453" s="177"/>
      <c r="N453" s="388"/>
      <c r="O453" s="177"/>
      <c r="P453" s="388"/>
      <c r="Q453" s="177"/>
      <c r="R453" s="388"/>
      <c r="S453" s="177"/>
      <c r="T453" s="388"/>
      <c r="U453" s="177"/>
      <c r="V453" s="388"/>
      <c r="W453" s="177"/>
      <c r="X453" s="388"/>
      <c r="Y453" s="177"/>
      <c r="Z453" s="388"/>
      <c r="AA453" s="177"/>
      <c r="AB453" s="388"/>
      <c r="AC453" s="177"/>
      <c r="AD453" s="388"/>
      <c r="AE453" s="177"/>
      <c r="AF453" s="388"/>
      <c r="AG453" s="177"/>
      <c r="AH453" s="388"/>
      <c r="AI453" s="177"/>
      <c r="AJ453" s="388"/>
      <c r="AK453" s="177"/>
      <c r="AL453" s="388"/>
      <c r="AM453" s="177"/>
      <c r="AN453" s="388"/>
      <c r="AO453" s="177"/>
      <c r="AP453" s="388"/>
      <c r="AQ453" s="177"/>
      <c r="AR453" s="209" t="str">
        <f ca="1">IF(LEN(B453)&gt;0,ISNUMBER(MATCH(B453,Proposed[Item],0)),"")</f>
        <v/>
      </c>
    </row>
    <row r="454" spans="1:44" ht="15" x14ac:dyDescent="0.2">
      <c r="A454" s="276">
        <f t="shared" ca="1" si="6"/>
        <v>223</v>
      </c>
      <c r="B454" s="111" t="str">
        <f ca="1">IF($A454&lt;=NumPayItems,"Line "&amp;INDEX(Calcs[Line],$A454),"")</f>
        <v/>
      </c>
      <c r="C454" s="169" t="str">
        <f ca="1">IFERROR(IF($D454="LPSM","ALL",TEXT(INDEX(INDIRECT(RangeQuantity),MATCH($A454,INDIRECT(RangeCount),0)),"#,##0"&amp;IF(OFFSET(Items[],MATCH($A454,INDIRECT(RangeCount),0)-1,MATCH(Decimals,Items[#Headers],0)-1,1,1)&gt;0,"."&amp;REPT("0",OFFSET(Items[],MATCH($A454,INDIRECT(RangeCount),0)-1,MATCH(Decimals,Items[#Headers],0)-1,1,1)),""))),"")</f>
        <v/>
      </c>
      <c r="D454" s="170" t="str">
        <f ca="1">IFERROR(INDEX(INDIRECT(RangeUnit),MATCH($A454,INDIRECT(RangeCount),0)),"")</f>
        <v/>
      </c>
      <c r="E454" s="170" t="str">
        <f ca="1">IFERROR(IF(INDEX(INDIRECT(RangeContrQty),MATCH($A454,INDIRECT(RangeCount),0)),"(CQ)",""),"")</f>
        <v/>
      </c>
      <c r="F454" s="171" t="str">
        <f ca="1">IFERROR(INDEX(INDIRECT(RangeUnitPrice),MATCH($A454,INDIRECT(RangeCount),0)),"")</f>
        <v/>
      </c>
      <c r="G454" s="171" t="str">
        <f ca="1">IFERROR(VALUE(C454)*F454,F454)</f>
        <v/>
      </c>
      <c r="H454" s="388"/>
      <c r="I454" s="178" t="str">
        <f ca="1">IF($C454="","",IF($D454="LPSM",H453,VALUE($C454)*H453))</f>
        <v/>
      </c>
      <c r="J454" s="388"/>
      <c r="K454" s="178" t="str">
        <f ca="1">IF($C454="","",IF($D454="LPSM",J453,VALUE($C454)*J453))</f>
        <v/>
      </c>
      <c r="L454" s="388"/>
      <c r="M454" s="178" t="str">
        <f ca="1">IF($C454="","",IF($D454="LPSM",L453,VALUE($C454)*L453))</f>
        <v/>
      </c>
      <c r="N454" s="388"/>
      <c r="O454" s="178" t="str">
        <f ca="1">IF($C454="","",IF($D454="LPSM",N453,VALUE($C454)*N453))</f>
        <v/>
      </c>
      <c r="P454" s="388"/>
      <c r="Q454" s="178" t="str">
        <f ca="1">IF($C454="","",IF($D454="LPSM",P453,VALUE($C454)*P453))</f>
        <v/>
      </c>
      <c r="R454" s="388"/>
      <c r="S454" s="178" t="str">
        <f ca="1">IF($C454="","",IF($D454="LPSM",R453,VALUE($C454)*R453))</f>
        <v/>
      </c>
      <c r="T454" s="388"/>
      <c r="U454" s="178" t="str">
        <f ca="1">IF($C454="","",IF($D454="LPSM",T453,VALUE($C454)*T453))</f>
        <v/>
      </c>
      <c r="V454" s="388"/>
      <c r="W454" s="178" t="str">
        <f ca="1">IF($C454="","",IF($D454="LPSM",V453,VALUE($C454)*V453))</f>
        <v/>
      </c>
      <c r="X454" s="388"/>
      <c r="Y454" s="178" t="str">
        <f ca="1">IF($C454="","",IF($D454="LPSM",X453,VALUE($C454)*X453))</f>
        <v/>
      </c>
      <c r="Z454" s="388"/>
      <c r="AA454" s="178" t="str">
        <f ca="1">IF($C454="","",IF($D454="LPSM",Z453,VALUE($C454)*Z453))</f>
        <v/>
      </c>
      <c r="AB454" s="388"/>
      <c r="AC454" s="178" t="str">
        <f ca="1">IF($C454="","",IF($D454="LPSM",AB453,VALUE($C454)*AB453))</f>
        <v/>
      </c>
      <c r="AD454" s="388"/>
      <c r="AE454" s="178" t="str">
        <f ca="1">IF($C454="","",IF($D454="LPSM",AD453,VALUE($C454)*AD453))</f>
        <v/>
      </c>
      <c r="AF454" s="388"/>
      <c r="AG454" s="178" t="str">
        <f ca="1">IF($C454="","",IF($D454="LPSM",AF453,VALUE($C454)*AF453))</f>
        <v/>
      </c>
      <c r="AH454" s="388"/>
      <c r="AI454" s="178" t="str">
        <f ca="1">IF($C454="","",IF($D454="LPSM",AH453,VALUE($C454)*AH453))</f>
        <v/>
      </c>
      <c r="AJ454" s="388"/>
      <c r="AK454" s="178" t="str">
        <f ca="1">IF($C454="","",IF($D454="LPSM",AJ453,VALUE($C454)*AJ453))</f>
        <v/>
      </c>
      <c r="AL454" s="388"/>
      <c r="AM454" s="178" t="str">
        <f ca="1">IF($C454="","",IF($D454="LPSM",AL453,VALUE($C454)*AL453))</f>
        <v/>
      </c>
      <c r="AN454" s="388"/>
      <c r="AO454" s="178" t="str">
        <f ca="1">IF($C454="","",IF($D454="LPSM",AN453,VALUE($C454)*AN453))</f>
        <v/>
      </c>
      <c r="AP454" s="388"/>
      <c r="AQ454" s="178" t="str">
        <f ca="1">IF($C454="","",IF($D454="LPSM",AP453,VALUE($C454)*AP453))</f>
        <v/>
      </c>
      <c r="AR454" s="209" t="str">
        <f ca="1">IF(LEN(B454)&gt;0,ISNUMBER(MATCH(B454,Proposed[Item],0)),"")</f>
        <v/>
      </c>
    </row>
    <row r="455" spans="1:44" ht="15" x14ac:dyDescent="0.2">
      <c r="A455" s="276">
        <f t="shared" ca="1" si="6"/>
        <v>224</v>
      </c>
      <c r="B455" s="168" t="str">
        <f ca="1">IFERROR(INDEX(INDIRECT(RangeItems),MATCH($A455,INDIRECT(RangeCount),0)),"")</f>
        <v/>
      </c>
      <c r="C455" s="365" t="str">
        <f ca="1">INDEX(Calcs[Description],$A455)</f>
        <v/>
      </c>
      <c r="D455" s="365"/>
      <c r="E455" s="365"/>
      <c r="F455" s="365"/>
      <c r="G455" s="365"/>
      <c r="H455" s="388"/>
      <c r="I455" s="177"/>
      <c r="J455" s="388"/>
      <c r="K455" s="177"/>
      <c r="L455" s="388"/>
      <c r="M455" s="177"/>
      <c r="N455" s="388"/>
      <c r="O455" s="177"/>
      <c r="P455" s="388"/>
      <c r="Q455" s="177"/>
      <c r="R455" s="388"/>
      <c r="S455" s="177"/>
      <c r="T455" s="388"/>
      <c r="U455" s="177"/>
      <c r="V455" s="388"/>
      <c r="W455" s="177"/>
      <c r="X455" s="388"/>
      <c r="Y455" s="177"/>
      <c r="Z455" s="388"/>
      <c r="AA455" s="177"/>
      <c r="AB455" s="388"/>
      <c r="AC455" s="177"/>
      <c r="AD455" s="388"/>
      <c r="AE455" s="177"/>
      <c r="AF455" s="388"/>
      <c r="AG455" s="177"/>
      <c r="AH455" s="388"/>
      <c r="AI455" s="177"/>
      <c r="AJ455" s="388"/>
      <c r="AK455" s="177"/>
      <c r="AL455" s="388"/>
      <c r="AM455" s="177"/>
      <c r="AN455" s="388"/>
      <c r="AO455" s="177"/>
      <c r="AP455" s="388"/>
      <c r="AQ455" s="177"/>
      <c r="AR455" s="209" t="str">
        <f ca="1">IF(LEN(B455)&gt;0,ISNUMBER(MATCH(B455,Proposed[Item],0)),"")</f>
        <v/>
      </c>
    </row>
    <row r="456" spans="1:44" ht="15" x14ac:dyDescent="0.2">
      <c r="A456" s="276">
        <f t="shared" ca="1" si="6"/>
        <v>224</v>
      </c>
      <c r="B456" s="111" t="str">
        <f ca="1">IF($A456&lt;=NumPayItems,"Line "&amp;INDEX(Calcs[Line],$A456),"")</f>
        <v/>
      </c>
      <c r="C456" s="169" t="str">
        <f ca="1">IFERROR(IF($D456="LPSM","ALL",TEXT(INDEX(INDIRECT(RangeQuantity),MATCH($A456,INDIRECT(RangeCount),0)),"#,##0"&amp;IF(OFFSET(Items[],MATCH($A456,INDIRECT(RangeCount),0)-1,MATCH(Decimals,Items[#Headers],0)-1,1,1)&gt;0,"."&amp;REPT("0",OFFSET(Items[],MATCH($A456,INDIRECT(RangeCount),0)-1,MATCH(Decimals,Items[#Headers],0)-1,1,1)),""))),"")</f>
        <v/>
      </c>
      <c r="D456" s="170" t="str">
        <f ca="1">IFERROR(INDEX(INDIRECT(RangeUnit),MATCH($A456,INDIRECT(RangeCount),0)),"")</f>
        <v/>
      </c>
      <c r="E456" s="170" t="str">
        <f ca="1">IFERROR(IF(INDEX(INDIRECT(RangeContrQty),MATCH($A456,INDIRECT(RangeCount),0)),"(CQ)",""),"")</f>
        <v/>
      </c>
      <c r="F456" s="171" t="str">
        <f ca="1">IFERROR(INDEX(INDIRECT(RangeUnitPrice),MATCH($A456,INDIRECT(RangeCount),0)),"")</f>
        <v/>
      </c>
      <c r="G456" s="171" t="str">
        <f ca="1">IFERROR(VALUE(C456)*F456,F456)</f>
        <v/>
      </c>
      <c r="H456" s="388"/>
      <c r="I456" s="178" t="str">
        <f ca="1">IF($C456="","",IF($D456="LPSM",H455,VALUE($C456)*H455))</f>
        <v/>
      </c>
      <c r="J456" s="388"/>
      <c r="K456" s="178" t="str">
        <f ca="1">IF($C456="","",IF($D456="LPSM",J455,VALUE($C456)*J455))</f>
        <v/>
      </c>
      <c r="L456" s="388"/>
      <c r="M456" s="178" t="str">
        <f ca="1">IF($C456="","",IF($D456="LPSM",L455,VALUE($C456)*L455))</f>
        <v/>
      </c>
      <c r="N456" s="388"/>
      <c r="O456" s="178" t="str">
        <f ca="1">IF($C456="","",IF($D456="LPSM",N455,VALUE($C456)*N455))</f>
        <v/>
      </c>
      <c r="P456" s="388"/>
      <c r="Q456" s="178" t="str">
        <f ca="1">IF($C456="","",IF($D456="LPSM",P455,VALUE($C456)*P455))</f>
        <v/>
      </c>
      <c r="R456" s="388"/>
      <c r="S456" s="178" t="str">
        <f ca="1">IF($C456="","",IF($D456="LPSM",R455,VALUE($C456)*R455))</f>
        <v/>
      </c>
      <c r="T456" s="388"/>
      <c r="U456" s="178" t="str">
        <f ca="1">IF($C456="","",IF($D456="LPSM",T455,VALUE($C456)*T455))</f>
        <v/>
      </c>
      <c r="V456" s="388"/>
      <c r="W456" s="178" t="str">
        <f ca="1">IF($C456="","",IF($D456="LPSM",V455,VALUE($C456)*V455))</f>
        <v/>
      </c>
      <c r="X456" s="388"/>
      <c r="Y456" s="178" t="str">
        <f ca="1">IF($C456="","",IF($D456="LPSM",X455,VALUE($C456)*X455))</f>
        <v/>
      </c>
      <c r="Z456" s="388"/>
      <c r="AA456" s="178" t="str">
        <f ca="1">IF($C456="","",IF($D456="LPSM",Z455,VALUE($C456)*Z455))</f>
        <v/>
      </c>
      <c r="AB456" s="388"/>
      <c r="AC456" s="178" t="str">
        <f ca="1">IF($C456="","",IF($D456="LPSM",AB455,VALUE($C456)*AB455))</f>
        <v/>
      </c>
      <c r="AD456" s="388"/>
      <c r="AE456" s="178" t="str">
        <f ca="1">IF($C456="","",IF($D456="LPSM",AD455,VALUE($C456)*AD455))</f>
        <v/>
      </c>
      <c r="AF456" s="388"/>
      <c r="AG456" s="178" t="str">
        <f ca="1">IF($C456="","",IF($D456="LPSM",AF455,VALUE($C456)*AF455))</f>
        <v/>
      </c>
      <c r="AH456" s="388"/>
      <c r="AI456" s="178" t="str">
        <f ca="1">IF($C456="","",IF($D456="LPSM",AH455,VALUE($C456)*AH455))</f>
        <v/>
      </c>
      <c r="AJ456" s="388"/>
      <c r="AK456" s="178" t="str">
        <f ca="1">IF($C456="","",IF($D456="LPSM",AJ455,VALUE($C456)*AJ455))</f>
        <v/>
      </c>
      <c r="AL456" s="388"/>
      <c r="AM456" s="178" t="str">
        <f ca="1">IF($C456="","",IF($D456="LPSM",AL455,VALUE($C456)*AL455))</f>
        <v/>
      </c>
      <c r="AN456" s="388"/>
      <c r="AO456" s="178" t="str">
        <f ca="1">IF($C456="","",IF($D456="LPSM",AN455,VALUE($C456)*AN455))</f>
        <v/>
      </c>
      <c r="AP456" s="388"/>
      <c r="AQ456" s="178" t="str">
        <f ca="1">IF($C456="","",IF($D456="LPSM",AP455,VALUE($C456)*AP455))</f>
        <v/>
      </c>
      <c r="AR456" s="209" t="str">
        <f ca="1">IF(LEN(B456)&gt;0,ISNUMBER(MATCH(B456,Proposed[Item],0)),"")</f>
        <v/>
      </c>
    </row>
    <row r="457" spans="1:44" ht="15" x14ac:dyDescent="0.2">
      <c r="A457" s="276">
        <f t="shared" ref="A457:A508" ca="1" si="7">OFFSET(A457,-2,0)+1</f>
        <v>225</v>
      </c>
      <c r="B457" s="168" t="str">
        <f ca="1">IFERROR(INDEX(INDIRECT(RangeItems),MATCH($A457,INDIRECT(RangeCount),0)),"")</f>
        <v/>
      </c>
      <c r="C457" s="365" t="str">
        <f ca="1">INDEX(Calcs[Description],$A457)</f>
        <v/>
      </c>
      <c r="D457" s="365"/>
      <c r="E457" s="365"/>
      <c r="F457" s="365"/>
      <c r="G457" s="365"/>
      <c r="H457" s="388"/>
      <c r="I457" s="177"/>
      <c r="J457" s="388"/>
      <c r="K457" s="177"/>
      <c r="L457" s="388"/>
      <c r="M457" s="177"/>
      <c r="N457" s="388"/>
      <c r="O457" s="177"/>
      <c r="P457" s="388"/>
      <c r="Q457" s="177"/>
      <c r="R457" s="388"/>
      <c r="S457" s="177"/>
      <c r="T457" s="388"/>
      <c r="U457" s="177"/>
      <c r="V457" s="388"/>
      <c r="W457" s="177"/>
      <c r="X457" s="388"/>
      <c r="Y457" s="177"/>
      <c r="Z457" s="388"/>
      <c r="AA457" s="177"/>
      <c r="AB457" s="388"/>
      <c r="AC457" s="177"/>
      <c r="AD457" s="388"/>
      <c r="AE457" s="177"/>
      <c r="AF457" s="388"/>
      <c r="AG457" s="177"/>
      <c r="AH457" s="388"/>
      <c r="AI457" s="177"/>
      <c r="AJ457" s="388"/>
      <c r="AK457" s="177"/>
      <c r="AL457" s="388"/>
      <c r="AM457" s="177"/>
      <c r="AN457" s="388"/>
      <c r="AO457" s="177"/>
      <c r="AP457" s="388"/>
      <c r="AQ457" s="177"/>
      <c r="AR457" s="209" t="str">
        <f ca="1">IF(LEN(B457)&gt;0,ISNUMBER(MATCH(B457,Proposed[Item],0)),"")</f>
        <v/>
      </c>
    </row>
    <row r="458" spans="1:44" ht="15" x14ac:dyDescent="0.2">
      <c r="A458" s="276">
        <f t="shared" ca="1" si="7"/>
        <v>225</v>
      </c>
      <c r="B458" s="111" t="str">
        <f ca="1">IF($A458&lt;=NumPayItems,"Line "&amp;INDEX(Calcs[Line],$A458),"")</f>
        <v/>
      </c>
      <c r="C458" s="169" t="str">
        <f ca="1">IFERROR(IF($D458="LPSM","ALL",TEXT(INDEX(INDIRECT(RangeQuantity),MATCH($A458,INDIRECT(RangeCount),0)),"#,##0"&amp;IF(OFFSET(Items[],MATCH($A458,INDIRECT(RangeCount),0)-1,MATCH(Decimals,Items[#Headers],0)-1,1,1)&gt;0,"."&amp;REPT("0",OFFSET(Items[],MATCH($A458,INDIRECT(RangeCount),0)-1,MATCH(Decimals,Items[#Headers],0)-1,1,1)),""))),"")</f>
        <v/>
      </c>
      <c r="D458" s="170" t="str">
        <f ca="1">IFERROR(INDEX(INDIRECT(RangeUnit),MATCH($A458,INDIRECT(RangeCount),0)),"")</f>
        <v/>
      </c>
      <c r="E458" s="170" t="str">
        <f ca="1">IFERROR(IF(INDEX(INDIRECT(RangeContrQty),MATCH($A458,INDIRECT(RangeCount),0)),"(CQ)",""),"")</f>
        <v/>
      </c>
      <c r="F458" s="171" t="str">
        <f ca="1">IFERROR(INDEX(INDIRECT(RangeUnitPrice),MATCH($A458,INDIRECT(RangeCount),0)),"")</f>
        <v/>
      </c>
      <c r="G458" s="171" t="str">
        <f ca="1">IFERROR(VALUE(C458)*F458,F458)</f>
        <v/>
      </c>
      <c r="H458" s="388"/>
      <c r="I458" s="178" t="str">
        <f ca="1">IF($C458="","",IF($D458="LPSM",H457,VALUE($C458)*H457))</f>
        <v/>
      </c>
      <c r="J458" s="388"/>
      <c r="K458" s="178" t="str">
        <f ca="1">IF($C458="","",IF($D458="LPSM",J457,VALUE($C458)*J457))</f>
        <v/>
      </c>
      <c r="L458" s="388"/>
      <c r="M458" s="178" t="str">
        <f ca="1">IF($C458="","",IF($D458="LPSM",L457,VALUE($C458)*L457))</f>
        <v/>
      </c>
      <c r="N458" s="388"/>
      <c r="O458" s="178" t="str">
        <f ca="1">IF($C458="","",IF($D458="LPSM",N457,VALUE($C458)*N457))</f>
        <v/>
      </c>
      <c r="P458" s="388"/>
      <c r="Q458" s="178" t="str">
        <f ca="1">IF($C458="","",IF($D458="LPSM",P457,VALUE($C458)*P457))</f>
        <v/>
      </c>
      <c r="R458" s="388"/>
      <c r="S458" s="178" t="str">
        <f ca="1">IF($C458="","",IF($D458="LPSM",R457,VALUE($C458)*R457))</f>
        <v/>
      </c>
      <c r="T458" s="388"/>
      <c r="U458" s="178" t="str">
        <f ca="1">IF($C458="","",IF($D458="LPSM",T457,VALUE($C458)*T457))</f>
        <v/>
      </c>
      <c r="V458" s="388"/>
      <c r="W458" s="178" t="str">
        <f ca="1">IF($C458="","",IF($D458="LPSM",V457,VALUE($C458)*V457))</f>
        <v/>
      </c>
      <c r="X458" s="388"/>
      <c r="Y458" s="178" t="str">
        <f ca="1">IF($C458="","",IF($D458="LPSM",X457,VALUE($C458)*X457))</f>
        <v/>
      </c>
      <c r="Z458" s="388"/>
      <c r="AA458" s="178" t="str">
        <f ca="1">IF($C458="","",IF($D458="LPSM",Z457,VALUE($C458)*Z457))</f>
        <v/>
      </c>
      <c r="AB458" s="388"/>
      <c r="AC458" s="178" t="str">
        <f ca="1">IF($C458="","",IF($D458="LPSM",AB457,VALUE($C458)*AB457))</f>
        <v/>
      </c>
      <c r="AD458" s="388"/>
      <c r="AE458" s="178" t="str">
        <f ca="1">IF($C458="","",IF($D458="LPSM",AD457,VALUE($C458)*AD457))</f>
        <v/>
      </c>
      <c r="AF458" s="388"/>
      <c r="AG458" s="178" t="str">
        <f ca="1">IF($C458="","",IF($D458="LPSM",AF457,VALUE($C458)*AF457))</f>
        <v/>
      </c>
      <c r="AH458" s="388"/>
      <c r="AI458" s="178" t="str">
        <f ca="1">IF($C458="","",IF($D458="LPSM",AH457,VALUE($C458)*AH457))</f>
        <v/>
      </c>
      <c r="AJ458" s="388"/>
      <c r="AK458" s="178" t="str">
        <f ca="1">IF($C458="","",IF($D458="LPSM",AJ457,VALUE($C458)*AJ457))</f>
        <v/>
      </c>
      <c r="AL458" s="388"/>
      <c r="AM458" s="178" t="str">
        <f ca="1">IF($C458="","",IF($D458="LPSM",AL457,VALUE($C458)*AL457))</f>
        <v/>
      </c>
      <c r="AN458" s="388"/>
      <c r="AO458" s="178" t="str">
        <f ca="1">IF($C458="","",IF($D458="LPSM",AN457,VALUE($C458)*AN457))</f>
        <v/>
      </c>
      <c r="AP458" s="388"/>
      <c r="AQ458" s="178" t="str">
        <f ca="1">IF($C458="","",IF($D458="LPSM",AP457,VALUE($C458)*AP457))</f>
        <v/>
      </c>
      <c r="AR458" s="209" t="str">
        <f ca="1">IF(LEN(B458)&gt;0,ISNUMBER(MATCH(B458,Proposed[Item],0)),"")</f>
        <v/>
      </c>
    </row>
    <row r="459" spans="1:44" ht="15" x14ac:dyDescent="0.2">
      <c r="A459" s="276">
        <f t="shared" ca="1" si="7"/>
        <v>226</v>
      </c>
      <c r="B459" s="168" t="str">
        <f ca="1">IFERROR(INDEX(INDIRECT(RangeItems),MATCH($A459,INDIRECT(RangeCount),0)),"")</f>
        <v/>
      </c>
      <c r="C459" s="365" t="str">
        <f ca="1">INDEX(Calcs[Description],$A459)</f>
        <v/>
      </c>
      <c r="D459" s="365"/>
      <c r="E459" s="365"/>
      <c r="F459" s="365"/>
      <c r="G459" s="365"/>
      <c r="H459" s="388"/>
      <c r="I459" s="177"/>
      <c r="J459" s="388"/>
      <c r="K459" s="177"/>
      <c r="L459" s="388"/>
      <c r="M459" s="177"/>
      <c r="N459" s="388"/>
      <c r="O459" s="177"/>
      <c r="P459" s="388"/>
      <c r="Q459" s="177"/>
      <c r="R459" s="388"/>
      <c r="S459" s="177"/>
      <c r="T459" s="388"/>
      <c r="U459" s="177"/>
      <c r="V459" s="388"/>
      <c r="W459" s="177"/>
      <c r="X459" s="388"/>
      <c r="Y459" s="177"/>
      <c r="Z459" s="388"/>
      <c r="AA459" s="177"/>
      <c r="AB459" s="388"/>
      <c r="AC459" s="177"/>
      <c r="AD459" s="388"/>
      <c r="AE459" s="177"/>
      <c r="AF459" s="388"/>
      <c r="AG459" s="177"/>
      <c r="AH459" s="388"/>
      <c r="AI459" s="177"/>
      <c r="AJ459" s="388"/>
      <c r="AK459" s="177"/>
      <c r="AL459" s="388"/>
      <c r="AM459" s="177"/>
      <c r="AN459" s="388"/>
      <c r="AO459" s="177"/>
      <c r="AP459" s="388"/>
      <c r="AQ459" s="177"/>
      <c r="AR459" s="209" t="str">
        <f ca="1">IF(LEN(B459)&gt;0,ISNUMBER(MATCH(B459,Proposed[Item],0)),"")</f>
        <v/>
      </c>
    </row>
    <row r="460" spans="1:44" ht="15" x14ac:dyDescent="0.2">
      <c r="A460" s="276">
        <f t="shared" ca="1" si="7"/>
        <v>226</v>
      </c>
      <c r="B460" s="111" t="str">
        <f ca="1">IF($A460&lt;=NumPayItems,"Line "&amp;INDEX(Calcs[Line],$A460),"")</f>
        <v/>
      </c>
      <c r="C460" s="169" t="str">
        <f ca="1">IFERROR(IF($D460="LPSM","ALL",TEXT(INDEX(INDIRECT(RangeQuantity),MATCH($A460,INDIRECT(RangeCount),0)),"#,##0"&amp;IF(OFFSET(Items[],MATCH($A460,INDIRECT(RangeCount),0)-1,MATCH(Decimals,Items[#Headers],0)-1,1,1)&gt;0,"."&amp;REPT("0",OFFSET(Items[],MATCH($A460,INDIRECT(RangeCount),0)-1,MATCH(Decimals,Items[#Headers],0)-1,1,1)),""))),"")</f>
        <v/>
      </c>
      <c r="D460" s="170" t="str">
        <f ca="1">IFERROR(INDEX(INDIRECT(RangeUnit),MATCH($A460,INDIRECT(RangeCount),0)),"")</f>
        <v/>
      </c>
      <c r="E460" s="170" t="str">
        <f ca="1">IFERROR(IF(INDEX(INDIRECT(RangeContrQty),MATCH($A460,INDIRECT(RangeCount),0)),"(CQ)",""),"")</f>
        <v/>
      </c>
      <c r="F460" s="171" t="str">
        <f ca="1">IFERROR(INDEX(INDIRECT(RangeUnitPrice),MATCH($A460,INDIRECT(RangeCount),0)),"")</f>
        <v/>
      </c>
      <c r="G460" s="171" t="str">
        <f ca="1">IFERROR(VALUE(C460)*F460,F460)</f>
        <v/>
      </c>
      <c r="H460" s="388"/>
      <c r="I460" s="178" t="str">
        <f ca="1">IF($C460="","",IF($D460="LPSM",H459,VALUE($C460)*H459))</f>
        <v/>
      </c>
      <c r="J460" s="388"/>
      <c r="K460" s="178" t="str">
        <f ca="1">IF($C460="","",IF($D460="LPSM",J459,VALUE($C460)*J459))</f>
        <v/>
      </c>
      <c r="L460" s="388"/>
      <c r="M460" s="178" t="str">
        <f ca="1">IF($C460="","",IF($D460="LPSM",L459,VALUE($C460)*L459))</f>
        <v/>
      </c>
      <c r="N460" s="388"/>
      <c r="O460" s="178" t="str">
        <f ca="1">IF($C460="","",IF($D460="LPSM",N459,VALUE($C460)*N459))</f>
        <v/>
      </c>
      <c r="P460" s="388"/>
      <c r="Q460" s="178" t="str">
        <f ca="1">IF($C460="","",IF($D460="LPSM",P459,VALUE($C460)*P459))</f>
        <v/>
      </c>
      <c r="R460" s="388"/>
      <c r="S460" s="178" t="str">
        <f ca="1">IF($C460="","",IF($D460="LPSM",R459,VALUE($C460)*R459))</f>
        <v/>
      </c>
      <c r="T460" s="388"/>
      <c r="U460" s="178" t="str">
        <f ca="1">IF($C460="","",IF($D460="LPSM",T459,VALUE($C460)*T459))</f>
        <v/>
      </c>
      <c r="V460" s="388"/>
      <c r="W460" s="178" t="str">
        <f ca="1">IF($C460="","",IF($D460="LPSM",V459,VALUE($C460)*V459))</f>
        <v/>
      </c>
      <c r="X460" s="388"/>
      <c r="Y460" s="178" t="str">
        <f ca="1">IF($C460="","",IF($D460="LPSM",X459,VALUE($C460)*X459))</f>
        <v/>
      </c>
      <c r="Z460" s="388"/>
      <c r="AA460" s="178" t="str">
        <f ca="1">IF($C460="","",IF($D460="LPSM",Z459,VALUE($C460)*Z459))</f>
        <v/>
      </c>
      <c r="AB460" s="388"/>
      <c r="AC460" s="178" t="str">
        <f ca="1">IF($C460="","",IF($D460="LPSM",AB459,VALUE($C460)*AB459))</f>
        <v/>
      </c>
      <c r="AD460" s="388"/>
      <c r="AE460" s="178" t="str">
        <f ca="1">IF($C460="","",IF($D460="LPSM",AD459,VALUE($C460)*AD459))</f>
        <v/>
      </c>
      <c r="AF460" s="388"/>
      <c r="AG460" s="178" t="str">
        <f ca="1">IF($C460="","",IF($D460="LPSM",AF459,VALUE($C460)*AF459))</f>
        <v/>
      </c>
      <c r="AH460" s="388"/>
      <c r="AI460" s="178" t="str">
        <f ca="1">IF($C460="","",IF($D460="LPSM",AH459,VALUE($C460)*AH459))</f>
        <v/>
      </c>
      <c r="AJ460" s="388"/>
      <c r="AK460" s="178" t="str">
        <f ca="1">IF($C460="","",IF($D460="LPSM",AJ459,VALUE($C460)*AJ459))</f>
        <v/>
      </c>
      <c r="AL460" s="388"/>
      <c r="AM460" s="178" t="str">
        <f ca="1">IF($C460="","",IF($D460="LPSM",AL459,VALUE($C460)*AL459))</f>
        <v/>
      </c>
      <c r="AN460" s="388"/>
      <c r="AO460" s="178" t="str">
        <f ca="1">IF($C460="","",IF($D460="LPSM",AN459,VALUE($C460)*AN459))</f>
        <v/>
      </c>
      <c r="AP460" s="388"/>
      <c r="AQ460" s="178" t="str">
        <f ca="1">IF($C460="","",IF($D460="LPSM",AP459,VALUE($C460)*AP459))</f>
        <v/>
      </c>
      <c r="AR460" s="209" t="str">
        <f ca="1">IF(LEN(B460)&gt;0,ISNUMBER(MATCH(B460,Proposed[Item],0)),"")</f>
        <v/>
      </c>
    </row>
    <row r="461" spans="1:44" ht="15" x14ac:dyDescent="0.2">
      <c r="A461" s="276">
        <f t="shared" ca="1" si="7"/>
        <v>227</v>
      </c>
      <c r="B461" s="168" t="str">
        <f ca="1">IFERROR(INDEX(INDIRECT(RangeItems),MATCH($A461,INDIRECT(RangeCount),0)),"")</f>
        <v/>
      </c>
      <c r="C461" s="365" t="str">
        <f ca="1">INDEX(Calcs[Description],$A461)</f>
        <v/>
      </c>
      <c r="D461" s="365"/>
      <c r="E461" s="365"/>
      <c r="F461" s="365"/>
      <c r="G461" s="365"/>
      <c r="H461" s="388"/>
      <c r="I461" s="177"/>
      <c r="J461" s="388"/>
      <c r="K461" s="177"/>
      <c r="L461" s="388"/>
      <c r="M461" s="177"/>
      <c r="N461" s="388"/>
      <c r="O461" s="177"/>
      <c r="P461" s="388"/>
      <c r="Q461" s="177"/>
      <c r="R461" s="388"/>
      <c r="S461" s="177"/>
      <c r="T461" s="388"/>
      <c r="U461" s="177"/>
      <c r="V461" s="388"/>
      <c r="W461" s="177"/>
      <c r="X461" s="388"/>
      <c r="Y461" s="177"/>
      <c r="Z461" s="388"/>
      <c r="AA461" s="177"/>
      <c r="AB461" s="388"/>
      <c r="AC461" s="177"/>
      <c r="AD461" s="388"/>
      <c r="AE461" s="177"/>
      <c r="AF461" s="388"/>
      <c r="AG461" s="177"/>
      <c r="AH461" s="388"/>
      <c r="AI461" s="177"/>
      <c r="AJ461" s="388"/>
      <c r="AK461" s="177"/>
      <c r="AL461" s="388"/>
      <c r="AM461" s="177"/>
      <c r="AN461" s="388"/>
      <c r="AO461" s="177"/>
      <c r="AP461" s="388"/>
      <c r="AQ461" s="177"/>
      <c r="AR461" s="209" t="str">
        <f ca="1">IF(LEN(B461)&gt;0,ISNUMBER(MATCH(B461,Proposed[Item],0)),"")</f>
        <v/>
      </c>
    </row>
    <row r="462" spans="1:44" ht="15" x14ac:dyDescent="0.2">
      <c r="A462" s="276">
        <f t="shared" ca="1" si="7"/>
        <v>227</v>
      </c>
      <c r="B462" s="111" t="str">
        <f ca="1">IF($A462&lt;=NumPayItems,"Line "&amp;INDEX(Calcs[Line],$A462),"")</f>
        <v/>
      </c>
      <c r="C462" s="169" t="str">
        <f ca="1">IFERROR(IF($D462="LPSM","ALL",TEXT(INDEX(INDIRECT(RangeQuantity),MATCH($A462,INDIRECT(RangeCount),0)),"#,##0"&amp;IF(OFFSET(Items[],MATCH($A462,INDIRECT(RangeCount),0)-1,MATCH(Decimals,Items[#Headers],0)-1,1,1)&gt;0,"."&amp;REPT("0",OFFSET(Items[],MATCH($A462,INDIRECT(RangeCount),0)-1,MATCH(Decimals,Items[#Headers],0)-1,1,1)),""))),"")</f>
        <v/>
      </c>
      <c r="D462" s="170" t="str">
        <f ca="1">IFERROR(INDEX(INDIRECT(RangeUnit),MATCH($A462,INDIRECT(RangeCount),0)),"")</f>
        <v/>
      </c>
      <c r="E462" s="170" t="str">
        <f ca="1">IFERROR(IF(INDEX(INDIRECT(RangeContrQty),MATCH($A462,INDIRECT(RangeCount),0)),"(CQ)",""),"")</f>
        <v/>
      </c>
      <c r="F462" s="171" t="str">
        <f ca="1">IFERROR(INDEX(INDIRECT(RangeUnitPrice),MATCH($A462,INDIRECT(RangeCount),0)),"")</f>
        <v/>
      </c>
      <c r="G462" s="171" t="str">
        <f ca="1">IFERROR(VALUE(C462)*F462,F462)</f>
        <v/>
      </c>
      <c r="H462" s="388"/>
      <c r="I462" s="178" t="str">
        <f ca="1">IF($C462="","",IF($D462="LPSM",H461,VALUE($C462)*H461))</f>
        <v/>
      </c>
      <c r="J462" s="388"/>
      <c r="K462" s="178" t="str">
        <f ca="1">IF($C462="","",IF($D462="LPSM",J461,VALUE($C462)*J461))</f>
        <v/>
      </c>
      <c r="L462" s="388"/>
      <c r="M462" s="178" t="str">
        <f ca="1">IF($C462="","",IF($D462="LPSM",L461,VALUE($C462)*L461))</f>
        <v/>
      </c>
      <c r="N462" s="388"/>
      <c r="O462" s="178" t="str">
        <f ca="1">IF($C462="","",IF($D462="LPSM",N461,VALUE($C462)*N461))</f>
        <v/>
      </c>
      <c r="P462" s="388"/>
      <c r="Q462" s="178" t="str">
        <f ca="1">IF($C462="","",IF($D462="LPSM",P461,VALUE($C462)*P461))</f>
        <v/>
      </c>
      <c r="R462" s="388"/>
      <c r="S462" s="178" t="str">
        <f ca="1">IF($C462="","",IF($D462="LPSM",R461,VALUE($C462)*R461))</f>
        <v/>
      </c>
      <c r="T462" s="388"/>
      <c r="U462" s="178" t="str">
        <f ca="1">IF($C462="","",IF($D462="LPSM",T461,VALUE($C462)*T461))</f>
        <v/>
      </c>
      <c r="V462" s="388"/>
      <c r="W462" s="178" t="str">
        <f ca="1">IF($C462="","",IF($D462="LPSM",V461,VALUE($C462)*V461))</f>
        <v/>
      </c>
      <c r="X462" s="388"/>
      <c r="Y462" s="178" t="str">
        <f ca="1">IF($C462="","",IF($D462="LPSM",X461,VALUE($C462)*X461))</f>
        <v/>
      </c>
      <c r="Z462" s="388"/>
      <c r="AA462" s="178" t="str">
        <f ca="1">IF($C462="","",IF($D462="LPSM",Z461,VALUE($C462)*Z461))</f>
        <v/>
      </c>
      <c r="AB462" s="388"/>
      <c r="AC462" s="178" t="str">
        <f ca="1">IF($C462="","",IF($D462="LPSM",AB461,VALUE($C462)*AB461))</f>
        <v/>
      </c>
      <c r="AD462" s="388"/>
      <c r="AE462" s="178" t="str">
        <f ca="1">IF($C462="","",IF($D462="LPSM",AD461,VALUE($C462)*AD461))</f>
        <v/>
      </c>
      <c r="AF462" s="388"/>
      <c r="AG462" s="178" t="str">
        <f ca="1">IF($C462="","",IF($D462="LPSM",AF461,VALUE($C462)*AF461))</f>
        <v/>
      </c>
      <c r="AH462" s="388"/>
      <c r="AI462" s="178" t="str">
        <f ca="1">IF($C462="","",IF($D462="LPSM",AH461,VALUE($C462)*AH461))</f>
        <v/>
      </c>
      <c r="AJ462" s="388"/>
      <c r="AK462" s="178" t="str">
        <f ca="1">IF($C462="","",IF($D462="LPSM",AJ461,VALUE($C462)*AJ461))</f>
        <v/>
      </c>
      <c r="AL462" s="388"/>
      <c r="AM462" s="178" t="str">
        <f ca="1">IF($C462="","",IF($D462="LPSM",AL461,VALUE($C462)*AL461))</f>
        <v/>
      </c>
      <c r="AN462" s="388"/>
      <c r="AO462" s="178" t="str">
        <f ca="1">IF($C462="","",IF($D462="LPSM",AN461,VALUE($C462)*AN461))</f>
        <v/>
      </c>
      <c r="AP462" s="388"/>
      <c r="AQ462" s="178" t="str">
        <f ca="1">IF($C462="","",IF($D462="LPSM",AP461,VALUE($C462)*AP461))</f>
        <v/>
      </c>
      <c r="AR462" s="209" t="str">
        <f ca="1">IF(LEN(B462)&gt;0,ISNUMBER(MATCH(B462,Proposed[Item],0)),"")</f>
        <v/>
      </c>
    </row>
    <row r="463" spans="1:44" ht="15" x14ac:dyDescent="0.2">
      <c r="A463" s="276">
        <f t="shared" ca="1" si="7"/>
        <v>228</v>
      </c>
      <c r="B463" s="168" t="str">
        <f ca="1">IFERROR(INDEX(INDIRECT(RangeItems),MATCH($A463,INDIRECT(RangeCount),0)),"")</f>
        <v/>
      </c>
      <c r="C463" s="365" t="str">
        <f ca="1">INDEX(Calcs[Description],$A463)</f>
        <v/>
      </c>
      <c r="D463" s="365"/>
      <c r="E463" s="365"/>
      <c r="F463" s="365"/>
      <c r="G463" s="365"/>
      <c r="H463" s="388"/>
      <c r="I463" s="177"/>
      <c r="J463" s="388"/>
      <c r="K463" s="177"/>
      <c r="L463" s="388"/>
      <c r="M463" s="177"/>
      <c r="N463" s="388"/>
      <c r="O463" s="177"/>
      <c r="P463" s="388"/>
      <c r="Q463" s="177"/>
      <c r="R463" s="388"/>
      <c r="S463" s="177"/>
      <c r="T463" s="388"/>
      <c r="U463" s="177"/>
      <c r="V463" s="388"/>
      <c r="W463" s="177"/>
      <c r="X463" s="388"/>
      <c r="Y463" s="177"/>
      <c r="Z463" s="388"/>
      <c r="AA463" s="177"/>
      <c r="AB463" s="388"/>
      <c r="AC463" s="177"/>
      <c r="AD463" s="388"/>
      <c r="AE463" s="177"/>
      <c r="AF463" s="388"/>
      <c r="AG463" s="177"/>
      <c r="AH463" s="388"/>
      <c r="AI463" s="177"/>
      <c r="AJ463" s="388"/>
      <c r="AK463" s="177"/>
      <c r="AL463" s="388"/>
      <c r="AM463" s="177"/>
      <c r="AN463" s="388"/>
      <c r="AO463" s="177"/>
      <c r="AP463" s="388"/>
      <c r="AQ463" s="177"/>
      <c r="AR463" s="209" t="str">
        <f ca="1">IF(LEN(B463)&gt;0,ISNUMBER(MATCH(B463,Proposed[Item],0)),"")</f>
        <v/>
      </c>
    </row>
    <row r="464" spans="1:44" ht="15" x14ac:dyDescent="0.2">
      <c r="A464" s="276">
        <f t="shared" ca="1" si="7"/>
        <v>228</v>
      </c>
      <c r="B464" s="111" t="str">
        <f ca="1">IF($A464&lt;=NumPayItems,"Line "&amp;INDEX(Calcs[Line],$A464),"")</f>
        <v/>
      </c>
      <c r="C464" s="169" t="str">
        <f ca="1">IFERROR(IF($D464="LPSM","ALL",TEXT(INDEX(INDIRECT(RangeQuantity),MATCH($A464,INDIRECT(RangeCount),0)),"#,##0"&amp;IF(OFFSET(Items[],MATCH($A464,INDIRECT(RangeCount),0)-1,MATCH(Decimals,Items[#Headers],0)-1,1,1)&gt;0,"."&amp;REPT("0",OFFSET(Items[],MATCH($A464,INDIRECT(RangeCount),0)-1,MATCH(Decimals,Items[#Headers],0)-1,1,1)),""))),"")</f>
        <v/>
      </c>
      <c r="D464" s="170" t="str">
        <f ca="1">IFERROR(INDEX(INDIRECT(RangeUnit),MATCH($A464,INDIRECT(RangeCount),0)),"")</f>
        <v/>
      </c>
      <c r="E464" s="170" t="str">
        <f ca="1">IFERROR(IF(INDEX(INDIRECT(RangeContrQty),MATCH($A464,INDIRECT(RangeCount),0)),"(CQ)",""),"")</f>
        <v/>
      </c>
      <c r="F464" s="171" t="str">
        <f ca="1">IFERROR(INDEX(INDIRECT(RangeUnitPrice),MATCH($A464,INDIRECT(RangeCount),0)),"")</f>
        <v/>
      </c>
      <c r="G464" s="171" t="str">
        <f ca="1">IFERROR(VALUE(C464)*F464,F464)</f>
        <v/>
      </c>
      <c r="H464" s="388"/>
      <c r="I464" s="178" t="str">
        <f ca="1">IF($C464="","",IF($D464="LPSM",H463,VALUE($C464)*H463))</f>
        <v/>
      </c>
      <c r="J464" s="388"/>
      <c r="K464" s="178" t="str">
        <f ca="1">IF($C464="","",IF($D464="LPSM",J463,VALUE($C464)*J463))</f>
        <v/>
      </c>
      <c r="L464" s="388"/>
      <c r="M464" s="178" t="str">
        <f ca="1">IF($C464="","",IF($D464="LPSM",L463,VALUE($C464)*L463))</f>
        <v/>
      </c>
      <c r="N464" s="388"/>
      <c r="O464" s="178" t="str">
        <f ca="1">IF($C464="","",IF($D464="LPSM",N463,VALUE($C464)*N463))</f>
        <v/>
      </c>
      <c r="P464" s="388"/>
      <c r="Q464" s="178" t="str">
        <f ca="1">IF($C464="","",IF($D464="LPSM",P463,VALUE($C464)*P463))</f>
        <v/>
      </c>
      <c r="R464" s="388"/>
      <c r="S464" s="178" t="str">
        <f ca="1">IF($C464="","",IF($D464="LPSM",R463,VALUE($C464)*R463))</f>
        <v/>
      </c>
      <c r="T464" s="388"/>
      <c r="U464" s="178" t="str">
        <f ca="1">IF($C464="","",IF($D464="LPSM",T463,VALUE($C464)*T463))</f>
        <v/>
      </c>
      <c r="V464" s="388"/>
      <c r="W464" s="178" t="str">
        <f ca="1">IF($C464="","",IF($D464="LPSM",V463,VALUE($C464)*V463))</f>
        <v/>
      </c>
      <c r="X464" s="388"/>
      <c r="Y464" s="178" t="str">
        <f ca="1">IF($C464="","",IF($D464="LPSM",X463,VALUE($C464)*X463))</f>
        <v/>
      </c>
      <c r="Z464" s="388"/>
      <c r="AA464" s="178" t="str">
        <f ca="1">IF($C464="","",IF($D464="LPSM",Z463,VALUE($C464)*Z463))</f>
        <v/>
      </c>
      <c r="AB464" s="388"/>
      <c r="AC464" s="178" t="str">
        <f ca="1">IF($C464="","",IF($D464="LPSM",AB463,VALUE($C464)*AB463))</f>
        <v/>
      </c>
      <c r="AD464" s="388"/>
      <c r="AE464" s="178" t="str">
        <f ca="1">IF($C464="","",IF($D464="LPSM",AD463,VALUE($C464)*AD463))</f>
        <v/>
      </c>
      <c r="AF464" s="388"/>
      <c r="AG464" s="178" t="str">
        <f ca="1">IF($C464="","",IF($D464="LPSM",AF463,VALUE($C464)*AF463))</f>
        <v/>
      </c>
      <c r="AH464" s="388"/>
      <c r="AI464" s="178" t="str">
        <f ca="1">IF($C464="","",IF($D464="LPSM",AH463,VALUE($C464)*AH463))</f>
        <v/>
      </c>
      <c r="AJ464" s="388"/>
      <c r="AK464" s="178" t="str">
        <f ca="1">IF($C464="","",IF($D464="LPSM",AJ463,VALUE($C464)*AJ463))</f>
        <v/>
      </c>
      <c r="AL464" s="388"/>
      <c r="AM464" s="178" t="str">
        <f ca="1">IF($C464="","",IF($D464="LPSM",AL463,VALUE($C464)*AL463))</f>
        <v/>
      </c>
      <c r="AN464" s="388"/>
      <c r="AO464" s="178" t="str">
        <f ca="1">IF($C464="","",IF($D464="LPSM",AN463,VALUE($C464)*AN463))</f>
        <v/>
      </c>
      <c r="AP464" s="388"/>
      <c r="AQ464" s="178" t="str">
        <f ca="1">IF($C464="","",IF($D464="LPSM",AP463,VALUE($C464)*AP463))</f>
        <v/>
      </c>
      <c r="AR464" s="209" t="str">
        <f ca="1">IF(LEN(B464)&gt;0,ISNUMBER(MATCH(B464,Proposed[Item],0)),"")</f>
        <v/>
      </c>
    </row>
    <row r="465" spans="1:44" ht="15" x14ac:dyDescent="0.2">
      <c r="A465" s="276">
        <f t="shared" ca="1" si="7"/>
        <v>229</v>
      </c>
      <c r="B465" s="168" t="str">
        <f ca="1">IFERROR(INDEX(INDIRECT(RangeItems),MATCH($A465,INDIRECT(RangeCount),0)),"")</f>
        <v/>
      </c>
      <c r="C465" s="365" t="str">
        <f ca="1">INDEX(Calcs[Description],$A465)</f>
        <v/>
      </c>
      <c r="D465" s="365"/>
      <c r="E465" s="365"/>
      <c r="F465" s="365"/>
      <c r="G465" s="365"/>
      <c r="H465" s="388"/>
      <c r="I465" s="177"/>
      <c r="J465" s="388"/>
      <c r="K465" s="177"/>
      <c r="L465" s="388"/>
      <c r="M465" s="177"/>
      <c r="N465" s="388"/>
      <c r="O465" s="177"/>
      <c r="P465" s="388"/>
      <c r="Q465" s="177"/>
      <c r="R465" s="388"/>
      <c r="S465" s="177"/>
      <c r="T465" s="388"/>
      <c r="U465" s="177"/>
      <c r="V465" s="388"/>
      <c r="W465" s="177"/>
      <c r="X465" s="388"/>
      <c r="Y465" s="177"/>
      <c r="Z465" s="388"/>
      <c r="AA465" s="177"/>
      <c r="AB465" s="388"/>
      <c r="AC465" s="177"/>
      <c r="AD465" s="388"/>
      <c r="AE465" s="177"/>
      <c r="AF465" s="388"/>
      <c r="AG465" s="177"/>
      <c r="AH465" s="388"/>
      <c r="AI465" s="177"/>
      <c r="AJ465" s="388"/>
      <c r="AK465" s="177"/>
      <c r="AL465" s="388"/>
      <c r="AM465" s="177"/>
      <c r="AN465" s="388"/>
      <c r="AO465" s="177"/>
      <c r="AP465" s="388"/>
      <c r="AQ465" s="177"/>
      <c r="AR465" s="209" t="str">
        <f ca="1">IF(LEN(B465)&gt;0,ISNUMBER(MATCH(B465,Proposed[Item],0)),"")</f>
        <v/>
      </c>
    </row>
    <row r="466" spans="1:44" ht="15" x14ac:dyDescent="0.2">
      <c r="A466" s="276">
        <f t="shared" ca="1" si="7"/>
        <v>229</v>
      </c>
      <c r="B466" s="111" t="str">
        <f ca="1">IF($A466&lt;=NumPayItems,"Line "&amp;INDEX(Calcs[Line],$A466),"")</f>
        <v/>
      </c>
      <c r="C466" s="169" t="str">
        <f ca="1">IFERROR(IF($D466="LPSM","ALL",TEXT(INDEX(INDIRECT(RangeQuantity),MATCH($A466,INDIRECT(RangeCount),0)),"#,##0"&amp;IF(OFFSET(Items[],MATCH($A466,INDIRECT(RangeCount),0)-1,MATCH(Decimals,Items[#Headers],0)-1,1,1)&gt;0,"."&amp;REPT("0",OFFSET(Items[],MATCH($A466,INDIRECT(RangeCount),0)-1,MATCH(Decimals,Items[#Headers],0)-1,1,1)),""))),"")</f>
        <v/>
      </c>
      <c r="D466" s="170" t="str">
        <f ca="1">IFERROR(INDEX(INDIRECT(RangeUnit),MATCH($A466,INDIRECT(RangeCount),0)),"")</f>
        <v/>
      </c>
      <c r="E466" s="170" t="str">
        <f ca="1">IFERROR(IF(INDEX(INDIRECT(RangeContrQty),MATCH($A466,INDIRECT(RangeCount),0)),"(CQ)",""),"")</f>
        <v/>
      </c>
      <c r="F466" s="171" t="str">
        <f ca="1">IFERROR(INDEX(INDIRECT(RangeUnitPrice),MATCH($A466,INDIRECT(RangeCount),0)),"")</f>
        <v/>
      </c>
      <c r="G466" s="171" t="str">
        <f ca="1">IFERROR(VALUE(C466)*F466,F466)</f>
        <v/>
      </c>
      <c r="H466" s="388"/>
      <c r="I466" s="178" t="str">
        <f ca="1">IF($C466="","",IF($D466="LPSM",H465,VALUE($C466)*H465))</f>
        <v/>
      </c>
      <c r="J466" s="388"/>
      <c r="K466" s="178" t="str">
        <f ca="1">IF($C466="","",IF($D466="LPSM",J465,VALUE($C466)*J465))</f>
        <v/>
      </c>
      <c r="L466" s="388"/>
      <c r="M466" s="178" t="str">
        <f ca="1">IF($C466="","",IF($D466="LPSM",L465,VALUE($C466)*L465))</f>
        <v/>
      </c>
      <c r="N466" s="388"/>
      <c r="O466" s="178" t="str">
        <f ca="1">IF($C466="","",IF($D466="LPSM",N465,VALUE($C466)*N465))</f>
        <v/>
      </c>
      <c r="P466" s="388"/>
      <c r="Q466" s="178" t="str">
        <f ca="1">IF($C466="","",IF($D466="LPSM",P465,VALUE($C466)*P465))</f>
        <v/>
      </c>
      <c r="R466" s="388"/>
      <c r="S466" s="178" t="str">
        <f ca="1">IF($C466="","",IF($D466="LPSM",R465,VALUE($C466)*R465))</f>
        <v/>
      </c>
      <c r="T466" s="388"/>
      <c r="U466" s="178" t="str">
        <f ca="1">IF($C466="","",IF($D466="LPSM",T465,VALUE($C466)*T465))</f>
        <v/>
      </c>
      <c r="V466" s="388"/>
      <c r="W466" s="178" t="str">
        <f ca="1">IF($C466="","",IF($D466="LPSM",V465,VALUE($C466)*V465))</f>
        <v/>
      </c>
      <c r="X466" s="388"/>
      <c r="Y466" s="178" t="str">
        <f ca="1">IF($C466="","",IF($D466="LPSM",X465,VALUE($C466)*X465))</f>
        <v/>
      </c>
      <c r="Z466" s="388"/>
      <c r="AA466" s="178" t="str">
        <f ca="1">IF($C466="","",IF($D466="LPSM",Z465,VALUE($C466)*Z465))</f>
        <v/>
      </c>
      <c r="AB466" s="388"/>
      <c r="AC466" s="178" t="str">
        <f ca="1">IF($C466="","",IF($D466="LPSM",AB465,VALUE($C466)*AB465))</f>
        <v/>
      </c>
      <c r="AD466" s="388"/>
      <c r="AE466" s="178" t="str">
        <f ca="1">IF($C466="","",IF($D466="LPSM",AD465,VALUE($C466)*AD465))</f>
        <v/>
      </c>
      <c r="AF466" s="388"/>
      <c r="AG466" s="178" t="str">
        <f ca="1">IF($C466="","",IF($D466="LPSM",AF465,VALUE($C466)*AF465))</f>
        <v/>
      </c>
      <c r="AH466" s="388"/>
      <c r="AI466" s="178" t="str">
        <f ca="1">IF($C466="","",IF($D466="LPSM",AH465,VALUE($C466)*AH465))</f>
        <v/>
      </c>
      <c r="AJ466" s="388"/>
      <c r="AK466" s="178" t="str">
        <f ca="1">IF($C466="","",IF($D466="LPSM",AJ465,VALUE($C466)*AJ465))</f>
        <v/>
      </c>
      <c r="AL466" s="388"/>
      <c r="AM466" s="178" t="str">
        <f ca="1">IF($C466="","",IF($D466="LPSM",AL465,VALUE($C466)*AL465))</f>
        <v/>
      </c>
      <c r="AN466" s="388"/>
      <c r="AO466" s="178" t="str">
        <f ca="1">IF($C466="","",IF($D466="LPSM",AN465,VALUE($C466)*AN465))</f>
        <v/>
      </c>
      <c r="AP466" s="388"/>
      <c r="AQ466" s="178" t="str">
        <f ca="1">IF($C466="","",IF($D466="LPSM",AP465,VALUE($C466)*AP465))</f>
        <v/>
      </c>
      <c r="AR466" s="209" t="str">
        <f ca="1">IF(LEN(B466)&gt;0,ISNUMBER(MATCH(B466,Proposed[Item],0)),"")</f>
        <v/>
      </c>
    </row>
    <row r="467" spans="1:44" ht="15" x14ac:dyDescent="0.2">
      <c r="A467" s="276">
        <f t="shared" ca="1" si="7"/>
        <v>230</v>
      </c>
      <c r="B467" s="168" t="str">
        <f ca="1">IFERROR(INDEX(INDIRECT(RangeItems),MATCH($A467,INDIRECT(RangeCount),0)),"")</f>
        <v/>
      </c>
      <c r="C467" s="365" t="str">
        <f ca="1">INDEX(Calcs[Description],$A467)</f>
        <v/>
      </c>
      <c r="D467" s="365"/>
      <c r="E467" s="365"/>
      <c r="F467" s="365"/>
      <c r="G467" s="365"/>
      <c r="H467" s="388"/>
      <c r="I467" s="177"/>
      <c r="J467" s="388"/>
      <c r="K467" s="177"/>
      <c r="L467" s="388"/>
      <c r="M467" s="177"/>
      <c r="N467" s="388"/>
      <c r="O467" s="177"/>
      <c r="P467" s="388"/>
      <c r="Q467" s="177"/>
      <c r="R467" s="388"/>
      <c r="S467" s="177"/>
      <c r="T467" s="388"/>
      <c r="U467" s="177"/>
      <c r="V467" s="388"/>
      <c r="W467" s="177"/>
      <c r="X467" s="388"/>
      <c r="Y467" s="177"/>
      <c r="Z467" s="388"/>
      <c r="AA467" s="177"/>
      <c r="AB467" s="388"/>
      <c r="AC467" s="177"/>
      <c r="AD467" s="388"/>
      <c r="AE467" s="177"/>
      <c r="AF467" s="388"/>
      <c r="AG467" s="177"/>
      <c r="AH467" s="388"/>
      <c r="AI467" s="177"/>
      <c r="AJ467" s="388"/>
      <c r="AK467" s="177"/>
      <c r="AL467" s="388"/>
      <c r="AM467" s="177"/>
      <c r="AN467" s="388"/>
      <c r="AO467" s="177"/>
      <c r="AP467" s="388"/>
      <c r="AQ467" s="177"/>
      <c r="AR467" s="209" t="str">
        <f ca="1">IF(LEN(B467)&gt;0,ISNUMBER(MATCH(B467,Proposed[Item],0)),"")</f>
        <v/>
      </c>
    </row>
    <row r="468" spans="1:44" ht="15" x14ac:dyDescent="0.2">
      <c r="A468" s="276">
        <f t="shared" ca="1" si="7"/>
        <v>230</v>
      </c>
      <c r="B468" s="111" t="str">
        <f ca="1">IF($A468&lt;=NumPayItems,"Line "&amp;INDEX(Calcs[Line],$A468),"")</f>
        <v/>
      </c>
      <c r="C468" s="169" t="str">
        <f ca="1">IFERROR(IF($D468="LPSM","ALL",TEXT(INDEX(INDIRECT(RangeQuantity),MATCH($A468,INDIRECT(RangeCount),0)),"#,##0"&amp;IF(OFFSET(Items[],MATCH($A468,INDIRECT(RangeCount),0)-1,MATCH(Decimals,Items[#Headers],0)-1,1,1)&gt;0,"."&amp;REPT("0",OFFSET(Items[],MATCH($A468,INDIRECT(RangeCount),0)-1,MATCH(Decimals,Items[#Headers],0)-1,1,1)),""))),"")</f>
        <v/>
      </c>
      <c r="D468" s="170" t="str">
        <f ca="1">IFERROR(INDEX(INDIRECT(RangeUnit),MATCH($A468,INDIRECT(RangeCount),0)),"")</f>
        <v/>
      </c>
      <c r="E468" s="170" t="str">
        <f ca="1">IFERROR(IF(INDEX(INDIRECT(RangeContrQty),MATCH($A468,INDIRECT(RangeCount),0)),"(CQ)",""),"")</f>
        <v/>
      </c>
      <c r="F468" s="171" t="str">
        <f ca="1">IFERROR(INDEX(INDIRECT(RangeUnitPrice),MATCH($A468,INDIRECT(RangeCount),0)),"")</f>
        <v/>
      </c>
      <c r="G468" s="171" t="str">
        <f ca="1">IFERROR(VALUE(C468)*F468,F468)</f>
        <v/>
      </c>
      <c r="H468" s="388"/>
      <c r="I468" s="178" t="str">
        <f ca="1">IF($C468="","",IF($D468="LPSM",H467,VALUE($C468)*H467))</f>
        <v/>
      </c>
      <c r="J468" s="388"/>
      <c r="K468" s="178" t="str">
        <f ca="1">IF($C468="","",IF($D468="LPSM",J467,VALUE($C468)*J467))</f>
        <v/>
      </c>
      <c r="L468" s="388"/>
      <c r="M468" s="178" t="str">
        <f ca="1">IF($C468="","",IF($D468="LPSM",L467,VALUE($C468)*L467))</f>
        <v/>
      </c>
      <c r="N468" s="388"/>
      <c r="O468" s="178" t="str">
        <f ca="1">IF($C468="","",IF($D468="LPSM",N467,VALUE($C468)*N467))</f>
        <v/>
      </c>
      <c r="P468" s="388"/>
      <c r="Q468" s="178" t="str">
        <f ca="1">IF($C468="","",IF($D468="LPSM",P467,VALUE($C468)*P467))</f>
        <v/>
      </c>
      <c r="R468" s="388"/>
      <c r="S468" s="178" t="str">
        <f ca="1">IF($C468="","",IF($D468="LPSM",R467,VALUE($C468)*R467))</f>
        <v/>
      </c>
      <c r="T468" s="388"/>
      <c r="U468" s="178" t="str">
        <f ca="1">IF($C468="","",IF($D468="LPSM",T467,VALUE($C468)*T467))</f>
        <v/>
      </c>
      <c r="V468" s="388"/>
      <c r="W468" s="178" t="str">
        <f ca="1">IF($C468="","",IF($D468="LPSM",V467,VALUE($C468)*V467))</f>
        <v/>
      </c>
      <c r="X468" s="388"/>
      <c r="Y468" s="178" t="str">
        <f ca="1">IF($C468="","",IF($D468="LPSM",X467,VALUE($C468)*X467))</f>
        <v/>
      </c>
      <c r="Z468" s="388"/>
      <c r="AA468" s="178" t="str">
        <f ca="1">IF($C468="","",IF($D468="LPSM",Z467,VALUE($C468)*Z467))</f>
        <v/>
      </c>
      <c r="AB468" s="388"/>
      <c r="AC468" s="178" t="str">
        <f ca="1">IF($C468="","",IF($D468="LPSM",AB467,VALUE($C468)*AB467))</f>
        <v/>
      </c>
      <c r="AD468" s="388"/>
      <c r="AE468" s="178" t="str">
        <f ca="1">IF($C468="","",IF($D468="LPSM",AD467,VALUE($C468)*AD467))</f>
        <v/>
      </c>
      <c r="AF468" s="388"/>
      <c r="AG468" s="178" t="str">
        <f ca="1">IF($C468="","",IF($D468="LPSM",AF467,VALUE($C468)*AF467))</f>
        <v/>
      </c>
      <c r="AH468" s="388"/>
      <c r="AI468" s="178" t="str">
        <f ca="1">IF($C468="","",IF($D468="LPSM",AH467,VALUE($C468)*AH467))</f>
        <v/>
      </c>
      <c r="AJ468" s="388"/>
      <c r="AK468" s="178" t="str">
        <f ca="1">IF($C468="","",IF($D468="LPSM",AJ467,VALUE($C468)*AJ467))</f>
        <v/>
      </c>
      <c r="AL468" s="388"/>
      <c r="AM468" s="178" t="str">
        <f ca="1">IF($C468="","",IF($D468="LPSM",AL467,VALUE($C468)*AL467))</f>
        <v/>
      </c>
      <c r="AN468" s="388"/>
      <c r="AO468" s="178" t="str">
        <f ca="1">IF($C468="","",IF($D468="LPSM",AN467,VALUE($C468)*AN467))</f>
        <v/>
      </c>
      <c r="AP468" s="388"/>
      <c r="AQ468" s="178" t="str">
        <f ca="1">IF($C468="","",IF($D468="LPSM",AP467,VALUE($C468)*AP467))</f>
        <v/>
      </c>
      <c r="AR468" s="209" t="str">
        <f ca="1">IF(LEN(B468)&gt;0,ISNUMBER(MATCH(B468,Proposed[Item],0)),"")</f>
        <v/>
      </c>
    </row>
    <row r="469" spans="1:44" ht="15" x14ac:dyDescent="0.2">
      <c r="A469" s="276">
        <f t="shared" ca="1" si="7"/>
        <v>231</v>
      </c>
      <c r="B469" s="168" t="str">
        <f ca="1">IFERROR(INDEX(INDIRECT(RangeItems),MATCH($A469,INDIRECT(RangeCount),0)),"")</f>
        <v/>
      </c>
      <c r="C469" s="365" t="str">
        <f ca="1">INDEX(Calcs[Description],$A469)</f>
        <v/>
      </c>
      <c r="D469" s="365"/>
      <c r="E469" s="365"/>
      <c r="F469" s="365"/>
      <c r="G469" s="365"/>
      <c r="H469" s="388"/>
      <c r="I469" s="177"/>
      <c r="J469" s="388"/>
      <c r="K469" s="177"/>
      <c r="L469" s="388"/>
      <c r="M469" s="177"/>
      <c r="N469" s="388"/>
      <c r="O469" s="177"/>
      <c r="P469" s="388"/>
      <c r="Q469" s="177"/>
      <c r="R469" s="388"/>
      <c r="S469" s="177"/>
      <c r="T469" s="388"/>
      <c r="U469" s="177"/>
      <c r="V469" s="388"/>
      <c r="W469" s="177"/>
      <c r="X469" s="388"/>
      <c r="Y469" s="177"/>
      <c r="Z469" s="388"/>
      <c r="AA469" s="177"/>
      <c r="AB469" s="388"/>
      <c r="AC469" s="177"/>
      <c r="AD469" s="388"/>
      <c r="AE469" s="177"/>
      <c r="AF469" s="388"/>
      <c r="AG469" s="177"/>
      <c r="AH469" s="388"/>
      <c r="AI469" s="177"/>
      <c r="AJ469" s="388"/>
      <c r="AK469" s="177"/>
      <c r="AL469" s="388"/>
      <c r="AM469" s="177"/>
      <c r="AN469" s="388"/>
      <c r="AO469" s="177"/>
      <c r="AP469" s="388"/>
      <c r="AQ469" s="177"/>
      <c r="AR469" s="209" t="str">
        <f ca="1">IF(LEN(B469)&gt;0,ISNUMBER(MATCH(B469,Proposed[Item],0)),"")</f>
        <v/>
      </c>
    </row>
    <row r="470" spans="1:44" ht="15" x14ac:dyDescent="0.2">
      <c r="A470" s="276">
        <f t="shared" ca="1" si="7"/>
        <v>231</v>
      </c>
      <c r="B470" s="111" t="str">
        <f ca="1">IF($A470&lt;=NumPayItems,"Line "&amp;INDEX(Calcs[Line],$A470),"")</f>
        <v/>
      </c>
      <c r="C470" s="169" t="str">
        <f ca="1">IFERROR(IF($D470="LPSM","ALL",TEXT(INDEX(INDIRECT(RangeQuantity),MATCH($A470,INDIRECT(RangeCount),0)),"#,##0"&amp;IF(OFFSET(Items[],MATCH($A470,INDIRECT(RangeCount),0)-1,MATCH(Decimals,Items[#Headers],0)-1,1,1)&gt;0,"."&amp;REPT("0",OFFSET(Items[],MATCH($A470,INDIRECT(RangeCount),0)-1,MATCH(Decimals,Items[#Headers],0)-1,1,1)),""))),"")</f>
        <v/>
      </c>
      <c r="D470" s="170" t="str">
        <f ca="1">IFERROR(INDEX(INDIRECT(RangeUnit),MATCH($A470,INDIRECT(RangeCount),0)),"")</f>
        <v/>
      </c>
      <c r="E470" s="170" t="str">
        <f ca="1">IFERROR(IF(INDEX(INDIRECT(RangeContrQty),MATCH($A470,INDIRECT(RangeCount),0)),"(CQ)",""),"")</f>
        <v/>
      </c>
      <c r="F470" s="171" t="str">
        <f ca="1">IFERROR(INDEX(INDIRECT(RangeUnitPrice),MATCH($A470,INDIRECT(RangeCount),0)),"")</f>
        <v/>
      </c>
      <c r="G470" s="171" t="str">
        <f ca="1">IFERROR(VALUE(C470)*F470,F470)</f>
        <v/>
      </c>
      <c r="H470" s="388"/>
      <c r="I470" s="178" t="str">
        <f ca="1">IF($C470="","",IF($D470="LPSM",H469,VALUE($C470)*H469))</f>
        <v/>
      </c>
      <c r="J470" s="388"/>
      <c r="K470" s="178" t="str">
        <f ca="1">IF($C470="","",IF($D470="LPSM",J469,VALUE($C470)*J469))</f>
        <v/>
      </c>
      <c r="L470" s="388"/>
      <c r="M470" s="178" t="str">
        <f ca="1">IF($C470="","",IF($D470="LPSM",L469,VALUE($C470)*L469))</f>
        <v/>
      </c>
      <c r="N470" s="388"/>
      <c r="O470" s="178" t="str">
        <f ca="1">IF($C470="","",IF($D470="LPSM",N469,VALUE($C470)*N469))</f>
        <v/>
      </c>
      <c r="P470" s="388"/>
      <c r="Q470" s="178" t="str">
        <f ca="1">IF($C470="","",IF($D470="LPSM",P469,VALUE($C470)*P469))</f>
        <v/>
      </c>
      <c r="R470" s="388"/>
      <c r="S470" s="178" t="str">
        <f ca="1">IF($C470="","",IF($D470="LPSM",R469,VALUE($C470)*R469))</f>
        <v/>
      </c>
      <c r="T470" s="388"/>
      <c r="U470" s="178" t="str">
        <f ca="1">IF($C470="","",IF($D470="LPSM",T469,VALUE($C470)*T469))</f>
        <v/>
      </c>
      <c r="V470" s="388"/>
      <c r="W470" s="178" t="str">
        <f ca="1">IF($C470="","",IF($D470="LPSM",V469,VALUE($C470)*V469))</f>
        <v/>
      </c>
      <c r="X470" s="388"/>
      <c r="Y470" s="178" t="str">
        <f ca="1">IF($C470="","",IF($D470="LPSM",X469,VALUE($C470)*X469))</f>
        <v/>
      </c>
      <c r="Z470" s="388"/>
      <c r="AA470" s="178" t="str">
        <f ca="1">IF($C470="","",IF($D470="LPSM",Z469,VALUE($C470)*Z469))</f>
        <v/>
      </c>
      <c r="AB470" s="388"/>
      <c r="AC470" s="178" t="str">
        <f ca="1">IF($C470="","",IF($D470="LPSM",AB469,VALUE($C470)*AB469))</f>
        <v/>
      </c>
      <c r="AD470" s="388"/>
      <c r="AE470" s="178" t="str">
        <f ca="1">IF($C470="","",IF($D470="LPSM",AD469,VALUE($C470)*AD469))</f>
        <v/>
      </c>
      <c r="AF470" s="388"/>
      <c r="AG470" s="178" t="str">
        <f ca="1">IF($C470="","",IF($D470="LPSM",AF469,VALUE($C470)*AF469))</f>
        <v/>
      </c>
      <c r="AH470" s="388"/>
      <c r="AI470" s="178" t="str">
        <f ca="1">IF($C470="","",IF($D470="LPSM",AH469,VALUE($C470)*AH469))</f>
        <v/>
      </c>
      <c r="AJ470" s="388"/>
      <c r="AK470" s="178" t="str">
        <f ca="1">IF($C470="","",IF($D470="LPSM",AJ469,VALUE($C470)*AJ469))</f>
        <v/>
      </c>
      <c r="AL470" s="388"/>
      <c r="AM470" s="178" t="str">
        <f ca="1">IF($C470="","",IF($D470="LPSM",AL469,VALUE($C470)*AL469))</f>
        <v/>
      </c>
      <c r="AN470" s="388"/>
      <c r="AO470" s="178" t="str">
        <f ca="1">IF($C470="","",IF($D470="LPSM",AN469,VALUE($C470)*AN469))</f>
        <v/>
      </c>
      <c r="AP470" s="388"/>
      <c r="AQ470" s="178" t="str">
        <f ca="1">IF($C470="","",IF($D470="LPSM",AP469,VALUE($C470)*AP469))</f>
        <v/>
      </c>
      <c r="AR470" s="209" t="str">
        <f ca="1">IF(LEN(B470)&gt;0,ISNUMBER(MATCH(B470,Proposed[Item],0)),"")</f>
        <v/>
      </c>
    </row>
    <row r="471" spans="1:44" ht="15" x14ac:dyDescent="0.2">
      <c r="A471" s="276">
        <f t="shared" ca="1" si="7"/>
        <v>232</v>
      </c>
      <c r="B471" s="168" t="str">
        <f ca="1">IFERROR(INDEX(INDIRECT(RangeItems),MATCH($A471,INDIRECT(RangeCount),0)),"")</f>
        <v/>
      </c>
      <c r="C471" s="365" t="str">
        <f ca="1">INDEX(Calcs[Description],$A471)</f>
        <v/>
      </c>
      <c r="D471" s="365"/>
      <c r="E471" s="365"/>
      <c r="F471" s="365"/>
      <c r="G471" s="365"/>
      <c r="H471" s="388"/>
      <c r="I471" s="177"/>
      <c r="J471" s="388"/>
      <c r="K471" s="177"/>
      <c r="L471" s="388"/>
      <c r="M471" s="177"/>
      <c r="N471" s="388"/>
      <c r="O471" s="177"/>
      <c r="P471" s="388"/>
      <c r="Q471" s="177"/>
      <c r="R471" s="388"/>
      <c r="S471" s="177"/>
      <c r="T471" s="388"/>
      <c r="U471" s="177"/>
      <c r="V471" s="388"/>
      <c r="W471" s="177"/>
      <c r="X471" s="388"/>
      <c r="Y471" s="177"/>
      <c r="Z471" s="388"/>
      <c r="AA471" s="177"/>
      <c r="AB471" s="388"/>
      <c r="AC471" s="177"/>
      <c r="AD471" s="388"/>
      <c r="AE471" s="177"/>
      <c r="AF471" s="388"/>
      <c r="AG471" s="177"/>
      <c r="AH471" s="388"/>
      <c r="AI471" s="177"/>
      <c r="AJ471" s="388"/>
      <c r="AK471" s="177"/>
      <c r="AL471" s="388"/>
      <c r="AM471" s="177"/>
      <c r="AN471" s="388"/>
      <c r="AO471" s="177"/>
      <c r="AP471" s="388"/>
      <c r="AQ471" s="177"/>
      <c r="AR471" s="209" t="str">
        <f ca="1">IF(LEN(B471)&gt;0,ISNUMBER(MATCH(B471,Proposed[Item],0)),"")</f>
        <v/>
      </c>
    </row>
    <row r="472" spans="1:44" ht="15" x14ac:dyDescent="0.2">
      <c r="A472" s="276">
        <f t="shared" ca="1" si="7"/>
        <v>232</v>
      </c>
      <c r="B472" s="111" t="str">
        <f ca="1">IF($A472&lt;=NumPayItems,"Line "&amp;INDEX(Calcs[Line],$A472),"")</f>
        <v/>
      </c>
      <c r="C472" s="169" t="str">
        <f ca="1">IFERROR(IF($D472="LPSM","ALL",TEXT(INDEX(INDIRECT(RangeQuantity),MATCH($A472,INDIRECT(RangeCount),0)),"#,##0"&amp;IF(OFFSET(Items[],MATCH($A472,INDIRECT(RangeCount),0)-1,MATCH(Decimals,Items[#Headers],0)-1,1,1)&gt;0,"."&amp;REPT("0",OFFSET(Items[],MATCH($A472,INDIRECT(RangeCount),0)-1,MATCH(Decimals,Items[#Headers],0)-1,1,1)),""))),"")</f>
        <v/>
      </c>
      <c r="D472" s="170" t="str">
        <f ca="1">IFERROR(INDEX(INDIRECT(RangeUnit),MATCH($A472,INDIRECT(RangeCount),0)),"")</f>
        <v/>
      </c>
      <c r="E472" s="170" t="str">
        <f ca="1">IFERROR(IF(INDEX(INDIRECT(RangeContrQty),MATCH($A472,INDIRECT(RangeCount),0)),"(CQ)",""),"")</f>
        <v/>
      </c>
      <c r="F472" s="171" t="str">
        <f ca="1">IFERROR(INDEX(INDIRECT(RangeUnitPrice),MATCH($A472,INDIRECT(RangeCount),0)),"")</f>
        <v/>
      </c>
      <c r="G472" s="171" t="str">
        <f ca="1">IFERROR(VALUE(C472)*F472,F472)</f>
        <v/>
      </c>
      <c r="H472" s="388"/>
      <c r="I472" s="178" t="str">
        <f ca="1">IF($C472="","",IF($D472="LPSM",H471,VALUE($C472)*H471))</f>
        <v/>
      </c>
      <c r="J472" s="388"/>
      <c r="K472" s="178" t="str">
        <f ca="1">IF($C472="","",IF($D472="LPSM",J471,VALUE($C472)*J471))</f>
        <v/>
      </c>
      <c r="L472" s="388"/>
      <c r="M472" s="178" t="str">
        <f ca="1">IF($C472="","",IF($D472="LPSM",L471,VALUE($C472)*L471))</f>
        <v/>
      </c>
      <c r="N472" s="388"/>
      <c r="O472" s="178" t="str">
        <f ca="1">IF($C472="","",IF($D472="LPSM",N471,VALUE($C472)*N471))</f>
        <v/>
      </c>
      <c r="P472" s="388"/>
      <c r="Q472" s="178" t="str">
        <f ca="1">IF($C472="","",IF($D472="LPSM",P471,VALUE($C472)*P471))</f>
        <v/>
      </c>
      <c r="R472" s="388"/>
      <c r="S472" s="178" t="str">
        <f ca="1">IF($C472="","",IF($D472="LPSM",R471,VALUE($C472)*R471))</f>
        <v/>
      </c>
      <c r="T472" s="388"/>
      <c r="U472" s="178" t="str">
        <f ca="1">IF($C472="","",IF($D472="LPSM",T471,VALUE($C472)*T471))</f>
        <v/>
      </c>
      <c r="V472" s="388"/>
      <c r="W472" s="178" t="str">
        <f ca="1">IF($C472="","",IF($D472="LPSM",V471,VALUE($C472)*V471))</f>
        <v/>
      </c>
      <c r="X472" s="388"/>
      <c r="Y472" s="178" t="str">
        <f ca="1">IF($C472="","",IF($D472="LPSM",X471,VALUE($C472)*X471))</f>
        <v/>
      </c>
      <c r="Z472" s="388"/>
      <c r="AA472" s="178" t="str">
        <f ca="1">IF($C472="","",IF($D472="LPSM",Z471,VALUE($C472)*Z471))</f>
        <v/>
      </c>
      <c r="AB472" s="388"/>
      <c r="AC472" s="178" t="str">
        <f ca="1">IF($C472="","",IF($D472="LPSM",AB471,VALUE($C472)*AB471))</f>
        <v/>
      </c>
      <c r="AD472" s="388"/>
      <c r="AE472" s="178" t="str">
        <f ca="1">IF($C472="","",IF($D472="LPSM",AD471,VALUE($C472)*AD471))</f>
        <v/>
      </c>
      <c r="AF472" s="388"/>
      <c r="AG472" s="178" t="str">
        <f ca="1">IF($C472="","",IF($D472="LPSM",AF471,VALUE($C472)*AF471))</f>
        <v/>
      </c>
      <c r="AH472" s="388"/>
      <c r="AI472" s="178" t="str">
        <f ca="1">IF($C472="","",IF($D472="LPSM",AH471,VALUE($C472)*AH471))</f>
        <v/>
      </c>
      <c r="AJ472" s="388"/>
      <c r="AK472" s="178" t="str">
        <f ca="1">IF($C472="","",IF($D472="LPSM",AJ471,VALUE($C472)*AJ471))</f>
        <v/>
      </c>
      <c r="AL472" s="388"/>
      <c r="AM472" s="178" t="str">
        <f ca="1">IF($C472="","",IF($D472="LPSM",AL471,VALUE($C472)*AL471))</f>
        <v/>
      </c>
      <c r="AN472" s="388"/>
      <c r="AO472" s="178" t="str">
        <f ca="1">IF($C472="","",IF($D472="LPSM",AN471,VALUE($C472)*AN471))</f>
        <v/>
      </c>
      <c r="AP472" s="388"/>
      <c r="AQ472" s="178" t="str">
        <f ca="1">IF($C472="","",IF($D472="LPSM",AP471,VALUE($C472)*AP471))</f>
        <v/>
      </c>
      <c r="AR472" s="209" t="str">
        <f ca="1">IF(LEN(B472)&gt;0,ISNUMBER(MATCH(B472,Proposed[Item],0)),"")</f>
        <v/>
      </c>
    </row>
    <row r="473" spans="1:44" ht="15" x14ac:dyDescent="0.2">
      <c r="A473" s="276">
        <f t="shared" ca="1" si="7"/>
        <v>233</v>
      </c>
      <c r="B473" s="168" t="str">
        <f ca="1">IFERROR(INDEX(INDIRECT(RangeItems),MATCH($A473,INDIRECT(RangeCount),0)),"")</f>
        <v/>
      </c>
      <c r="C473" s="365" t="str">
        <f ca="1">INDEX(Calcs[Description],$A473)</f>
        <v/>
      </c>
      <c r="D473" s="365"/>
      <c r="E473" s="365"/>
      <c r="F473" s="365"/>
      <c r="G473" s="365"/>
      <c r="H473" s="388"/>
      <c r="I473" s="177"/>
      <c r="J473" s="388"/>
      <c r="K473" s="177"/>
      <c r="L473" s="388"/>
      <c r="M473" s="177"/>
      <c r="N473" s="388"/>
      <c r="O473" s="177"/>
      <c r="P473" s="388"/>
      <c r="Q473" s="177"/>
      <c r="R473" s="388"/>
      <c r="S473" s="177"/>
      <c r="T473" s="388"/>
      <c r="U473" s="177"/>
      <c r="V473" s="388"/>
      <c r="W473" s="177"/>
      <c r="X473" s="388"/>
      <c r="Y473" s="177"/>
      <c r="Z473" s="388"/>
      <c r="AA473" s="177"/>
      <c r="AB473" s="388"/>
      <c r="AC473" s="177"/>
      <c r="AD473" s="388"/>
      <c r="AE473" s="177"/>
      <c r="AF473" s="388"/>
      <c r="AG473" s="177"/>
      <c r="AH473" s="388"/>
      <c r="AI473" s="177"/>
      <c r="AJ473" s="388"/>
      <c r="AK473" s="177"/>
      <c r="AL473" s="388"/>
      <c r="AM473" s="177"/>
      <c r="AN473" s="388"/>
      <c r="AO473" s="177"/>
      <c r="AP473" s="388"/>
      <c r="AQ473" s="177"/>
      <c r="AR473" s="209" t="str">
        <f ca="1">IF(LEN(B473)&gt;0,ISNUMBER(MATCH(B473,Proposed[Item],0)),"")</f>
        <v/>
      </c>
    </row>
    <row r="474" spans="1:44" ht="15" x14ac:dyDescent="0.2">
      <c r="A474" s="276">
        <f t="shared" ca="1" si="7"/>
        <v>233</v>
      </c>
      <c r="B474" s="111" t="str">
        <f ca="1">IF($A474&lt;=NumPayItems,"Line "&amp;INDEX(Calcs[Line],$A474),"")</f>
        <v/>
      </c>
      <c r="C474" s="169" t="str">
        <f ca="1">IFERROR(IF($D474="LPSM","ALL",TEXT(INDEX(INDIRECT(RangeQuantity),MATCH($A474,INDIRECT(RangeCount),0)),"#,##0"&amp;IF(OFFSET(Items[],MATCH($A474,INDIRECT(RangeCount),0)-1,MATCH(Decimals,Items[#Headers],0)-1,1,1)&gt;0,"."&amp;REPT("0",OFFSET(Items[],MATCH($A474,INDIRECT(RangeCount),0)-1,MATCH(Decimals,Items[#Headers],0)-1,1,1)),""))),"")</f>
        <v/>
      </c>
      <c r="D474" s="170" t="str">
        <f ca="1">IFERROR(INDEX(INDIRECT(RangeUnit),MATCH($A474,INDIRECT(RangeCount),0)),"")</f>
        <v/>
      </c>
      <c r="E474" s="170" t="str">
        <f ca="1">IFERROR(IF(INDEX(INDIRECT(RangeContrQty),MATCH($A474,INDIRECT(RangeCount),0)),"(CQ)",""),"")</f>
        <v/>
      </c>
      <c r="F474" s="171" t="str">
        <f ca="1">IFERROR(INDEX(INDIRECT(RangeUnitPrice),MATCH($A474,INDIRECT(RangeCount),0)),"")</f>
        <v/>
      </c>
      <c r="G474" s="171" t="str">
        <f ca="1">IFERROR(VALUE(C474)*F474,F474)</f>
        <v/>
      </c>
      <c r="H474" s="388"/>
      <c r="I474" s="178" t="str">
        <f ca="1">IF($C474="","",IF($D474="LPSM",H473,VALUE($C474)*H473))</f>
        <v/>
      </c>
      <c r="J474" s="388"/>
      <c r="K474" s="178" t="str">
        <f ca="1">IF($C474="","",IF($D474="LPSM",J473,VALUE($C474)*J473))</f>
        <v/>
      </c>
      <c r="L474" s="388"/>
      <c r="M474" s="178" t="str">
        <f ca="1">IF($C474="","",IF($D474="LPSM",L473,VALUE($C474)*L473))</f>
        <v/>
      </c>
      <c r="N474" s="388"/>
      <c r="O474" s="178" t="str">
        <f ca="1">IF($C474="","",IF($D474="LPSM",N473,VALUE($C474)*N473))</f>
        <v/>
      </c>
      <c r="P474" s="388"/>
      <c r="Q474" s="178" t="str">
        <f ca="1">IF($C474="","",IF($D474="LPSM",P473,VALUE($C474)*P473))</f>
        <v/>
      </c>
      <c r="R474" s="388"/>
      <c r="S474" s="178" t="str">
        <f ca="1">IF($C474="","",IF($D474="LPSM",R473,VALUE($C474)*R473))</f>
        <v/>
      </c>
      <c r="T474" s="388"/>
      <c r="U474" s="178" t="str">
        <f ca="1">IF($C474="","",IF($D474="LPSM",T473,VALUE($C474)*T473))</f>
        <v/>
      </c>
      <c r="V474" s="388"/>
      <c r="W474" s="178" t="str">
        <f ca="1">IF($C474="","",IF($D474="LPSM",V473,VALUE($C474)*V473))</f>
        <v/>
      </c>
      <c r="X474" s="388"/>
      <c r="Y474" s="178" t="str">
        <f ca="1">IF($C474="","",IF($D474="LPSM",X473,VALUE($C474)*X473))</f>
        <v/>
      </c>
      <c r="Z474" s="388"/>
      <c r="AA474" s="178" t="str">
        <f ca="1">IF($C474="","",IF($D474="LPSM",Z473,VALUE($C474)*Z473))</f>
        <v/>
      </c>
      <c r="AB474" s="388"/>
      <c r="AC474" s="178" t="str">
        <f ca="1">IF($C474="","",IF($D474="LPSM",AB473,VALUE($C474)*AB473))</f>
        <v/>
      </c>
      <c r="AD474" s="388"/>
      <c r="AE474" s="178" t="str">
        <f ca="1">IF($C474="","",IF($D474="LPSM",AD473,VALUE($C474)*AD473))</f>
        <v/>
      </c>
      <c r="AF474" s="388"/>
      <c r="AG474" s="178" t="str">
        <f ca="1">IF($C474="","",IF($D474="LPSM",AF473,VALUE($C474)*AF473))</f>
        <v/>
      </c>
      <c r="AH474" s="388"/>
      <c r="AI474" s="178" t="str">
        <f ca="1">IF($C474="","",IF($D474="LPSM",AH473,VALUE($C474)*AH473))</f>
        <v/>
      </c>
      <c r="AJ474" s="388"/>
      <c r="AK474" s="178" t="str">
        <f ca="1">IF($C474="","",IF($D474="LPSM",AJ473,VALUE($C474)*AJ473))</f>
        <v/>
      </c>
      <c r="AL474" s="388"/>
      <c r="AM474" s="178" t="str">
        <f ca="1">IF($C474="","",IF($D474="LPSM",AL473,VALUE($C474)*AL473))</f>
        <v/>
      </c>
      <c r="AN474" s="388"/>
      <c r="AO474" s="178" t="str">
        <f ca="1">IF($C474="","",IF($D474="LPSM",AN473,VALUE($C474)*AN473))</f>
        <v/>
      </c>
      <c r="AP474" s="388"/>
      <c r="AQ474" s="178" t="str">
        <f ca="1">IF($C474="","",IF($D474="LPSM",AP473,VALUE($C474)*AP473))</f>
        <v/>
      </c>
      <c r="AR474" s="209" t="str">
        <f ca="1">IF(LEN(B474)&gt;0,ISNUMBER(MATCH(B474,Proposed[Item],0)),"")</f>
        <v/>
      </c>
    </row>
    <row r="475" spans="1:44" ht="15" x14ac:dyDescent="0.2">
      <c r="A475" s="276">
        <f t="shared" ca="1" si="7"/>
        <v>234</v>
      </c>
      <c r="B475" s="168" t="str">
        <f ca="1">IFERROR(INDEX(INDIRECT(RangeItems),MATCH($A475,INDIRECT(RangeCount),0)),"")</f>
        <v/>
      </c>
      <c r="C475" s="365" t="str">
        <f ca="1">INDEX(Calcs[Description],$A475)</f>
        <v/>
      </c>
      <c r="D475" s="365"/>
      <c r="E475" s="365"/>
      <c r="F475" s="365"/>
      <c r="G475" s="365"/>
      <c r="H475" s="388"/>
      <c r="I475" s="177"/>
      <c r="J475" s="388"/>
      <c r="K475" s="177"/>
      <c r="L475" s="388"/>
      <c r="M475" s="177"/>
      <c r="N475" s="388"/>
      <c r="O475" s="177"/>
      <c r="P475" s="388"/>
      <c r="Q475" s="177"/>
      <c r="R475" s="388"/>
      <c r="S475" s="177"/>
      <c r="T475" s="388"/>
      <c r="U475" s="177"/>
      <c r="V475" s="388"/>
      <c r="W475" s="177"/>
      <c r="X475" s="388"/>
      <c r="Y475" s="177"/>
      <c r="Z475" s="388"/>
      <c r="AA475" s="177"/>
      <c r="AB475" s="388"/>
      <c r="AC475" s="177"/>
      <c r="AD475" s="388"/>
      <c r="AE475" s="177"/>
      <c r="AF475" s="388"/>
      <c r="AG475" s="177"/>
      <c r="AH475" s="388"/>
      <c r="AI475" s="177"/>
      <c r="AJ475" s="388"/>
      <c r="AK475" s="177"/>
      <c r="AL475" s="388"/>
      <c r="AM475" s="177"/>
      <c r="AN475" s="388"/>
      <c r="AO475" s="177"/>
      <c r="AP475" s="388"/>
      <c r="AQ475" s="177"/>
      <c r="AR475" s="209" t="str">
        <f ca="1">IF(LEN(B475)&gt;0,ISNUMBER(MATCH(B475,Proposed[Item],0)),"")</f>
        <v/>
      </c>
    </row>
    <row r="476" spans="1:44" ht="15" x14ac:dyDescent="0.2">
      <c r="A476" s="276">
        <f t="shared" ca="1" si="7"/>
        <v>234</v>
      </c>
      <c r="B476" s="111" t="str">
        <f ca="1">IF($A476&lt;=NumPayItems,"Line "&amp;INDEX(Calcs[Line],$A476),"")</f>
        <v/>
      </c>
      <c r="C476" s="169" t="str">
        <f ca="1">IFERROR(IF($D476="LPSM","ALL",TEXT(INDEX(INDIRECT(RangeQuantity),MATCH($A476,INDIRECT(RangeCount),0)),"#,##0"&amp;IF(OFFSET(Items[],MATCH($A476,INDIRECT(RangeCount),0)-1,MATCH(Decimals,Items[#Headers],0)-1,1,1)&gt;0,"."&amp;REPT("0",OFFSET(Items[],MATCH($A476,INDIRECT(RangeCount),0)-1,MATCH(Decimals,Items[#Headers],0)-1,1,1)),""))),"")</f>
        <v/>
      </c>
      <c r="D476" s="170" t="str">
        <f ca="1">IFERROR(INDEX(INDIRECT(RangeUnit),MATCH($A476,INDIRECT(RangeCount),0)),"")</f>
        <v/>
      </c>
      <c r="E476" s="170" t="str">
        <f ca="1">IFERROR(IF(INDEX(INDIRECT(RangeContrQty),MATCH($A476,INDIRECT(RangeCount),0)),"(CQ)",""),"")</f>
        <v/>
      </c>
      <c r="F476" s="171" t="str">
        <f ca="1">IFERROR(INDEX(INDIRECT(RangeUnitPrice),MATCH($A476,INDIRECT(RangeCount),0)),"")</f>
        <v/>
      </c>
      <c r="G476" s="171" t="str">
        <f ca="1">IFERROR(VALUE(C476)*F476,F476)</f>
        <v/>
      </c>
      <c r="H476" s="388"/>
      <c r="I476" s="178" t="str">
        <f ca="1">IF($C476="","",IF($D476="LPSM",H475,VALUE($C476)*H475))</f>
        <v/>
      </c>
      <c r="J476" s="388"/>
      <c r="K476" s="178" t="str">
        <f ca="1">IF($C476="","",IF($D476="LPSM",J475,VALUE($C476)*J475))</f>
        <v/>
      </c>
      <c r="L476" s="388"/>
      <c r="M476" s="178" t="str">
        <f ca="1">IF($C476="","",IF($D476="LPSM",L475,VALUE($C476)*L475))</f>
        <v/>
      </c>
      <c r="N476" s="388"/>
      <c r="O476" s="178" t="str">
        <f ca="1">IF($C476="","",IF($D476="LPSM",N475,VALUE($C476)*N475))</f>
        <v/>
      </c>
      <c r="P476" s="388"/>
      <c r="Q476" s="178" t="str">
        <f ca="1">IF($C476="","",IF($D476="LPSM",P475,VALUE($C476)*P475))</f>
        <v/>
      </c>
      <c r="R476" s="388"/>
      <c r="S476" s="178" t="str">
        <f ca="1">IF($C476="","",IF($D476="LPSM",R475,VALUE($C476)*R475))</f>
        <v/>
      </c>
      <c r="T476" s="388"/>
      <c r="U476" s="178" t="str">
        <f ca="1">IF($C476="","",IF($D476="LPSM",T475,VALUE($C476)*T475))</f>
        <v/>
      </c>
      <c r="V476" s="388"/>
      <c r="W476" s="178" t="str">
        <f ca="1">IF($C476="","",IF($D476="LPSM",V475,VALUE($C476)*V475))</f>
        <v/>
      </c>
      <c r="X476" s="388"/>
      <c r="Y476" s="178" t="str">
        <f ca="1">IF($C476="","",IF($D476="LPSM",X475,VALUE($C476)*X475))</f>
        <v/>
      </c>
      <c r="Z476" s="388"/>
      <c r="AA476" s="178" t="str">
        <f ca="1">IF($C476="","",IF($D476="LPSM",Z475,VALUE($C476)*Z475))</f>
        <v/>
      </c>
      <c r="AB476" s="388"/>
      <c r="AC476" s="178" t="str">
        <f ca="1">IF($C476="","",IF($D476="LPSM",AB475,VALUE($C476)*AB475))</f>
        <v/>
      </c>
      <c r="AD476" s="388"/>
      <c r="AE476" s="178" t="str">
        <f ca="1">IF($C476="","",IF($D476="LPSM",AD475,VALUE($C476)*AD475))</f>
        <v/>
      </c>
      <c r="AF476" s="388"/>
      <c r="AG476" s="178" t="str">
        <f ca="1">IF($C476="","",IF($D476="LPSM",AF475,VALUE($C476)*AF475))</f>
        <v/>
      </c>
      <c r="AH476" s="388"/>
      <c r="AI476" s="178" t="str">
        <f ca="1">IF($C476="","",IF($D476="LPSM",AH475,VALUE($C476)*AH475))</f>
        <v/>
      </c>
      <c r="AJ476" s="388"/>
      <c r="AK476" s="178" t="str">
        <f ca="1">IF($C476="","",IF($D476="LPSM",AJ475,VALUE($C476)*AJ475))</f>
        <v/>
      </c>
      <c r="AL476" s="388"/>
      <c r="AM476" s="178" t="str">
        <f ca="1">IF($C476="","",IF($D476="LPSM",AL475,VALUE($C476)*AL475))</f>
        <v/>
      </c>
      <c r="AN476" s="388"/>
      <c r="AO476" s="178" t="str">
        <f ca="1">IF($C476="","",IF($D476="LPSM",AN475,VALUE($C476)*AN475))</f>
        <v/>
      </c>
      <c r="AP476" s="388"/>
      <c r="AQ476" s="178" t="str">
        <f ca="1">IF($C476="","",IF($D476="LPSM",AP475,VALUE($C476)*AP475))</f>
        <v/>
      </c>
      <c r="AR476" s="209" t="str">
        <f ca="1">IF(LEN(B476)&gt;0,ISNUMBER(MATCH(B476,Proposed[Item],0)),"")</f>
        <v/>
      </c>
    </row>
    <row r="477" spans="1:44" ht="15" x14ac:dyDescent="0.2">
      <c r="A477" s="276">
        <f t="shared" ca="1" si="7"/>
        <v>235</v>
      </c>
      <c r="B477" s="168" t="str">
        <f ca="1">IFERROR(INDEX(INDIRECT(RangeItems),MATCH($A477,INDIRECT(RangeCount),0)),"")</f>
        <v/>
      </c>
      <c r="C477" s="365" t="str">
        <f ca="1">INDEX(Calcs[Description],$A477)</f>
        <v/>
      </c>
      <c r="D477" s="365"/>
      <c r="E477" s="365"/>
      <c r="F477" s="365"/>
      <c r="G477" s="365"/>
      <c r="H477" s="388"/>
      <c r="I477" s="177"/>
      <c r="J477" s="388"/>
      <c r="K477" s="177"/>
      <c r="L477" s="388"/>
      <c r="M477" s="177"/>
      <c r="N477" s="388"/>
      <c r="O477" s="177"/>
      <c r="P477" s="388"/>
      <c r="Q477" s="177"/>
      <c r="R477" s="388"/>
      <c r="S477" s="177"/>
      <c r="T477" s="388"/>
      <c r="U477" s="177"/>
      <c r="V477" s="388"/>
      <c r="W477" s="177"/>
      <c r="X477" s="388"/>
      <c r="Y477" s="177"/>
      <c r="Z477" s="388"/>
      <c r="AA477" s="177"/>
      <c r="AB477" s="388"/>
      <c r="AC477" s="177"/>
      <c r="AD477" s="388"/>
      <c r="AE477" s="177"/>
      <c r="AF477" s="388"/>
      <c r="AG477" s="177"/>
      <c r="AH477" s="388"/>
      <c r="AI477" s="177"/>
      <c r="AJ477" s="388"/>
      <c r="AK477" s="177"/>
      <c r="AL477" s="388"/>
      <c r="AM477" s="177"/>
      <c r="AN477" s="388"/>
      <c r="AO477" s="177"/>
      <c r="AP477" s="388"/>
      <c r="AQ477" s="177"/>
      <c r="AR477" s="209" t="str">
        <f ca="1">IF(LEN(B477)&gt;0,ISNUMBER(MATCH(B477,Proposed[Item],0)),"")</f>
        <v/>
      </c>
    </row>
    <row r="478" spans="1:44" ht="15" x14ac:dyDescent="0.2">
      <c r="A478" s="276">
        <f t="shared" ca="1" si="7"/>
        <v>235</v>
      </c>
      <c r="B478" s="111" t="str">
        <f ca="1">IF($A478&lt;=NumPayItems,"Line "&amp;INDEX(Calcs[Line],$A478),"")</f>
        <v/>
      </c>
      <c r="C478" s="169" t="str">
        <f ca="1">IFERROR(IF($D478="LPSM","ALL",TEXT(INDEX(INDIRECT(RangeQuantity),MATCH($A478,INDIRECT(RangeCount),0)),"#,##0"&amp;IF(OFFSET(Items[],MATCH($A478,INDIRECT(RangeCount),0)-1,MATCH(Decimals,Items[#Headers],0)-1,1,1)&gt;0,"."&amp;REPT("0",OFFSET(Items[],MATCH($A478,INDIRECT(RangeCount),0)-1,MATCH(Decimals,Items[#Headers],0)-1,1,1)),""))),"")</f>
        <v/>
      </c>
      <c r="D478" s="170" t="str">
        <f ca="1">IFERROR(INDEX(INDIRECT(RangeUnit),MATCH($A478,INDIRECT(RangeCount),0)),"")</f>
        <v/>
      </c>
      <c r="E478" s="170" t="str">
        <f ca="1">IFERROR(IF(INDEX(INDIRECT(RangeContrQty),MATCH($A478,INDIRECT(RangeCount),0)),"(CQ)",""),"")</f>
        <v/>
      </c>
      <c r="F478" s="171" t="str">
        <f ca="1">IFERROR(INDEX(INDIRECT(RangeUnitPrice),MATCH($A478,INDIRECT(RangeCount),0)),"")</f>
        <v/>
      </c>
      <c r="G478" s="171" t="str">
        <f ca="1">IFERROR(VALUE(C478)*F478,F478)</f>
        <v/>
      </c>
      <c r="H478" s="388"/>
      <c r="I478" s="178" t="str">
        <f ca="1">IF($C478="","",IF($D478="LPSM",H477,VALUE($C478)*H477))</f>
        <v/>
      </c>
      <c r="J478" s="388"/>
      <c r="K478" s="178" t="str">
        <f ca="1">IF($C478="","",IF($D478="LPSM",J477,VALUE($C478)*J477))</f>
        <v/>
      </c>
      <c r="L478" s="388"/>
      <c r="M478" s="178" t="str">
        <f ca="1">IF($C478="","",IF($D478="LPSM",L477,VALUE($C478)*L477))</f>
        <v/>
      </c>
      <c r="N478" s="388"/>
      <c r="O478" s="178" t="str">
        <f ca="1">IF($C478="","",IF($D478="LPSM",N477,VALUE($C478)*N477))</f>
        <v/>
      </c>
      <c r="P478" s="388"/>
      <c r="Q478" s="178" t="str">
        <f ca="1">IF($C478="","",IF($D478="LPSM",P477,VALUE($C478)*P477))</f>
        <v/>
      </c>
      <c r="R478" s="388"/>
      <c r="S478" s="178" t="str">
        <f ca="1">IF($C478="","",IF($D478="LPSM",R477,VALUE($C478)*R477))</f>
        <v/>
      </c>
      <c r="T478" s="388"/>
      <c r="U478" s="178" t="str">
        <f ca="1">IF($C478="","",IF($D478="LPSM",T477,VALUE($C478)*T477))</f>
        <v/>
      </c>
      <c r="V478" s="388"/>
      <c r="W478" s="178" t="str">
        <f ca="1">IF($C478="","",IF($D478="LPSM",V477,VALUE($C478)*V477))</f>
        <v/>
      </c>
      <c r="X478" s="388"/>
      <c r="Y478" s="178" t="str">
        <f ca="1">IF($C478="","",IF($D478="LPSM",X477,VALUE($C478)*X477))</f>
        <v/>
      </c>
      <c r="Z478" s="388"/>
      <c r="AA478" s="178" t="str">
        <f ca="1">IF($C478="","",IF($D478="LPSM",Z477,VALUE($C478)*Z477))</f>
        <v/>
      </c>
      <c r="AB478" s="388"/>
      <c r="AC478" s="178" t="str">
        <f ca="1">IF($C478="","",IF($D478="LPSM",AB477,VALUE($C478)*AB477))</f>
        <v/>
      </c>
      <c r="AD478" s="388"/>
      <c r="AE478" s="178" t="str">
        <f ca="1">IF($C478="","",IF($D478="LPSM",AD477,VALUE($C478)*AD477))</f>
        <v/>
      </c>
      <c r="AF478" s="388"/>
      <c r="AG478" s="178" t="str">
        <f ca="1">IF($C478="","",IF($D478="LPSM",AF477,VALUE($C478)*AF477))</f>
        <v/>
      </c>
      <c r="AH478" s="388"/>
      <c r="AI478" s="178" t="str">
        <f ca="1">IF($C478="","",IF($D478="LPSM",AH477,VALUE($C478)*AH477))</f>
        <v/>
      </c>
      <c r="AJ478" s="388"/>
      <c r="AK478" s="178" t="str">
        <f ca="1">IF($C478="","",IF($D478="LPSM",AJ477,VALUE($C478)*AJ477))</f>
        <v/>
      </c>
      <c r="AL478" s="388"/>
      <c r="AM478" s="178" t="str">
        <f ca="1">IF($C478="","",IF($D478="LPSM",AL477,VALUE($C478)*AL477))</f>
        <v/>
      </c>
      <c r="AN478" s="388"/>
      <c r="AO478" s="178" t="str">
        <f ca="1">IF($C478="","",IF($D478="LPSM",AN477,VALUE($C478)*AN477))</f>
        <v/>
      </c>
      <c r="AP478" s="388"/>
      <c r="AQ478" s="178" t="str">
        <f ca="1">IF($C478="","",IF($D478="LPSM",AP477,VALUE($C478)*AP477))</f>
        <v/>
      </c>
      <c r="AR478" s="209" t="str">
        <f ca="1">IF(LEN(B478)&gt;0,ISNUMBER(MATCH(B478,Proposed[Item],0)),"")</f>
        <v/>
      </c>
    </row>
    <row r="479" spans="1:44" ht="15" x14ac:dyDescent="0.2">
      <c r="A479" s="276">
        <f t="shared" ca="1" si="7"/>
        <v>236</v>
      </c>
      <c r="B479" s="168" t="str">
        <f ca="1">IFERROR(INDEX(INDIRECT(RangeItems),MATCH($A479,INDIRECT(RangeCount),0)),"")</f>
        <v/>
      </c>
      <c r="C479" s="365" t="str">
        <f ca="1">INDEX(Calcs[Description],$A479)</f>
        <v/>
      </c>
      <c r="D479" s="365"/>
      <c r="E479" s="365"/>
      <c r="F479" s="365"/>
      <c r="G479" s="365"/>
      <c r="H479" s="388"/>
      <c r="I479" s="177"/>
      <c r="J479" s="388"/>
      <c r="K479" s="177"/>
      <c r="L479" s="388"/>
      <c r="M479" s="177"/>
      <c r="N479" s="388"/>
      <c r="O479" s="177"/>
      <c r="P479" s="388"/>
      <c r="Q479" s="177"/>
      <c r="R479" s="388"/>
      <c r="S479" s="177"/>
      <c r="T479" s="388"/>
      <c r="U479" s="177"/>
      <c r="V479" s="388"/>
      <c r="W479" s="177"/>
      <c r="X479" s="388"/>
      <c r="Y479" s="177"/>
      <c r="Z479" s="388"/>
      <c r="AA479" s="177"/>
      <c r="AB479" s="388"/>
      <c r="AC479" s="177"/>
      <c r="AD479" s="388"/>
      <c r="AE479" s="177"/>
      <c r="AF479" s="388"/>
      <c r="AG479" s="177"/>
      <c r="AH479" s="388"/>
      <c r="AI479" s="177"/>
      <c r="AJ479" s="388"/>
      <c r="AK479" s="177"/>
      <c r="AL479" s="388"/>
      <c r="AM479" s="177"/>
      <c r="AN479" s="388"/>
      <c r="AO479" s="177"/>
      <c r="AP479" s="388"/>
      <c r="AQ479" s="177"/>
      <c r="AR479" s="209" t="str">
        <f ca="1">IF(LEN(B479)&gt;0,ISNUMBER(MATCH(B479,Proposed[Item],0)),"")</f>
        <v/>
      </c>
    </row>
    <row r="480" spans="1:44" ht="15" x14ac:dyDescent="0.2">
      <c r="A480" s="276">
        <f t="shared" ca="1" si="7"/>
        <v>236</v>
      </c>
      <c r="B480" s="111" t="str">
        <f ca="1">IF($A480&lt;=NumPayItems,"Line "&amp;INDEX(Calcs[Line],$A480),"")</f>
        <v/>
      </c>
      <c r="C480" s="169" t="str">
        <f ca="1">IFERROR(IF($D480="LPSM","ALL",TEXT(INDEX(INDIRECT(RangeQuantity),MATCH($A480,INDIRECT(RangeCount),0)),"#,##0"&amp;IF(OFFSET(Items[],MATCH($A480,INDIRECT(RangeCount),0)-1,MATCH(Decimals,Items[#Headers],0)-1,1,1)&gt;0,"."&amp;REPT("0",OFFSET(Items[],MATCH($A480,INDIRECT(RangeCount),0)-1,MATCH(Decimals,Items[#Headers],0)-1,1,1)),""))),"")</f>
        <v/>
      </c>
      <c r="D480" s="170" t="str">
        <f ca="1">IFERROR(INDEX(INDIRECT(RangeUnit),MATCH($A480,INDIRECT(RangeCount),0)),"")</f>
        <v/>
      </c>
      <c r="E480" s="170" t="str">
        <f ca="1">IFERROR(IF(INDEX(INDIRECT(RangeContrQty),MATCH($A480,INDIRECT(RangeCount),0)),"(CQ)",""),"")</f>
        <v/>
      </c>
      <c r="F480" s="171" t="str">
        <f ca="1">IFERROR(INDEX(INDIRECT(RangeUnitPrice),MATCH($A480,INDIRECT(RangeCount),0)),"")</f>
        <v/>
      </c>
      <c r="G480" s="171" t="str">
        <f ca="1">IFERROR(VALUE(C480)*F480,F480)</f>
        <v/>
      </c>
      <c r="H480" s="388"/>
      <c r="I480" s="178" t="str">
        <f ca="1">IF($C480="","",IF($D480="LPSM",H479,VALUE($C480)*H479))</f>
        <v/>
      </c>
      <c r="J480" s="388"/>
      <c r="K480" s="178" t="str">
        <f ca="1">IF($C480="","",IF($D480="LPSM",J479,VALUE($C480)*J479))</f>
        <v/>
      </c>
      <c r="L480" s="388"/>
      <c r="M480" s="178" t="str">
        <f ca="1">IF($C480="","",IF($D480="LPSM",L479,VALUE($C480)*L479))</f>
        <v/>
      </c>
      <c r="N480" s="388"/>
      <c r="O480" s="178" t="str">
        <f ca="1">IF($C480="","",IF($D480="LPSM",N479,VALUE($C480)*N479))</f>
        <v/>
      </c>
      <c r="P480" s="388"/>
      <c r="Q480" s="178" t="str">
        <f ca="1">IF($C480="","",IF($D480="LPSM",P479,VALUE($C480)*P479))</f>
        <v/>
      </c>
      <c r="R480" s="388"/>
      <c r="S480" s="178" t="str">
        <f ca="1">IF($C480="","",IF($D480="LPSM",R479,VALUE($C480)*R479))</f>
        <v/>
      </c>
      <c r="T480" s="388"/>
      <c r="U480" s="178" t="str">
        <f ca="1">IF($C480="","",IF($D480="LPSM",T479,VALUE($C480)*T479))</f>
        <v/>
      </c>
      <c r="V480" s="388"/>
      <c r="W480" s="178" t="str">
        <f ca="1">IF($C480="","",IF($D480="LPSM",V479,VALUE($C480)*V479))</f>
        <v/>
      </c>
      <c r="X480" s="388"/>
      <c r="Y480" s="178" t="str">
        <f ca="1">IF($C480="","",IF($D480="LPSM",X479,VALUE($C480)*X479))</f>
        <v/>
      </c>
      <c r="Z480" s="388"/>
      <c r="AA480" s="178" t="str">
        <f ca="1">IF($C480="","",IF($D480="LPSM",Z479,VALUE($C480)*Z479))</f>
        <v/>
      </c>
      <c r="AB480" s="388"/>
      <c r="AC480" s="178" t="str">
        <f ca="1">IF($C480="","",IF($D480="LPSM",AB479,VALUE($C480)*AB479))</f>
        <v/>
      </c>
      <c r="AD480" s="388"/>
      <c r="AE480" s="178" t="str">
        <f ca="1">IF($C480="","",IF($D480="LPSM",AD479,VALUE($C480)*AD479))</f>
        <v/>
      </c>
      <c r="AF480" s="388"/>
      <c r="AG480" s="178" t="str">
        <f ca="1">IF($C480="","",IF($D480="LPSM",AF479,VALUE($C480)*AF479))</f>
        <v/>
      </c>
      <c r="AH480" s="388"/>
      <c r="AI480" s="178" t="str">
        <f ca="1">IF($C480="","",IF($D480="LPSM",AH479,VALUE($C480)*AH479))</f>
        <v/>
      </c>
      <c r="AJ480" s="388"/>
      <c r="AK480" s="178" t="str">
        <f ca="1">IF($C480="","",IF($D480="LPSM",AJ479,VALUE($C480)*AJ479))</f>
        <v/>
      </c>
      <c r="AL480" s="388"/>
      <c r="AM480" s="178" t="str">
        <f ca="1">IF($C480="","",IF($D480="LPSM",AL479,VALUE($C480)*AL479))</f>
        <v/>
      </c>
      <c r="AN480" s="388"/>
      <c r="AO480" s="178" t="str">
        <f ca="1">IF($C480="","",IF($D480="LPSM",AN479,VALUE($C480)*AN479))</f>
        <v/>
      </c>
      <c r="AP480" s="388"/>
      <c r="AQ480" s="178" t="str">
        <f ca="1">IF($C480="","",IF($D480="LPSM",AP479,VALUE($C480)*AP479))</f>
        <v/>
      </c>
      <c r="AR480" s="209" t="str">
        <f ca="1">IF(LEN(B480)&gt;0,ISNUMBER(MATCH(B480,Proposed[Item],0)),"")</f>
        <v/>
      </c>
    </row>
    <row r="481" spans="1:44" ht="15" x14ac:dyDescent="0.2">
      <c r="A481" s="276">
        <f t="shared" ca="1" si="7"/>
        <v>237</v>
      </c>
      <c r="B481" s="168" t="str">
        <f ca="1">IFERROR(INDEX(INDIRECT(RangeItems),MATCH($A481,INDIRECT(RangeCount),0)),"")</f>
        <v/>
      </c>
      <c r="C481" s="365" t="str">
        <f ca="1">INDEX(Calcs[Description],$A481)</f>
        <v/>
      </c>
      <c r="D481" s="365"/>
      <c r="E481" s="365"/>
      <c r="F481" s="365"/>
      <c r="G481" s="365"/>
      <c r="H481" s="388"/>
      <c r="I481" s="177"/>
      <c r="J481" s="388"/>
      <c r="K481" s="177"/>
      <c r="L481" s="388"/>
      <c r="M481" s="177"/>
      <c r="N481" s="388"/>
      <c r="O481" s="177"/>
      <c r="P481" s="388"/>
      <c r="Q481" s="177"/>
      <c r="R481" s="388"/>
      <c r="S481" s="177"/>
      <c r="T481" s="388"/>
      <c r="U481" s="177"/>
      <c r="V481" s="388"/>
      <c r="W481" s="177"/>
      <c r="X481" s="388"/>
      <c r="Y481" s="177"/>
      <c r="Z481" s="388"/>
      <c r="AA481" s="177"/>
      <c r="AB481" s="388"/>
      <c r="AC481" s="177"/>
      <c r="AD481" s="388"/>
      <c r="AE481" s="177"/>
      <c r="AF481" s="388"/>
      <c r="AG481" s="177"/>
      <c r="AH481" s="388"/>
      <c r="AI481" s="177"/>
      <c r="AJ481" s="388"/>
      <c r="AK481" s="177"/>
      <c r="AL481" s="388"/>
      <c r="AM481" s="177"/>
      <c r="AN481" s="388"/>
      <c r="AO481" s="177"/>
      <c r="AP481" s="388"/>
      <c r="AQ481" s="177"/>
      <c r="AR481" s="209" t="str">
        <f ca="1">IF(LEN(B481)&gt;0,ISNUMBER(MATCH(B481,Proposed[Item],0)),"")</f>
        <v/>
      </c>
    </row>
    <row r="482" spans="1:44" ht="15" x14ac:dyDescent="0.2">
      <c r="A482" s="276">
        <f t="shared" ca="1" si="7"/>
        <v>237</v>
      </c>
      <c r="B482" s="111" t="str">
        <f ca="1">IF($A482&lt;=NumPayItems,"Line "&amp;INDEX(Calcs[Line],$A482),"")</f>
        <v/>
      </c>
      <c r="C482" s="169" t="str">
        <f ca="1">IFERROR(IF($D482="LPSM","ALL",TEXT(INDEX(INDIRECT(RangeQuantity),MATCH($A482,INDIRECT(RangeCount),0)),"#,##0"&amp;IF(OFFSET(Items[],MATCH($A482,INDIRECT(RangeCount),0)-1,MATCH(Decimals,Items[#Headers],0)-1,1,1)&gt;0,"."&amp;REPT("0",OFFSET(Items[],MATCH($A482,INDIRECT(RangeCount),0)-1,MATCH(Decimals,Items[#Headers],0)-1,1,1)),""))),"")</f>
        <v/>
      </c>
      <c r="D482" s="170" t="str">
        <f ca="1">IFERROR(INDEX(INDIRECT(RangeUnit),MATCH($A482,INDIRECT(RangeCount),0)),"")</f>
        <v/>
      </c>
      <c r="E482" s="170" t="str">
        <f ca="1">IFERROR(IF(INDEX(INDIRECT(RangeContrQty),MATCH($A482,INDIRECT(RangeCount),0)),"(CQ)",""),"")</f>
        <v/>
      </c>
      <c r="F482" s="171" t="str">
        <f ca="1">IFERROR(INDEX(INDIRECT(RangeUnitPrice),MATCH($A482,INDIRECT(RangeCount),0)),"")</f>
        <v/>
      </c>
      <c r="G482" s="171" t="str">
        <f ca="1">IFERROR(VALUE(C482)*F482,F482)</f>
        <v/>
      </c>
      <c r="H482" s="388"/>
      <c r="I482" s="178" t="str">
        <f ca="1">IF($C482="","",IF($D482="LPSM",H481,VALUE($C482)*H481))</f>
        <v/>
      </c>
      <c r="J482" s="388"/>
      <c r="K482" s="178" t="str">
        <f ca="1">IF($C482="","",IF($D482="LPSM",J481,VALUE($C482)*J481))</f>
        <v/>
      </c>
      <c r="L482" s="388"/>
      <c r="M482" s="178" t="str">
        <f ca="1">IF($C482="","",IF($D482="LPSM",L481,VALUE($C482)*L481))</f>
        <v/>
      </c>
      <c r="N482" s="388"/>
      <c r="O482" s="178" t="str">
        <f ca="1">IF($C482="","",IF($D482="LPSM",N481,VALUE($C482)*N481))</f>
        <v/>
      </c>
      <c r="P482" s="388"/>
      <c r="Q482" s="178" t="str">
        <f ca="1">IF($C482="","",IF($D482="LPSM",P481,VALUE($C482)*P481))</f>
        <v/>
      </c>
      <c r="R482" s="388"/>
      <c r="S482" s="178" t="str">
        <f ca="1">IF($C482="","",IF($D482="LPSM",R481,VALUE($C482)*R481))</f>
        <v/>
      </c>
      <c r="T482" s="388"/>
      <c r="U482" s="178" t="str">
        <f ca="1">IF($C482="","",IF($D482="LPSM",T481,VALUE($C482)*T481))</f>
        <v/>
      </c>
      <c r="V482" s="388"/>
      <c r="W482" s="178" t="str">
        <f ca="1">IF($C482="","",IF($D482="LPSM",V481,VALUE($C482)*V481))</f>
        <v/>
      </c>
      <c r="X482" s="388"/>
      <c r="Y482" s="178" t="str">
        <f ca="1">IF($C482="","",IF($D482="LPSM",X481,VALUE($C482)*X481))</f>
        <v/>
      </c>
      <c r="Z482" s="388"/>
      <c r="AA482" s="178" t="str">
        <f ca="1">IF($C482="","",IF($D482="LPSM",Z481,VALUE($C482)*Z481))</f>
        <v/>
      </c>
      <c r="AB482" s="388"/>
      <c r="AC482" s="178" t="str">
        <f ca="1">IF($C482="","",IF($D482="LPSM",AB481,VALUE($C482)*AB481))</f>
        <v/>
      </c>
      <c r="AD482" s="388"/>
      <c r="AE482" s="178" t="str">
        <f ca="1">IF($C482="","",IF($D482="LPSM",AD481,VALUE($C482)*AD481))</f>
        <v/>
      </c>
      <c r="AF482" s="388"/>
      <c r="AG482" s="178" t="str">
        <f ca="1">IF($C482="","",IF($D482="LPSM",AF481,VALUE($C482)*AF481))</f>
        <v/>
      </c>
      <c r="AH482" s="388"/>
      <c r="AI482" s="178" t="str">
        <f ca="1">IF($C482="","",IF($D482="LPSM",AH481,VALUE($C482)*AH481))</f>
        <v/>
      </c>
      <c r="AJ482" s="388"/>
      <c r="AK482" s="178" t="str">
        <f ca="1">IF($C482="","",IF($D482="LPSM",AJ481,VALUE($C482)*AJ481))</f>
        <v/>
      </c>
      <c r="AL482" s="388"/>
      <c r="AM482" s="178" t="str">
        <f ca="1">IF($C482="","",IF($D482="LPSM",AL481,VALUE($C482)*AL481))</f>
        <v/>
      </c>
      <c r="AN482" s="388"/>
      <c r="AO482" s="178" t="str">
        <f ca="1">IF($C482="","",IF($D482="LPSM",AN481,VALUE($C482)*AN481))</f>
        <v/>
      </c>
      <c r="AP482" s="388"/>
      <c r="AQ482" s="178" t="str">
        <f ca="1">IF($C482="","",IF($D482="LPSM",AP481,VALUE($C482)*AP481))</f>
        <v/>
      </c>
      <c r="AR482" s="209" t="str">
        <f ca="1">IF(LEN(B482)&gt;0,ISNUMBER(MATCH(B482,Proposed[Item],0)),"")</f>
        <v/>
      </c>
    </row>
    <row r="483" spans="1:44" ht="15" x14ac:dyDescent="0.2">
      <c r="A483" s="276">
        <f t="shared" ca="1" si="7"/>
        <v>238</v>
      </c>
      <c r="B483" s="168" t="str">
        <f ca="1">IFERROR(INDEX(INDIRECT(RangeItems),MATCH($A483,INDIRECT(RangeCount),0)),"")</f>
        <v/>
      </c>
      <c r="C483" s="365" t="str">
        <f ca="1">INDEX(Calcs[Description],$A483)</f>
        <v/>
      </c>
      <c r="D483" s="365"/>
      <c r="E483" s="365"/>
      <c r="F483" s="365"/>
      <c r="G483" s="365"/>
      <c r="H483" s="388"/>
      <c r="I483" s="177"/>
      <c r="J483" s="388"/>
      <c r="K483" s="177"/>
      <c r="L483" s="388"/>
      <c r="M483" s="177"/>
      <c r="N483" s="388"/>
      <c r="O483" s="177"/>
      <c r="P483" s="388"/>
      <c r="Q483" s="177"/>
      <c r="R483" s="388"/>
      <c r="S483" s="177"/>
      <c r="T483" s="388"/>
      <c r="U483" s="177"/>
      <c r="V483" s="388"/>
      <c r="W483" s="177"/>
      <c r="X483" s="388"/>
      <c r="Y483" s="177"/>
      <c r="Z483" s="388"/>
      <c r="AA483" s="177"/>
      <c r="AB483" s="388"/>
      <c r="AC483" s="177"/>
      <c r="AD483" s="388"/>
      <c r="AE483" s="177"/>
      <c r="AF483" s="388"/>
      <c r="AG483" s="177"/>
      <c r="AH483" s="388"/>
      <c r="AI483" s="177"/>
      <c r="AJ483" s="388"/>
      <c r="AK483" s="177"/>
      <c r="AL483" s="388"/>
      <c r="AM483" s="177"/>
      <c r="AN483" s="388"/>
      <c r="AO483" s="177"/>
      <c r="AP483" s="388"/>
      <c r="AQ483" s="177"/>
      <c r="AR483" s="209" t="str">
        <f ca="1">IF(LEN(B483)&gt;0,ISNUMBER(MATCH(B483,Proposed[Item],0)),"")</f>
        <v/>
      </c>
    </row>
    <row r="484" spans="1:44" ht="15" x14ac:dyDescent="0.2">
      <c r="A484" s="276">
        <f t="shared" ca="1" si="7"/>
        <v>238</v>
      </c>
      <c r="B484" s="111" t="str">
        <f ca="1">IF($A484&lt;=NumPayItems,"Line "&amp;INDEX(Calcs[Line],$A484),"")</f>
        <v/>
      </c>
      <c r="C484" s="169" t="str">
        <f ca="1">IFERROR(IF($D484="LPSM","ALL",TEXT(INDEX(INDIRECT(RangeQuantity),MATCH($A484,INDIRECT(RangeCount),0)),"#,##0"&amp;IF(OFFSET(Items[],MATCH($A484,INDIRECT(RangeCount),0)-1,MATCH(Decimals,Items[#Headers],0)-1,1,1)&gt;0,"."&amp;REPT("0",OFFSET(Items[],MATCH($A484,INDIRECT(RangeCount),0)-1,MATCH(Decimals,Items[#Headers],0)-1,1,1)),""))),"")</f>
        <v/>
      </c>
      <c r="D484" s="170" t="str">
        <f ca="1">IFERROR(INDEX(INDIRECT(RangeUnit),MATCH($A484,INDIRECT(RangeCount),0)),"")</f>
        <v/>
      </c>
      <c r="E484" s="170" t="str">
        <f ca="1">IFERROR(IF(INDEX(INDIRECT(RangeContrQty),MATCH($A484,INDIRECT(RangeCount),0)),"(CQ)",""),"")</f>
        <v/>
      </c>
      <c r="F484" s="171" t="str">
        <f ca="1">IFERROR(INDEX(INDIRECT(RangeUnitPrice),MATCH($A484,INDIRECT(RangeCount),0)),"")</f>
        <v/>
      </c>
      <c r="G484" s="171" t="str">
        <f ca="1">IFERROR(VALUE(C484)*F484,F484)</f>
        <v/>
      </c>
      <c r="H484" s="388"/>
      <c r="I484" s="178" t="str">
        <f ca="1">IF($C484="","",IF($D484="LPSM",H483,VALUE($C484)*H483))</f>
        <v/>
      </c>
      <c r="J484" s="388"/>
      <c r="K484" s="178" t="str">
        <f ca="1">IF($C484="","",IF($D484="LPSM",J483,VALUE($C484)*J483))</f>
        <v/>
      </c>
      <c r="L484" s="388"/>
      <c r="M484" s="178" t="str">
        <f ca="1">IF($C484="","",IF($D484="LPSM",L483,VALUE($C484)*L483))</f>
        <v/>
      </c>
      <c r="N484" s="388"/>
      <c r="O484" s="178" t="str">
        <f ca="1">IF($C484="","",IF($D484="LPSM",N483,VALUE($C484)*N483))</f>
        <v/>
      </c>
      <c r="P484" s="388"/>
      <c r="Q484" s="178" t="str">
        <f ca="1">IF($C484="","",IF($D484="LPSM",P483,VALUE($C484)*P483))</f>
        <v/>
      </c>
      <c r="R484" s="388"/>
      <c r="S484" s="178" t="str">
        <f ca="1">IF($C484="","",IF($D484="LPSM",R483,VALUE($C484)*R483))</f>
        <v/>
      </c>
      <c r="T484" s="388"/>
      <c r="U484" s="178" t="str">
        <f ca="1">IF($C484="","",IF($D484="LPSM",T483,VALUE($C484)*T483))</f>
        <v/>
      </c>
      <c r="V484" s="388"/>
      <c r="W484" s="178" t="str">
        <f ca="1">IF($C484="","",IF($D484="LPSM",V483,VALUE($C484)*V483))</f>
        <v/>
      </c>
      <c r="X484" s="388"/>
      <c r="Y484" s="178" t="str">
        <f ca="1">IF($C484="","",IF($D484="LPSM",X483,VALUE($C484)*X483))</f>
        <v/>
      </c>
      <c r="Z484" s="388"/>
      <c r="AA484" s="178" t="str">
        <f ca="1">IF($C484="","",IF($D484="LPSM",Z483,VALUE($C484)*Z483))</f>
        <v/>
      </c>
      <c r="AB484" s="388"/>
      <c r="AC484" s="178" t="str">
        <f ca="1">IF($C484="","",IF($D484="LPSM",AB483,VALUE($C484)*AB483))</f>
        <v/>
      </c>
      <c r="AD484" s="388"/>
      <c r="AE484" s="178" t="str">
        <f ca="1">IF($C484="","",IF($D484="LPSM",AD483,VALUE($C484)*AD483))</f>
        <v/>
      </c>
      <c r="AF484" s="388"/>
      <c r="AG484" s="178" t="str">
        <f ca="1">IF($C484="","",IF($D484="LPSM",AF483,VALUE($C484)*AF483))</f>
        <v/>
      </c>
      <c r="AH484" s="388"/>
      <c r="AI484" s="178" t="str">
        <f ca="1">IF($C484="","",IF($D484="LPSM",AH483,VALUE($C484)*AH483))</f>
        <v/>
      </c>
      <c r="AJ484" s="388"/>
      <c r="AK484" s="178" t="str">
        <f ca="1">IF($C484="","",IF($D484="LPSM",AJ483,VALUE($C484)*AJ483))</f>
        <v/>
      </c>
      <c r="AL484" s="388"/>
      <c r="AM484" s="178" t="str">
        <f ca="1">IF($C484="","",IF($D484="LPSM",AL483,VALUE($C484)*AL483))</f>
        <v/>
      </c>
      <c r="AN484" s="388"/>
      <c r="AO484" s="178" t="str">
        <f ca="1">IF($C484="","",IF($D484="LPSM",AN483,VALUE($C484)*AN483))</f>
        <v/>
      </c>
      <c r="AP484" s="388"/>
      <c r="AQ484" s="178" t="str">
        <f ca="1">IF($C484="","",IF($D484="LPSM",AP483,VALUE($C484)*AP483))</f>
        <v/>
      </c>
      <c r="AR484" s="209" t="str">
        <f ca="1">IF(LEN(B484)&gt;0,ISNUMBER(MATCH(B484,Proposed[Item],0)),"")</f>
        <v/>
      </c>
    </row>
    <row r="485" spans="1:44" ht="15" x14ac:dyDescent="0.2">
      <c r="A485" s="276">
        <f t="shared" ca="1" si="7"/>
        <v>239</v>
      </c>
      <c r="B485" s="168" t="str">
        <f ca="1">IFERROR(INDEX(INDIRECT(RangeItems),MATCH($A485,INDIRECT(RangeCount),0)),"")</f>
        <v/>
      </c>
      <c r="C485" s="365" t="str">
        <f ca="1">INDEX(Calcs[Description],$A485)</f>
        <v/>
      </c>
      <c r="D485" s="365"/>
      <c r="E485" s="365"/>
      <c r="F485" s="365"/>
      <c r="G485" s="365"/>
      <c r="H485" s="388"/>
      <c r="I485" s="177"/>
      <c r="J485" s="388"/>
      <c r="K485" s="177"/>
      <c r="L485" s="388"/>
      <c r="M485" s="177"/>
      <c r="N485" s="388"/>
      <c r="O485" s="177"/>
      <c r="P485" s="388"/>
      <c r="Q485" s="177"/>
      <c r="R485" s="388"/>
      <c r="S485" s="177"/>
      <c r="T485" s="388"/>
      <c r="U485" s="177"/>
      <c r="V485" s="388"/>
      <c r="W485" s="177"/>
      <c r="X485" s="388"/>
      <c r="Y485" s="177"/>
      <c r="Z485" s="388"/>
      <c r="AA485" s="177"/>
      <c r="AB485" s="388"/>
      <c r="AC485" s="177"/>
      <c r="AD485" s="388"/>
      <c r="AE485" s="177"/>
      <c r="AF485" s="388"/>
      <c r="AG485" s="177"/>
      <c r="AH485" s="388"/>
      <c r="AI485" s="177"/>
      <c r="AJ485" s="388"/>
      <c r="AK485" s="177"/>
      <c r="AL485" s="388"/>
      <c r="AM485" s="177"/>
      <c r="AN485" s="388"/>
      <c r="AO485" s="177"/>
      <c r="AP485" s="388"/>
      <c r="AQ485" s="177"/>
      <c r="AR485" s="209" t="str">
        <f ca="1">IF(LEN(B485)&gt;0,ISNUMBER(MATCH(B485,Proposed[Item],0)),"")</f>
        <v/>
      </c>
    </row>
    <row r="486" spans="1:44" ht="15" x14ac:dyDescent="0.2">
      <c r="A486" s="276">
        <f t="shared" ca="1" si="7"/>
        <v>239</v>
      </c>
      <c r="B486" s="111" t="str">
        <f ca="1">IF($A486&lt;=NumPayItems,"Line "&amp;INDEX(Calcs[Line],$A486),"")</f>
        <v/>
      </c>
      <c r="C486" s="169" t="str">
        <f ca="1">IFERROR(IF($D486="LPSM","ALL",TEXT(INDEX(INDIRECT(RangeQuantity),MATCH($A486,INDIRECT(RangeCount),0)),"#,##0"&amp;IF(OFFSET(Items[],MATCH($A486,INDIRECT(RangeCount),0)-1,MATCH(Decimals,Items[#Headers],0)-1,1,1)&gt;0,"."&amp;REPT("0",OFFSET(Items[],MATCH($A486,INDIRECT(RangeCount),0)-1,MATCH(Decimals,Items[#Headers],0)-1,1,1)),""))),"")</f>
        <v/>
      </c>
      <c r="D486" s="170" t="str">
        <f ca="1">IFERROR(INDEX(INDIRECT(RangeUnit),MATCH($A486,INDIRECT(RangeCount),0)),"")</f>
        <v/>
      </c>
      <c r="E486" s="170" t="str">
        <f ca="1">IFERROR(IF(INDEX(INDIRECT(RangeContrQty),MATCH($A486,INDIRECT(RangeCount),0)),"(CQ)",""),"")</f>
        <v/>
      </c>
      <c r="F486" s="171" t="str">
        <f ca="1">IFERROR(INDEX(INDIRECT(RangeUnitPrice),MATCH($A486,INDIRECT(RangeCount),0)),"")</f>
        <v/>
      </c>
      <c r="G486" s="171" t="str">
        <f ca="1">IFERROR(VALUE(C486)*F486,F486)</f>
        <v/>
      </c>
      <c r="H486" s="388"/>
      <c r="I486" s="178" t="str">
        <f ca="1">IF($C486="","",IF($D486="LPSM",H485,VALUE($C486)*H485))</f>
        <v/>
      </c>
      <c r="J486" s="388"/>
      <c r="K486" s="178" t="str">
        <f ca="1">IF($C486="","",IF($D486="LPSM",J485,VALUE($C486)*J485))</f>
        <v/>
      </c>
      <c r="L486" s="388"/>
      <c r="M486" s="178" t="str">
        <f ca="1">IF($C486="","",IF($D486="LPSM",L485,VALUE($C486)*L485))</f>
        <v/>
      </c>
      <c r="N486" s="388"/>
      <c r="O486" s="178" t="str">
        <f ca="1">IF($C486="","",IF($D486="LPSM",N485,VALUE($C486)*N485))</f>
        <v/>
      </c>
      <c r="P486" s="388"/>
      <c r="Q486" s="178" t="str">
        <f ca="1">IF($C486="","",IF($D486="LPSM",P485,VALUE($C486)*P485))</f>
        <v/>
      </c>
      <c r="R486" s="388"/>
      <c r="S486" s="178" t="str">
        <f ca="1">IF($C486="","",IF($D486="LPSM",R485,VALUE($C486)*R485))</f>
        <v/>
      </c>
      <c r="T486" s="388"/>
      <c r="U486" s="178" t="str">
        <f ca="1">IF($C486="","",IF($D486="LPSM",T485,VALUE($C486)*T485))</f>
        <v/>
      </c>
      <c r="V486" s="388"/>
      <c r="W486" s="178" t="str">
        <f ca="1">IF($C486="","",IF($D486="LPSM",V485,VALUE($C486)*V485))</f>
        <v/>
      </c>
      <c r="X486" s="388"/>
      <c r="Y486" s="178" t="str">
        <f ca="1">IF($C486="","",IF($D486="LPSM",X485,VALUE($C486)*X485))</f>
        <v/>
      </c>
      <c r="Z486" s="388"/>
      <c r="AA486" s="178" t="str">
        <f ca="1">IF($C486="","",IF($D486="LPSM",Z485,VALUE($C486)*Z485))</f>
        <v/>
      </c>
      <c r="AB486" s="388"/>
      <c r="AC486" s="178" t="str">
        <f ca="1">IF($C486="","",IF($D486="LPSM",AB485,VALUE($C486)*AB485))</f>
        <v/>
      </c>
      <c r="AD486" s="388"/>
      <c r="AE486" s="178" t="str">
        <f ca="1">IF($C486="","",IF($D486="LPSM",AD485,VALUE($C486)*AD485))</f>
        <v/>
      </c>
      <c r="AF486" s="388"/>
      <c r="AG486" s="178" t="str">
        <f ca="1">IF($C486="","",IF($D486="LPSM",AF485,VALUE($C486)*AF485))</f>
        <v/>
      </c>
      <c r="AH486" s="388"/>
      <c r="AI486" s="178" t="str">
        <f ca="1">IF($C486="","",IF($D486="LPSM",AH485,VALUE($C486)*AH485))</f>
        <v/>
      </c>
      <c r="AJ486" s="388"/>
      <c r="AK486" s="178" t="str">
        <f ca="1">IF($C486="","",IF($D486="LPSM",AJ485,VALUE($C486)*AJ485))</f>
        <v/>
      </c>
      <c r="AL486" s="388"/>
      <c r="AM486" s="178" t="str">
        <f ca="1">IF($C486="","",IF($D486="LPSM",AL485,VALUE($C486)*AL485))</f>
        <v/>
      </c>
      <c r="AN486" s="388"/>
      <c r="AO486" s="178" t="str">
        <f ca="1">IF($C486="","",IF($D486="LPSM",AN485,VALUE($C486)*AN485))</f>
        <v/>
      </c>
      <c r="AP486" s="388"/>
      <c r="AQ486" s="178" t="str">
        <f ca="1">IF($C486="","",IF($D486="LPSM",AP485,VALUE($C486)*AP485))</f>
        <v/>
      </c>
      <c r="AR486" s="209" t="str">
        <f ca="1">IF(LEN(B486)&gt;0,ISNUMBER(MATCH(B486,Proposed[Item],0)),"")</f>
        <v/>
      </c>
    </row>
    <row r="487" spans="1:44" ht="15" x14ac:dyDescent="0.2">
      <c r="A487" s="276">
        <f t="shared" ca="1" si="7"/>
        <v>240</v>
      </c>
      <c r="B487" s="168" t="str">
        <f ca="1">IFERROR(INDEX(INDIRECT(RangeItems),MATCH($A487,INDIRECT(RangeCount),0)),"")</f>
        <v/>
      </c>
      <c r="C487" s="365" t="str">
        <f ca="1">INDEX(Calcs[Description],$A487)</f>
        <v/>
      </c>
      <c r="D487" s="365"/>
      <c r="E487" s="365"/>
      <c r="F487" s="365"/>
      <c r="G487" s="365"/>
      <c r="H487" s="388"/>
      <c r="I487" s="177"/>
      <c r="J487" s="388"/>
      <c r="K487" s="177"/>
      <c r="L487" s="388"/>
      <c r="M487" s="177"/>
      <c r="N487" s="388"/>
      <c r="O487" s="177"/>
      <c r="P487" s="388"/>
      <c r="Q487" s="177"/>
      <c r="R487" s="388"/>
      <c r="S487" s="177"/>
      <c r="T487" s="388"/>
      <c r="U487" s="177"/>
      <c r="V487" s="388"/>
      <c r="W487" s="177"/>
      <c r="X487" s="388"/>
      <c r="Y487" s="177"/>
      <c r="Z487" s="388"/>
      <c r="AA487" s="177"/>
      <c r="AB487" s="388"/>
      <c r="AC487" s="177"/>
      <c r="AD487" s="388"/>
      <c r="AE487" s="177"/>
      <c r="AF487" s="388"/>
      <c r="AG487" s="177"/>
      <c r="AH487" s="388"/>
      <c r="AI487" s="177"/>
      <c r="AJ487" s="388"/>
      <c r="AK487" s="177"/>
      <c r="AL487" s="388"/>
      <c r="AM487" s="177"/>
      <c r="AN487" s="388"/>
      <c r="AO487" s="177"/>
      <c r="AP487" s="388"/>
      <c r="AQ487" s="177"/>
      <c r="AR487" s="209" t="str">
        <f ca="1">IF(LEN(B487)&gt;0,ISNUMBER(MATCH(B487,Proposed[Item],0)),"")</f>
        <v/>
      </c>
    </row>
    <row r="488" spans="1:44" ht="15" x14ac:dyDescent="0.2">
      <c r="A488" s="276">
        <f t="shared" ca="1" si="7"/>
        <v>240</v>
      </c>
      <c r="B488" s="111" t="str">
        <f ca="1">IF($A488&lt;=NumPayItems,"Line "&amp;INDEX(Calcs[Line],$A488),"")</f>
        <v/>
      </c>
      <c r="C488" s="169" t="str">
        <f ca="1">IFERROR(IF($D488="LPSM","ALL",TEXT(INDEX(INDIRECT(RangeQuantity),MATCH($A488,INDIRECT(RangeCount),0)),"#,##0"&amp;IF(OFFSET(Items[],MATCH($A488,INDIRECT(RangeCount),0)-1,MATCH(Decimals,Items[#Headers],0)-1,1,1)&gt;0,"."&amp;REPT("0",OFFSET(Items[],MATCH($A488,INDIRECT(RangeCount),0)-1,MATCH(Decimals,Items[#Headers],0)-1,1,1)),""))),"")</f>
        <v/>
      </c>
      <c r="D488" s="170" t="str">
        <f ca="1">IFERROR(INDEX(INDIRECT(RangeUnit),MATCH($A488,INDIRECT(RangeCount),0)),"")</f>
        <v/>
      </c>
      <c r="E488" s="170" t="str">
        <f ca="1">IFERROR(IF(INDEX(INDIRECT(RangeContrQty),MATCH($A488,INDIRECT(RangeCount),0)),"(CQ)",""),"")</f>
        <v/>
      </c>
      <c r="F488" s="171" t="str">
        <f ca="1">IFERROR(INDEX(INDIRECT(RangeUnitPrice),MATCH($A488,INDIRECT(RangeCount),0)),"")</f>
        <v/>
      </c>
      <c r="G488" s="171" t="str">
        <f ca="1">IFERROR(VALUE(C488)*F488,F488)</f>
        <v/>
      </c>
      <c r="H488" s="388"/>
      <c r="I488" s="178" t="str">
        <f ca="1">IF($C488="","",IF($D488="LPSM",H487,VALUE($C488)*H487))</f>
        <v/>
      </c>
      <c r="J488" s="388"/>
      <c r="K488" s="178" t="str">
        <f ca="1">IF($C488="","",IF($D488="LPSM",J487,VALUE($C488)*J487))</f>
        <v/>
      </c>
      <c r="L488" s="388"/>
      <c r="M488" s="178" t="str">
        <f ca="1">IF($C488="","",IF($D488="LPSM",L487,VALUE($C488)*L487))</f>
        <v/>
      </c>
      <c r="N488" s="388"/>
      <c r="O488" s="178" t="str">
        <f ca="1">IF($C488="","",IF($D488="LPSM",N487,VALUE($C488)*N487))</f>
        <v/>
      </c>
      <c r="P488" s="388"/>
      <c r="Q488" s="178" t="str">
        <f ca="1">IF($C488="","",IF($D488="LPSM",P487,VALUE($C488)*P487))</f>
        <v/>
      </c>
      <c r="R488" s="388"/>
      <c r="S488" s="178" t="str">
        <f ca="1">IF($C488="","",IF($D488="LPSM",R487,VALUE($C488)*R487))</f>
        <v/>
      </c>
      <c r="T488" s="388"/>
      <c r="U488" s="178" t="str">
        <f ca="1">IF($C488="","",IF($D488="LPSM",T487,VALUE($C488)*T487))</f>
        <v/>
      </c>
      <c r="V488" s="388"/>
      <c r="W488" s="178" t="str">
        <f ca="1">IF($C488="","",IF($D488="LPSM",V487,VALUE($C488)*V487))</f>
        <v/>
      </c>
      <c r="X488" s="388"/>
      <c r="Y488" s="178" t="str">
        <f ca="1">IF($C488="","",IF($D488="LPSM",X487,VALUE($C488)*X487))</f>
        <v/>
      </c>
      <c r="Z488" s="388"/>
      <c r="AA488" s="178" t="str">
        <f ca="1">IF($C488="","",IF($D488="LPSM",Z487,VALUE($C488)*Z487))</f>
        <v/>
      </c>
      <c r="AB488" s="388"/>
      <c r="AC488" s="178" t="str">
        <f ca="1">IF($C488="","",IF($D488="LPSM",AB487,VALUE($C488)*AB487))</f>
        <v/>
      </c>
      <c r="AD488" s="388"/>
      <c r="AE488" s="178" t="str">
        <f ca="1">IF($C488="","",IF($D488="LPSM",AD487,VALUE($C488)*AD487))</f>
        <v/>
      </c>
      <c r="AF488" s="388"/>
      <c r="AG488" s="178" t="str">
        <f ca="1">IF($C488="","",IF($D488="LPSM",AF487,VALUE($C488)*AF487))</f>
        <v/>
      </c>
      <c r="AH488" s="388"/>
      <c r="AI488" s="178" t="str">
        <f ca="1">IF($C488="","",IF($D488="LPSM",AH487,VALUE($C488)*AH487))</f>
        <v/>
      </c>
      <c r="AJ488" s="388"/>
      <c r="AK488" s="178" t="str">
        <f ca="1">IF($C488="","",IF($D488="LPSM",AJ487,VALUE($C488)*AJ487))</f>
        <v/>
      </c>
      <c r="AL488" s="388"/>
      <c r="AM488" s="178" t="str">
        <f ca="1">IF($C488="","",IF($D488="LPSM",AL487,VALUE($C488)*AL487))</f>
        <v/>
      </c>
      <c r="AN488" s="388"/>
      <c r="AO488" s="178" t="str">
        <f ca="1">IF($C488="","",IF($D488="LPSM",AN487,VALUE($C488)*AN487))</f>
        <v/>
      </c>
      <c r="AP488" s="388"/>
      <c r="AQ488" s="178" t="str">
        <f ca="1">IF($C488="","",IF($D488="LPSM",AP487,VALUE($C488)*AP487))</f>
        <v/>
      </c>
      <c r="AR488" s="209" t="str">
        <f ca="1">IF(LEN(B488)&gt;0,ISNUMBER(MATCH(B488,Proposed[Item],0)),"")</f>
        <v/>
      </c>
    </row>
    <row r="489" spans="1:44" ht="15" x14ac:dyDescent="0.2">
      <c r="A489" s="276">
        <f t="shared" ca="1" si="7"/>
        <v>241</v>
      </c>
      <c r="B489" s="168" t="str">
        <f ca="1">IFERROR(INDEX(INDIRECT(RangeItems),MATCH($A489,INDIRECT(RangeCount),0)),"")</f>
        <v/>
      </c>
      <c r="C489" s="365" t="str">
        <f ca="1">INDEX(Calcs[Description],$A489)</f>
        <v/>
      </c>
      <c r="D489" s="365"/>
      <c r="E489" s="365"/>
      <c r="F489" s="365"/>
      <c r="G489" s="365"/>
      <c r="H489" s="388"/>
      <c r="I489" s="177"/>
      <c r="J489" s="388"/>
      <c r="K489" s="177"/>
      <c r="L489" s="388"/>
      <c r="M489" s="177"/>
      <c r="N489" s="388"/>
      <c r="O489" s="177"/>
      <c r="P489" s="388"/>
      <c r="Q489" s="177"/>
      <c r="R489" s="388"/>
      <c r="S489" s="177"/>
      <c r="T489" s="388"/>
      <c r="U489" s="177"/>
      <c r="V489" s="388"/>
      <c r="W489" s="177"/>
      <c r="X489" s="388"/>
      <c r="Y489" s="177"/>
      <c r="Z489" s="388"/>
      <c r="AA489" s="177"/>
      <c r="AB489" s="388"/>
      <c r="AC489" s="177"/>
      <c r="AD489" s="388"/>
      <c r="AE489" s="177"/>
      <c r="AF489" s="388"/>
      <c r="AG489" s="177"/>
      <c r="AH489" s="388"/>
      <c r="AI489" s="177"/>
      <c r="AJ489" s="388"/>
      <c r="AK489" s="177"/>
      <c r="AL489" s="388"/>
      <c r="AM489" s="177"/>
      <c r="AN489" s="388"/>
      <c r="AO489" s="177"/>
      <c r="AP489" s="388"/>
      <c r="AQ489" s="177"/>
      <c r="AR489" s="209" t="str">
        <f ca="1">IF(LEN(B489)&gt;0,ISNUMBER(MATCH(B489,Proposed[Item],0)),"")</f>
        <v/>
      </c>
    </row>
    <row r="490" spans="1:44" ht="15" x14ac:dyDescent="0.2">
      <c r="A490" s="276">
        <f t="shared" ca="1" si="7"/>
        <v>241</v>
      </c>
      <c r="B490" s="111" t="str">
        <f ca="1">IF($A490&lt;=NumPayItems,"Line "&amp;INDEX(Calcs[Line],$A490),"")</f>
        <v/>
      </c>
      <c r="C490" s="169" t="str">
        <f ca="1">IFERROR(IF($D490="LPSM","ALL",TEXT(INDEX(INDIRECT(RangeQuantity),MATCH($A490,INDIRECT(RangeCount),0)),"#,##0"&amp;IF(OFFSET(Items[],MATCH($A490,INDIRECT(RangeCount),0)-1,MATCH(Decimals,Items[#Headers],0)-1,1,1)&gt;0,"."&amp;REPT("0",OFFSET(Items[],MATCH($A490,INDIRECT(RangeCount),0)-1,MATCH(Decimals,Items[#Headers],0)-1,1,1)),""))),"")</f>
        <v/>
      </c>
      <c r="D490" s="170" t="str">
        <f ca="1">IFERROR(INDEX(INDIRECT(RangeUnit),MATCH($A490,INDIRECT(RangeCount),0)),"")</f>
        <v/>
      </c>
      <c r="E490" s="170" t="str">
        <f ca="1">IFERROR(IF(INDEX(INDIRECT(RangeContrQty),MATCH($A490,INDIRECT(RangeCount),0)),"(CQ)",""),"")</f>
        <v/>
      </c>
      <c r="F490" s="171" t="str">
        <f ca="1">IFERROR(INDEX(INDIRECT(RangeUnitPrice),MATCH($A490,INDIRECT(RangeCount),0)),"")</f>
        <v/>
      </c>
      <c r="G490" s="171" t="str">
        <f ca="1">IFERROR(VALUE(C490)*F490,F490)</f>
        <v/>
      </c>
      <c r="H490" s="388"/>
      <c r="I490" s="178" t="str">
        <f ca="1">IF($C490="","",IF($D490="LPSM",H489,VALUE($C490)*H489))</f>
        <v/>
      </c>
      <c r="J490" s="388"/>
      <c r="K490" s="178" t="str">
        <f ca="1">IF($C490="","",IF($D490="LPSM",J489,VALUE($C490)*J489))</f>
        <v/>
      </c>
      <c r="L490" s="388"/>
      <c r="M490" s="178" t="str">
        <f ca="1">IF($C490="","",IF($D490="LPSM",L489,VALUE($C490)*L489))</f>
        <v/>
      </c>
      <c r="N490" s="388"/>
      <c r="O490" s="178" t="str">
        <f ca="1">IF($C490="","",IF($D490="LPSM",N489,VALUE($C490)*N489))</f>
        <v/>
      </c>
      <c r="P490" s="388"/>
      <c r="Q490" s="178" t="str">
        <f ca="1">IF($C490="","",IF($D490="LPSM",P489,VALUE($C490)*P489))</f>
        <v/>
      </c>
      <c r="R490" s="388"/>
      <c r="S490" s="178" t="str">
        <f ca="1">IF($C490="","",IF($D490="LPSM",R489,VALUE($C490)*R489))</f>
        <v/>
      </c>
      <c r="T490" s="388"/>
      <c r="U490" s="178" t="str">
        <f ca="1">IF($C490="","",IF($D490="LPSM",T489,VALUE($C490)*T489))</f>
        <v/>
      </c>
      <c r="V490" s="388"/>
      <c r="W490" s="178" t="str">
        <f ca="1">IF($C490="","",IF($D490="LPSM",V489,VALUE($C490)*V489))</f>
        <v/>
      </c>
      <c r="X490" s="388"/>
      <c r="Y490" s="178" t="str">
        <f ca="1">IF($C490="","",IF($D490="LPSM",X489,VALUE($C490)*X489))</f>
        <v/>
      </c>
      <c r="Z490" s="388"/>
      <c r="AA490" s="178" t="str">
        <f ca="1">IF($C490="","",IF($D490="LPSM",Z489,VALUE($C490)*Z489))</f>
        <v/>
      </c>
      <c r="AB490" s="388"/>
      <c r="AC490" s="178" t="str">
        <f ca="1">IF($C490="","",IF($D490="LPSM",AB489,VALUE($C490)*AB489))</f>
        <v/>
      </c>
      <c r="AD490" s="388"/>
      <c r="AE490" s="178" t="str">
        <f ca="1">IF($C490="","",IF($D490="LPSM",AD489,VALUE($C490)*AD489))</f>
        <v/>
      </c>
      <c r="AF490" s="388"/>
      <c r="AG490" s="178" t="str">
        <f ca="1">IF($C490="","",IF($D490="LPSM",AF489,VALUE($C490)*AF489))</f>
        <v/>
      </c>
      <c r="AH490" s="388"/>
      <c r="AI490" s="178" t="str">
        <f ca="1">IF($C490="","",IF($D490="LPSM",AH489,VALUE($C490)*AH489))</f>
        <v/>
      </c>
      <c r="AJ490" s="388"/>
      <c r="AK490" s="178" t="str">
        <f ca="1">IF($C490="","",IF($D490="LPSM",AJ489,VALUE($C490)*AJ489))</f>
        <v/>
      </c>
      <c r="AL490" s="388"/>
      <c r="AM490" s="178" t="str">
        <f ca="1">IF($C490="","",IF($D490="LPSM",AL489,VALUE($C490)*AL489))</f>
        <v/>
      </c>
      <c r="AN490" s="388"/>
      <c r="AO490" s="178" t="str">
        <f ca="1">IF($C490="","",IF($D490="LPSM",AN489,VALUE($C490)*AN489))</f>
        <v/>
      </c>
      <c r="AP490" s="388"/>
      <c r="AQ490" s="178" t="str">
        <f ca="1">IF($C490="","",IF($D490="LPSM",AP489,VALUE($C490)*AP489))</f>
        <v/>
      </c>
      <c r="AR490" s="209" t="str">
        <f ca="1">IF(LEN(B490)&gt;0,ISNUMBER(MATCH(B490,Proposed[Item],0)),"")</f>
        <v/>
      </c>
    </row>
    <row r="491" spans="1:44" ht="15" x14ac:dyDescent="0.2">
      <c r="A491" s="276">
        <f t="shared" ca="1" si="7"/>
        <v>242</v>
      </c>
      <c r="B491" s="168" t="str">
        <f ca="1">IFERROR(INDEX(INDIRECT(RangeItems),MATCH($A491,INDIRECT(RangeCount),0)),"")</f>
        <v/>
      </c>
      <c r="C491" s="365" t="str">
        <f ca="1">INDEX(Calcs[Description],$A491)</f>
        <v/>
      </c>
      <c r="D491" s="365"/>
      <c r="E491" s="365"/>
      <c r="F491" s="365"/>
      <c r="G491" s="365"/>
      <c r="H491" s="388"/>
      <c r="I491" s="177"/>
      <c r="J491" s="388"/>
      <c r="K491" s="177"/>
      <c r="L491" s="388"/>
      <c r="M491" s="177"/>
      <c r="N491" s="388"/>
      <c r="O491" s="177"/>
      <c r="P491" s="388"/>
      <c r="Q491" s="177"/>
      <c r="R491" s="388"/>
      <c r="S491" s="177"/>
      <c r="T491" s="388"/>
      <c r="U491" s="177"/>
      <c r="V491" s="388"/>
      <c r="W491" s="177"/>
      <c r="X491" s="388"/>
      <c r="Y491" s="177"/>
      <c r="Z491" s="388"/>
      <c r="AA491" s="177"/>
      <c r="AB491" s="388"/>
      <c r="AC491" s="177"/>
      <c r="AD491" s="388"/>
      <c r="AE491" s="177"/>
      <c r="AF491" s="388"/>
      <c r="AG491" s="177"/>
      <c r="AH491" s="388"/>
      <c r="AI491" s="177"/>
      <c r="AJ491" s="388"/>
      <c r="AK491" s="177"/>
      <c r="AL491" s="388"/>
      <c r="AM491" s="177"/>
      <c r="AN491" s="388"/>
      <c r="AO491" s="177"/>
      <c r="AP491" s="388"/>
      <c r="AQ491" s="177"/>
      <c r="AR491" s="209" t="str">
        <f ca="1">IF(LEN(B491)&gt;0,ISNUMBER(MATCH(B491,Proposed[Item],0)),"")</f>
        <v/>
      </c>
    </row>
    <row r="492" spans="1:44" ht="15" x14ac:dyDescent="0.2">
      <c r="A492" s="276">
        <f t="shared" ca="1" si="7"/>
        <v>242</v>
      </c>
      <c r="B492" s="111" t="str">
        <f ca="1">IF($A492&lt;=NumPayItems,"Line "&amp;INDEX(Calcs[Line],$A492),"")</f>
        <v/>
      </c>
      <c r="C492" s="169" t="str">
        <f ca="1">IFERROR(IF($D492="LPSM","ALL",TEXT(INDEX(INDIRECT(RangeQuantity),MATCH($A492,INDIRECT(RangeCount),0)),"#,##0"&amp;IF(OFFSET(Items[],MATCH($A492,INDIRECT(RangeCount),0)-1,MATCH(Decimals,Items[#Headers],0)-1,1,1)&gt;0,"."&amp;REPT("0",OFFSET(Items[],MATCH($A492,INDIRECT(RangeCount),0)-1,MATCH(Decimals,Items[#Headers],0)-1,1,1)),""))),"")</f>
        <v/>
      </c>
      <c r="D492" s="170" t="str">
        <f ca="1">IFERROR(INDEX(INDIRECT(RangeUnit),MATCH($A492,INDIRECT(RangeCount),0)),"")</f>
        <v/>
      </c>
      <c r="E492" s="170" t="str">
        <f ca="1">IFERROR(IF(INDEX(INDIRECT(RangeContrQty),MATCH($A492,INDIRECT(RangeCount),0)),"(CQ)",""),"")</f>
        <v/>
      </c>
      <c r="F492" s="171" t="str">
        <f ca="1">IFERROR(INDEX(INDIRECT(RangeUnitPrice),MATCH($A492,INDIRECT(RangeCount),0)),"")</f>
        <v/>
      </c>
      <c r="G492" s="171" t="str">
        <f ca="1">IFERROR(VALUE(C492)*F492,F492)</f>
        <v/>
      </c>
      <c r="H492" s="388"/>
      <c r="I492" s="178" t="str">
        <f ca="1">IF($C492="","",IF($D492="LPSM",H491,VALUE($C492)*H491))</f>
        <v/>
      </c>
      <c r="J492" s="388"/>
      <c r="K492" s="178" t="str">
        <f ca="1">IF($C492="","",IF($D492="LPSM",J491,VALUE($C492)*J491))</f>
        <v/>
      </c>
      <c r="L492" s="388"/>
      <c r="M492" s="178" t="str">
        <f ca="1">IF($C492="","",IF($D492="LPSM",L491,VALUE($C492)*L491))</f>
        <v/>
      </c>
      <c r="N492" s="388"/>
      <c r="O492" s="178" t="str">
        <f ca="1">IF($C492="","",IF($D492="LPSM",N491,VALUE($C492)*N491))</f>
        <v/>
      </c>
      <c r="P492" s="388"/>
      <c r="Q492" s="178" t="str">
        <f ca="1">IF($C492="","",IF($D492="LPSM",P491,VALUE($C492)*P491))</f>
        <v/>
      </c>
      <c r="R492" s="388"/>
      <c r="S492" s="178" t="str">
        <f ca="1">IF($C492="","",IF($D492="LPSM",R491,VALUE($C492)*R491))</f>
        <v/>
      </c>
      <c r="T492" s="388"/>
      <c r="U492" s="178" t="str">
        <f ca="1">IF($C492="","",IF($D492="LPSM",T491,VALUE($C492)*T491))</f>
        <v/>
      </c>
      <c r="V492" s="388"/>
      <c r="W492" s="178" t="str">
        <f ca="1">IF($C492="","",IF($D492="LPSM",V491,VALUE($C492)*V491))</f>
        <v/>
      </c>
      <c r="X492" s="388"/>
      <c r="Y492" s="178" t="str">
        <f ca="1">IF($C492="","",IF($D492="LPSM",X491,VALUE($C492)*X491))</f>
        <v/>
      </c>
      <c r="Z492" s="388"/>
      <c r="AA492" s="178" t="str">
        <f ca="1">IF($C492="","",IF($D492="LPSM",Z491,VALUE($C492)*Z491))</f>
        <v/>
      </c>
      <c r="AB492" s="388"/>
      <c r="AC492" s="178" t="str">
        <f ca="1">IF($C492="","",IF($D492="LPSM",AB491,VALUE($C492)*AB491))</f>
        <v/>
      </c>
      <c r="AD492" s="388"/>
      <c r="AE492" s="178" t="str">
        <f ca="1">IF($C492="","",IF($D492="LPSM",AD491,VALUE($C492)*AD491))</f>
        <v/>
      </c>
      <c r="AF492" s="388"/>
      <c r="AG492" s="178" t="str">
        <f ca="1">IF($C492="","",IF($D492="LPSM",AF491,VALUE($C492)*AF491))</f>
        <v/>
      </c>
      <c r="AH492" s="388"/>
      <c r="AI492" s="178" t="str">
        <f ca="1">IF($C492="","",IF($D492="LPSM",AH491,VALUE($C492)*AH491))</f>
        <v/>
      </c>
      <c r="AJ492" s="388"/>
      <c r="AK492" s="178" t="str">
        <f ca="1">IF($C492="","",IF($D492="LPSM",AJ491,VALUE($C492)*AJ491))</f>
        <v/>
      </c>
      <c r="AL492" s="388"/>
      <c r="AM492" s="178" t="str">
        <f ca="1">IF($C492="","",IF($D492="LPSM",AL491,VALUE($C492)*AL491))</f>
        <v/>
      </c>
      <c r="AN492" s="388"/>
      <c r="AO492" s="178" t="str">
        <f ca="1">IF($C492="","",IF($D492="LPSM",AN491,VALUE($C492)*AN491))</f>
        <v/>
      </c>
      <c r="AP492" s="388"/>
      <c r="AQ492" s="178" t="str">
        <f ca="1">IF($C492="","",IF($D492="LPSM",AP491,VALUE($C492)*AP491))</f>
        <v/>
      </c>
      <c r="AR492" s="209" t="str">
        <f ca="1">IF(LEN(B492)&gt;0,ISNUMBER(MATCH(B492,Proposed[Item],0)),"")</f>
        <v/>
      </c>
    </row>
    <row r="493" spans="1:44" ht="15" x14ac:dyDescent="0.2">
      <c r="A493" s="276">
        <f t="shared" ca="1" si="7"/>
        <v>243</v>
      </c>
      <c r="B493" s="168" t="str">
        <f ca="1">IFERROR(INDEX(INDIRECT(RangeItems),MATCH($A493,INDIRECT(RangeCount),0)),"")</f>
        <v/>
      </c>
      <c r="C493" s="365" t="str">
        <f ca="1">INDEX(Calcs[Description],$A493)</f>
        <v/>
      </c>
      <c r="D493" s="365"/>
      <c r="E493" s="365"/>
      <c r="F493" s="365"/>
      <c r="G493" s="365"/>
      <c r="H493" s="388"/>
      <c r="I493" s="177"/>
      <c r="J493" s="388"/>
      <c r="K493" s="177"/>
      <c r="L493" s="388"/>
      <c r="M493" s="177"/>
      <c r="N493" s="388"/>
      <c r="O493" s="177"/>
      <c r="P493" s="388"/>
      <c r="Q493" s="177"/>
      <c r="R493" s="388"/>
      <c r="S493" s="177"/>
      <c r="T493" s="388"/>
      <c r="U493" s="177"/>
      <c r="V493" s="388"/>
      <c r="W493" s="177"/>
      <c r="X493" s="388"/>
      <c r="Y493" s="177"/>
      <c r="Z493" s="388"/>
      <c r="AA493" s="177"/>
      <c r="AB493" s="388"/>
      <c r="AC493" s="177"/>
      <c r="AD493" s="388"/>
      <c r="AE493" s="177"/>
      <c r="AF493" s="388"/>
      <c r="AG493" s="177"/>
      <c r="AH493" s="388"/>
      <c r="AI493" s="177"/>
      <c r="AJ493" s="388"/>
      <c r="AK493" s="177"/>
      <c r="AL493" s="388"/>
      <c r="AM493" s="177"/>
      <c r="AN493" s="388"/>
      <c r="AO493" s="177"/>
      <c r="AP493" s="388"/>
      <c r="AQ493" s="177"/>
      <c r="AR493" s="209" t="str">
        <f ca="1">IF(LEN(B493)&gt;0,ISNUMBER(MATCH(B493,Proposed[Item],0)),"")</f>
        <v/>
      </c>
    </row>
    <row r="494" spans="1:44" ht="15" x14ac:dyDescent="0.2">
      <c r="A494" s="276">
        <f t="shared" ca="1" si="7"/>
        <v>243</v>
      </c>
      <c r="B494" s="111" t="str">
        <f ca="1">IF($A494&lt;=NumPayItems,"Line "&amp;INDEX(Calcs[Line],$A494),"")</f>
        <v/>
      </c>
      <c r="C494" s="169" t="str">
        <f ca="1">IFERROR(IF($D494="LPSM","ALL",TEXT(INDEX(INDIRECT(RangeQuantity),MATCH($A494,INDIRECT(RangeCount),0)),"#,##0"&amp;IF(OFFSET(Items[],MATCH($A494,INDIRECT(RangeCount),0)-1,MATCH(Decimals,Items[#Headers],0)-1,1,1)&gt;0,"."&amp;REPT("0",OFFSET(Items[],MATCH($A494,INDIRECT(RangeCount),0)-1,MATCH(Decimals,Items[#Headers],0)-1,1,1)),""))),"")</f>
        <v/>
      </c>
      <c r="D494" s="170" t="str">
        <f ca="1">IFERROR(INDEX(INDIRECT(RangeUnit),MATCH($A494,INDIRECT(RangeCount),0)),"")</f>
        <v/>
      </c>
      <c r="E494" s="170" t="str">
        <f ca="1">IFERROR(IF(INDEX(INDIRECT(RangeContrQty),MATCH($A494,INDIRECT(RangeCount),0)),"(CQ)",""),"")</f>
        <v/>
      </c>
      <c r="F494" s="171" t="str">
        <f ca="1">IFERROR(INDEX(INDIRECT(RangeUnitPrice),MATCH($A494,INDIRECT(RangeCount),0)),"")</f>
        <v/>
      </c>
      <c r="G494" s="171" t="str">
        <f ca="1">IFERROR(VALUE(C494)*F494,F494)</f>
        <v/>
      </c>
      <c r="H494" s="388"/>
      <c r="I494" s="178" t="str">
        <f ca="1">IF($C494="","",IF($D494="LPSM",H493,VALUE($C494)*H493))</f>
        <v/>
      </c>
      <c r="J494" s="388"/>
      <c r="K494" s="178" t="str">
        <f ca="1">IF($C494="","",IF($D494="LPSM",J493,VALUE($C494)*J493))</f>
        <v/>
      </c>
      <c r="L494" s="388"/>
      <c r="M494" s="178" t="str">
        <f ca="1">IF($C494="","",IF($D494="LPSM",L493,VALUE($C494)*L493))</f>
        <v/>
      </c>
      <c r="N494" s="388"/>
      <c r="O494" s="178" t="str">
        <f ca="1">IF($C494="","",IF($D494="LPSM",N493,VALUE($C494)*N493))</f>
        <v/>
      </c>
      <c r="P494" s="388"/>
      <c r="Q494" s="178" t="str">
        <f ca="1">IF($C494="","",IF($D494="LPSM",P493,VALUE($C494)*P493))</f>
        <v/>
      </c>
      <c r="R494" s="388"/>
      <c r="S494" s="178" t="str">
        <f ca="1">IF($C494="","",IF($D494="LPSM",R493,VALUE($C494)*R493))</f>
        <v/>
      </c>
      <c r="T494" s="388"/>
      <c r="U494" s="178" t="str">
        <f ca="1">IF($C494="","",IF($D494="LPSM",T493,VALUE($C494)*T493))</f>
        <v/>
      </c>
      <c r="V494" s="388"/>
      <c r="W494" s="178" t="str">
        <f ca="1">IF($C494="","",IF($D494="LPSM",V493,VALUE($C494)*V493))</f>
        <v/>
      </c>
      <c r="X494" s="388"/>
      <c r="Y494" s="178" t="str">
        <f ca="1">IF($C494="","",IF($D494="LPSM",X493,VALUE($C494)*X493))</f>
        <v/>
      </c>
      <c r="Z494" s="388"/>
      <c r="AA494" s="178" t="str">
        <f ca="1">IF($C494="","",IF($D494="LPSM",Z493,VALUE($C494)*Z493))</f>
        <v/>
      </c>
      <c r="AB494" s="388"/>
      <c r="AC494" s="178" t="str">
        <f ca="1">IF($C494="","",IF($D494="LPSM",AB493,VALUE($C494)*AB493))</f>
        <v/>
      </c>
      <c r="AD494" s="388"/>
      <c r="AE494" s="178" t="str">
        <f ca="1">IF($C494="","",IF($D494="LPSM",AD493,VALUE($C494)*AD493))</f>
        <v/>
      </c>
      <c r="AF494" s="388"/>
      <c r="AG494" s="178" t="str">
        <f ca="1">IF($C494="","",IF($D494="LPSM",AF493,VALUE($C494)*AF493))</f>
        <v/>
      </c>
      <c r="AH494" s="388"/>
      <c r="AI494" s="178" t="str">
        <f ca="1">IF($C494="","",IF($D494="LPSM",AH493,VALUE($C494)*AH493))</f>
        <v/>
      </c>
      <c r="AJ494" s="388"/>
      <c r="AK494" s="178" t="str">
        <f ca="1">IF($C494="","",IF($D494="LPSM",AJ493,VALUE($C494)*AJ493))</f>
        <v/>
      </c>
      <c r="AL494" s="388"/>
      <c r="AM494" s="178" t="str">
        <f ca="1">IF($C494="","",IF($D494="LPSM",AL493,VALUE($C494)*AL493))</f>
        <v/>
      </c>
      <c r="AN494" s="388"/>
      <c r="AO494" s="178" t="str">
        <f ca="1">IF($C494="","",IF($D494="LPSM",AN493,VALUE($C494)*AN493))</f>
        <v/>
      </c>
      <c r="AP494" s="388"/>
      <c r="AQ494" s="178" t="str">
        <f ca="1">IF($C494="","",IF($D494="LPSM",AP493,VALUE($C494)*AP493))</f>
        <v/>
      </c>
      <c r="AR494" s="209" t="str">
        <f ca="1">IF(LEN(B494)&gt;0,ISNUMBER(MATCH(B494,Proposed[Item],0)),"")</f>
        <v/>
      </c>
    </row>
    <row r="495" spans="1:44" ht="15" x14ac:dyDescent="0.2">
      <c r="A495" s="276">
        <f t="shared" ca="1" si="7"/>
        <v>244</v>
      </c>
      <c r="B495" s="168" t="str">
        <f ca="1">IFERROR(INDEX(INDIRECT(RangeItems),MATCH($A495,INDIRECT(RangeCount),0)),"")</f>
        <v/>
      </c>
      <c r="C495" s="365" t="str">
        <f ca="1">INDEX(Calcs[Description],$A495)</f>
        <v/>
      </c>
      <c r="D495" s="365"/>
      <c r="E495" s="365"/>
      <c r="F495" s="365"/>
      <c r="G495" s="365"/>
      <c r="H495" s="388"/>
      <c r="I495" s="177"/>
      <c r="J495" s="388"/>
      <c r="K495" s="177"/>
      <c r="L495" s="388"/>
      <c r="M495" s="177"/>
      <c r="N495" s="388"/>
      <c r="O495" s="177"/>
      <c r="P495" s="388"/>
      <c r="Q495" s="177"/>
      <c r="R495" s="388"/>
      <c r="S495" s="177"/>
      <c r="T495" s="388"/>
      <c r="U495" s="177"/>
      <c r="V495" s="388"/>
      <c r="W495" s="177"/>
      <c r="X495" s="388"/>
      <c r="Y495" s="177"/>
      <c r="Z495" s="388"/>
      <c r="AA495" s="177"/>
      <c r="AB495" s="388"/>
      <c r="AC495" s="177"/>
      <c r="AD495" s="388"/>
      <c r="AE495" s="177"/>
      <c r="AF495" s="388"/>
      <c r="AG495" s="177"/>
      <c r="AH495" s="388"/>
      <c r="AI495" s="177"/>
      <c r="AJ495" s="388"/>
      <c r="AK495" s="177"/>
      <c r="AL495" s="388"/>
      <c r="AM495" s="177"/>
      <c r="AN495" s="388"/>
      <c r="AO495" s="177"/>
      <c r="AP495" s="388"/>
      <c r="AQ495" s="177"/>
      <c r="AR495" s="209" t="str">
        <f ca="1">IF(LEN(B495)&gt;0,ISNUMBER(MATCH(B495,Proposed[Item],0)),"")</f>
        <v/>
      </c>
    </row>
    <row r="496" spans="1:44" ht="15" x14ac:dyDescent="0.2">
      <c r="A496" s="276">
        <f t="shared" ca="1" si="7"/>
        <v>244</v>
      </c>
      <c r="B496" s="111" t="str">
        <f ca="1">IF($A496&lt;=NumPayItems,"Line "&amp;INDEX(Calcs[Line],$A496),"")</f>
        <v/>
      </c>
      <c r="C496" s="169" t="str">
        <f ca="1">IFERROR(IF($D496="LPSM","ALL",TEXT(INDEX(INDIRECT(RangeQuantity),MATCH($A496,INDIRECT(RangeCount),0)),"#,##0"&amp;IF(OFFSET(Items[],MATCH($A496,INDIRECT(RangeCount),0)-1,MATCH(Decimals,Items[#Headers],0)-1,1,1)&gt;0,"."&amp;REPT("0",OFFSET(Items[],MATCH($A496,INDIRECT(RangeCount),0)-1,MATCH(Decimals,Items[#Headers],0)-1,1,1)),""))),"")</f>
        <v/>
      </c>
      <c r="D496" s="170" t="str">
        <f ca="1">IFERROR(INDEX(INDIRECT(RangeUnit),MATCH($A496,INDIRECT(RangeCount),0)),"")</f>
        <v/>
      </c>
      <c r="E496" s="170" t="str">
        <f ca="1">IFERROR(IF(INDEX(INDIRECT(RangeContrQty),MATCH($A496,INDIRECT(RangeCount),0)),"(CQ)",""),"")</f>
        <v/>
      </c>
      <c r="F496" s="171" t="str">
        <f ca="1">IFERROR(INDEX(INDIRECT(RangeUnitPrice),MATCH($A496,INDIRECT(RangeCount),0)),"")</f>
        <v/>
      </c>
      <c r="G496" s="171" t="str">
        <f ca="1">IFERROR(VALUE(C496)*F496,F496)</f>
        <v/>
      </c>
      <c r="H496" s="388"/>
      <c r="I496" s="178" t="str">
        <f ca="1">IF($C496="","",IF($D496="LPSM",H495,VALUE($C496)*H495))</f>
        <v/>
      </c>
      <c r="J496" s="388"/>
      <c r="K496" s="178" t="str">
        <f ca="1">IF($C496="","",IF($D496="LPSM",J495,VALUE($C496)*J495))</f>
        <v/>
      </c>
      <c r="L496" s="388"/>
      <c r="M496" s="178" t="str">
        <f ca="1">IF($C496="","",IF($D496="LPSM",L495,VALUE($C496)*L495))</f>
        <v/>
      </c>
      <c r="N496" s="388"/>
      <c r="O496" s="178" t="str">
        <f ca="1">IF($C496="","",IF($D496="LPSM",N495,VALUE($C496)*N495))</f>
        <v/>
      </c>
      <c r="P496" s="388"/>
      <c r="Q496" s="178" t="str">
        <f ca="1">IF($C496="","",IF($D496="LPSM",P495,VALUE($C496)*P495))</f>
        <v/>
      </c>
      <c r="R496" s="388"/>
      <c r="S496" s="178" t="str">
        <f ca="1">IF($C496="","",IF($D496="LPSM",R495,VALUE($C496)*R495))</f>
        <v/>
      </c>
      <c r="T496" s="388"/>
      <c r="U496" s="178" t="str">
        <f ca="1">IF($C496="","",IF($D496="LPSM",T495,VALUE($C496)*T495))</f>
        <v/>
      </c>
      <c r="V496" s="388"/>
      <c r="W496" s="178" t="str">
        <f ca="1">IF($C496="","",IF($D496="LPSM",V495,VALUE($C496)*V495))</f>
        <v/>
      </c>
      <c r="X496" s="388"/>
      <c r="Y496" s="178" t="str">
        <f ca="1">IF($C496="","",IF($D496="LPSM",X495,VALUE($C496)*X495))</f>
        <v/>
      </c>
      <c r="Z496" s="388"/>
      <c r="AA496" s="178" t="str">
        <f ca="1">IF($C496="","",IF($D496="LPSM",Z495,VALUE($C496)*Z495))</f>
        <v/>
      </c>
      <c r="AB496" s="388"/>
      <c r="AC496" s="178" t="str">
        <f ca="1">IF($C496="","",IF($D496="LPSM",AB495,VALUE($C496)*AB495))</f>
        <v/>
      </c>
      <c r="AD496" s="388"/>
      <c r="AE496" s="178" t="str">
        <f ca="1">IF($C496="","",IF($D496="LPSM",AD495,VALUE($C496)*AD495))</f>
        <v/>
      </c>
      <c r="AF496" s="388"/>
      <c r="AG496" s="178" t="str">
        <f ca="1">IF($C496="","",IF($D496="LPSM",AF495,VALUE($C496)*AF495))</f>
        <v/>
      </c>
      <c r="AH496" s="388"/>
      <c r="AI496" s="178" t="str">
        <f ca="1">IF($C496="","",IF($D496="LPSM",AH495,VALUE($C496)*AH495))</f>
        <v/>
      </c>
      <c r="AJ496" s="388"/>
      <c r="AK496" s="178" t="str">
        <f ca="1">IF($C496="","",IF($D496="LPSM",AJ495,VALUE($C496)*AJ495))</f>
        <v/>
      </c>
      <c r="AL496" s="388"/>
      <c r="AM496" s="178" t="str">
        <f ca="1">IF($C496="","",IF($D496="LPSM",AL495,VALUE($C496)*AL495))</f>
        <v/>
      </c>
      <c r="AN496" s="388"/>
      <c r="AO496" s="178" t="str">
        <f ca="1">IF($C496="","",IF($D496="LPSM",AN495,VALUE($C496)*AN495))</f>
        <v/>
      </c>
      <c r="AP496" s="388"/>
      <c r="AQ496" s="178" t="str">
        <f ca="1">IF($C496="","",IF($D496="LPSM",AP495,VALUE($C496)*AP495))</f>
        <v/>
      </c>
      <c r="AR496" s="209" t="str">
        <f ca="1">IF(LEN(B496)&gt;0,ISNUMBER(MATCH(B496,Proposed[Item],0)),"")</f>
        <v/>
      </c>
    </row>
    <row r="497" spans="1:44" ht="15" x14ac:dyDescent="0.2">
      <c r="A497" s="276">
        <f t="shared" ca="1" si="7"/>
        <v>245</v>
      </c>
      <c r="B497" s="168" t="str">
        <f ca="1">IFERROR(INDEX(INDIRECT(RangeItems),MATCH($A497,INDIRECT(RangeCount),0)),"")</f>
        <v/>
      </c>
      <c r="C497" s="365" t="str">
        <f ca="1">INDEX(Calcs[Description],$A497)</f>
        <v/>
      </c>
      <c r="D497" s="365"/>
      <c r="E497" s="365"/>
      <c r="F497" s="365"/>
      <c r="G497" s="365"/>
      <c r="H497" s="388"/>
      <c r="I497" s="177"/>
      <c r="J497" s="388"/>
      <c r="K497" s="177"/>
      <c r="L497" s="388"/>
      <c r="M497" s="177"/>
      <c r="N497" s="388"/>
      <c r="O497" s="177"/>
      <c r="P497" s="388"/>
      <c r="Q497" s="177"/>
      <c r="R497" s="388"/>
      <c r="S497" s="177"/>
      <c r="T497" s="388"/>
      <c r="U497" s="177"/>
      <c r="V497" s="388"/>
      <c r="W497" s="177"/>
      <c r="X497" s="388"/>
      <c r="Y497" s="177"/>
      <c r="Z497" s="388"/>
      <c r="AA497" s="177"/>
      <c r="AB497" s="388"/>
      <c r="AC497" s="177"/>
      <c r="AD497" s="388"/>
      <c r="AE497" s="177"/>
      <c r="AF497" s="388"/>
      <c r="AG497" s="177"/>
      <c r="AH497" s="388"/>
      <c r="AI497" s="177"/>
      <c r="AJ497" s="388"/>
      <c r="AK497" s="177"/>
      <c r="AL497" s="388"/>
      <c r="AM497" s="177"/>
      <c r="AN497" s="388"/>
      <c r="AO497" s="177"/>
      <c r="AP497" s="388"/>
      <c r="AQ497" s="177"/>
      <c r="AR497" s="209" t="str">
        <f ca="1">IF(LEN(B497)&gt;0,ISNUMBER(MATCH(B497,Proposed[Item],0)),"")</f>
        <v/>
      </c>
    </row>
    <row r="498" spans="1:44" ht="15" x14ac:dyDescent="0.2">
      <c r="A498" s="276">
        <f t="shared" ca="1" si="7"/>
        <v>245</v>
      </c>
      <c r="B498" s="111" t="str">
        <f ca="1">IF($A498&lt;=NumPayItems,"Line "&amp;INDEX(Calcs[Line],$A498),"")</f>
        <v/>
      </c>
      <c r="C498" s="169" t="str">
        <f ca="1">IFERROR(IF($D498="LPSM","ALL",TEXT(INDEX(INDIRECT(RangeQuantity),MATCH($A498,INDIRECT(RangeCount),0)),"#,##0"&amp;IF(OFFSET(Items[],MATCH($A498,INDIRECT(RangeCount),0)-1,MATCH(Decimals,Items[#Headers],0)-1,1,1)&gt;0,"."&amp;REPT("0",OFFSET(Items[],MATCH($A498,INDIRECT(RangeCount),0)-1,MATCH(Decimals,Items[#Headers],0)-1,1,1)),""))),"")</f>
        <v/>
      </c>
      <c r="D498" s="170" t="str">
        <f ca="1">IFERROR(INDEX(INDIRECT(RangeUnit),MATCH($A498,INDIRECT(RangeCount),0)),"")</f>
        <v/>
      </c>
      <c r="E498" s="170" t="str">
        <f ca="1">IFERROR(IF(INDEX(INDIRECT(RangeContrQty),MATCH($A498,INDIRECT(RangeCount),0)),"(CQ)",""),"")</f>
        <v/>
      </c>
      <c r="F498" s="171" t="str">
        <f ca="1">IFERROR(INDEX(INDIRECT(RangeUnitPrice),MATCH($A498,INDIRECT(RangeCount),0)),"")</f>
        <v/>
      </c>
      <c r="G498" s="171" t="str">
        <f ca="1">IFERROR(VALUE(C498)*F498,F498)</f>
        <v/>
      </c>
      <c r="H498" s="388"/>
      <c r="I498" s="178" t="str">
        <f ca="1">IF($C498="","",IF($D498="LPSM",H497,VALUE($C498)*H497))</f>
        <v/>
      </c>
      <c r="J498" s="388"/>
      <c r="K498" s="178" t="str">
        <f ca="1">IF($C498="","",IF($D498="LPSM",J497,VALUE($C498)*J497))</f>
        <v/>
      </c>
      <c r="L498" s="388"/>
      <c r="M498" s="178" t="str">
        <f ca="1">IF($C498="","",IF($D498="LPSM",L497,VALUE($C498)*L497))</f>
        <v/>
      </c>
      <c r="N498" s="388"/>
      <c r="O498" s="178" t="str">
        <f ca="1">IF($C498="","",IF($D498="LPSM",N497,VALUE($C498)*N497))</f>
        <v/>
      </c>
      <c r="P498" s="388"/>
      <c r="Q498" s="178" t="str">
        <f ca="1">IF($C498="","",IF($D498="LPSM",P497,VALUE($C498)*P497))</f>
        <v/>
      </c>
      <c r="R498" s="388"/>
      <c r="S498" s="178" t="str">
        <f ca="1">IF($C498="","",IF($D498="LPSM",R497,VALUE($C498)*R497))</f>
        <v/>
      </c>
      <c r="T498" s="388"/>
      <c r="U498" s="178" t="str">
        <f ca="1">IF($C498="","",IF($D498="LPSM",T497,VALUE($C498)*T497))</f>
        <v/>
      </c>
      <c r="V498" s="388"/>
      <c r="W498" s="178" t="str">
        <f ca="1">IF($C498="","",IF($D498="LPSM",V497,VALUE($C498)*V497))</f>
        <v/>
      </c>
      <c r="X498" s="388"/>
      <c r="Y498" s="178" t="str">
        <f ca="1">IF($C498="","",IF($D498="LPSM",X497,VALUE($C498)*X497))</f>
        <v/>
      </c>
      <c r="Z498" s="388"/>
      <c r="AA498" s="178" t="str">
        <f ca="1">IF($C498="","",IF($D498="LPSM",Z497,VALUE($C498)*Z497))</f>
        <v/>
      </c>
      <c r="AB498" s="388"/>
      <c r="AC498" s="178" t="str">
        <f ca="1">IF($C498="","",IF($D498="LPSM",AB497,VALUE($C498)*AB497))</f>
        <v/>
      </c>
      <c r="AD498" s="388"/>
      <c r="AE498" s="178" t="str">
        <f ca="1">IF($C498="","",IF($D498="LPSM",AD497,VALUE($C498)*AD497))</f>
        <v/>
      </c>
      <c r="AF498" s="388"/>
      <c r="AG498" s="178" t="str">
        <f ca="1">IF($C498="","",IF($D498="LPSM",AF497,VALUE($C498)*AF497))</f>
        <v/>
      </c>
      <c r="AH498" s="388"/>
      <c r="AI498" s="178" t="str">
        <f ca="1">IF($C498="","",IF($D498="LPSM",AH497,VALUE($C498)*AH497))</f>
        <v/>
      </c>
      <c r="AJ498" s="388"/>
      <c r="AK498" s="178" t="str">
        <f ca="1">IF($C498="","",IF($D498="LPSM",AJ497,VALUE($C498)*AJ497))</f>
        <v/>
      </c>
      <c r="AL498" s="388"/>
      <c r="AM498" s="178" t="str">
        <f ca="1">IF($C498="","",IF($D498="LPSM",AL497,VALUE($C498)*AL497))</f>
        <v/>
      </c>
      <c r="AN498" s="388"/>
      <c r="AO498" s="178" t="str">
        <f ca="1">IF($C498="","",IF($D498="LPSM",AN497,VALUE($C498)*AN497))</f>
        <v/>
      </c>
      <c r="AP498" s="388"/>
      <c r="AQ498" s="178" t="str">
        <f ca="1">IF($C498="","",IF($D498="LPSM",AP497,VALUE($C498)*AP497))</f>
        <v/>
      </c>
      <c r="AR498" s="209" t="str">
        <f ca="1">IF(LEN(B498)&gt;0,ISNUMBER(MATCH(B498,Proposed[Item],0)),"")</f>
        <v/>
      </c>
    </row>
    <row r="499" spans="1:44" ht="15" x14ac:dyDescent="0.2">
      <c r="A499" s="276">
        <f t="shared" ca="1" si="7"/>
        <v>246</v>
      </c>
      <c r="B499" s="168" t="str">
        <f ca="1">IFERROR(INDEX(INDIRECT(RangeItems),MATCH($A499,INDIRECT(RangeCount),0)),"")</f>
        <v/>
      </c>
      <c r="C499" s="365" t="str">
        <f ca="1">INDEX(Calcs[Description],$A499)</f>
        <v/>
      </c>
      <c r="D499" s="365"/>
      <c r="E499" s="365"/>
      <c r="F499" s="365"/>
      <c r="G499" s="365"/>
      <c r="H499" s="388"/>
      <c r="I499" s="177"/>
      <c r="J499" s="388"/>
      <c r="K499" s="177"/>
      <c r="L499" s="388"/>
      <c r="M499" s="177"/>
      <c r="N499" s="388"/>
      <c r="O499" s="177"/>
      <c r="P499" s="388"/>
      <c r="Q499" s="177"/>
      <c r="R499" s="388"/>
      <c r="S499" s="177"/>
      <c r="T499" s="388"/>
      <c r="U499" s="177"/>
      <c r="V499" s="388"/>
      <c r="W499" s="177"/>
      <c r="X499" s="388"/>
      <c r="Y499" s="177"/>
      <c r="Z499" s="388"/>
      <c r="AA499" s="177"/>
      <c r="AB499" s="388"/>
      <c r="AC499" s="177"/>
      <c r="AD499" s="388"/>
      <c r="AE499" s="177"/>
      <c r="AF499" s="388"/>
      <c r="AG499" s="177"/>
      <c r="AH499" s="388"/>
      <c r="AI499" s="177"/>
      <c r="AJ499" s="388"/>
      <c r="AK499" s="177"/>
      <c r="AL499" s="388"/>
      <c r="AM499" s="177"/>
      <c r="AN499" s="388"/>
      <c r="AO499" s="177"/>
      <c r="AP499" s="388"/>
      <c r="AQ499" s="177"/>
      <c r="AR499" s="209" t="str">
        <f ca="1">IF(LEN(B499)&gt;0,ISNUMBER(MATCH(B499,Proposed[Item],0)),"")</f>
        <v/>
      </c>
    </row>
    <row r="500" spans="1:44" ht="15" x14ac:dyDescent="0.2">
      <c r="A500" s="276">
        <f t="shared" ca="1" si="7"/>
        <v>246</v>
      </c>
      <c r="B500" s="111" t="str">
        <f ca="1">IF($A500&lt;=NumPayItems,"Line "&amp;INDEX(Calcs[Line],$A500),"")</f>
        <v/>
      </c>
      <c r="C500" s="169" t="str">
        <f ca="1">IFERROR(IF($D500="LPSM","ALL",TEXT(INDEX(INDIRECT(RangeQuantity),MATCH($A500,INDIRECT(RangeCount),0)),"#,##0"&amp;IF(OFFSET(Items[],MATCH($A500,INDIRECT(RangeCount),0)-1,MATCH(Decimals,Items[#Headers],0)-1,1,1)&gt;0,"."&amp;REPT("0",OFFSET(Items[],MATCH($A500,INDIRECT(RangeCount),0)-1,MATCH(Decimals,Items[#Headers],0)-1,1,1)),""))),"")</f>
        <v/>
      </c>
      <c r="D500" s="170" t="str">
        <f ca="1">IFERROR(INDEX(INDIRECT(RangeUnit),MATCH($A500,INDIRECT(RangeCount),0)),"")</f>
        <v/>
      </c>
      <c r="E500" s="170" t="str">
        <f ca="1">IFERROR(IF(INDEX(INDIRECT(RangeContrQty),MATCH($A500,INDIRECT(RangeCount),0)),"(CQ)",""),"")</f>
        <v/>
      </c>
      <c r="F500" s="171" t="str">
        <f ca="1">IFERROR(INDEX(INDIRECT(RangeUnitPrice),MATCH($A500,INDIRECT(RangeCount),0)),"")</f>
        <v/>
      </c>
      <c r="G500" s="171" t="str">
        <f ca="1">IFERROR(VALUE(C500)*F500,F500)</f>
        <v/>
      </c>
      <c r="H500" s="388"/>
      <c r="I500" s="178" t="str">
        <f ca="1">IF($C500="","",IF($D500="LPSM",H499,VALUE($C500)*H499))</f>
        <v/>
      </c>
      <c r="J500" s="388"/>
      <c r="K500" s="178" t="str">
        <f ca="1">IF($C500="","",IF($D500="LPSM",J499,VALUE($C500)*J499))</f>
        <v/>
      </c>
      <c r="L500" s="388"/>
      <c r="M500" s="178" t="str">
        <f ca="1">IF($C500="","",IF($D500="LPSM",L499,VALUE($C500)*L499))</f>
        <v/>
      </c>
      <c r="N500" s="388"/>
      <c r="O500" s="178" t="str">
        <f ca="1">IF($C500="","",IF($D500="LPSM",N499,VALUE($C500)*N499))</f>
        <v/>
      </c>
      <c r="P500" s="388"/>
      <c r="Q500" s="178" t="str">
        <f ca="1">IF($C500="","",IF($D500="LPSM",P499,VALUE($C500)*P499))</f>
        <v/>
      </c>
      <c r="R500" s="388"/>
      <c r="S500" s="178" t="str">
        <f ca="1">IF($C500="","",IF($D500="LPSM",R499,VALUE($C500)*R499))</f>
        <v/>
      </c>
      <c r="T500" s="388"/>
      <c r="U500" s="178" t="str">
        <f ca="1">IF($C500="","",IF($D500="LPSM",T499,VALUE($C500)*T499))</f>
        <v/>
      </c>
      <c r="V500" s="388"/>
      <c r="W500" s="178" t="str">
        <f ca="1">IF($C500="","",IF($D500="LPSM",V499,VALUE($C500)*V499))</f>
        <v/>
      </c>
      <c r="X500" s="388"/>
      <c r="Y500" s="178" t="str">
        <f ca="1">IF($C500="","",IF($D500="LPSM",X499,VALUE($C500)*X499))</f>
        <v/>
      </c>
      <c r="Z500" s="388"/>
      <c r="AA500" s="178" t="str">
        <f ca="1">IF($C500="","",IF($D500="LPSM",Z499,VALUE($C500)*Z499))</f>
        <v/>
      </c>
      <c r="AB500" s="388"/>
      <c r="AC500" s="178" t="str">
        <f ca="1">IF($C500="","",IF($D500="LPSM",AB499,VALUE($C500)*AB499))</f>
        <v/>
      </c>
      <c r="AD500" s="388"/>
      <c r="AE500" s="178" t="str">
        <f ca="1">IF($C500="","",IF($D500="LPSM",AD499,VALUE($C500)*AD499))</f>
        <v/>
      </c>
      <c r="AF500" s="388"/>
      <c r="AG500" s="178" t="str">
        <f ca="1">IF($C500="","",IF($D500="LPSM",AF499,VALUE($C500)*AF499))</f>
        <v/>
      </c>
      <c r="AH500" s="388"/>
      <c r="AI500" s="178" t="str">
        <f ca="1">IF($C500="","",IF($D500="LPSM",AH499,VALUE($C500)*AH499))</f>
        <v/>
      </c>
      <c r="AJ500" s="388"/>
      <c r="AK500" s="178" t="str">
        <f ca="1">IF($C500="","",IF($D500="LPSM",AJ499,VALUE($C500)*AJ499))</f>
        <v/>
      </c>
      <c r="AL500" s="388"/>
      <c r="AM500" s="178" t="str">
        <f ca="1">IF($C500="","",IF($D500="LPSM",AL499,VALUE($C500)*AL499))</f>
        <v/>
      </c>
      <c r="AN500" s="388"/>
      <c r="AO500" s="178" t="str">
        <f ca="1">IF($C500="","",IF($D500="LPSM",AN499,VALUE($C500)*AN499))</f>
        <v/>
      </c>
      <c r="AP500" s="388"/>
      <c r="AQ500" s="178" t="str">
        <f ca="1">IF($C500="","",IF($D500="LPSM",AP499,VALUE($C500)*AP499))</f>
        <v/>
      </c>
      <c r="AR500" s="209" t="str">
        <f ca="1">IF(LEN(B500)&gt;0,ISNUMBER(MATCH(B500,Proposed[Item],0)),"")</f>
        <v/>
      </c>
    </row>
    <row r="501" spans="1:44" ht="15" x14ac:dyDescent="0.2">
      <c r="A501" s="156">
        <f t="shared" ca="1" si="7"/>
        <v>247</v>
      </c>
      <c r="B501" s="24" t="str">
        <f ca="1">IFERROR(INDEX(INDIRECT(RangeItems),MATCH($A501,INDIRECT(RangeCount),0)),"")</f>
        <v/>
      </c>
      <c r="C501" s="392" t="str">
        <f ca="1">INDEX(Calcs[Description],$A501)</f>
        <v/>
      </c>
      <c r="D501" s="392"/>
      <c r="E501" s="392"/>
      <c r="F501" s="392"/>
      <c r="G501" s="393"/>
      <c r="H501" s="388"/>
      <c r="I501" s="177"/>
      <c r="J501" s="388"/>
      <c r="K501" s="177"/>
      <c r="L501" s="388"/>
      <c r="M501" s="177"/>
      <c r="N501" s="388"/>
      <c r="O501" s="177"/>
      <c r="P501" s="388"/>
      <c r="Q501" s="177"/>
      <c r="R501" s="388"/>
      <c r="S501" s="177"/>
      <c r="T501" s="388"/>
      <c r="U501" s="177"/>
      <c r="V501" s="388"/>
      <c r="W501" s="177"/>
      <c r="X501" s="388"/>
      <c r="Y501" s="177"/>
      <c r="Z501" s="388"/>
      <c r="AA501" s="177"/>
      <c r="AB501" s="388"/>
      <c r="AC501" s="177"/>
      <c r="AD501" s="388"/>
      <c r="AE501" s="177"/>
      <c r="AF501" s="388"/>
      <c r="AG501" s="177"/>
      <c r="AH501" s="388"/>
      <c r="AI501" s="177"/>
      <c r="AJ501" s="388"/>
      <c r="AK501" s="177"/>
      <c r="AL501" s="388"/>
      <c r="AM501" s="177"/>
      <c r="AN501" s="388"/>
      <c r="AO501" s="177"/>
      <c r="AP501" s="388"/>
      <c r="AQ501" s="177"/>
      <c r="AR501" s="209" t="str">
        <f ca="1">IF(LEN(B501)&gt;0,ISNUMBER(MATCH(B501,Proposed[Item],0)),"")</f>
        <v/>
      </c>
    </row>
    <row r="502" spans="1:44" ht="15" x14ac:dyDescent="0.2">
      <c r="A502" s="156">
        <f t="shared" ca="1" si="7"/>
        <v>247</v>
      </c>
      <c r="B502" s="111" t="str">
        <f ca="1">IF($A502&lt;=NumPayItems,"Line "&amp;INDEX(Calcs[Line],$A502),"")</f>
        <v/>
      </c>
      <c r="C502" s="112" t="str">
        <f ca="1">IFERROR(IF($D502="LPSM","ALL",TEXT(INDEX(INDIRECT(RangeQuantity),MATCH($A502,INDIRECT(RangeCount),0)),"#,##0"&amp;IF(OFFSET(Items[],MATCH($A502,INDIRECT(RangeCount),0)-1,MATCH(Decimals,Items[#Headers],0)-1,1,1)&gt;0,"."&amp;REPT("0",OFFSET(Items[],MATCH($A502,INDIRECT(RangeCount),0)-1,MATCH(Decimals,Items[#Headers],0)-1,1,1)),""))),"")</f>
        <v/>
      </c>
      <c r="D502" s="23" t="str">
        <f ca="1">IFERROR(INDEX(INDIRECT(RangeUnit),MATCH($A502,INDIRECT(RangeCount),0)),"")</f>
        <v/>
      </c>
      <c r="E502" s="23" t="str">
        <f ca="1">IFERROR(IF(INDEX(INDIRECT(RangeContrQty),MATCH($A502,INDIRECT(RangeCount),0)),"(CQ)",""),"")</f>
        <v/>
      </c>
      <c r="F502" s="22" t="str">
        <f ca="1">IFERROR(INDEX(INDIRECT(RangeUnitPrice),MATCH($A502,INDIRECT(RangeCount),0)),"")</f>
        <v/>
      </c>
      <c r="G502" s="150" t="str">
        <f ca="1">IFERROR(VALUE(C502)*F502,F502)</f>
        <v/>
      </c>
      <c r="H502" s="388"/>
      <c r="I502" s="178" t="str">
        <f ca="1">IF($C502="","",IF($D502="LPSM",H501,VALUE($C502)*H501))</f>
        <v/>
      </c>
      <c r="J502" s="388"/>
      <c r="K502" s="178" t="str">
        <f ca="1">IF($C502="","",IF($D502="LPSM",J501,VALUE($C502)*J501))</f>
        <v/>
      </c>
      <c r="L502" s="388"/>
      <c r="M502" s="178" t="str">
        <f ca="1">IF($C502="","",IF($D502="LPSM",L501,VALUE($C502)*L501))</f>
        <v/>
      </c>
      <c r="N502" s="388"/>
      <c r="O502" s="178" t="str">
        <f ca="1">IF($C502="","",IF($D502="LPSM",N501,VALUE($C502)*N501))</f>
        <v/>
      </c>
      <c r="P502" s="388"/>
      <c r="Q502" s="178" t="str">
        <f ca="1">IF($C502="","",IF($D502="LPSM",P501,VALUE($C502)*P501))</f>
        <v/>
      </c>
      <c r="R502" s="388"/>
      <c r="S502" s="178" t="str">
        <f ca="1">IF($C502="","",IF($D502="LPSM",R501,VALUE($C502)*R501))</f>
        <v/>
      </c>
      <c r="T502" s="388"/>
      <c r="U502" s="178" t="str">
        <f ca="1">IF($C502="","",IF($D502="LPSM",T501,VALUE($C502)*T501))</f>
        <v/>
      </c>
      <c r="V502" s="388"/>
      <c r="W502" s="178" t="str">
        <f ca="1">IF($C502="","",IF($D502="LPSM",V501,VALUE($C502)*V501))</f>
        <v/>
      </c>
      <c r="X502" s="388"/>
      <c r="Y502" s="178" t="str">
        <f ca="1">IF($C502="","",IF($D502="LPSM",X501,VALUE($C502)*X501))</f>
        <v/>
      </c>
      <c r="Z502" s="388"/>
      <c r="AA502" s="178" t="str">
        <f ca="1">IF($C502="","",IF($D502="LPSM",Z501,VALUE($C502)*Z501))</f>
        <v/>
      </c>
      <c r="AB502" s="388"/>
      <c r="AC502" s="178" t="str">
        <f ca="1">IF($C502="","",IF($D502="LPSM",AB501,VALUE($C502)*AB501))</f>
        <v/>
      </c>
      <c r="AD502" s="388"/>
      <c r="AE502" s="178" t="str">
        <f ca="1">IF($C502="","",IF($D502="LPSM",AD501,VALUE($C502)*AD501))</f>
        <v/>
      </c>
      <c r="AF502" s="388"/>
      <c r="AG502" s="178" t="str">
        <f ca="1">IF($C502="","",IF($D502="LPSM",AF501,VALUE($C502)*AF501))</f>
        <v/>
      </c>
      <c r="AH502" s="388"/>
      <c r="AI502" s="178" t="str">
        <f ca="1">IF($C502="","",IF($D502="LPSM",AH501,VALUE($C502)*AH501))</f>
        <v/>
      </c>
      <c r="AJ502" s="388"/>
      <c r="AK502" s="178" t="str">
        <f ca="1">IF($C502="","",IF($D502="LPSM",AJ501,VALUE($C502)*AJ501))</f>
        <v/>
      </c>
      <c r="AL502" s="388"/>
      <c r="AM502" s="178" t="str">
        <f ca="1">IF($C502="","",IF($D502="LPSM",AL501,VALUE($C502)*AL501))</f>
        <v/>
      </c>
      <c r="AN502" s="388"/>
      <c r="AO502" s="178" t="str">
        <f ca="1">IF($C502="","",IF($D502="LPSM",AN501,VALUE($C502)*AN501))</f>
        <v/>
      </c>
      <c r="AP502" s="388"/>
      <c r="AQ502" s="178" t="str">
        <f ca="1">IF($C502="","",IF($D502="LPSM",AP501,VALUE($C502)*AP501))</f>
        <v/>
      </c>
      <c r="AR502" s="209" t="str">
        <f ca="1">IF(LEN(B502)&gt;0,ISNUMBER(MATCH(B502,Proposed[Item],0)),"")</f>
        <v/>
      </c>
    </row>
    <row r="503" spans="1:44" ht="15" x14ac:dyDescent="0.2">
      <c r="A503" s="156">
        <f t="shared" ca="1" si="7"/>
        <v>248</v>
      </c>
      <c r="B503" s="24" t="str">
        <f ca="1">IFERROR(INDEX(INDIRECT(RangeItems),MATCH($A503,INDIRECT(RangeCount),0)),"")</f>
        <v/>
      </c>
      <c r="C503" s="392" t="str">
        <f ca="1">INDEX(Calcs[Description],$A503)</f>
        <v/>
      </c>
      <c r="D503" s="392"/>
      <c r="E503" s="392"/>
      <c r="F503" s="392"/>
      <c r="G503" s="393"/>
      <c r="H503" s="388"/>
      <c r="I503" s="177"/>
      <c r="J503" s="388"/>
      <c r="K503" s="177"/>
      <c r="L503" s="388"/>
      <c r="M503" s="177"/>
      <c r="N503" s="388"/>
      <c r="O503" s="177"/>
      <c r="P503" s="388"/>
      <c r="Q503" s="177"/>
      <c r="R503" s="388"/>
      <c r="S503" s="177"/>
      <c r="T503" s="388"/>
      <c r="U503" s="177"/>
      <c r="V503" s="388"/>
      <c r="W503" s="177"/>
      <c r="X503" s="388"/>
      <c r="Y503" s="177"/>
      <c r="Z503" s="388"/>
      <c r="AA503" s="177"/>
      <c r="AB503" s="388"/>
      <c r="AC503" s="177"/>
      <c r="AD503" s="388"/>
      <c r="AE503" s="177"/>
      <c r="AF503" s="388"/>
      <c r="AG503" s="177"/>
      <c r="AH503" s="388"/>
      <c r="AI503" s="177"/>
      <c r="AJ503" s="388"/>
      <c r="AK503" s="177"/>
      <c r="AL503" s="388"/>
      <c r="AM503" s="177"/>
      <c r="AN503" s="388"/>
      <c r="AO503" s="177"/>
      <c r="AP503" s="388"/>
      <c r="AQ503" s="177"/>
      <c r="AR503" s="209" t="str">
        <f ca="1">IF(LEN(B503)&gt;0,ISNUMBER(MATCH(B503,Proposed[Item],0)),"")</f>
        <v/>
      </c>
    </row>
    <row r="504" spans="1:44" ht="15" x14ac:dyDescent="0.2">
      <c r="A504" s="156">
        <f t="shared" ca="1" si="7"/>
        <v>248</v>
      </c>
      <c r="B504" s="111" t="str">
        <f ca="1">IF($A504&lt;=NumPayItems,"Line "&amp;INDEX(Calcs[Line],$A504),"")</f>
        <v/>
      </c>
      <c r="C504" s="112" t="str">
        <f ca="1">IFERROR(IF($D504="LPSM","ALL",TEXT(INDEX(INDIRECT(RangeQuantity),MATCH($A504,INDIRECT(RangeCount),0)),"#,##0"&amp;IF(OFFSET(Items[],MATCH($A504,INDIRECT(RangeCount),0)-1,MATCH(Decimals,Items[#Headers],0)-1,1,1)&gt;0,"."&amp;REPT("0",OFFSET(Items[],MATCH($A504,INDIRECT(RangeCount),0)-1,MATCH(Decimals,Items[#Headers],0)-1,1,1)),""))),"")</f>
        <v/>
      </c>
      <c r="D504" s="23" t="str">
        <f ca="1">IFERROR(INDEX(INDIRECT(RangeUnit),MATCH($A504,INDIRECT(RangeCount),0)),"")</f>
        <v/>
      </c>
      <c r="E504" s="23" t="str">
        <f ca="1">IFERROR(IF(INDEX(INDIRECT(RangeContrQty),MATCH($A504,INDIRECT(RangeCount),0)),"(CQ)",""),"")</f>
        <v/>
      </c>
      <c r="F504" s="22" t="str">
        <f ca="1">IFERROR(INDEX(INDIRECT(RangeUnitPrice),MATCH($A504,INDIRECT(RangeCount),0)),"")</f>
        <v/>
      </c>
      <c r="G504" s="150" t="str">
        <f ca="1">IFERROR(VALUE(C504)*F504,F504)</f>
        <v/>
      </c>
      <c r="H504" s="388"/>
      <c r="I504" s="178" t="str">
        <f ca="1">IF($C504="","",IF($D504="LPSM",H503,VALUE($C504)*H503))</f>
        <v/>
      </c>
      <c r="J504" s="388"/>
      <c r="K504" s="178" t="str">
        <f ca="1">IF($C504="","",IF($D504="LPSM",J503,VALUE($C504)*J503))</f>
        <v/>
      </c>
      <c r="L504" s="388"/>
      <c r="M504" s="178" t="str">
        <f ca="1">IF($C504="","",IF($D504="LPSM",L503,VALUE($C504)*L503))</f>
        <v/>
      </c>
      <c r="N504" s="388"/>
      <c r="O504" s="178" t="str">
        <f ca="1">IF($C504="","",IF($D504="LPSM",N503,VALUE($C504)*N503))</f>
        <v/>
      </c>
      <c r="P504" s="388"/>
      <c r="Q504" s="178" t="str">
        <f ca="1">IF($C504="","",IF($D504="LPSM",P503,VALUE($C504)*P503))</f>
        <v/>
      </c>
      <c r="R504" s="388"/>
      <c r="S504" s="178" t="str">
        <f ca="1">IF($C504="","",IF($D504="LPSM",R503,VALUE($C504)*R503))</f>
        <v/>
      </c>
      <c r="T504" s="388"/>
      <c r="U504" s="178" t="str">
        <f ca="1">IF($C504="","",IF($D504="LPSM",T503,VALUE($C504)*T503))</f>
        <v/>
      </c>
      <c r="V504" s="388"/>
      <c r="W504" s="178" t="str">
        <f ca="1">IF($C504="","",IF($D504="LPSM",V503,VALUE($C504)*V503))</f>
        <v/>
      </c>
      <c r="X504" s="388"/>
      <c r="Y504" s="178" t="str">
        <f ca="1">IF($C504="","",IF($D504="LPSM",X503,VALUE($C504)*X503))</f>
        <v/>
      </c>
      <c r="Z504" s="388"/>
      <c r="AA504" s="178" t="str">
        <f ca="1">IF($C504="","",IF($D504="LPSM",Z503,VALUE($C504)*Z503))</f>
        <v/>
      </c>
      <c r="AB504" s="388"/>
      <c r="AC504" s="178" t="str">
        <f ca="1">IF($C504="","",IF($D504="LPSM",AB503,VALUE($C504)*AB503))</f>
        <v/>
      </c>
      <c r="AD504" s="388"/>
      <c r="AE504" s="178" t="str">
        <f ca="1">IF($C504="","",IF($D504="LPSM",AD503,VALUE($C504)*AD503))</f>
        <v/>
      </c>
      <c r="AF504" s="388"/>
      <c r="AG504" s="178" t="str">
        <f ca="1">IF($C504="","",IF($D504="LPSM",AF503,VALUE($C504)*AF503))</f>
        <v/>
      </c>
      <c r="AH504" s="388"/>
      <c r="AI504" s="178" t="str">
        <f ca="1">IF($C504="","",IF($D504="LPSM",AH503,VALUE($C504)*AH503))</f>
        <v/>
      </c>
      <c r="AJ504" s="388"/>
      <c r="AK504" s="178" t="str">
        <f ca="1">IF($C504="","",IF($D504="LPSM",AJ503,VALUE($C504)*AJ503))</f>
        <v/>
      </c>
      <c r="AL504" s="388"/>
      <c r="AM504" s="178" t="str">
        <f ca="1">IF($C504="","",IF($D504="LPSM",AL503,VALUE($C504)*AL503))</f>
        <v/>
      </c>
      <c r="AN504" s="388"/>
      <c r="AO504" s="178" t="str">
        <f ca="1">IF($C504="","",IF($D504="LPSM",AN503,VALUE($C504)*AN503))</f>
        <v/>
      </c>
      <c r="AP504" s="388"/>
      <c r="AQ504" s="178" t="str">
        <f ca="1">IF($C504="","",IF($D504="LPSM",AP503,VALUE($C504)*AP503))</f>
        <v/>
      </c>
      <c r="AR504" s="209" t="str">
        <f ca="1">IF(LEN(B504)&gt;0,ISNUMBER(MATCH(B504,Proposed[Item],0)),"")</f>
        <v/>
      </c>
    </row>
    <row r="505" spans="1:44" ht="15" x14ac:dyDescent="0.2">
      <c r="A505" s="156">
        <f t="shared" ca="1" si="7"/>
        <v>249</v>
      </c>
      <c r="B505" s="24" t="str">
        <f ca="1">IFERROR(INDEX(INDIRECT(RangeItems),MATCH($A505,INDIRECT(RangeCount),0)),"")</f>
        <v/>
      </c>
      <c r="C505" s="392" t="str">
        <f ca="1">INDEX(Calcs[Description],$A505)</f>
        <v/>
      </c>
      <c r="D505" s="392"/>
      <c r="E505" s="392"/>
      <c r="F505" s="392"/>
      <c r="G505" s="393"/>
      <c r="H505" s="388"/>
      <c r="I505" s="177"/>
      <c r="J505" s="388"/>
      <c r="K505" s="177"/>
      <c r="L505" s="388"/>
      <c r="M505" s="177"/>
      <c r="N505" s="388"/>
      <c r="O505" s="177"/>
      <c r="P505" s="388"/>
      <c r="Q505" s="177"/>
      <c r="R505" s="388"/>
      <c r="S505" s="177"/>
      <c r="T505" s="388"/>
      <c r="U505" s="177"/>
      <c r="V505" s="388"/>
      <c r="W505" s="177"/>
      <c r="X505" s="388"/>
      <c r="Y505" s="177"/>
      <c r="Z505" s="388"/>
      <c r="AA505" s="177"/>
      <c r="AB505" s="388"/>
      <c r="AC505" s="177"/>
      <c r="AD505" s="388"/>
      <c r="AE505" s="177"/>
      <c r="AF505" s="388"/>
      <c r="AG505" s="177"/>
      <c r="AH505" s="388"/>
      <c r="AI505" s="177"/>
      <c r="AJ505" s="388"/>
      <c r="AK505" s="177"/>
      <c r="AL505" s="388"/>
      <c r="AM505" s="177"/>
      <c r="AN505" s="388"/>
      <c r="AO505" s="177"/>
      <c r="AP505" s="388"/>
      <c r="AQ505" s="177"/>
      <c r="AR505" s="209" t="str">
        <f ca="1">IF(LEN(B505)&gt;0,ISNUMBER(MATCH(B505,Proposed[Item],0)),"")</f>
        <v/>
      </c>
    </row>
    <row r="506" spans="1:44" ht="15" x14ac:dyDescent="0.2">
      <c r="A506" s="156">
        <f t="shared" ca="1" si="7"/>
        <v>249</v>
      </c>
      <c r="B506" s="111" t="str">
        <f ca="1">IF($A506&lt;=NumPayItems,"Line "&amp;INDEX(Calcs[Line],$A506),"")</f>
        <v/>
      </c>
      <c r="C506" s="112" t="str">
        <f ca="1">IFERROR(IF($D506="LPSM","ALL",TEXT(INDEX(INDIRECT(RangeQuantity),MATCH($A506,INDIRECT(RangeCount),0)),"#,##0"&amp;IF(OFFSET(Items[],MATCH($A506,INDIRECT(RangeCount),0)-1,MATCH(Decimals,Items[#Headers],0)-1,1,1)&gt;0,"."&amp;REPT("0",OFFSET(Items[],MATCH($A506,INDIRECT(RangeCount),0)-1,MATCH(Decimals,Items[#Headers],0)-1,1,1)),""))),"")</f>
        <v/>
      </c>
      <c r="D506" s="23" t="str">
        <f ca="1">IFERROR(INDEX(INDIRECT(RangeUnit),MATCH($A506,INDIRECT(RangeCount),0)),"")</f>
        <v/>
      </c>
      <c r="E506" s="23" t="str">
        <f ca="1">IFERROR(IF(INDEX(INDIRECT(RangeContrQty),MATCH($A506,INDIRECT(RangeCount),0)),"(CQ)",""),"")</f>
        <v/>
      </c>
      <c r="F506" s="22" t="str">
        <f ca="1">IFERROR(INDEX(INDIRECT(RangeUnitPrice),MATCH($A506,INDIRECT(RangeCount),0)),"")</f>
        <v/>
      </c>
      <c r="G506" s="150" t="str">
        <f ca="1">IFERROR(VALUE(C506)*F506,F506)</f>
        <v/>
      </c>
      <c r="H506" s="388"/>
      <c r="I506" s="178" t="str">
        <f ca="1">IF($C506="","",IF($D506="LPSM",H505,VALUE($C506)*H505))</f>
        <v/>
      </c>
      <c r="J506" s="388"/>
      <c r="K506" s="178" t="str">
        <f ca="1">IF($C506="","",IF($D506="LPSM",J505,VALUE($C506)*J505))</f>
        <v/>
      </c>
      <c r="L506" s="388"/>
      <c r="M506" s="178" t="str">
        <f ca="1">IF($C506="","",IF($D506="LPSM",L505,VALUE($C506)*L505))</f>
        <v/>
      </c>
      <c r="N506" s="388"/>
      <c r="O506" s="178" t="str">
        <f ca="1">IF($C506="","",IF($D506="LPSM",N505,VALUE($C506)*N505))</f>
        <v/>
      </c>
      <c r="P506" s="388"/>
      <c r="Q506" s="178" t="str">
        <f ca="1">IF($C506="","",IF($D506="LPSM",P505,VALUE($C506)*P505))</f>
        <v/>
      </c>
      <c r="R506" s="388"/>
      <c r="S506" s="178" t="str">
        <f ca="1">IF($C506="","",IF($D506="LPSM",R505,VALUE($C506)*R505))</f>
        <v/>
      </c>
      <c r="T506" s="388"/>
      <c r="U506" s="178" t="str">
        <f ca="1">IF($C506="","",IF($D506="LPSM",T505,VALUE($C506)*T505))</f>
        <v/>
      </c>
      <c r="V506" s="388"/>
      <c r="W506" s="178" t="str">
        <f ca="1">IF($C506="","",IF($D506="LPSM",V505,VALUE($C506)*V505))</f>
        <v/>
      </c>
      <c r="X506" s="388"/>
      <c r="Y506" s="178" t="str">
        <f ca="1">IF($C506="","",IF($D506="LPSM",X505,VALUE($C506)*X505))</f>
        <v/>
      </c>
      <c r="Z506" s="388"/>
      <c r="AA506" s="178" t="str">
        <f ca="1">IF($C506="","",IF($D506="LPSM",Z505,VALUE($C506)*Z505))</f>
        <v/>
      </c>
      <c r="AB506" s="388"/>
      <c r="AC506" s="178" t="str">
        <f ca="1">IF($C506="","",IF($D506="LPSM",AB505,VALUE($C506)*AB505))</f>
        <v/>
      </c>
      <c r="AD506" s="388"/>
      <c r="AE506" s="178" t="str">
        <f ca="1">IF($C506="","",IF($D506="LPSM",AD505,VALUE($C506)*AD505))</f>
        <v/>
      </c>
      <c r="AF506" s="388"/>
      <c r="AG506" s="178" t="str">
        <f ca="1">IF($C506="","",IF($D506="LPSM",AF505,VALUE($C506)*AF505))</f>
        <v/>
      </c>
      <c r="AH506" s="388"/>
      <c r="AI506" s="178" t="str">
        <f ca="1">IF($C506="","",IF($D506="LPSM",AH505,VALUE($C506)*AH505))</f>
        <v/>
      </c>
      <c r="AJ506" s="388"/>
      <c r="AK506" s="178" t="str">
        <f ca="1">IF($C506="","",IF($D506="LPSM",AJ505,VALUE($C506)*AJ505))</f>
        <v/>
      </c>
      <c r="AL506" s="388"/>
      <c r="AM506" s="178" t="str">
        <f ca="1">IF($C506="","",IF($D506="LPSM",AL505,VALUE($C506)*AL505))</f>
        <v/>
      </c>
      <c r="AN506" s="388"/>
      <c r="AO506" s="178" t="str">
        <f ca="1">IF($C506="","",IF($D506="LPSM",AN505,VALUE($C506)*AN505))</f>
        <v/>
      </c>
      <c r="AP506" s="388"/>
      <c r="AQ506" s="178" t="str">
        <f ca="1">IF($C506="","",IF($D506="LPSM",AP505,VALUE($C506)*AP505))</f>
        <v/>
      </c>
      <c r="AR506" s="209" t="str">
        <f ca="1">IF(LEN(B506)&gt;0,ISNUMBER(MATCH(B506,Proposed[Item],0)),"")</f>
        <v/>
      </c>
    </row>
    <row r="507" spans="1:44" ht="15" x14ac:dyDescent="0.2">
      <c r="A507" s="156">
        <f t="shared" ca="1" si="7"/>
        <v>250</v>
      </c>
      <c r="B507" s="24" t="str">
        <f ca="1">IFERROR(INDEX(INDIRECT(RangeItems),MATCH($A507,INDIRECT(RangeCount),0)),"")</f>
        <v/>
      </c>
      <c r="C507" s="392" t="str">
        <f ca="1">INDEX(Calcs[Description],$A507)</f>
        <v/>
      </c>
      <c r="D507" s="392"/>
      <c r="E507" s="392"/>
      <c r="F507" s="392"/>
      <c r="G507" s="393"/>
      <c r="H507" s="388"/>
      <c r="I507" s="177"/>
      <c r="J507" s="388"/>
      <c r="K507" s="177"/>
      <c r="L507" s="388"/>
      <c r="M507" s="177"/>
      <c r="N507" s="388"/>
      <c r="O507" s="177"/>
      <c r="P507" s="388"/>
      <c r="Q507" s="177"/>
      <c r="R507" s="388"/>
      <c r="S507" s="177"/>
      <c r="T507" s="388"/>
      <c r="U507" s="177"/>
      <c r="V507" s="388"/>
      <c r="W507" s="177"/>
      <c r="X507" s="388"/>
      <c r="Y507" s="177"/>
      <c r="Z507" s="388"/>
      <c r="AA507" s="177"/>
      <c r="AB507" s="388"/>
      <c r="AC507" s="177"/>
      <c r="AD507" s="388"/>
      <c r="AE507" s="177"/>
      <c r="AF507" s="388"/>
      <c r="AG507" s="177"/>
      <c r="AH507" s="388"/>
      <c r="AI507" s="177"/>
      <c r="AJ507" s="388"/>
      <c r="AK507" s="177"/>
      <c r="AL507" s="388"/>
      <c r="AM507" s="177"/>
      <c r="AN507" s="388"/>
      <c r="AO507" s="177"/>
      <c r="AP507" s="388"/>
      <c r="AQ507" s="177"/>
      <c r="AR507" s="209" t="str">
        <f ca="1">IF(LEN(B507)&gt;0,ISNUMBER(MATCH(B507,Proposed[Item],0)),"")</f>
        <v/>
      </c>
    </row>
    <row r="508" spans="1:44" ht="15" x14ac:dyDescent="0.2">
      <c r="A508" s="156">
        <f t="shared" ca="1" si="7"/>
        <v>250</v>
      </c>
      <c r="B508" s="111" t="str">
        <f ca="1">IF($A508&lt;=NumPayItems,"Line "&amp;INDEX(Calcs[Line],$A508),"")</f>
        <v/>
      </c>
      <c r="C508" s="112" t="str">
        <f ca="1">IFERROR(IF($D508="LPSM","ALL",TEXT(INDEX(INDIRECT(RangeQuantity),MATCH($A508,INDIRECT(RangeCount),0)),"#,##0"&amp;IF(OFFSET(Items[],MATCH($A508,INDIRECT(RangeCount),0)-1,MATCH(Decimals,Items[#Headers],0)-1,1,1)&gt;0,"."&amp;REPT("0",OFFSET(Items[],MATCH($A508,INDIRECT(RangeCount),0)-1,MATCH(Decimals,Items[#Headers],0)-1,1,1)),""))),"")</f>
        <v/>
      </c>
      <c r="D508" s="23" t="str">
        <f ca="1">IFERROR(INDEX(INDIRECT(RangeUnit),MATCH($A508,INDIRECT(RangeCount),0)),"")</f>
        <v/>
      </c>
      <c r="E508" s="23" t="str">
        <f ca="1">IFERROR(IF(INDEX(INDIRECT(RangeContrQty),MATCH($A508,INDIRECT(RangeCount),0)),"(CQ)",""),"")</f>
        <v/>
      </c>
      <c r="F508" s="22" t="str">
        <f ca="1">IFERROR(INDEX(INDIRECT(RangeUnitPrice),MATCH($A508,INDIRECT(RangeCount),0)),"")</f>
        <v/>
      </c>
      <c r="G508" s="150" t="str">
        <f ca="1">IFERROR(VALUE(C508)*F508,F508)</f>
        <v/>
      </c>
      <c r="H508" s="388"/>
      <c r="I508" s="178" t="str">
        <f ca="1">IF($C508="","",IF($D508="LPSM",H507,VALUE($C508)*H507))</f>
        <v/>
      </c>
      <c r="J508" s="388"/>
      <c r="K508" s="178" t="str">
        <f ca="1">IF($C508="","",IF($D508="LPSM",J507,VALUE($C508)*J507))</f>
        <v/>
      </c>
      <c r="L508" s="388"/>
      <c r="M508" s="178" t="str">
        <f ca="1">IF($C508="","",IF($D508="LPSM",L507,VALUE($C508)*L507))</f>
        <v/>
      </c>
      <c r="N508" s="388"/>
      <c r="O508" s="178" t="str">
        <f ca="1">IF($C508="","",IF($D508="LPSM",N507,VALUE($C508)*N507))</f>
        <v/>
      </c>
      <c r="P508" s="388"/>
      <c r="Q508" s="178" t="str">
        <f ca="1">IF($C508="","",IF($D508="LPSM",P507,VALUE($C508)*P507))</f>
        <v/>
      </c>
      <c r="R508" s="388"/>
      <c r="S508" s="178" t="str">
        <f ca="1">IF($C508="","",IF($D508="LPSM",R507,VALUE($C508)*R507))</f>
        <v/>
      </c>
      <c r="T508" s="388"/>
      <c r="U508" s="178" t="str">
        <f ca="1">IF($C508="","",IF($D508="LPSM",T507,VALUE($C508)*T507))</f>
        <v/>
      </c>
      <c r="V508" s="388"/>
      <c r="W508" s="178" t="str">
        <f ca="1">IF($C508="","",IF($D508="LPSM",V507,VALUE($C508)*V507))</f>
        <v/>
      </c>
      <c r="X508" s="388"/>
      <c r="Y508" s="178" t="str">
        <f ca="1">IF($C508="","",IF($D508="LPSM",X507,VALUE($C508)*X507))</f>
        <v/>
      </c>
      <c r="Z508" s="388"/>
      <c r="AA508" s="178" t="str">
        <f ca="1">IF($C508="","",IF($D508="LPSM",Z507,VALUE($C508)*Z507))</f>
        <v/>
      </c>
      <c r="AB508" s="388"/>
      <c r="AC508" s="178" t="str">
        <f ca="1">IF($C508="","",IF($D508="LPSM",AB507,VALUE($C508)*AB507))</f>
        <v/>
      </c>
      <c r="AD508" s="388"/>
      <c r="AE508" s="178" t="str">
        <f ca="1">IF($C508="","",IF($D508="LPSM",AD507,VALUE($C508)*AD507))</f>
        <v/>
      </c>
      <c r="AF508" s="388"/>
      <c r="AG508" s="178" t="str">
        <f ca="1">IF($C508="","",IF($D508="LPSM",AF507,VALUE($C508)*AF507))</f>
        <v/>
      </c>
      <c r="AH508" s="388"/>
      <c r="AI508" s="178" t="str">
        <f ca="1">IF($C508="","",IF($D508="LPSM",AH507,VALUE($C508)*AH507))</f>
        <v/>
      </c>
      <c r="AJ508" s="388"/>
      <c r="AK508" s="178" t="str">
        <f ca="1">IF($C508="","",IF($D508="LPSM",AJ507,VALUE($C508)*AJ507))</f>
        <v/>
      </c>
      <c r="AL508" s="388"/>
      <c r="AM508" s="178" t="str">
        <f ca="1">IF($C508="","",IF($D508="LPSM",AL507,VALUE($C508)*AL507))</f>
        <v/>
      </c>
      <c r="AN508" s="388"/>
      <c r="AO508" s="178" t="str">
        <f ca="1">IF($C508="","",IF($D508="LPSM",AN507,VALUE($C508)*AN507))</f>
        <v/>
      </c>
      <c r="AP508" s="388"/>
      <c r="AQ508" s="178" t="str">
        <f ca="1">IF($C508="","",IF($D508="LPSM",AP507,VALUE($C508)*AP507))</f>
        <v/>
      </c>
      <c r="AR508" s="209" t="str">
        <f ca="1">IF(LEN(B508)&gt;0,ISNUMBER(MATCH(B508,Proposed[Item],0)),"")</f>
        <v/>
      </c>
    </row>
  </sheetData>
  <sheetProtection sheet="1" objects="1" scenarios="1"/>
  <mergeCells count="4781">
    <mergeCell ref="AF503:AF504"/>
    <mergeCell ref="AH503:AH504"/>
    <mergeCell ref="AJ503:AJ504"/>
    <mergeCell ref="AF505:AF506"/>
    <mergeCell ref="AH505:AH506"/>
    <mergeCell ref="AJ505:AJ506"/>
    <mergeCell ref="AF507:AF508"/>
    <mergeCell ref="AH507:AH508"/>
    <mergeCell ref="AJ507:AJ508"/>
    <mergeCell ref="AJ489:AJ490"/>
    <mergeCell ref="AF491:AF492"/>
    <mergeCell ref="AH491:AH492"/>
    <mergeCell ref="AJ491:AJ492"/>
    <mergeCell ref="AF493:AF494"/>
    <mergeCell ref="AH493:AH494"/>
    <mergeCell ref="AJ493:AJ494"/>
    <mergeCell ref="AF495:AF496"/>
    <mergeCell ref="AH495:AH496"/>
    <mergeCell ref="AJ495:AJ496"/>
    <mergeCell ref="AF497:AF498"/>
    <mergeCell ref="AH497:AH498"/>
    <mergeCell ref="AJ497:AJ498"/>
    <mergeCell ref="AF499:AF500"/>
    <mergeCell ref="AH499:AH500"/>
    <mergeCell ref="AJ499:AJ500"/>
    <mergeCell ref="AF501:AF502"/>
    <mergeCell ref="AH501:AH502"/>
    <mergeCell ref="AJ501:AJ502"/>
    <mergeCell ref="AJ475:AJ476"/>
    <mergeCell ref="AF477:AF478"/>
    <mergeCell ref="AH477:AH478"/>
    <mergeCell ref="AJ477:AJ478"/>
    <mergeCell ref="AF479:AF480"/>
    <mergeCell ref="AH479:AH480"/>
    <mergeCell ref="AJ479:AJ480"/>
    <mergeCell ref="AF481:AF482"/>
    <mergeCell ref="AH481:AH482"/>
    <mergeCell ref="AJ481:AJ482"/>
    <mergeCell ref="AF483:AF484"/>
    <mergeCell ref="AH483:AH484"/>
    <mergeCell ref="AJ483:AJ484"/>
    <mergeCell ref="AF485:AF486"/>
    <mergeCell ref="AH485:AH486"/>
    <mergeCell ref="AJ485:AJ486"/>
    <mergeCell ref="AF487:AF488"/>
    <mergeCell ref="AH487:AH488"/>
    <mergeCell ref="AJ487:AJ488"/>
    <mergeCell ref="AJ461:AJ462"/>
    <mergeCell ref="AF463:AF464"/>
    <mergeCell ref="AH463:AH464"/>
    <mergeCell ref="AJ463:AJ464"/>
    <mergeCell ref="AF465:AF466"/>
    <mergeCell ref="AH465:AH466"/>
    <mergeCell ref="AJ465:AJ466"/>
    <mergeCell ref="AF467:AF468"/>
    <mergeCell ref="AH467:AH468"/>
    <mergeCell ref="AJ467:AJ468"/>
    <mergeCell ref="AF469:AF470"/>
    <mergeCell ref="AH469:AH470"/>
    <mergeCell ref="AJ469:AJ470"/>
    <mergeCell ref="AF471:AF472"/>
    <mergeCell ref="AH471:AH472"/>
    <mergeCell ref="AJ471:AJ472"/>
    <mergeCell ref="AF473:AF474"/>
    <mergeCell ref="AH473:AH474"/>
    <mergeCell ref="AJ473:AJ474"/>
    <mergeCell ref="AJ447:AJ448"/>
    <mergeCell ref="AF449:AF450"/>
    <mergeCell ref="AH449:AH450"/>
    <mergeCell ref="AJ449:AJ450"/>
    <mergeCell ref="AF451:AF452"/>
    <mergeCell ref="AH451:AH452"/>
    <mergeCell ref="AJ451:AJ452"/>
    <mergeCell ref="AF453:AF454"/>
    <mergeCell ref="AH453:AH454"/>
    <mergeCell ref="AJ453:AJ454"/>
    <mergeCell ref="AF455:AF456"/>
    <mergeCell ref="AH455:AH456"/>
    <mergeCell ref="AJ455:AJ456"/>
    <mergeCell ref="AF457:AF458"/>
    <mergeCell ref="AH457:AH458"/>
    <mergeCell ref="AJ457:AJ458"/>
    <mergeCell ref="AF459:AF460"/>
    <mergeCell ref="AH459:AH460"/>
    <mergeCell ref="AJ459:AJ460"/>
    <mergeCell ref="AJ433:AJ434"/>
    <mergeCell ref="AF435:AF436"/>
    <mergeCell ref="AH435:AH436"/>
    <mergeCell ref="AJ435:AJ436"/>
    <mergeCell ref="AF437:AF438"/>
    <mergeCell ref="AH437:AH438"/>
    <mergeCell ref="AJ437:AJ438"/>
    <mergeCell ref="AF439:AF440"/>
    <mergeCell ref="AH439:AH440"/>
    <mergeCell ref="AJ439:AJ440"/>
    <mergeCell ref="AF441:AF442"/>
    <mergeCell ref="AH441:AH442"/>
    <mergeCell ref="AJ441:AJ442"/>
    <mergeCell ref="AF443:AF444"/>
    <mergeCell ref="AH443:AH444"/>
    <mergeCell ref="AJ443:AJ444"/>
    <mergeCell ref="AF445:AF446"/>
    <mergeCell ref="AH445:AH446"/>
    <mergeCell ref="AJ445:AJ446"/>
    <mergeCell ref="AJ419:AJ420"/>
    <mergeCell ref="AF421:AF422"/>
    <mergeCell ref="AH421:AH422"/>
    <mergeCell ref="AJ421:AJ422"/>
    <mergeCell ref="AF423:AF424"/>
    <mergeCell ref="AH423:AH424"/>
    <mergeCell ref="AJ423:AJ424"/>
    <mergeCell ref="AF425:AF426"/>
    <mergeCell ref="AH425:AH426"/>
    <mergeCell ref="AJ425:AJ426"/>
    <mergeCell ref="AF427:AF428"/>
    <mergeCell ref="AH427:AH428"/>
    <mergeCell ref="AJ427:AJ428"/>
    <mergeCell ref="AF429:AF430"/>
    <mergeCell ref="AH429:AH430"/>
    <mergeCell ref="AJ429:AJ430"/>
    <mergeCell ref="AF431:AF432"/>
    <mergeCell ref="AH431:AH432"/>
    <mergeCell ref="AJ431:AJ432"/>
    <mergeCell ref="AJ405:AJ406"/>
    <mergeCell ref="AF407:AF408"/>
    <mergeCell ref="AH407:AH408"/>
    <mergeCell ref="AJ407:AJ408"/>
    <mergeCell ref="AF409:AF410"/>
    <mergeCell ref="AH409:AH410"/>
    <mergeCell ref="AJ409:AJ410"/>
    <mergeCell ref="AF411:AF412"/>
    <mergeCell ref="AH411:AH412"/>
    <mergeCell ref="AJ411:AJ412"/>
    <mergeCell ref="AF413:AF414"/>
    <mergeCell ref="AH413:AH414"/>
    <mergeCell ref="AJ413:AJ414"/>
    <mergeCell ref="AF415:AF416"/>
    <mergeCell ref="AH415:AH416"/>
    <mergeCell ref="AJ415:AJ416"/>
    <mergeCell ref="AF417:AF418"/>
    <mergeCell ref="AH417:AH418"/>
    <mergeCell ref="AJ417:AJ418"/>
    <mergeCell ref="AJ391:AJ392"/>
    <mergeCell ref="AF393:AF394"/>
    <mergeCell ref="AH393:AH394"/>
    <mergeCell ref="AJ393:AJ394"/>
    <mergeCell ref="AF395:AF396"/>
    <mergeCell ref="AH395:AH396"/>
    <mergeCell ref="AJ395:AJ396"/>
    <mergeCell ref="AF397:AF398"/>
    <mergeCell ref="AH397:AH398"/>
    <mergeCell ref="AJ397:AJ398"/>
    <mergeCell ref="AF399:AF400"/>
    <mergeCell ref="AH399:AH400"/>
    <mergeCell ref="AJ399:AJ400"/>
    <mergeCell ref="AF401:AF402"/>
    <mergeCell ref="AH401:AH402"/>
    <mergeCell ref="AJ401:AJ402"/>
    <mergeCell ref="AF403:AF404"/>
    <mergeCell ref="AH403:AH404"/>
    <mergeCell ref="AJ403:AJ404"/>
    <mergeCell ref="AJ377:AJ378"/>
    <mergeCell ref="AF379:AF380"/>
    <mergeCell ref="AH379:AH380"/>
    <mergeCell ref="AJ379:AJ380"/>
    <mergeCell ref="AF381:AF382"/>
    <mergeCell ref="AH381:AH382"/>
    <mergeCell ref="AJ381:AJ382"/>
    <mergeCell ref="AF383:AF384"/>
    <mergeCell ref="AH383:AH384"/>
    <mergeCell ref="AJ383:AJ384"/>
    <mergeCell ref="AF385:AF386"/>
    <mergeCell ref="AH385:AH386"/>
    <mergeCell ref="AJ385:AJ386"/>
    <mergeCell ref="AF387:AF388"/>
    <mergeCell ref="AH387:AH388"/>
    <mergeCell ref="AJ387:AJ388"/>
    <mergeCell ref="AF389:AF390"/>
    <mergeCell ref="AH389:AH390"/>
    <mergeCell ref="AJ389:AJ390"/>
    <mergeCell ref="AJ363:AJ364"/>
    <mergeCell ref="AF365:AF366"/>
    <mergeCell ref="AH365:AH366"/>
    <mergeCell ref="AJ365:AJ366"/>
    <mergeCell ref="AF367:AF368"/>
    <mergeCell ref="AH367:AH368"/>
    <mergeCell ref="AJ367:AJ368"/>
    <mergeCell ref="AF369:AF370"/>
    <mergeCell ref="AH369:AH370"/>
    <mergeCell ref="AJ369:AJ370"/>
    <mergeCell ref="AF371:AF372"/>
    <mergeCell ref="AH371:AH372"/>
    <mergeCell ref="AJ371:AJ372"/>
    <mergeCell ref="AF373:AF374"/>
    <mergeCell ref="AH373:AH374"/>
    <mergeCell ref="AJ373:AJ374"/>
    <mergeCell ref="AF375:AF376"/>
    <mergeCell ref="AH375:AH376"/>
    <mergeCell ref="AJ375:AJ376"/>
    <mergeCell ref="AJ349:AJ350"/>
    <mergeCell ref="AF351:AF352"/>
    <mergeCell ref="AH351:AH352"/>
    <mergeCell ref="AJ351:AJ352"/>
    <mergeCell ref="AF353:AF354"/>
    <mergeCell ref="AH353:AH354"/>
    <mergeCell ref="AJ353:AJ354"/>
    <mergeCell ref="AF355:AF356"/>
    <mergeCell ref="AH355:AH356"/>
    <mergeCell ref="AJ355:AJ356"/>
    <mergeCell ref="AF357:AF358"/>
    <mergeCell ref="AH357:AH358"/>
    <mergeCell ref="AJ357:AJ358"/>
    <mergeCell ref="AF359:AF360"/>
    <mergeCell ref="AH359:AH360"/>
    <mergeCell ref="AJ359:AJ360"/>
    <mergeCell ref="AF361:AF362"/>
    <mergeCell ref="AH361:AH362"/>
    <mergeCell ref="AJ361:AJ362"/>
    <mergeCell ref="AJ335:AJ336"/>
    <mergeCell ref="AF337:AF338"/>
    <mergeCell ref="AH337:AH338"/>
    <mergeCell ref="AJ337:AJ338"/>
    <mergeCell ref="AF339:AF340"/>
    <mergeCell ref="AH339:AH340"/>
    <mergeCell ref="AJ339:AJ340"/>
    <mergeCell ref="AF341:AF342"/>
    <mergeCell ref="AH341:AH342"/>
    <mergeCell ref="AJ341:AJ342"/>
    <mergeCell ref="AF343:AF344"/>
    <mergeCell ref="AH343:AH344"/>
    <mergeCell ref="AJ343:AJ344"/>
    <mergeCell ref="AF345:AF346"/>
    <mergeCell ref="AH345:AH346"/>
    <mergeCell ref="AJ345:AJ346"/>
    <mergeCell ref="AF347:AF348"/>
    <mergeCell ref="AH347:AH348"/>
    <mergeCell ref="AJ347:AJ348"/>
    <mergeCell ref="AJ321:AJ322"/>
    <mergeCell ref="AF323:AF324"/>
    <mergeCell ref="AH323:AH324"/>
    <mergeCell ref="AJ323:AJ324"/>
    <mergeCell ref="AF325:AF326"/>
    <mergeCell ref="AH325:AH326"/>
    <mergeCell ref="AJ325:AJ326"/>
    <mergeCell ref="AF327:AF328"/>
    <mergeCell ref="AH327:AH328"/>
    <mergeCell ref="AJ327:AJ328"/>
    <mergeCell ref="AF329:AF330"/>
    <mergeCell ref="AH329:AH330"/>
    <mergeCell ref="AJ329:AJ330"/>
    <mergeCell ref="AF331:AF332"/>
    <mergeCell ref="AH331:AH332"/>
    <mergeCell ref="AJ331:AJ332"/>
    <mergeCell ref="AF333:AF334"/>
    <mergeCell ref="AH333:AH334"/>
    <mergeCell ref="AJ333:AJ334"/>
    <mergeCell ref="AJ307:AJ308"/>
    <mergeCell ref="AF309:AF310"/>
    <mergeCell ref="AH309:AH310"/>
    <mergeCell ref="AJ309:AJ310"/>
    <mergeCell ref="AF311:AF312"/>
    <mergeCell ref="AH311:AH312"/>
    <mergeCell ref="AJ311:AJ312"/>
    <mergeCell ref="AF313:AF314"/>
    <mergeCell ref="AH313:AH314"/>
    <mergeCell ref="AJ313:AJ314"/>
    <mergeCell ref="AF315:AF316"/>
    <mergeCell ref="AH315:AH316"/>
    <mergeCell ref="AJ315:AJ316"/>
    <mergeCell ref="AF317:AF318"/>
    <mergeCell ref="AH317:AH318"/>
    <mergeCell ref="AJ317:AJ318"/>
    <mergeCell ref="AF319:AF320"/>
    <mergeCell ref="AH319:AH320"/>
    <mergeCell ref="AJ319:AJ320"/>
    <mergeCell ref="AJ293:AJ294"/>
    <mergeCell ref="AF295:AF296"/>
    <mergeCell ref="AH295:AH296"/>
    <mergeCell ref="AJ295:AJ296"/>
    <mergeCell ref="AF297:AF298"/>
    <mergeCell ref="AH297:AH298"/>
    <mergeCell ref="AJ297:AJ298"/>
    <mergeCell ref="AF299:AF300"/>
    <mergeCell ref="AH299:AH300"/>
    <mergeCell ref="AJ299:AJ300"/>
    <mergeCell ref="AF301:AF302"/>
    <mergeCell ref="AH301:AH302"/>
    <mergeCell ref="AJ301:AJ302"/>
    <mergeCell ref="AF303:AF304"/>
    <mergeCell ref="AH303:AH304"/>
    <mergeCell ref="AJ303:AJ304"/>
    <mergeCell ref="AF305:AF306"/>
    <mergeCell ref="AH305:AH306"/>
    <mergeCell ref="AJ305:AJ306"/>
    <mergeCell ref="AJ279:AJ280"/>
    <mergeCell ref="AF281:AF282"/>
    <mergeCell ref="AH281:AH282"/>
    <mergeCell ref="AJ281:AJ282"/>
    <mergeCell ref="AF283:AF284"/>
    <mergeCell ref="AH283:AH284"/>
    <mergeCell ref="AJ283:AJ284"/>
    <mergeCell ref="AF285:AF286"/>
    <mergeCell ref="AH285:AH286"/>
    <mergeCell ref="AJ285:AJ286"/>
    <mergeCell ref="AF287:AF288"/>
    <mergeCell ref="AH287:AH288"/>
    <mergeCell ref="AJ287:AJ288"/>
    <mergeCell ref="AF289:AF290"/>
    <mergeCell ref="AH289:AH290"/>
    <mergeCell ref="AJ289:AJ290"/>
    <mergeCell ref="AF291:AF292"/>
    <mergeCell ref="AH291:AH292"/>
    <mergeCell ref="AJ291:AJ292"/>
    <mergeCell ref="AJ265:AJ266"/>
    <mergeCell ref="AF267:AF268"/>
    <mergeCell ref="AH267:AH268"/>
    <mergeCell ref="AJ267:AJ268"/>
    <mergeCell ref="AF269:AF270"/>
    <mergeCell ref="AH269:AH270"/>
    <mergeCell ref="AJ269:AJ270"/>
    <mergeCell ref="AF271:AF272"/>
    <mergeCell ref="AH271:AH272"/>
    <mergeCell ref="AJ271:AJ272"/>
    <mergeCell ref="AF273:AF274"/>
    <mergeCell ref="AH273:AH274"/>
    <mergeCell ref="AJ273:AJ274"/>
    <mergeCell ref="AF275:AF276"/>
    <mergeCell ref="AH275:AH276"/>
    <mergeCell ref="AJ275:AJ276"/>
    <mergeCell ref="AF277:AF278"/>
    <mergeCell ref="AH277:AH278"/>
    <mergeCell ref="AJ277:AJ278"/>
    <mergeCell ref="AJ251:AJ252"/>
    <mergeCell ref="AF253:AF254"/>
    <mergeCell ref="AH253:AH254"/>
    <mergeCell ref="AJ253:AJ254"/>
    <mergeCell ref="AF255:AF256"/>
    <mergeCell ref="AH255:AH256"/>
    <mergeCell ref="AJ255:AJ256"/>
    <mergeCell ref="AF257:AF258"/>
    <mergeCell ref="AH257:AH258"/>
    <mergeCell ref="AJ257:AJ258"/>
    <mergeCell ref="AF259:AF260"/>
    <mergeCell ref="AH259:AH260"/>
    <mergeCell ref="AJ259:AJ260"/>
    <mergeCell ref="AF261:AF262"/>
    <mergeCell ref="AH261:AH262"/>
    <mergeCell ref="AJ261:AJ262"/>
    <mergeCell ref="AF263:AF264"/>
    <mergeCell ref="AH263:AH264"/>
    <mergeCell ref="AJ263:AJ264"/>
    <mergeCell ref="AJ237:AJ238"/>
    <mergeCell ref="AF239:AF240"/>
    <mergeCell ref="AH239:AH240"/>
    <mergeCell ref="AJ239:AJ240"/>
    <mergeCell ref="AF241:AF242"/>
    <mergeCell ref="AH241:AH242"/>
    <mergeCell ref="AJ241:AJ242"/>
    <mergeCell ref="AF243:AF244"/>
    <mergeCell ref="AH243:AH244"/>
    <mergeCell ref="AJ243:AJ244"/>
    <mergeCell ref="AF245:AF246"/>
    <mergeCell ref="AH245:AH246"/>
    <mergeCell ref="AJ245:AJ246"/>
    <mergeCell ref="AF247:AF248"/>
    <mergeCell ref="AH247:AH248"/>
    <mergeCell ref="AJ247:AJ248"/>
    <mergeCell ref="AF249:AF250"/>
    <mergeCell ref="AH249:AH250"/>
    <mergeCell ref="AJ249:AJ250"/>
    <mergeCell ref="AJ223:AJ224"/>
    <mergeCell ref="AF225:AF226"/>
    <mergeCell ref="AH225:AH226"/>
    <mergeCell ref="AJ225:AJ226"/>
    <mergeCell ref="AF227:AF228"/>
    <mergeCell ref="AH227:AH228"/>
    <mergeCell ref="AJ227:AJ228"/>
    <mergeCell ref="AF229:AF230"/>
    <mergeCell ref="AH229:AH230"/>
    <mergeCell ref="AJ229:AJ230"/>
    <mergeCell ref="AF231:AF232"/>
    <mergeCell ref="AH231:AH232"/>
    <mergeCell ref="AJ231:AJ232"/>
    <mergeCell ref="AF233:AF234"/>
    <mergeCell ref="AH233:AH234"/>
    <mergeCell ref="AJ233:AJ234"/>
    <mergeCell ref="AF235:AF236"/>
    <mergeCell ref="AH235:AH236"/>
    <mergeCell ref="AJ235:AJ236"/>
    <mergeCell ref="AJ209:AJ210"/>
    <mergeCell ref="AF211:AF212"/>
    <mergeCell ref="AH211:AH212"/>
    <mergeCell ref="AJ211:AJ212"/>
    <mergeCell ref="AF213:AF214"/>
    <mergeCell ref="AH213:AH214"/>
    <mergeCell ref="AJ213:AJ214"/>
    <mergeCell ref="AF215:AF216"/>
    <mergeCell ref="AH215:AH216"/>
    <mergeCell ref="AJ215:AJ216"/>
    <mergeCell ref="AF217:AF218"/>
    <mergeCell ref="AH217:AH218"/>
    <mergeCell ref="AJ217:AJ218"/>
    <mergeCell ref="AF219:AF220"/>
    <mergeCell ref="AH219:AH220"/>
    <mergeCell ref="AJ219:AJ220"/>
    <mergeCell ref="AF221:AF222"/>
    <mergeCell ref="AH221:AH222"/>
    <mergeCell ref="AJ221:AJ222"/>
    <mergeCell ref="AJ195:AJ196"/>
    <mergeCell ref="AF197:AF198"/>
    <mergeCell ref="AH197:AH198"/>
    <mergeCell ref="AJ197:AJ198"/>
    <mergeCell ref="AF199:AF200"/>
    <mergeCell ref="AH199:AH200"/>
    <mergeCell ref="AJ199:AJ200"/>
    <mergeCell ref="AF201:AF202"/>
    <mergeCell ref="AH201:AH202"/>
    <mergeCell ref="AJ201:AJ202"/>
    <mergeCell ref="AF203:AF204"/>
    <mergeCell ref="AH203:AH204"/>
    <mergeCell ref="AJ203:AJ204"/>
    <mergeCell ref="AF205:AF206"/>
    <mergeCell ref="AH205:AH206"/>
    <mergeCell ref="AJ205:AJ206"/>
    <mergeCell ref="AF207:AF208"/>
    <mergeCell ref="AH207:AH208"/>
    <mergeCell ref="AJ207:AJ208"/>
    <mergeCell ref="AJ181:AJ182"/>
    <mergeCell ref="AF183:AF184"/>
    <mergeCell ref="AH183:AH184"/>
    <mergeCell ref="AJ183:AJ184"/>
    <mergeCell ref="AF185:AF186"/>
    <mergeCell ref="AH185:AH186"/>
    <mergeCell ref="AJ185:AJ186"/>
    <mergeCell ref="AF187:AF188"/>
    <mergeCell ref="AH187:AH188"/>
    <mergeCell ref="AJ187:AJ188"/>
    <mergeCell ref="AF189:AF190"/>
    <mergeCell ref="AH189:AH190"/>
    <mergeCell ref="AJ189:AJ190"/>
    <mergeCell ref="AF191:AF192"/>
    <mergeCell ref="AH191:AH192"/>
    <mergeCell ref="AJ191:AJ192"/>
    <mergeCell ref="AF193:AF194"/>
    <mergeCell ref="AH193:AH194"/>
    <mergeCell ref="AJ193:AJ194"/>
    <mergeCell ref="AJ167:AJ168"/>
    <mergeCell ref="AF169:AF170"/>
    <mergeCell ref="AH169:AH170"/>
    <mergeCell ref="AJ169:AJ170"/>
    <mergeCell ref="AF171:AF172"/>
    <mergeCell ref="AH171:AH172"/>
    <mergeCell ref="AJ171:AJ172"/>
    <mergeCell ref="AF173:AF174"/>
    <mergeCell ref="AH173:AH174"/>
    <mergeCell ref="AJ173:AJ174"/>
    <mergeCell ref="AF175:AF176"/>
    <mergeCell ref="AH175:AH176"/>
    <mergeCell ref="AJ175:AJ176"/>
    <mergeCell ref="AF177:AF178"/>
    <mergeCell ref="AH177:AH178"/>
    <mergeCell ref="AJ177:AJ178"/>
    <mergeCell ref="AF179:AF180"/>
    <mergeCell ref="AH179:AH180"/>
    <mergeCell ref="AJ179:AJ180"/>
    <mergeCell ref="AH155:AH156"/>
    <mergeCell ref="AJ155:AJ156"/>
    <mergeCell ref="AF157:AF158"/>
    <mergeCell ref="AH157:AH158"/>
    <mergeCell ref="AJ157:AJ158"/>
    <mergeCell ref="AF159:AF160"/>
    <mergeCell ref="AH159:AH160"/>
    <mergeCell ref="AJ159:AJ160"/>
    <mergeCell ref="AF161:AF162"/>
    <mergeCell ref="AH161:AH162"/>
    <mergeCell ref="AJ161:AJ162"/>
    <mergeCell ref="AF163:AF164"/>
    <mergeCell ref="AH163:AH164"/>
    <mergeCell ref="AJ163:AJ164"/>
    <mergeCell ref="AF165:AF166"/>
    <mergeCell ref="AH165:AH166"/>
    <mergeCell ref="AJ165:AJ166"/>
    <mergeCell ref="AF125:AF126"/>
    <mergeCell ref="AH125:AH126"/>
    <mergeCell ref="AJ125:AJ126"/>
    <mergeCell ref="AF127:AF128"/>
    <mergeCell ref="AH127:AH128"/>
    <mergeCell ref="AJ127:AJ128"/>
    <mergeCell ref="AF129:AF130"/>
    <mergeCell ref="AH129:AH130"/>
    <mergeCell ref="AJ129:AJ130"/>
    <mergeCell ref="AF131:AF132"/>
    <mergeCell ref="AH131:AH132"/>
    <mergeCell ref="AJ131:AJ132"/>
    <mergeCell ref="AF133:AF134"/>
    <mergeCell ref="AH133:AH134"/>
    <mergeCell ref="AJ133:AJ134"/>
    <mergeCell ref="AF135:AF136"/>
    <mergeCell ref="AH135:AH136"/>
    <mergeCell ref="AJ135:AJ136"/>
    <mergeCell ref="AJ111:AJ112"/>
    <mergeCell ref="AF113:AF114"/>
    <mergeCell ref="AH113:AH114"/>
    <mergeCell ref="AJ113:AJ114"/>
    <mergeCell ref="AF115:AF116"/>
    <mergeCell ref="AH115:AH116"/>
    <mergeCell ref="AJ115:AJ116"/>
    <mergeCell ref="AF117:AF118"/>
    <mergeCell ref="AH117:AH118"/>
    <mergeCell ref="AJ117:AJ118"/>
    <mergeCell ref="AF119:AF120"/>
    <mergeCell ref="AH119:AH120"/>
    <mergeCell ref="AJ119:AJ120"/>
    <mergeCell ref="AF121:AF122"/>
    <mergeCell ref="AH121:AH122"/>
    <mergeCell ref="AJ121:AJ122"/>
    <mergeCell ref="AF123:AF124"/>
    <mergeCell ref="AH123:AH124"/>
    <mergeCell ref="AJ123:AJ124"/>
    <mergeCell ref="AJ97:AJ98"/>
    <mergeCell ref="AF99:AF100"/>
    <mergeCell ref="AH99:AH100"/>
    <mergeCell ref="AJ99:AJ100"/>
    <mergeCell ref="AF101:AF102"/>
    <mergeCell ref="AH101:AH102"/>
    <mergeCell ref="AJ101:AJ102"/>
    <mergeCell ref="AF103:AF104"/>
    <mergeCell ref="AH103:AH104"/>
    <mergeCell ref="AJ103:AJ104"/>
    <mergeCell ref="AF105:AF106"/>
    <mergeCell ref="AH105:AH106"/>
    <mergeCell ref="AJ105:AJ106"/>
    <mergeCell ref="AF107:AF108"/>
    <mergeCell ref="AH107:AH108"/>
    <mergeCell ref="AJ107:AJ108"/>
    <mergeCell ref="AF109:AF110"/>
    <mergeCell ref="AH109:AH110"/>
    <mergeCell ref="AJ109:AJ110"/>
    <mergeCell ref="AJ83:AJ84"/>
    <mergeCell ref="AF85:AF86"/>
    <mergeCell ref="AH85:AH86"/>
    <mergeCell ref="AJ85:AJ86"/>
    <mergeCell ref="AF87:AF88"/>
    <mergeCell ref="AH87:AH88"/>
    <mergeCell ref="AJ87:AJ88"/>
    <mergeCell ref="AF89:AF90"/>
    <mergeCell ref="AH89:AH90"/>
    <mergeCell ref="AJ89:AJ90"/>
    <mergeCell ref="AF91:AF92"/>
    <mergeCell ref="AH91:AH92"/>
    <mergeCell ref="AJ91:AJ92"/>
    <mergeCell ref="AF93:AF94"/>
    <mergeCell ref="AH93:AH94"/>
    <mergeCell ref="AJ93:AJ94"/>
    <mergeCell ref="AF95:AF96"/>
    <mergeCell ref="AH95:AH96"/>
    <mergeCell ref="AJ95:AJ96"/>
    <mergeCell ref="AJ69:AJ70"/>
    <mergeCell ref="AF71:AF72"/>
    <mergeCell ref="AH71:AH72"/>
    <mergeCell ref="AJ71:AJ72"/>
    <mergeCell ref="AF73:AF74"/>
    <mergeCell ref="AH73:AH74"/>
    <mergeCell ref="AJ73:AJ74"/>
    <mergeCell ref="AF75:AF76"/>
    <mergeCell ref="AH75:AH76"/>
    <mergeCell ref="AJ75:AJ76"/>
    <mergeCell ref="AF77:AF78"/>
    <mergeCell ref="AH77:AH78"/>
    <mergeCell ref="AJ77:AJ78"/>
    <mergeCell ref="AF79:AF80"/>
    <mergeCell ref="AH79:AH80"/>
    <mergeCell ref="AJ79:AJ80"/>
    <mergeCell ref="AF81:AF82"/>
    <mergeCell ref="AH81:AH82"/>
    <mergeCell ref="AJ81:AJ82"/>
    <mergeCell ref="AJ55:AJ56"/>
    <mergeCell ref="AF57:AF58"/>
    <mergeCell ref="AH57:AH58"/>
    <mergeCell ref="AJ57:AJ58"/>
    <mergeCell ref="AF59:AF60"/>
    <mergeCell ref="AH59:AH60"/>
    <mergeCell ref="AJ59:AJ60"/>
    <mergeCell ref="AF61:AF62"/>
    <mergeCell ref="AH61:AH62"/>
    <mergeCell ref="AJ61:AJ62"/>
    <mergeCell ref="AF63:AF64"/>
    <mergeCell ref="AH63:AH64"/>
    <mergeCell ref="AJ63:AJ64"/>
    <mergeCell ref="AF65:AF66"/>
    <mergeCell ref="AH65:AH66"/>
    <mergeCell ref="AJ65:AJ66"/>
    <mergeCell ref="AF67:AF68"/>
    <mergeCell ref="AH67:AH68"/>
    <mergeCell ref="AJ67:AJ68"/>
    <mergeCell ref="AH43:AH44"/>
    <mergeCell ref="AJ43:AJ44"/>
    <mergeCell ref="AF45:AF46"/>
    <mergeCell ref="AH45:AH46"/>
    <mergeCell ref="AJ45:AJ46"/>
    <mergeCell ref="AF47:AF48"/>
    <mergeCell ref="AH47:AH48"/>
    <mergeCell ref="AJ47:AJ48"/>
    <mergeCell ref="AF49:AF50"/>
    <mergeCell ref="AH49:AH50"/>
    <mergeCell ref="AJ49:AJ50"/>
    <mergeCell ref="AF51:AF52"/>
    <mergeCell ref="AH51:AH52"/>
    <mergeCell ref="AJ51:AJ52"/>
    <mergeCell ref="AF53:AF54"/>
    <mergeCell ref="AH53:AH54"/>
    <mergeCell ref="AJ53:AJ54"/>
    <mergeCell ref="AF19:AF20"/>
    <mergeCell ref="AH19:AH20"/>
    <mergeCell ref="AJ19:AJ20"/>
    <mergeCell ref="AF21:AF22"/>
    <mergeCell ref="AH21:AH22"/>
    <mergeCell ref="AJ21:AJ22"/>
    <mergeCell ref="AF23:AF24"/>
    <mergeCell ref="AH23:AH24"/>
    <mergeCell ref="AJ23:AJ24"/>
    <mergeCell ref="AF25:AF26"/>
    <mergeCell ref="AH25:AH26"/>
    <mergeCell ref="AJ25:AJ26"/>
    <mergeCell ref="AF27:AF28"/>
    <mergeCell ref="AH27:AH28"/>
    <mergeCell ref="AJ27:AJ28"/>
    <mergeCell ref="AF29:AF30"/>
    <mergeCell ref="AH29:AH30"/>
    <mergeCell ref="AJ29:AJ30"/>
    <mergeCell ref="AJ6:AK6"/>
    <mergeCell ref="AF7:AG7"/>
    <mergeCell ref="AH7:AI7"/>
    <mergeCell ref="AJ7:AK7"/>
    <mergeCell ref="AF9:AF10"/>
    <mergeCell ref="AH9:AH10"/>
    <mergeCell ref="AJ9:AJ10"/>
    <mergeCell ref="AF11:AF12"/>
    <mergeCell ref="AH11:AH12"/>
    <mergeCell ref="AJ11:AJ12"/>
    <mergeCell ref="AF13:AF14"/>
    <mergeCell ref="AH13:AH14"/>
    <mergeCell ref="AJ13:AJ14"/>
    <mergeCell ref="AF15:AF16"/>
    <mergeCell ref="AH15:AH16"/>
    <mergeCell ref="AJ15:AJ16"/>
    <mergeCell ref="AF17:AF18"/>
    <mergeCell ref="AH17:AH18"/>
    <mergeCell ref="AJ17:AJ18"/>
    <mergeCell ref="Z125:Z126"/>
    <mergeCell ref="AB125:AB126"/>
    <mergeCell ref="AD125:AD126"/>
    <mergeCell ref="Z127:Z128"/>
    <mergeCell ref="AB127:AB128"/>
    <mergeCell ref="AD127:AD128"/>
    <mergeCell ref="Z129:Z130"/>
    <mergeCell ref="AB129:AB130"/>
    <mergeCell ref="AD129:AD130"/>
    <mergeCell ref="Z131:Z132"/>
    <mergeCell ref="AB131:AB132"/>
    <mergeCell ref="AD131:AD132"/>
    <mergeCell ref="Z133:Z134"/>
    <mergeCell ref="AB133:AB134"/>
    <mergeCell ref="AD133:AD134"/>
    <mergeCell ref="Z135:Z136"/>
    <mergeCell ref="AB135:AB136"/>
    <mergeCell ref="AD135:AD136"/>
    <mergeCell ref="Z19:Z20"/>
    <mergeCell ref="AB19:AB20"/>
    <mergeCell ref="AD19:AD20"/>
    <mergeCell ref="Z21:Z22"/>
    <mergeCell ref="AB21:AB22"/>
    <mergeCell ref="AD21:AD22"/>
    <mergeCell ref="Z23:Z24"/>
    <mergeCell ref="AB23:AB24"/>
    <mergeCell ref="AD23:AD24"/>
    <mergeCell ref="Z25:Z26"/>
    <mergeCell ref="AB25:AB26"/>
    <mergeCell ref="AD25:AD26"/>
    <mergeCell ref="Z27:Z28"/>
    <mergeCell ref="AB27:AB28"/>
    <mergeCell ref="AD27:AD28"/>
    <mergeCell ref="Z29:Z30"/>
    <mergeCell ref="AB29:AB30"/>
    <mergeCell ref="AD29:AD30"/>
    <mergeCell ref="AD6:AE6"/>
    <mergeCell ref="Z7:AA7"/>
    <mergeCell ref="AB7:AC7"/>
    <mergeCell ref="AD7:AE7"/>
    <mergeCell ref="Z9:Z10"/>
    <mergeCell ref="AB9:AB10"/>
    <mergeCell ref="AD9:AD10"/>
    <mergeCell ref="Z11:Z12"/>
    <mergeCell ref="AB11:AB12"/>
    <mergeCell ref="AD11:AD12"/>
    <mergeCell ref="Z13:Z14"/>
    <mergeCell ref="AB13:AB14"/>
    <mergeCell ref="AD13:AD14"/>
    <mergeCell ref="Z15:Z16"/>
    <mergeCell ref="AB15:AB16"/>
    <mergeCell ref="AD15:AD16"/>
    <mergeCell ref="Z17:Z18"/>
    <mergeCell ref="AB17:AB18"/>
    <mergeCell ref="AD17:AD18"/>
    <mergeCell ref="AL7:AM7"/>
    <mergeCell ref="AN7:AO7"/>
    <mergeCell ref="AN125:AN126"/>
    <mergeCell ref="AN127:AN128"/>
    <mergeCell ref="AN129:AN130"/>
    <mergeCell ref="AN131:AN132"/>
    <mergeCell ref="AN133:AN134"/>
    <mergeCell ref="AN135:AN136"/>
    <mergeCell ref="AN137:AN138"/>
    <mergeCell ref="AN139:AN140"/>
    <mergeCell ref="AN141:AN142"/>
    <mergeCell ref="AN143:AN144"/>
    <mergeCell ref="AN145:AN146"/>
    <mergeCell ref="AN147:AN148"/>
    <mergeCell ref="AN149:AN150"/>
    <mergeCell ref="AN151:AN152"/>
    <mergeCell ref="AN153:AN154"/>
    <mergeCell ref="AL125:AL126"/>
    <mergeCell ref="AL127:AL128"/>
    <mergeCell ref="AL129:AL130"/>
    <mergeCell ref="AL131:AL132"/>
    <mergeCell ref="AL133:AL134"/>
    <mergeCell ref="AL135:AL136"/>
    <mergeCell ref="AL137:AL138"/>
    <mergeCell ref="AL139:AL140"/>
    <mergeCell ref="AL141:AL142"/>
    <mergeCell ref="AL143:AL144"/>
    <mergeCell ref="AL145:AL146"/>
    <mergeCell ref="AL147:AL148"/>
    <mergeCell ref="AL149:AL150"/>
    <mergeCell ref="AL151:AL152"/>
    <mergeCell ref="AL153:AL154"/>
    <mergeCell ref="AN9:AN10"/>
    <mergeCell ref="AN11:AN12"/>
    <mergeCell ref="AN13:AN14"/>
    <mergeCell ref="AN15:AN16"/>
    <mergeCell ref="AN17:AN18"/>
    <mergeCell ref="AN19:AN20"/>
    <mergeCell ref="AN21:AN22"/>
    <mergeCell ref="AN23:AN24"/>
    <mergeCell ref="AN25:AN26"/>
    <mergeCell ref="AN27:AN28"/>
    <mergeCell ref="AN29:AN30"/>
    <mergeCell ref="AN31:AN32"/>
    <mergeCell ref="AN33:AN34"/>
    <mergeCell ref="AN35:AN36"/>
    <mergeCell ref="AN37:AN38"/>
    <mergeCell ref="AN39:AN40"/>
    <mergeCell ref="AN41:AN42"/>
    <mergeCell ref="AL9:AL10"/>
    <mergeCell ref="AL11:AL12"/>
    <mergeCell ref="AL13:AL14"/>
    <mergeCell ref="AL15:AL16"/>
    <mergeCell ref="AL17:AL18"/>
    <mergeCell ref="AL19:AL20"/>
    <mergeCell ref="AL21:AL22"/>
    <mergeCell ref="AL23:AL24"/>
    <mergeCell ref="AL25:AL26"/>
    <mergeCell ref="AL27:AL28"/>
    <mergeCell ref="AL29:AL30"/>
    <mergeCell ref="AL31:AL32"/>
    <mergeCell ref="AL33:AL34"/>
    <mergeCell ref="AL35:AL36"/>
    <mergeCell ref="AL37:AL38"/>
    <mergeCell ref="AL39:AL40"/>
    <mergeCell ref="AL41:AL42"/>
    <mergeCell ref="X505:X506"/>
    <mergeCell ref="AP505:AP506"/>
    <mergeCell ref="C507:G507"/>
    <mergeCell ref="H507:H508"/>
    <mergeCell ref="J507:J508"/>
    <mergeCell ref="L507:L508"/>
    <mergeCell ref="N507:N508"/>
    <mergeCell ref="P507:P508"/>
    <mergeCell ref="R507:R508"/>
    <mergeCell ref="T507:T508"/>
    <mergeCell ref="V507:V508"/>
    <mergeCell ref="X507:X508"/>
    <mergeCell ref="AP507:AP508"/>
    <mergeCell ref="C505:G505"/>
    <mergeCell ref="H505:H506"/>
    <mergeCell ref="J505:J506"/>
    <mergeCell ref="L505:L506"/>
    <mergeCell ref="N505:N506"/>
    <mergeCell ref="P505:P506"/>
    <mergeCell ref="R505:R506"/>
    <mergeCell ref="T505:T506"/>
    <mergeCell ref="V505:V506"/>
    <mergeCell ref="AL505:AL506"/>
    <mergeCell ref="AL507:AL508"/>
    <mergeCell ref="AN505:AN506"/>
    <mergeCell ref="AN507:AN508"/>
    <mergeCell ref="Z505:Z506"/>
    <mergeCell ref="AB505:AB506"/>
    <mergeCell ref="AD505:AD506"/>
    <mergeCell ref="Z507:Z508"/>
    <mergeCell ref="AB507:AB508"/>
    <mergeCell ref="AD507:AD508"/>
    <mergeCell ref="X501:X502"/>
    <mergeCell ref="AP501:AP502"/>
    <mergeCell ref="C503:G503"/>
    <mergeCell ref="H503:H504"/>
    <mergeCell ref="J503:J504"/>
    <mergeCell ref="L503:L504"/>
    <mergeCell ref="N503:N504"/>
    <mergeCell ref="P503:P504"/>
    <mergeCell ref="R503:R504"/>
    <mergeCell ref="T503:T504"/>
    <mergeCell ref="V503:V504"/>
    <mergeCell ref="X503:X504"/>
    <mergeCell ref="AP503:AP504"/>
    <mergeCell ref="C501:G501"/>
    <mergeCell ref="H501:H502"/>
    <mergeCell ref="J501:J502"/>
    <mergeCell ref="L501:L502"/>
    <mergeCell ref="N501:N502"/>
    <mergeCell ref="P501:P502"/>
    <mergeCell ref="R501:R502"/>
    <mergeCell ref="T501:T502"/>
    <mergeCell ref="V501:V502"/>
    <mergeCell ref="AL501:AL502"/>
    <mergeCell ref="AL503:AL504"/>
    <mergeCell ref="AN501:AN502"/>
    <mergeCell ref="AN503:AN504"/>
    <mergeCell ref="Z501:Z502"/>
    <mergeCell ref="AB501:AB502"/>
    <mergeCell ref="AD501:AD502"/>
    <mergeCell ref="Z503:Z504"/>
    <mergeCell ref="AB503:AB504"/>
    <mergeCell ref="AD503:AD504"/>
    <mergeCell ref="AP497:AP498"/>
    <mergeCell ref="H499:H500"/>
    <mergeCell ref="J499:J500"/>
    <mergeCell ref="L499:L500"/>
    <mergeCell ref="N499:N500"/>
    <mergeCell ref="P499:P500"/>
    <mergeCell ref="R499:R500"/>
    <mergeCell ref="T499:T500"/>
    <mergeCell ref="V499:V500"/>
    <mergeCell ref="X499:X500"/>
    <mergeCell ref="AP499:AP500"/>
    <mergeCell ref="H497:H498"/>
    <mergeCell ref="J497:J498"/>
    <mergeCell ref="L497:L498"/>
    <mergeCell ref="N497:N498"/>
    <mergeCell ref="P497:P498"/>
    <mergeCell ref="R497:R498"/>
    <mergeCell ref="T497:T498"/>
    <mergeCell ref="V497:V498"/>
    <mergeCell ref="X497:X498"/>
    <mergeCell ref="AL497:AL498"/>
    <mergeCell ref="AL499:AL500"/>
    <mergeCell ref="AN497:AN498"/>
    <mergeCell ref="AN499:AN500"/>
    <mergeCell ref="Z497:Z498"/>
    <mergeCell ref="AB497:AB498"/>
    <mergeCell ref="AD497:AD498"/>
    <mergeCell ref="Z499:Z500"/>
    <mergeCell ref="AB499:AB500"/>
    <mergeCell ref="AD499:AD500"/>
    <mergeCell ref="AP493:AP494"/>
    <mergeCell ref="H495:H496"/>
    <mergeCell ref="J495:J496"/>
    <mergeCell ref="L495:L496"/>
    <mergeCell ref="N495:N496"/>
    <mergeCell ref="P495:P496"/>
    <mergeCell ref="R495:R496"/>
    <mergeCell ref="T495:T496"/>
    <mergeCell ref="V495:V496"/>
    <mergeCell ref="X495:X496"/>
    <mergeCell ref="AP495:AP496"/>
    <mergeCell ref="H493:H494"/>
    <mergeCell ref="J493:J494"/>
    <mergeCell ref="L493:L494"/>
    <mergeCell ref="N493:N494"/>
    <mergeCell ref="P493:P494"/>
    <mergeCell ref="R493:R494"/>
    <mergeCell ref="T493:T494"/>
    <mergeCell ref="V493:V494"/>
    <mergeCell ref="X493:X494"/>
    <mergeCell ref="AL493:AL494"/>
    <mergeCell ref="AL495:AL496"/>
    <mergeCell ref="AN493:AN494"/>
    <mergeCell ref="AN495:AN496"/>
    <mergeCell ref="Z493:Z494"/>
    <mergeCell ref="AB493:AB494"/>
    <mergeCell ref="AD493:AD494"/>
    <mergeCell ref="Z495:Z496"/>
    <mergeCell ref="AB495:AB496"/>
    <mergeCell ref="AD495:AD496"/>
    <mergeCell ref="AP489:AP490"/>
    <mergeCell ref="H491:H492"/>
    <mergeCell ref="J491:J492"/>
    <mergeCell ref="L491:L492"/>
    <mergeCell ref="N491:N492"/>
    <mergeCell ref="P491:P492"/>
    <mergeCell ref="R491:R492"/>
    <mergeCell ref="T491:T492"/>
    <mergeCell ref="V491:V492"/>
    <mergeCell ref="X491:X492"/>
    <mergeCell ref="AP491:AP492"/>
    <mergeCell ref="H489:H490"/>
    <mergeCell ref="J489:J490"/>
    <mergeCell ref="L489:L490"/>
    <mergeCell ref="N489:N490"/>
    <mergeCell ref="P489:P490"/>
    <mergeCell ref="R489:R490"/>
    <mergeCell ref="T489:T490"/>
    <mergeCell ref="V489:V490"/>
    <mergeCell ref="X489:X490"/>
    <mergeCell ref="AL489:AL490"/>
    <mergeCell ref="AL491:AL492"/>
    <mergeCell ref="AN489:AN490"/>
    <mergeCell ref="AN491:AN492"/>
    <mergeCell ref="Z489:Z490"/>
    <mergeCell ref="AB489:AB490"/>
    <mergeCell ref="AD489:AD490"/>
    <mergeCell ref="Z491:Z492"/>
    <mergeCell ref="AB491:AB492"/>
    <mergeCell ref="AD491:AD492"/>
    <mergeCell ref="AF489:AF490"/>
    <mergeCell ref="AH489:AH490"/>
    <mergeCell ref="AP485:AP486"/>
    <mergeCell ref="H487:H488"/>
    <mergeCell ref="J487:J488"/>
    <mergeCell ref="L487:L488"/>
    <mergeCell ref="N487:N488"/>
    <mergeCell ref="P487:P488"/>
    <mergeCell ref="R487:R488"/>
    <mergeCell ref="T487:T488"/>
    <mergeCell ref="V487:V488"/>
    <mergeCell ref="X487:X488"/>
    <mergeCell ref="AP487:AP488"/>
    <mergeCell ref="H485:H486"/>
    <mergeCell ref="J485:J486"/>
    <mergeCell ref="L485:L486"/>
    <mergeCell ref="N485:N486"/>
    <mergeCell ref="P485:P486"/>
    <mergeCell ref="R485:R486"/>
    <mergeCell ref="T485:T486"/>
    <mergeCell ref="V485:V486"/>
    <mergeCell ref="X485:X486"/>
    <mergeCell ref="AL485:AL486"/>
    <mergeCell ref="AL487:AL488"/>
    <mergeCell ref="AN485:AN486"/>
    <mergeCell ref="AN487:AN488"/>
    <mergeCell ref="Z485:Z486"/>
    <mergeCell ref="AB485:AB486"/>
    <mergeCell ref="AD485:AD486"/>
    <mergeCell ref="Z487:Z488"/>
    <mergeCell ref="AB487:AB488"/>
    <mergeCell ref="AD487:AD488"/>
    <mergeCell ref="AP481:AP482"/>
    <mergeCell ref="H483:H484"/>
    <mergeCell ref="J483:J484"/>
    <mergeCell ref="L483:L484"/>
    <mergeCell ref="N483:N484"/>
    <mergeCell ref="P483:P484"/>
    <mergeCell ref="R483:R484"/>
    <mergeCell ref="T483:T484"/>
    <mergeCell ref="V483:V484"/>
    <mergeCell ref="X483:X484"/>
    <mergeCell ref="AP483:AP484"/>
    <mergeCell ref="H481:H482"/>
    <mergeCell ref="J481:J482"/>
    <mergeCell ref="L481:L482"/>
    <mergeCell ref="N481:N482"/>
    <mergeCell ref="P481:P482"/>
    <mergeCell ref="R481:R482"/>
    <mergeCell ref="T481:T482"/>
    <mergeCell ref="V481:V482"/>
    <mergeCell ref="X481:X482"/>
    <mergeCell ref="AL481:AL482"/>
    <mergeCell ref="AL483:AL484"/>
    <mergeCell ref="AN481:AN482"/>
    <mergeCell ref="AN483:AN484"/>
    <mergeCell ref="Z481:Z482"/>
    <mergeCell ref="AB481:AB482"/>
    <mergeCell ref="AD481:AD482"/>
    <mergeCell ref="Z483:Z484"/>
    <mergeCell ref="AB483:AB484"/>
    <mergeCell ref="AD483:AD484"/>
    <mergeCell ref="AP477:AP478"/>
    <mergeCell ref="H479:H480"/>
    <mergeCell ref="J479:J480"/>
    <mergeCell ref="L479:L480"/>
    <mergeCell ref="N479:N480"/>
    <mergeCell ref="P479:P480"/>
    <mergeCell ref="R479:R480"/>
    <mergeCell ref="T479:T480"/>
    <mergeCell ref="V479:V480"/>
    <mergeCell ref="X479:X480"/>
    <mergeCell ref="AP479:AP480"/>
    <mergeCell ref="H477:H478"/>
    <mergeCell ref="J477:J478"/>
    <mergeCell ref="L477:L478"/>
    <mergeCell ref="N477:N478"/>
    <mergeCell ref="P477:P478"/>
    <mergeCell ref="R477:R478"/>
    <mergeCell ref="T477:T478"/>
    <mergeCell ref="V477:V478"/>
    <mergeCell ref="X477:X478"/>
    <mergeCell ref="AL477:AL478"/>
    <mergeCell ref="AL479:AL480"/>
    <mergeCell ref="AN477:AN478"/>
    <mergeCell ref="AN479:AN480"/>
    <mergeCell ref="Z477:Z478"/>
    <mergeCell ref="AB477:AB478"/>
    <mergeCell ref="AD477:AD478"/>
    <mergeCell ref="Z479:Z480"/>
    <mergeCell ref="AB479:AB480"/>
    <mergeCell ref="AD479:AD480"/>
    <mergeCell ref="AP473:AP474"/>
    <mergeCell ref="H475:H476"/>
    <mergeCell ref="J475:J476"/>
    <mergeCell ref="L475:L476"/>
    <mergeCell ref="N475:N476"/>
    <mergeCell ref="P475:P476"/>
    <mergeCell ref="R475:R476"/>
    <mergeCell ref="T475:T476"/>
    <mergeCell ref="V475:V476"/>
    <mergeCell ref="X475:X476"/>
    <mergeCell ref="AP475:AP476"/>
    <mergeCell ref="H473:H474"/>
    <mergeCell ref="J473:J474"/>
    <mergeCell ref="L473:L474"/>
    <mergeCell ref="N473:N474"/>
    <mergeCell ref="P473:P474"/>
    <mergeCell ref="R473:R474"/>
    <mergeCell ref="T473:T474"/>
    <mergeCell ref="V473:V474"/>
    <mergeCell ref="X473:X474"/>
    <mergeCell ref="AL473:AL474"/>
    <mergeCell ref="AL475:AL476"/>
    <mergeCell ref="AN473:AN474"/>
    <mergeCell ref="AN475:AN476"/>
    <mergeCell ref="Z473:Z474"/>
    <mergeCell ref="AB473:AB474"/>
    <mergeCell ref="AD473:AD474"/>
    <mergeCell ref="Z475:Z476"/>
    <mergeCell ref="AB475:AB476"/>
    <mergeCell ref="AD475:AD476"/>
    <mergeCell ref="AF475:AF476"/>
    <mergeCell ref="AH475:AH476"/>
    <mergeCell ref="AP469:AP470"/>
    <mergeCell ref="H471:H472"/>
    <mergeCell ref="J471:J472"/>
    <mergeCell ref="L471:L472"/>
    <mergeCell ref="N471:N472"/>
    <mergeCell ref="P471:P472"/>
    <mergeCell ref="R471:R472"/>
    <mergeCell ref="T471:T472"/>
    <mergeCell ref="V471:V472"/>
    <mergeCell ref="X471:X472"/>
    <mergeCell ref="AP471:AP472"/>
    <mergeCell ref="H469:H470"/>
    <mergeCell ref="J469:J470"/>
    <mergeCell ref="L469:L470"/>
    <mergeCell ref="N469:N470"/>
    <mergeCell ref="P469:P470"/>
    <mergeCell ref="R469:R470"/>
    <mergeCell ref="T469:T470"/>
    <mergeCell ref="V469:V470"/>
    <mergeCell ref="X469:X470"/>
    <mergeCell ref="AL469:AL470"/>
    <mergeCell ref="AL471:AL472"/>
    <mergeCell ref="AN469:AN470"/>
    <mergeCell ref="AN471:AN472"/>
    <mergeCell ref="Z469:Z470"/>
    <mergeCell ref="AB469:AB470"/>
    <mergeCell ref="AD469:AD470"/>
    <mergeCell ref="Z471:Z472"/>
    <mergeCell ref="AB471:AB472"/>
    <mergeCell ref="AD471:AD472"/>
    <mergeCell ref="AP465:AP466"/>
    <mergeCell ref="H467:H468"/>
    <mergeCell ref="J467:J468"/>
    <mergeCell ref="L467:L468"/>
    <mergeCell ref="N467:N468"/>
    <mergeCell ref="P467:P468"/>
    <mergeCell ref="R467:R468"/>
    <mergeCell ref="T467:T468"/>
    <mergeCell ref="V467:V468"/>
    <mergeCell ref="X467:X468"/>
    <mergeCell ref="AP467:AP468"/>
    <mergeCell ref="H465:H466"/>
    <mergeCell ref="J465:J466"/>
    <mergeCell ref="L465:L466"/>
    <mergeCell ref="N465:N466"/>
    <mergeCell ref="P465:P466"/>
    <mergeCell ref="R465:R466"/>
    <mergeCell ref="T465:T466"/>
    <mergeCell ref="V465:V466"/>
    <mergeCell ref="X465:X466"/>
    <mergeCell ref="AL465:AL466"/>
    <mergeCell ref="AL467:AL468"/>
    <mergeCell ref="AN465:AN466"/>
    <mergeCell ref="AN467:AN468"/>
    <mergeCell ref="Z465:Z466"/>
    <mergeCell ref="AB465:AB466"/>
    <mergeCell ref="AD465:AD466"/>
    <mergeCell ref="Z467:Z468"/>
    <mergeCell ref="AB467:AB468"/>
    <mergeCell ref="AD467:AD468"/>
    <mergeCell ref="AP461:AP462"/>
    <mergeCell ref="H463:H464"/>
    <mergeCell ref="J463:J464"/>
    <mergeCell ref="L463:L464"/>
    <mergeCell ref="N463:N464"/>
    <mergeCell ref="P463:P464"/>
    <mergeCell ref="R463:R464"/>
    <mergeCell ref="T463:T464"/>
    <mergeCell ref="V463:V464"/>
    <mergeCell ref="X463:X464"/>
    <mergeCell ref="AP463:AP464"/>
    <mergeCell ref="H461:H462"/>
    <mergeCell ref="J461:J462"/>
    <mergeCell ref="L461:L462"/>
    <mergeCell ref="N461:N462"/>
    <mergeCell ref="P461:P462"/>
    <mergeCell ref="R461:R462"/>
    <mergeCell ref="T461:T462"/>
    <mergeCell ref="V461:V462"/>
    <mergeCell ref="X461:X462"/>
    <mergeCell ref="AL461:AL462"/>
    <mergeCell ref="AL463:AL464"/>
    <mergeCell ref="AN461:AN462"/>
    <mergeCell ref="AN463:AN464"/>
    <mergeCell ref="Z461:Z462"/>
    <mergeCell ref="AB461:AB462"/>
    <mergeCell ref="AD461:AD462"/>
    <mergeCell ref="Z463:Z464"/>
    <mergeCell ref="AB463:AB464"/>
    <mergeCell ref="AD463:AD464"/>
    <mergeCell ref="AF461:AF462"/>
    <mergeCell ref="AH461:AH462"/>
    <mergeCell ref="AP457:AP458"/>
    <mergeCell ref="H459:H460"/>
    <mergeCell ref="J459:J460"/>
    <mergeCell ref="L459:L460"/>
    <mergeCell ref="N459:N460"/>
    <mergeCell ref="P459:P460"/>
    <mergeCell ref="R459:R460"/>
    <mergeCell ref="T459:T460"/>
    <mergeCell ref="V459:V460"/>
    <mergeCell ref="X459:X460"/>
    <mergeCell ref="AP459:AP460"/>
    <mergeCell ref="H457:H458"/>
    <mergeCell ref="J457:J458"/>
    <mergeCell ref="L457:L458"/>
    <mergeCell ref="N457:N458"/>
    <mergeCell ref="P457:P458"/>
    <mergeCell ref="R457:R458"/>
    <mergeCell ref="T457:T458"/>
    <mergeCell ref="V457:V458"/>
    <mergeCell ref="X457:X458"/>
    <mergeCell ref="AL457:AL458"/>
    <mergeCell ref="AL459:AL460"/>
    <mergeCell ref="AN457:AN458"/>
    <mergeCell ref="AN459:AN460"/>
    <mergeCell ref="Z457:Z458"/>
    <mergeCell ref="AB457:AB458"/>
    <mergeCell ref="AD457:AD458"/>
    <mergeCell ref="Z459:Z460"/>
    <mergeCell ref="AB459:AB460"/>
    <mergeCell ref="AD459:AD460"/>
    <mergeCell ref="AP453:AP454"/>
    <mergeCell ref="H455:H456"/>
    <mergeCell ref="J455:J456"/>
    <mergeCell ref="L455:L456"/>
    <mergeCell ref="N455:N456"/>
    <mergeCell ref="P455:P456"/>
    <mergeCell ref="R455:R456"/>
    <mergeCell ref="T455:T456"/>
    <mergeCell ref="V455:V456"/>
    <mergeCell ref="X455:X456"/>
    <mergeCell ref="AP455:AP456"/>
    <mergeCell ref="H453:H454"/>
    <mergeCell ref="J453:J454"/>
    <mergeCell ref="L453:L454"/>
    <mergeCell ref="N453:N454"/>
    <mergeCell ref="P453:P454"/>
    <mergeCell ref="R453:R454"/>
    <mergeCell ref="T453:T454"/>
    <mergeCell ref="V453:V454"/>
    <mergeCell ref="X453:X454"/>
    <mergeCell ref="AL453:AL454"/>
    <mergeCell ref="AL455:AL456"/>
    <mergeCell ref="AN453:AN454"/>
    <mergeCell ref="AN455:AN456"/>
    <mergeCell ref="Z453:Z454"/>
    <mergeCell ref="AB453:AB454"/>
    <mergeCell ref="AD453:AD454"/>
    <mergeCell ref="Z455:Z456"/>
    <mergeCell ref="AB455:AB456"/>
    <mergeCell ref="AD455:AD456"/>
    <mergeCell ref="AP449:AP450"/>
    <mergeCell ref="H451:H452"/>
    <mergeCell ref="J451:J452"/>
    <mergeCell ref="L451:L452"/>
    <mergeCell ref="N451:N452"/>
    <mergeCell ref="P451:P452"/>
    <mergeCell ref="R451:R452"/>
    <mergeCell ref="T451:T452"/>
    <mergeCell ref="V451:V452"/>
    <mergeCell ref="X451:X452"/>
    <mergeCell ref="AP451:AP452"/>
    <mergeCell ref="H449:H450"/>
    <mergeCell ref="J449:J450"/>
    <mergeCell ref="L449:L450"/>
    <mergeCell ref="N449:N450"/>
    <mergeCell ref="P449:P450"/>
    <mergeCell ref="R449:R450"/>
    <mergeCell ref="T449:T450"/>
    <mergeCell ref="V449:V450"/>
    <mergeCell ref="X449:X450"/>
    <mergeCell ref="AL449:AL450"/>
    <mergeCell ref="AL451:AL452"/>
    <mergeCell ref="AN449:AN450"/>
    <mergeCell ref="AN451:AN452"/>
    <mergeCell ref="Z449:Z450"/>
    <mergeCell ref="AB449:AB450"/>
    <mergeCell ref="AD449:AD450"/>
    <mergeCell ref="Z451:Z452"/>
    <mergeCell ref="AB451:AB452"/>
    <mergeCell ref="AD451:AD452"/>
    <mergeCell ref="AP445:AP446"/>
    <mergeCell ref="H447:H448"/>
    <mergeCell ref="J447:J448"/>
    <mergeCell ref="L447:L448"/>
    <mergeCell ref="N447:N448"/>
    <mergeCell ref="P447:P448"/>
    <mergeCell ref="R447:R448"/>
    <mergeCell ref="T447:T448"/>
    <mergeCell ref="V447:V448"/>
    <mergeCell ref="X447:X448"/>
    <mergeCell ref="AP447:AP448"/>
    <mergeCell ref="H445:H446"/>
    <mergeCell ref="J445:J446"/>
    <mergeCell ref="L445:L446"/>
    <mergeCell ref="N445:N446"/>
    <mergeCell ref="P445:P446"/>
    <mergeCell ref="R445:R446"/>
    <mergeCell ref="T445:T446"/>
    <mergeCell ref="V445:V446"/>
    <mergeCell ref="X445:X446"/>
    <mergeCell ref="AL445:AL446"/>
    <mergeCell ref="AL447:AL448"/>
    <mergeCell ref="AN445:AN446"/>
    <mergeCell ref="AN447:AN448"/>
    <mergeCell ref="Z445:Z446"/>
    <mergeCell ref="AB445:AB446"/>
    <mergeCell ref="AD445:AD446"/>
    <mergeCell ref="Z447:Z448"/>
    <mergeCell ref="AB447:AB448"/>
    <mergeCell ref="AD447:AD448"/>
    <mergeCell ref="AF447:AF448"/>
    <mergeCell ref="AH447:AH448"/>
    <mergeCell ref="AP441:AP442"/>
    <mergeCell ref="H443:H444"/>
    <mergeCell ref="J443:J444"/>
    <mergeCell ref="L443:L444"/>
    <mergeCell ref="N443:N444"/>
    <mergeCell ref="P443:P444"/>
    <mergeCell ref="R443:R444"/>
    <mergeCell ref="T443:T444"/>
    <mergeCell ref="V443:V444"/>
    <mergeCell ref="X443:X444"/>
    <mergeCell ref="AP443:AP444"/>
    <mergeCell ref="H441:H442"/>
    <mergeCell ref="J441:J442"/>
    <mergeCell ref="L441:L442"/>
    <mergeCell ref="N441:N442"/>
    <mergeCell ref="P441:P442"/>
    <mergeCell ref="R441:R442"/>
    <mergeCell ref="T441:T442"/>
    <mergeCell ref="V441:V442"/>
    <mergeCell ref="X441:X442"/>
    <mergeCell ref="AL441:AL442"/>
    <mergeCell ref="AL443:AL444"/>
    <mergeCell ref="AN441:AN442"/>
    <mergeCell ref="AN443:AN444"/>
    <mergeCell ref="Z441:Z442"/>
    <mergeCell ref="AB441:AB442"/>
    <mergeCell ref="AD441:AD442"/>
    <mergeCell ref="Z443:Z444"/>
    <mergeCell ref="AB443:AB444"/>
    <mergeCell ref="AD443:AD444"/>
    <mergeCell ref="AP437:AP438"/>
    <mergeCell ref="H439:H440"/>
    <mergeCell ref="J439:J440"/>
    <mergeCell ref="L439:L440"/>
    <mergeCell ref="N439:N440"/>
    <mergeCell ref="P439:P440"/>
    <mergeCell ref="R439:R440"/>
    <mergeCell ref="T439:T440"/>
    <mergeCell ref="V439:V440"/>
    <mergeCell ref="X439:X440"/>
    <mergeCell ref="AP439:AP440"/>
    <mergeCell ref="H437:H438"/>
    <mergeCell ref="J437:J438"/>
    <mergeCell ref="L437:L438"/>
    <mergeCell ref="N437:N438"/>
    <mergeCell ref="P437:P438"/>
    <mergeCell ref="R437:R438"/>
    <mergeCell ref="T437:T438"/>
    <mergeCell ref="V437:V438"/>
    <mergeCell ref="X437:X438"/>
    <mergeCell ref="AL437:AL438"/>
    <mergeCell ref="AL439:AL440"/>
    <mergeCell ref="AN437:AN438"/>
    <mergeCell ref="AN439:AN440"/>
    <mergeCell ref="Z437:Z438"/>
    <mergeCell ref="AB437:AB438"/>
    <mergeCell ref="AD437:AD438"/>
    <mergeCell ref="Z439:Z440"/>
    <mergeCell ref="AB439:AB440"/>
    <mergeCell ref="AD439:AD440"/>
    <mergeCell ref="AP433:AP434"/>
    <mergeCell ref="H435:H436"/>
    <mergeCell ref="J435:J436"/>
    <mergeCell ref="L435:L436"/>
    <mergeCell ref="N435:N436"/>
    <mergeCell ref="P435:P436"/>
    <mergeCell ref="R435:R436"/>
    <mergeCell ref="T435:T436"/>
    <mergeCell ref="V435:V436"/>
    <mergeCell ref="X435:X436"/>
    <mergeCell ref="AP435:AP436"/>
    <mergeCell ref="H433:H434"/>
    <mergeCell ref="J433:J434"/>
    <mergeCell ref="L433:L434"/>
    <mergeCell ref="N433:N434"/>
    <mergeCell ref="P433:P434"/>
    <mergeCell ref="R433:R434"/>
    <mergeCell ref="T433:T434"/>
    <mergeCell ref="V433:V434"/>
    <mergeCell ref="X433:X434"/>
    <mergeCell ref="AL433:AL434"/>
    <mergeCell ref="AL435:AL436"/>
    <mergeCell ref="AN433:AN434"/>
    <mergeCell ref="AN435:AN436"/>
    <mergeCell ref="Z433:Z434"/>
    <mergeCell ref="AB433:AB434"/>
    <mergeCell ref="AD433:AD434"/>
    <mergeCell ref="Z435:Z436"/>
    <mergeCell ref="AB435:AB436"/>
    <mergeCell ref="AD435:AD436"/>
    <mergeCell ref="AF433:AF434"/>
    <mergeCell ref="AH433:AH434"/>
    <mergeCell ref="AP429:AP430"/>
    <mergeCell ref="H431:H432"/>
    <mergeCell ref="J431:J432"/>
    <mergeCell ref="L431:L432"/>
    <mergeCell ref="N431:N432"/>
    <mergeCell ref="P431:P432"/>
    <mergeCell ref="R431:R432"/>
    <mergeCell ref="T431:T432"/>
    <mergeCell ref="V431:V432"/>
    <mergeCell ref="X431:X432"/>
    <mergeCell ref="AP431:AP432"/>
    <mergeCell ref="H429:H430"/>
    <mergeCell ref="J429:J430"/>
    <mergeCell ref="L429:L430"/>
    <mergeCell ref="N429:N430"/>
    <mergeCell ref="P429:P430"/>
    <mergeCell ref="R429:R430"/>
    <mergeCell ref="T429:T430"/>
    <mergeCell ref="V429:V430"/>
    <mergeCell ref="X429:X430"/>
    <mergeCell ref="AL429:AL430"/>
    <mergeCell ref="AL431:AL432"/>
    <mergeCell ref="AN429:AN430"/>
    <mergeCell ref="AN431:AN432"/>
    <mergeCell ref="Z429:Z430"/>
    <mergeCell ref="AB429:AB430"/>
    <mergeCell ref="AD429:AD430"/>
    <mergeCell ref="Z431:Z432"/>
    <mergeCell ref="AB431:AB432"/>
    <mergeCell ref="AD431:AD432"/>
    <mergeCell ref="AP425:AP426"/>
    <mergeCell ref="H427:H428"/>
    <mergeCell ref="J427:J428"/>
    <mergeCell ref="L427:L428"/>
    <mergeCell ref="N427:N428"/>
    <mergeCell ref="P427:P428"/>
    <mergeCell ref="R427:R428"/>
    <mergeCell ref="T427:T428"/>
    <mergeCell ref="V427:V428"/>
    <mergeCell ref="X427:X428"/>
    <mergeCell ref="AP427:AP428"/>
    <mergeCell ref="H425:H426"/>
    <mergeCell ref="J425:J426"/>
    <mergeCell ref="L425:L426"/>
    <mergeCell ref="N425:N426"/>
    <mergeCell ref="P425:P426"/>
    <mergeCell ref="R425:R426"/>
    <mergeCell ref="T425:T426"/>
    <mergeCell ref="V425:V426"/>
    <mergeCell ref="X425:X426"/>
    <mergeCell ref="AL425:AL426"/>
    <mergeCell ref="AL427:AL428"/>
    <mergeCell ref="AN425:AN426"/>
    <mergeCell ref="AN427:AN428"/>
    <mergeCell ref="Z425:Z426"/>
    <mergeCell ref="AB425:AB426"/>
    <mergeCell ref="AD425:AD426"/>
    <mergeCell ref="Z427:Z428"/>
    <mergeCell ref="AB427:AB428"/>
    <mergeCell ref="AD427:AD428"/>
    <mergeCell ref="AP421:AP422"/>
    <mergeCell ref="H423:H424"/>
    <mergeCell ref="J423:J424"/>
    <mergeCell ref="L423:L424"/>
    <mergeCell ref="N423:N424"/>
    <mergeCell ref="P423:P424"/>
    <mergeCell ref="R423:R424"/>
    <mergeCell ref="T423:T424"/>
    <mergeCell ref="V423:V424"/>
    <mergeCell ref="X423:X424"/>
    <mergeCell ref="AP423:AP424"/>
    <mergeCell ref="H421:H422"/>
    <mergeCell ref="J421:J422"/>
    <mergeCell ref="L421:L422"/>
    <mergeCell ref="N421:N422"/>
    <mergeCell ref="P421:P422"/>
    <mergeCell ref="R421:R422"/>
    <mergeCell ref="T421:T422"/>
    <mergeCell ref="V421:V422"/>
    <mergeCell ref="X421:X422"/>
    <mergeCell ref="AL421:AL422"/>
    <mergeCell ref="AL423:AL424"/>
    <mergeCell ref="AN421:AN422"/>
    <mergeCell ref="AN423:AN424"/>
    <mergeCell ref="Z421:Z422"/>
    <mergeCell ref="AB421:AB422"/>
    <mergeCell ref="AD421:AD422"/>
    <mergeCell ref="Z423:Z424"/>
    <mergeCell ref="AB423:AB424"/>
    <mergeCell ref="AD423:AD424"/>
    <mergeCell ref="AP417:AP418"/>
    <mergeCell ref="H419:H420"/>
    <mergeCell ref="J419:J420"/>
    <mergeCell ref="L419:L420"/>
    <mergeCell ref="N419:N420"/>
    <mergeCell ref="P419:P420"/>
    <mergeCell ref="R419:R420"/>
    <mergeCell ref="T419:T420"/>
    <mergeCell ref="V419:V420"/>
    <mergeCell ref="X419:X420"/>
    <mergeCell ref="AP419:AP420"/>
    <mergeCell ref="H417:H418"/>
    <mergeCell ref="J417:J418"/>
    <mergeCell ref="L417:L418"/>
    <mergeCell ref="N417:N418"/>
    <mergeCell ref="P417:P418"/>
    <mergeCell ref="R417:R418"/>
    <mergeCell ref="T417:T418"/>
    <mergeCell ref="V417:V418"/>
    <mergeCell ref="X417:X418"/>
    <mergeCell ref="AL417:AL418"/>
    <mergeCell ref="AL419:AL420"/>
    <mergeCell ref="AN417:AN418"/>
    <mergeCell ref="AN419:AN420"/>
    <mergeCell ref="Z417:Z418"/>
    <mergeCell ref="AB417:AB418"/>
    <mergeCell ref="AD417:AD418"/>
    <mergeCell ref="Z419:Z420"/>
    <mergeCell ref="AB419:AB420"/>
    <mergeCell ref="AD419:AD420"/>
    <mergeCell ref="AF419:AF420"/>
    <mergeCell ref="AH419:AH420"/>
    <mergeCell ref="AP413:AP414"/>
    <mergeCell ref="H415:H416"/>
    <mergeCell ref="J415:J416"/>
    <mergeCell ref="L415:L416"/>
    <mergeCell ref="N415:N416"/>
    <mergeCell ref="P415:P416"/>
    <mergeCell ref="R415:R416"/>
    <mergeCell ref="T415:T416"/>
    <mergeCell ref="V415:V416"/>
    <mergeCell ref="X415:X416"/>
    <mergeCell ref="AP415:AP416"/>
    <mergeCell ref="H413:H414"/>
    <mergeCell ref="J413:J414"/>
    <mergeCell ref="L413:L414"/>
    <mergeCell ref="N413:N414"/>
    <mergeCell ref="P413:P414"/>
    <mergeCell ref="R413:R414"/>
    <mergeCell ref="T413:T414"/>
    <mergeCell ref="V413:V414"/>
    <mergeCell ref="X413:X414"/>
    <mergeCell ref="AL413:AL414"/>
    <mergeCell ref="AL415:AL416"/>
    <mergeCell ref="AN413:AN414"/>
    <mergeCell ref="AN415:AN416"/>
    <mergeCell ref="Z413:Z414"/>
    <mergeCell ref="AB413:AB414"/>
    <mergeCell ref="AD413:AD414"/>
    <mergeCell ref="Z415:Z416"/>
    <mergeCell ref="AB415:AB416"/>
    <mergeCell ref="AD415:AD416"/>
    <mergeCell ref="AP409:AP410"/>
    <mergeCell ref="H411:H412"/>
    <mergeCell ref="J411:J412"/>
    <mergeCell ref="L411:L412"/>
    <mergeCell ref="N411:N412"/>
    <mergeCell ref="P411:P412"/>
    <mergeCell ref="R411:R412"/>
    <mergeCell ref="T411:T412"/>
    <mergeCell ref="V411:V412"/>
    <mergeCell ref="X411:X412"/>
    <mergeCell ref="AP411:AP412"/>
    <mergeCell ref="H409:H410"/>
    <mergeCell ref="J409:J410"/>
    <mergeCell ref="L409:L410"/>
    <mergeCell ref="N409:N410"/>
    <mergeCell ref="P409:P410"/>
    <mergeCell ref="R409:R410"/>
    <mergeCell ref="T409:T410"/>
    <mergeCell ref="V409:V410"/>
    <mergeCell ref="X409:X410"/>
    <mergeCell ref="AL409:AL410"/>
    <mergeCell ref="AL411:AL412"/>
    <mergeCell ref="AN409:AN410"/>
    <mergeCell ref="AN411:AN412"/>
    <mergeCell ref="Z409:Z410"/>
    <mergeCell ref="AB409:AB410"/>
    <mergeCell ref="AD409:AD410"/>
    <mergeCell ref="Z411:Z412"/>
    <mergeCell ref="AB411:AB412"/>
    <mergeCell ref="AD411:AD412"/>
    <mergeCell ref="AP405:AP406"/>
    <mergeCell ref="H407:H408"/>
    <mergeCell ref="J407:J408"/>
    <mergeCell ref="L407:L408"/>
    <mergeCell ref="N407:N408"/>
    <mergeCell ref="P407:P408"/>
    <mergeCell ref="R407:R408"/>
    <mergeCell ref="T407:T408"/>
    <mergeCell ref="V407:V408"/>
    <mergeCell ref="X407:X408"/>
    <mergeCell ref="AP407:AP408"/>
    <mergeCell ref="H405:H406"/>
    <mergeCell ref="J405:J406"/>
    <mergeCell ref="L405:L406"/>
    <mergeCell ref="N405:N406"/>
    <mergeCell ref="P405:P406"/>
    <mergeCell ref="R405:R406"/>
    <mergeCell ref="T405:T406"/>
    <mergeCell ref="V405:V406"/>
    <mergeCell ref="X405:X406"/>
    <mergeCell ref="AL405:AL406"/>
    <mergeCell ref="AL407:AL408"/>
    <mergeCell ref="AN405:AN406"/>
    <mergeCell ref="AN407:AN408"/>
    <mergeCell ref="Z405:Z406"/>
    <mergeCell ref="AB405:AB406"/>
    <mergeCell ref="AD405:AD406"/>
    <mergeCell ref="Z407:Z408"/>
    <mergeCell ref="AB407:AB408"/>
    <mergeCell ref="AD407:AD408"/>
    <mergeCell ref="AF405:AF406"/>
    <mergeCell ref="AH405:AH406"/>
    <mergeCell ref="AP401:AP402"/>
    <mergeCell ref="H403:H404"/>
    <mergeCell ref="J403:J404"/>
    <mergeCell ref="L403:L404"/>
    <mergeCell ref="N403:N404"/>
    <mergeCell ref="P403:P404"/>
    <mergeCell ref="R403:R404"/>
    <mergeCell ref="T403:T404"/>
    <mergeCell ref="V403:V404"/>
    <mergeCell ref="X403:X404"/>
    <mergeCell ref="AP403:AP404"/>
    <mergeCell ref="H401:H402"/>
    <mergeCell ref="J401:J402"/>
    <mergeCell ref="L401:L402"/>
    <mergeCell ref="N401:N402"/>
    <mergeCell ref="P401:P402"/>
    <mergeCell ref="R401:R402"/>
    <mergeCell ref="T401:T402"/>
    <mergeCell ref="V401:V402"/>
    <mergeCell ref="X401:X402"/>
    <mergeCell ref="AL401:AL402"/>
    <mergeCell ref="AL403:AL404"/>
    <mergeCell ref="AN401:AN402"/>
    <mergeCell ref="AN403:AN404"/>
    <mergeCell ref="Z401:Z402"/>
    <mergeCell ref="AB401:AB402"/>
    <mergeCell ref="AD401:AD402"/>
    <mergeCell ref="Z403:Z404"/>
    <mergeCell ref="AB403:AB404"/>
    <mergeCell ref="AD403:AD404"/>
    <mergeCell ref="AP397:AP398"/>
    <mergeCell ref="H399:H400"/>
    <mergeCell ref="J399:J400"/>
    <mergeCell ref="L399:L400"/>
    <mergeCell ref="N399:N400"/>
    <mergeCell ref="P399:P400"/>
    <mergeCell ref="R399:R400"/>
    <mergeCell ref="T399:T400"/>
    <mergeCell ref="V399:V400"/>
    <mergeCell ref="X399:X400"/>
    <mergeCell ref="AP399:AP400"/>
    <mergeCell ref="H397:H398"/>
    <mergeCell ref="J397:J398"/>
    <mergeCell ref="L397:L398"/>
    <mergeCell ref="N397:N398"/>
    <mergeCell ref="P397:P398"/>
    <mergeCell ref="R397:R398"/>
    <mergeCell ref="T397:T398"/>
    <mergeCell ref="V397:V398"/>
    <mergeCell ref="X397:X398"/>
    <mergeCell ref="AL397:AL398"/>
    <mergeCell ref="AL399:AL400"/>
    <mergeCell ref="AN397:AN398"/>
    <mergeCell ref="AN399:AN400"/>
    <mergeCell ref="Z397:Z398"/>
    <mergeCell ref="AB397:AB398"/>
    <mergeCell ref="AD397:AD398"/>
    <mergeCell ref="Z399:Z400"/>
    <mergeCell ref="AB399:AB400"/>
    <mergeCell ref="AD399:AD400"/>
    <mergeCell ref="AP393:AP394"/>
    <mergeCell ref="H395:H396"/>
    <mergeCell ref="J395:J396"/>
    <mergeCell ref="L395:L396"/>
    <mergeCell ref="N395:N396"/>
    <mergeCell ref="P395:P396"/>
    <mergeCell ref="R395:R396"/>
    <mergeCell ref="T395:T396"/>
    <mergeCell ref="V395:V396"/>
    <mergeCell ref="X395:X396"/>
    <mergeCell ref="AP395:AP396"/>
    <mergeCell ref="H393:H394"/>
    <mergeCell ref="J393:J394"/>
    <mergeCell ref="L393:L394"/>
    <mergeCell ref="N393:N394"/>
    <mergeCell ref="P393:P394"/>
    <mergeCell ref="R393:R394"/>
    <mergeCell ref="T393:T394"/>
    <mergeCell ref="V393:V394"/>
    <mergeCell ref="X393:X394"/>
    <mergeCell ref="AL393:AL394"/>
    <mergeCell ref="AL395:AL396"/>
    <mergeCell ref="AN393:AN394"/>
    <mergeCell ref="AN395:AN396"/>
    <mergeCell ref="Z393:Z394"/>
    <mergeCell ref="AB393:AB394"/>
    <mergeCell ref="AD393:AD394"/>
    <mergeCell ref="Z395:Z396"/>
    <mergeCell ref="AB395:AB396"/>
    <mergeCell ref="AD395:AD396"/>
    <mergeCell ref="AP389:AP390"/>
    <mergeCell ref="H391:H392"/>
    <mergeCell ref="J391:J392"/>
    <mergeCell ref="L391:L392"/>
    <mergeCell ref="N391:N392"/>
    <mergeCell ref="P391:P392"/>
    <mergeCell ref="R391:R392"/>
    <mergeCell ref="T391:T392"/>
    <mergeCell ref="V391:V392"/>
    <mergeCell ref="X391:X392"/>
    <mergeCell ref="AP391:AP392"/>
    <mergeCell ref="H389:H390"/>
    <mergeCell ref="J389:J390"/>
    <mergeCell ref="L389:L390"/>
    <mergeCell ref="N389:N390"/>
    <mergeCell ref="P389:P390"/>
    <mergeCell ref="R389:R390"/>
    <mergeCell ref="T389:T390"/>
    <mergeCell ref="V389:V390"/>
    <mergeCell ref="X389:X390"/>
    <mergeCell ref="AL389:AL390"/>
    <mergeCell ref="AL391:AL392"/>
    <mergeCell ref="AN389:AN390"/>
    <mergeCell ref="AN391:AN392"/>
    <mergeCell ref="Z389:Z390"/>
    <mergeCell ref="AB389:AB390"/>
    <mergeCell ref="AD389:AD390"/>
    <mergeCell ref="Z391:Z392"/>
    <mergeCell ref="AB391:AB392"/>
    <mergeCell ref="AD391:AD392"/>
    <mergeCell ref="AF391:AF392"/>
    <mergeCell ref="AH391:AH392"/>
    <mergeCell ref="AP385:AP386"/>
    <mergeCell ref="H387:H388"/>
    <mergeCell ref="J387:J388"/>
    <mergeCell ref="L387:L388"/>
    <mergeCell ref="N387:N388"/>
    <mergeCell ref="P387:P388"/>
    <mergeCell ref="R387:R388"/>
    <mergeCell ref="T387:T388"/>
    <mergeCell ref="V387:V388"/>
    <mergeCell ref="X387:X388"/>
    <mergeCell ref="AP387:AP388"/>
    <mergeCell ref="H385:H386"/>
    <mergeCell ref="J385:J386"/>
    <mergeCell ref="L385:L386"/>
    <mergeCell ref="N385:N386"/>
    <mergeCell ref="P385:P386"/>
    <mergeCell ref="R385:R386"/>
    <mergeCell ref="T385:T386"/>
    <mergeCell ref="V385:V386"/>
    <mergeCell ref="X385:X386"/>
    <mergeCell ref="AL385:AL386"/>
    <mergeCell ref="AL387:AL388"/>
    <mergeCell ref="AN385:AN386"/>
    <mergeCell ref="AN387:AN388"/>
    <mergeCell ref="Z385:Z386"/>
    <mergeCell ref="AB385:AB386"/>
    <mergeCell ref="AD385:AD386"/>
    <mergeCell ref="Z387:Z388"/>
    <mergeCell ref="AB387:AB388"/>
    <mergeCell ref="AD387:AD388"/>
    <mergeCell ref="AP381:AP382"/>
    <mergeCell ref="H383:H384"/>
    <mergeCell ref="J383:J384"/>
    <mergeCell ref="L383:L384"/>
    <mergeCell ref="N383:N384"/>
    <mergeCell ref="P383:P384"/>
    <mergeCell ref="R383:R384"/>
    <mergeCell ref="T383:T384"/>
    <mergeCell ref="V383:V384"/>
    <mergeCell ref="X383:X384"/>
    <mergeCell ref="AP383:AP384"/>
    <mergeCell ref="H381:H382"/>
    <mergeCell ref="J381:J382"/>
    <mergeCell ref="L381:L382"/>
    <mergeCell ref="N381:N382"/>
    <mergeCell ref="P381:P382"/>
    <mergeCell ref="R381:R382"/>
    <mergeCell ref="T381:T382"/>
    <mergeCell ref="V381:V382"/>
    <mergeCell ref="X381:X382"/>
    <mergeCell ref="AL381:AL382"/>
    <mergeCell ref="AL383:AL384"/>
    <mergeCell ref="AN381:AN382"/>
    <mergeCell ref="AN383:AN384"/>
    <mergeCell ref="Z381:Z382"/>
    <mergeCell ref="AB381:AB382"/>
    <mergeCell ref="AD381:AD382"/>
    <mergeCell ref="Z383:Z384"/>
    <mergeCell ref="AB383:AB384"/>
    <mergeCell ref="AD383:AD384"/>
    <mergeCell ref="AP377:AP378"/>
    <mergeCell ref="H379:H380"/>
    <mergeCell ref="J379:J380"/>
    <mergeCell ref="L379:L380"/>
    <mergeCell ref="N379:N380"/>
    <mergeCell ref="P379:P380"/>
    <mergeCell ref="R379:R380"/>
    <mergeCell ref="T379:T380"/>
    <mergeCell ref="V379:V380"/>
    <mergeCell ref="X379:X380"/>
    <mergeCell ref="AP379:AP380"/>
    <mergeCell ref="H377:H378"/>
    <mergeCell ref="J377:J378"/>
    <mergeCell ref="L377:L378"/>
    <mergeCell ref="N377:N378"/>
    <mergeCell ref="P377:P378"/>
    <mergeCell ref="R377:R378"/>
    <mergeCell ref="T377:T378"/>
    <mergeCell ref="V377:V378"/>
    <mergeCell ref="X377:X378"/>
    <mergeCell ref="AL377:AL378"/>
    <mergeCell ref="AL379:AL380"/>
    <mergeCell ref="AN377:AN378"/>
    <mergeCell ref="AN379:AN380"/>
    <mergeCell ref="Z377:Z378"/>
    <mergeCell ref="AB377:AB378"/>
    <mergeCell ref="AD377:AD378"/>
    <mergeCell ref="Z379:Z380"/>
    <mergeCell ref="AB379:AB380"/>
    <mergeCell ref="AD379:AD380"/>
    <mergeCell ref="AF377:AF378"/>
    <mergeCell ref="AH377:AH378"/>
    <mergeCell ref="AP373:AP374"/>
    <mergeCell ref="H375:H376"/>
    <mergeCell ref="J375:J376"/>
    <mergeCell ref="L375:L376"/>
    <mergeCell ref="N375:N376"/>
    <mergeCell ref="P375:P376"/>
    <mergeCell ref="R375:R376"/>
    <mergeCell ref="T375:T376"/>
    <mergeCell ref="V375:V376"/>
    <mergeCell ref="X375:X376"/>
    <mergeCell ref="AP375:AP376"/>
    <mergeCell ref="H373:H374"/>
    <mergeCell ref="J373:J374"/>
    <mergeCell ref="L373:L374"/>
    <mergeCell ref="N373:N374"/>
    <mergeCell ref="P373:P374"/>
    <mergeCell ref="R373:R374"/>
    <mergeCell ref="T373:T374"/>
    <mergeCell ref="V373:V374"/>
    <mergeCell ref="X373:X374"/>
    <mergeCell ref="AL373:AL374"/>
    <mergeCell ref="AL375:AL376"/>
    <mergeCell ref="AN373:AN374"/>
    <mergeCell ref="AN375:AN376"/>
    <mergeCell ref="Z373:Z374"/>
    <mergeCell ref="AB373:AB374"/>
    <mergeCell ref="AD373:AD374"/>
    <mergeCell ref="Z375:Z376"/>
    <mergeCell ref="AB375:AB376"/>
    <mergeCell ref="AD375:AD376"/>
    <mergeCell ref="AP369:AP370"/>
    <mergeCell ref="H371:H372"/>
    <mergeCell ref="J371:J372"/>
    <mergeCell ref="L371:L372"/>
    <mergeCell ref="N371:N372"/>
    <mergeCell ref="P371:P372"/>
    <mergeCell ref="R371:R372"/>
    <mergeCell ref="T371:T372"/>
    <mergeCell ref="V371:V372"/>
    <mergeCell ref="X371:X372"/>
    <mergeCell ref="AP371:AP372"/>
    <mergeCell ref="H369:H370"/>
    <mergeCell ref="J369:J370"/>
    <mergeCell ref="L369:L370"/>
    <mergeCell ref="N369:N370"/>
    <mergeCell ref="P369:P370"/>
    <mergeCell ref="R369:R370"/>
    <mergeCell ref="T369:T370"/>
    <mergeCell ref="V369:V370"/>
    <mergeCell ref="X369:X370"/>
    <mergeCell ref="AL369:AL370"/>
    <mergeCell ref="AL371:AL372"/>
    <mergeCell ref="AN369:AN370"/>
    <mergeCell ref="AN371:AN372"/>
    <mergeCell ref="Z369:Z370"/>
    <mergeCell ref="AB369:AB370"/>
    <mergeCell ref="AD369:AD370"/>
    <mergeCell ref="Z371:Z372"/>
    <mergeCell ref="AB371:AB372"/>
    <mergeCell ref="AD371:AD372"/>
    <mergeCell ref="AP365:AP366"/>
    <mergeCell ref="H367:H368"/>
    <mergeCell ref="J367:J368"/>
    <mergeCell ref="L367:L368"/>
    <mergeCell ref="N367:N368"/>
    <mergeCell ref="P367:P368"/>
    <mergeCell ref="R367:R368"/>
    <mergeCell ref="T367:T368"/>
    <mergeCell ref="V367:V368"/>
    <mergeCell ref="X367:X368"/>
    <mergeCell ref="AP367:AP368"/>
    <mergeCell ref="H365:H366"/>
    <mergeCell ref="J365:J366"/>
    <mergeCell ref="L365:L366"/>
    <mergeCell ref="N365:N366"/>
    <mergeCell ref="P365:P366"/>
    <mergeCell ref="R365:R366"/>
    <mergeCell ref="T365:T366"/>
    <mergeCell ref="V365:V366"/>
    <mergeCell ref="X365:X366"/>
    <mergeCell ref="AL365:AL366"/>
    <mergeCell ref="AL367:AL368"/>
    <mergeCell ref="AN365:AN366"/>
    <mergeCell ref="AN367:AN368"/>
    <mergeCell ref="Z365:Z366"/>
    <mergeCell ref="AB365:AB366"/>
    <mergeCell ref="AD365:AD366"/>
    <mergeCell ref="Z367:Z368"/>
    <mergeCell ref="AB367:AB368"/>
    <mergeCell ref="AD367:AD368"/>
    <mergeCell ref="AP361:AP362"/>
    <mergeCell ref="H363:H364"/>
    <mergeCell ref="J363:J364"/>
    <mergeCell ref="L363:L364"/>
    <mergeCell ref="N363:N364"/>
    <mergeCell ref="P363:P364"/>
    <mergeCell ref="R363:R364"/>
    <mergeCell ref="T363:T364"/>
    <mergeCell ref="V363:V364"/>
    <mergeCell ref="X363:X364"/>
    <mergeCell ref="AP363:AP364"/>
    <mergeCell ref="H361:H362"/>
    <mergeCell ref="J361:J362"/>
    <mergeCell ref="L361:L362"/>
    <mergeCell ref="N361:N362"/>
    <mergeCell ref="P361:P362"/>
    <mergeCell ref="R361:R362"/>
    <mergeCell ref="T361:T362"/>
    <mergeCell ref="V361:V362"/>
    <mergeCell ref="X361:X362"/>
    <mergeCell ref="AL361:AL362"/>
    <mergeCell ref="AL363:AL364"/>
    <mergeCell ref="AN361:AN362"/>
    <mergeCell ref="AN363:AN364"/>
    <mergeCell ref="Z361:Z362"/>
    <mergeCell ref="AB361:AB362"/>
    <mergeCell ref="AD361:AD362"/>
    <mergeCell ref="Z363:Z364"/>
    <mergeCell ref="AB363:AB364"/>
    <mergeCell ref="AD363:AD364"/>
    <mergeCell ref="AF363:AF364"/>
    <mergeCell ref="AH363:AH364"/>
    <mergeCell ref="AP357:AP358"/>
    <mergeCell ref="H359:H360"/>
    <mergeCell ref="J359:J360"/>
    <mergeCell ref="L359:L360"/>
    <mergeCell ref="N359:N360"/>
    <mergeCell ref="P359:P360"/>
    <mergeCell ref="R359:R360"/>
    <mergeCell ref="T359:T360"/>
    <mergeCell ref="V359:V360"/>
    <mergeCell ref="X359:X360"/>
    <mergeCell ref="AP359:AP360"/>
    <mergeCell ref="H357:H358"/>
    <mergeCell ref="J357:J358"/>
    <mergeCell ref="L357:L358"/>
    <mergeCell ref="N357:N358"/>
    <mergeCell ref="P357:P358"/>
    <mergeCell ref="R357:R358"/>
    <mergeCell ref="T357:T358"/>
    <mergeCell ref="V357:V358"/>
    <mergeCell ref="X357:X358"/>
    <mergeCell ref="AL357:AL358"/>
    <mergeCell ref="AL359:AL360"/>
    <mergeCell ref="AN357:AN358"/>
    <mergeCell ref="AN359:AN360"/>
    <mergeCell ref="Z357:Z358"/>
    <mergeCell ref="AB357:AB358"/>
    <mergeCell ref="AD357:AD358"/>
    <mergeCell ref="Z359:Z360"/>
    <mergeCell ref="AB359:AB360"/>
    <mergeCell ref="AD359:AD360"/>
    <mergeCell ref="AP353:AP354"/>
    <mergeCell ref="H355:H356"/>
    <mergeCell ref="J355:J356"/>
    <mergeCell ref="L355:L356"/>
    <mergeCell ref="N355:N356"/>
    <mergeCell ref="P355:P356"/>
    <mergeCell ref="R355:R356"/>
    <mergeCell ref="T355:T356"/>
    <mergeCell ref="V355:V356"/>
    <mergeCell ref="X355:X356"/>
    <mergeCell ref="AP355:AP356"/>
    <mergeCell ref="H353:H354"/>
    <mergeCell ref="J353:J354"/>
    <mergeCell ref="L353:L354"/>
    <mergeCell ref="N353:N354"/>
    <mergeCell ref="P353:P354"/>
    <mergeCell ref="R353:R354"/>
    <mergeCell ref="T353:T354"/>
    <mergeCell ref="V353:V354"/>
    <mergeCell ref="X353:X354"/>
    <mergeCell ref="AL353:AL354"/>
    <mergeCell ref="AL355:AL356"/>
    <mergeCell ref="AN353:AN354"/>
    <mergeCell ref="AN355:AN356"/>
    <mergeCell ref="Z353:Z354"/>
    <mergeCell ref="AB353:AB354"/>
    <mergeCell ref="AD353:AD354"/>
    <mergeCell ref="Z355:Z356"/>
    <mergeCell ref="AB355:AB356"/>
    <mergeCell ref="AD355:AD356"/>
    <mergeCell ref="AP349:AP350"/>
    <mergeCell ref="H351:H352"/>
    <mergeCell ref="J351:J352"/>
    <mergeCell ref="L351:L352"/>
    <mergeCell ref="N351:N352"/>
    <mergeCell ref="P351:P352"/>
    <mergeCell ref="R351:R352"/>
    <mergeCell ref="T351:T352"/>
    <mergeCell ref="V351:V352"/>
    <mergeCell ref="X351:X352"/>
    <mergeCell ref="AP351:AP352"/>
    <mergeCell ref="H349:H350"/>
    <mergeCell ref="J349:J350"/>
    <mergeCell ref="L349:L350"/>
    <mergeCell ref="N349:N350"/>
    <mergeCell ref="P349:P350"/>
    <mergeCell ref="R349:R350"/>
    <mergeCell ref="T349:T350"/>
    <mergeCell ref="V349:V350"/>
    <mergeCell ref="X349:X350"/>
    <mergeCell ref="AL349:AL350"/>
    <mergeCell ref="AL351:AL352"/>
    <mergeCell ref="AN349:AN350"/>
    <mergeCell ref="AN351:AN352"/>
    <mergeCell ref="Z349:Z350"/>
    <mergeCell ref="AB349:AB350"/>
    <mergeCell ref="AD349:AD350"/>
    <mergeCell ref="Z351:Z352"/>
    <mergeCell ref="AB351:AB352"/>
    <mergeCell ref="AD351:AD352"/>
    <mergeCell ref="AF349:AF350"/>
    <mergeCell ref="AH349:AH350"/>
    <mergeCell ref="AP345:AP346"/>
    <mergeCell ref="H347:H348"/>
    <mergeCell ref="J347:J348"/>
    <mergeCell ref="L347:L348"/>
    <mergeCell ref="N347:N348"/>
    <mergeCell ref="P347:P348"/>
    <mergeCell ref="R347:R348"/>
    <mergeCell ref="T347:T348"/>
    <mergeCell ref="V347:V348"/>
    <mergeCell ref="X347:X348"/>
    <mergeCell ref="AP347:AP348"/>
    <mergeCell ref="H345:H346"/>
    <mergeCell ref="J345:J346"/>
    <mergeCell ref="L345:L346"/>
    <mergeCell ref="N345:N346"/>
    <mergeCell ref="P345:P346"/>
    <mergeCell ref="R345:R346"/>
    <mergeCell ref="T345:T346"/>
    <mergeCell ref="V345:V346"/>
    <mergeCell ref="X345:X346"/>
    <mergeCell ref="AL345:AL346"/>
    <mergeCell ref="AL347:AL348"/>
    <mergeCell ref="AN345:AN346"/>
    <mergeCell ref="AN347:AN348"/>
    <mergeCell ref="Z345:Z346"/>
    <mergeCell ref="AB345:AB346"/>
    <mergeCell ref="AD345:AD346"/>
    <mergeCell ref="Z347:Z348"/>
    <mergeCell ref="AB347:AB348"/>
    <mergeCell ref="AD347:AD348"/>
    <mergeCell ref="AP341:AP342"/>
    <mergeCell ref="H343:H344"/>
    <mergeCell ref="J343:J344"/>
    <mergeCell ref="L343:L344"/>
    <mergeCell ref="N343:N344"/>
    <mergeCell ref="P343:P344"/>
    <mergeCell ref="R343:R344"/>
    <mergeCell ref="T343:T344"/>
    <mergeCell ref="V343:V344"/>
    <mergeCell ref="X343:X344"/>
    <mergeCell ref="AP343:AP344"/>
    <mergeCell ref="H341:H342"/>
    <mergeCell ref="J341:J342"/>
    <mergeCell ref="L341:L342"/>
    <mergeCell ref="N341:N342"/>
    <mergeCell ref="P341:P342"/>
    <mergeCell ref="R341:R342"/>
    <mergeCell ref="T341:T342"/>
    <mergeCell ref="V341:V342"/>
    <mergeCell ref="X341:X342"/>
    <mergeCell ref="AL341:AL342"/>
    <mergeCell ref="AL343:AL344"/>
    <mergeCell ref="AN341:AN342"/>
    <mergeCell ref="AN343:AN344"/>
    <mergeCell ref="Z341:Z342"/>
    <mergeCell ref="AB341:AB342"/>
    <mergeCell ref="AD341:AD342"/>
    <mergeCell ref="Z343:Z344"/>
    <mergeCell ref="AB343:AB344"/>
    <mergeCell ref="AD343:AD344"/>
    <mergeCell ref="AP337:AP338"/>
    <mergeCell ref="H339:H340"/>
    <mergeCell ref="J339:J340"/>
    <mergeCell ref="L339:L340"/>
    <mergeCell ref="N339:N340"/>
    <mergeCell ref="P339:P340"/>
    <mergeCell ref="R339:R340"/>
    <mergeCell ref="T339:T340"/>
    <mergeCell ref="V339:V340"/>
    <mergeCell ref="X339:X340"/>
    <mergeCell ref="AP339:AP340"/>
    <mergeCell ref="H337:H338"/>
    <mergeCell ref="J337:J338"/>
    <mergeCell ref="L337:L338"/>
    <mergeCell ref="N337:N338"/>
    <mergeCell ref="P337:P338"/>
    <mergeCell ref="R337:R338"/>
    <mergeCell ref="T337:T338"/>
    <mergeCell ref="V337:V338"/>
    <mergeCell ref="X337:X338"/>
    <mergeCell ref="AL337:AL338"/>
    <mergeCell ref="AL339:AL340"/>
    <mergeCell ref="AN337:AN338"/>
    <mergeCell ref="AN339:AN340"/>
    <mergeCell ref="Z337:Z338"/>
    <mergeCell ref="AB337:AB338"/>
    <mergeCell ref="AD337:AD338"/>
    <mergeCell ref="Z339:Z340"/>
    <mergeCell ref="AB339:AB340"/>
    <mergeCell ref="AD339:AD340"/>
    <mergeCell ref="AP333:AP334"/>
    <mergeCell ref="H335:H336"/>
    <mergeCell ref="J335:J336"/>
    <mergeCell ref="L335:L336"/>
    <mergeCell ref="N335:N336"/>
    <mergeCell ref="P335:P336"/>
    <mergeCell ref="R335:R336"/>
    <mergeCell ref="T335:T336"/>
    <mergeCell ref="V335:V336"/>
    <mergeCell ref="X335:X336"/>
    <mergeCell ref="AP335:AP336"/>
    <mergeCell ref="H333:H334"/>
    <mergeCell ref="J333:J334"/>
    <mergeCell ref="L333:L334"/>
    <mergeCell ref="N333:N334"/>
    <mergeCell ref="P333:P334"/>
    <mergeCell ref="R333:R334"/>
    <mergeCell ref="T333:T334"/>
    <mergeCell ref="V333:V334"/>
    <mergeCell ref="X333:X334"/>
    <mergeCell ref="AL333:AL334"/>
    <mergeCell ref="AL335:AL336"/>
    <mergeCell ref="AN333:AN334"/>
    <mergeCell ref="AN335:AN336"/>
    <mergeCell ref="Z333:Z334"/>
    <mergeCell ref="AB333:AB334"/>
    <mergeCell ref="AD333:AD334"/>
    <mergeCell ref="Z335:Z336"/>
    <mergeCell ref="AB335:AB336"/>
    <mergeCell ref="AD335:AD336"/>
    <mergeCell ref="AF335:AF336"/>
    <mergeCell ref="AH335:AH336"/>
    <mergeCell ref="AP329:AP330"/>
    <mergeCell ref="H331:H332"/>
    <mergeCell ref="J331:J332"/>
    <mergeCell ref="L331:L332"/>
    <mergeCell ref="N331:N332"/>
    <mergeCell ref="P331:P332"/>
    <mergeCell ref="R331:R332"/>
    <mergeCell ref="T331:T332"/>
    <mergeCell ref="V331:V332"/>
    <mergeCell ref="X331:X332"/>
    <mergeCell ref="AP331:AP332"/>
    <mergeCell ref="H329:H330"/>
    <mergeCell ref="J329:J330"/>
    <mergeCell ref="L329:L330"/>
    <mergeCell ref="N329:N330"/>
    <mergeCell ref="P329:P330"/>
    <mergeCell ref="R329:R330"/>
    <mergeCell ref="T329:T330"/>
    <mergeCell ref="V329:V330"/>
    <mergeCell ref="X329:X330"/>
    <mergeCell ref="AL329:AL330"/>
    <mergeCell ref="AL331:AL332"/>
    <mergeCell ref="AN329:AN330"/>
    <mergeCell ref="AN331:AN332"/>
    <mergeCell ref="Z329:Z330"/>
    <mergeCell ref="AB329:AB330"/>
    <mergeCell ref="AD329:AD330"/>
    <mergeCell ref="Z331:Z332"/>
    <mergeCell ref="AB331:AB332"/>
    <mergeCell ref="AD331:AD332"/>
    <mergeCell ref="AP325:AP326"/>
    <mergeCell ref="H327:H328"/>
    <mergeCell ref="J327:J328"/>
    <mergeCell ref="L327:L328"/>
    <mergeCell ref="N327:N328"/>
    <mergeCell ref="P327:P328"/>
    <mergeCell ref="R327:R328"/>
    <mergeCell ref="T327:T328"/>
    <mergeCell ref="V327:V328"/>
    <mergeCell ref="X327:X328"/>
    <mergeCell ref="AP327:AP328"/>
    <mergeCell ref="H325:H326"/>
    <mergeCell ref="J325:J326"/>
    <mergeCell ref="L325:L326"/>
    <mergeCell ref="N325:N326"/>
    <mergeCell ref="P325:P326"/>
    <mergeCell ref="R325:R326"/>
    <mergeCell ref="T325:T326"/>
    <mergeCell ref="V325:V326"/>
    <mergeCell ref="X325:X326"/>
    <mergeCell ref="AL325:AL326"/>
    <mergeCell ref="AL327:AL328"/>
    <mergeCell ref="AN325:AN326"/>
    <mergeCell ref="AN327:AN328"/>
    <mergeCell ref="Z325:Z326"/>
    <mergeCell ref="AB325:AB326"/>
    <mergeCell ref="AD325:AD326"/>
    <mergeCell ref="Z327:Z328"/>
    <mergeCell ref="AB327:AB328"/>
    <mergeCell ref="AD327:AD328"/>
    <mergeCell ref="AP321:AP322"/>
    <mergeCell ref="H323:H324"/>
    <mergeCell ref="J323:J324"/>
    <mergeCell ref="L323:L324"/>
    <mergeCell ref="N323:N324"/>
    <mergeCell ref="P323:P324"/>
    <mergeCell ref="R323:R324"/>
    <mergeCell ref="T323:T324"/>
    <mergeCell ref="V323:V324"/>
    <mergeCell ref="X323:X324"/>
    <mergeCell ref="AP323:AP324"/>
    <mergeCell ref="H321:H322"/>
    <mergeCell ref="J321:J322"/>
    <mergeCell ref="L321:L322"/>
    <mergeCell ref="N321:N322"/>
    <mergeCell ref="P321:P322"/>
    <mergeCell ref="R321:R322"/>
    <mergeCell ref="T321:T322"/>
    <mergeCell ref="V321:V322"/>
    <mergeCell ref="X321:X322"/>
    <mergeCell ref="AL321:AL322"/>
    <mergeCell ref="AL323:AL324"/>
    <mergeCell ref="AN321:AN322"/>
    <mergeCell ref="AN323:AN324"/>
    <mergeCell ref="Z321:Z322"/>
    <mergeCell ref="AB321:AB322"/>
    <mergeCell ref="AD321:AD322"/>
    <mergeCell ref="Z323:Z324"/>
    <mergeCell ref="AB323:AB324"/>
    <mergeCell ref="AD323:AD324"/>
    <mergeCell ref="AF321:AF322"/>
    <mergeCell ref="AH321:AH322"/>
    <mergeCell ref="AP317:AP318"/>
    <mergeCell ref="H319:H320"/>
    <mergeCell ref="J319:J320"/>
    <mergeCell ref="L319:L320"/>
    <mergeCell ref="N319:N320"/>
    <mergeCell ref="P319:P320"/>
    <mergeCell ref="R319:R320"/>
    <mergeCell ref="T319:T320"/>
    <mergeCell ref="V319:V320"/>
    <mergeCell ref="X319:X320"/>
    <mergeCell ref="AP319:AP320"/>
    <mergeCell ref="H317:H318"/>
    <mergeCell ref="J317:J318"/>
    <mergeCell ref="L317:L318"/>
    <mergeCell ref="N317:N318"/>
    <mergeCell ref="P317:P318"/>
    <mergeCell ref="R317:R318"/>
    <mergeCell ref="T317:T318"/>
    <mergeCell ref="V317:V318"/>
    <mergeCell ref="X317:X318"/>
    <mergeCell ref="AL317:AL318"/>
    <mergeCell ref="AL319:AL320"/>
    <mergeCell ref="AN317:AN318"/>
    <mergeCell ref="AN319:AN320"/>
    <mergeCell ref="Z317:Z318"/>
    <mergeCell ref="AB317:AB318"/>
    <mergeCell ref="AD317:AD318"/>
    <mergeCell ref="Z319:Z320"/>
    <mergeCell ref="AB319:AB320"/>
    <mergeCell ref="AD319:AD320"/>
    <mergeCell ref="AP313:AP314"/>
    <mergeCell ref="H315:H316"/>
    <mergeCell ref="J315:J316"/>
    <mergeCell ref="L315:L316"/>
    <mergeCell ref="N315:N316"/>
    <mergeCell ref="P315:P316"/>
    <mergeCell ref="R315:R316"/>
    <mergeCell ref="T315:T316"/>
    <mergeCell ref="V315:V316"/>
    <mergeCell ref="X315:X316"/>
    <mergeCell ref="AP315:AP316"/>
    <mergeCell ref="H313:H314"/>
    <mergeCell ref="J313:J314"/>
    <mergeCell ref="L313:L314"/>
    <mergeCell ref="N313:N314"/>
    <mergeCell ref="P313:P314"/>
    <mergeCell ref="R313:R314"/>
    <mergeCell ref="T313:T314"/>
    <mergeCell ref="V313:V314"/>
    <mergeCell ref="X313:X314"/>
    <mergeCell ref="AL313:AL314"/>
    <mergeCell ref="AL315:AL316"/>
    <mergeCell ref="AN313:AN314"/>
    <mergeCell ref="AN315:AN316"/>
    <mergeCell ref="Z313:Z314"/>
    <mergeCell ref="AB313:AB314"/>
    <mergeCell ref="AD313:AD314"/>
    <mergeCell ref="Z315:Z316"/>
    <mergeCell ref="AB315:AB316"/>
    <mergeCell ref="AD315:AD316"/>
    <mergeCell ref="AP309:AP310"/>
    <mergeCell ref="H311:H312"/>
    <mergeCell ref="J311:J312"/>
    <mergeCell ref="L311:L312"/>
    <mergeCell ref="N311:N312"/>
    <mergeCell ref="P311:P312"/>
    <mergeCell ref="R311:R312"/>
    <mergeCell ref="T311:T312"/>
    <mergeCell ref="V311:V312"/>
    <mergeCell ref="X311:X312"/>
    <mergeCell ref="AP311:AP312"/>
    <mergeCell ref="H309:H310"/>
    <mergeCell ref="J309:J310"/>
    <mergeCell ref="L309:L310"/>
    <mergeCell ref="N309:N310"/>
    <mergeCell ref="P309:P310"/>
    <mergeCell ref="R309:R310"/>
    <mergeCell ref="T309:T310"/>
    <mergeCell ref="V309:V310"/>
    <mergeCell ref="X309:X310"/>
    <mergeCell ref="AL309:AL310"/>
    <mergeCell ref="AL311:AL312"/>
    <mergeCell ref="AN309:AN310"/>
    <mergeCell ref="AN311:AN312"/>
    <mergeCell ref="Z309:Z310"/>
    <mergeCell ref="AB309:AB310"/>
    <mergeCell ref="AD309:AD310"/>
    <mergeCell ref="Z311:Z312"/>
    <mergeCell ref="AB311:AB312"/>
    <mergeCell ref="AD311:AD312"/>
    <mergeCell ref="AP305:AP306"/>
    <mergeCell ref="H307:H308"/>
    <mergeCell ref="J307:J308"/>
    <mergeCell ref="L307:L308"/>
    <mergeCell ref="N307:N308"/>
    <mergeCell ref="P307:P308"/>
    <mergeCell ref="R307:R308"/>
    <mergeCell ref="T307:T308"/>
    <mergeCell ref="V307:V308"/>
    <mergeCell ref="X307:X308"/>
    <mergeCell ref="AP307:AP308"/>
    <mergeCell ref="H305:H306"/>
    <mergeCell ref="J305:J306"/>
    <mergeCell ref="L305:L306"/>
    <mergeCell ref="N305:N306"/>
    <mergeCell ref="P305:P306"/>
    <mergeCell ref="R305:R306"/>
    <mergeCell ref="T305:T306"/>
    <mergeCell ref="V305:V306"/>
    <mergeCell ref="X305:X306"/>
    <mergeCell ref="AL305:AL306"/>
    <mergeCell ref="AL307:AL308"/>
    <mergeCell ref="AN305:AN306"/>
    <mergeCell ref="AN307:AN308"/>
    <mergeCell ref="Z305:Z306"/>
    <mergeCell ref="AB305:AB306"/>
    <mergeCell ref="AD305:AD306"/>
    <mergeCell ref="Z307:Z308"/>
    <mergeCell ref="AB307:AB308"/>
    <mergeCell ref="AD307:AD308"/>
    <mergeCell ref="AF307:AF308"/>
    <mergeCell ref="AH307:AH308"/>
    <mergeCell ref="AP301:AP302"/>
    <mergeCell ref="H303:H304"/>
    <mergeCell ref="J303:J304"/>
    <mergeCell ref="L303:L304"/>
    <mergeCell ref="N303:N304"/>
    <mergeCell ref="P303:P304"/>
    <mergeCell ref="R303:R304"/>
    <mergeCell ref="T303:T304"/>
    <mergeCell ref="V303:V304"/>
    <mergeCell ref="X303:X304"/>
    <mergeCell ref="AP303:AP304"/>
    <mergeCell ref="H301:H302"/>
    <mergeCell ref="J301:J302"/>
    <mergeCell ref="L301:L302"/>
    <mergeCell ref="N301:N302"/>
    <mergeCell ref="P301:P302"/>
    <mergeCell ref="R301:R302"/>
    <mergeCell ref="T301:T302"/>
    <mergeCell ref="V301:V302"/>
    <mergeCell ref="X301:X302"/>
    <mergeCell ref="AL301:AL302"/>
    <mergeCell ref="AL303:AL304"/>
    <mergeCell ref="AN301:AN302"/>
    <mergeCell ref="AN303:AN304"/>
    <mergeCell ref="Z301:Z302"/>
    <mergeCell ref="AB301:AB302"/>
    <mergeCell ref="AD301:AD302"/>
    <mergeCell ref="Z303:Z304"/>
    <mergeCell ref="AB303:AB304"/>
    <mergeCell ref="AD303:AD304"/>
    <mergeCell ref="AP297:AP298"/>
    <mergeCell ref="H299:H300"/>
    <mergeCell ref="J299:J300"/>
    <mergeCell ref="L299:L300"/>
    <mergeCell ref="N299:N300"/>
    <mergeCell ref="P299:P300"/>
    <mergeCell ref="R299:R300"/>
    <mergeCell ref="T299:T300"/>
    <mergeCell ref="V299:V300"/>
    <mergeCell ref="X299:X300"/>
    <mergeCell ref="AP299:AP300"/>
    <mergeCell ref="H297:H298"/>
    <mergeCell ref="J297:J298"/>
    <mergeCell ref="L297:L298"/>
    <mergeCell ref="N297:N298"/>
    <mergeCell ref="P297:P298"/>
    <mergeCell ref="R297:R298"/>
    <mergeCell ref="T297:T298"/>
    <mergeCell ref="V297:V298"/>
    <mergeCell ref="X297:X298"/>
    <mergeCell ref="AL297:AL298"/>
    <mergeCell ref="AL299:AL300"/>
    <mergeCell ref="AN297:AN298"/>
    <mergeCell ref="AN299:AN300"/>
    <mergeCell ref="Z297:Z298"/>
    <mergeCell ref="AB297:AB298"/>
    <mergeCell ref="AD297:AD298"/>
    <mergeCell ref="Z299:Z300"/>
    <mergeCell ref="AB299:AB300"/>
    <mergeCell ref="AD299:AD300"/>
    <mergeCell ref="AP293:AP294"/>
    <mergeCell ref="H295:H296"/>
    <mergeCell ref="J295:J296"/>
    <mergeCell ref="L295:L296"/>
    <mergeCell ref="N295:N296"/>
    <mergeCell ref="P295:P296"/>
    <mergeCell ref="R295:R296"/>
    <mergeCell ref="T295:T296"/>
    <mergeCell ref="V295:V296"/>
    <mergeCell ref="X295:X296"/>
    <mergeCell ref="AP295:AP296"/>
    <mergeCell ref="H293:H294"/>
    <mergeCell ref="J293:J294"/>
    <mergeCell ref="L293:L294"/>
    <mergeCell ref="N293:N294"/>
    <mergeCell ref="P293:P294"/>
    <mergeCell ref="R293:R294"/>
    <mergeCell ref="T293:T294"/>
    <mergeCell ref="V293:V294"/>
    <mergeCell ref="X293:X294"/>
    <mergeCell ref="AL293:AL294"/>
    <mergeCell ref="AL295:AL296"/>
    <mergeCell ref="AN293:AN294"/>
    <mergeCell ref="AN295:AN296"/>
    <mergeCell ref="Z293:Z294"/>
    <mergeCell ref="AB293:AB294"/>
    <mergeCell ref="AD293:AD294"/>
    <mergeCell ref="Z295:Z296"/>
    <mergeCell ref="AB295:AB296"/>
    <mergeCell ref="AD295:AD296"/>
    <mergeCell ref="AF293:AF294"/>
    <mergeCell ref="AH293:AH294"/>
    <mergeCell ref="AP289:AP290"/>
    <mergeCell ref="H291:H292"/>
    <mergeCell ref="J291:J292"/>
    <mergeCell ref="L291:L292"/>
    <mergeCell ref="N291:N292"/>
    <mergeCell ref="P291:P292"/>
    <mergeCell ref="R291:R292"/>
    <mergeCell ref="T291:T292"/>
    <mergeCell ref="V291:V292"/>
    <mergeCell ref="X291:X292"/>
    <mergeCell ref="AP291:AP292"/>
    <mergeCell ref="H289:H290"/>
    <mergeCell ref="J289:J290"/>
    <mergeCell ref="L289:L290"/>
    <mergeCell ref="N289:N290"/>
    <mergeCell ref="P289:P290"/>
    <mergeCell ref="R289:R290"/>
    <mergeCell ref="T289:T290"/>
    <mergeCell ref="V289:V290"/>
    <mergeCell ref="X289:X290"/>
    <mergeCell ref="AL289:AL290"/>
    <mergeCell ref="AL291:AL292"/>
    <mergeCell ref="AN289:AN290"/>
    <mergeCell ref="AN291:AN292"/>
    <mergeCell ref="Z289:Z290"/>
    <mergeCell ref="AB289:AB290"/>
    <mergeCell ref="AD289:AD290"/>
    <mergeCell ref="Z291:Z292"/>
    <mergeCell ref="AB291:AB292"/>
    <mergeCell ref="AD291:AD292"/>
    <mergeCell ref="AP285:AP286"/>
    <mergeCell ref="H287:H288"/>
    <mergeCell ref="J287:J288"/>
    <mergeCell ref="L287:L288"/>
    <mergeCell ref="N287:N288"/>
    <mergeCell ref="P287:P288"/>
    <mergeCell ref="R287:R288"/>
    <mergeCell ref="T287:T288"/>
    <mergeCell ref="V287:V288"/>
    <mergeCell ref="X287:X288"/>
    <mergeCell ref="AP287:AP288"/>
    <mergeCell ref="H285:H286"/>
    <mergeCell ref="J285:J286"/>
    <mergeCell ref="L285:L286"/>
    <mergeCell ref="N285:N286"/>
    <mergeCell ref="P285:P286"/>
    <mergeCell ref="R285:R286"/>
    <mergeCell ref="T285:T286"/>
    <mergeCell ref="V285:V286"/>
    <mergeCell ref="X285:X286"/>
    <mergeCell ref="AL285:AL286"/>
    <mergeCell ref="AL287:AL288"/>
    <mergeCell ref="AN285:AN286"/>
    <mergeCell ref="AN287:AN288"/>
    <mergeCell ref="Z285:Z286"/>
    <mergeCell ref="AB285:AB286"/>
    <mergeCell ref="AD285:AD286"/>
    <mergeCell ref="Z287:Z288"/>
    <mergeCell ref="AB287:AB288"/>
    <mergeCell ref="AD287:AD288"/>
    <mergeCell ref="AP281:AP282"/>
    <mergeCell ref="H283:H284"/>
    <mergeCell ref="J283:J284"/>
    <mergeCell ref="L283:L284"/>
    <mergeCell ref="N283:N284"/>
    <mergeCell ref="P283:P284"/>
    <mergeCell ref="R283:R284"/>
    <mergeCell ref="T283:T284"/>
    <mergeCell ref="V283:V284"/>
    <mergeCell ref="X283:X284"/>
    <mergeCell ref="AP283:AP284"/>
    <mergeCell ref="H281:H282"/>
    <mergeCell ref="J281:J282"/>
    <mergeCell ref="L281:L282"/>
    <mergeCell ref="N281:N282"/>
    <mergeCell ref="P281:P282"/>
    <mergeCell ref="R281:R282"/>
    <mergeCell ref="T281:T282"/>
    <mergeCell ref="V281:V282"/>
    <mergeCell ref="X281:X282"/>
    <mergeCell ref="AL281:AL282"/>
    <mergeCell ref="AL283:AL284"/>
    <mergeCell ref="AN281:AN282"/>
    <mergeCell ref="AN283:AN284"/>
    <mergeCell ref="Z281:Z282"/>
    <mergeCell ref="AB281:AB282"/>
    <mergeCell ref="AD281:AD282"/>
    <mergeCell ref="Z283:Z284"/>
    <mergeCell ref="AB283:AB284"/>
    <mergeCell ref="AD283:AD284"/>
    <mergeCell ref="AP277:AP278"/>
    <mergeCell ref="H279:H280"/>
    <mergeCell ref="J279:J280"/>
    <mergeCell ref="L279:L280"/>
    <mergeCell ref="N279:N280"/>
    <mergeCell ref="P279:P280"/>
    <mergeCell ref="R279:R280"/>
    <mergeCell ref="T279:T280"/>
    <mergeCell ref="V279:V280"/>
    <mergeCell ref="X279:X280"/>
    <mergeCell ref="AP279:AP280"/>
    <mergeCell ref="H277:H278"/>
    <mergeCell ref="J277:J278"/>
    <mergeCell ref="L277:L278"/>
    <mergeCell ref="N277:N278"/>
    <mergeCell ref="P277:P278"/>
    <mergeCell ref="R277:R278"/>
    <mergeCell ref="T277:T278"/>
    <mergeCell ref="V277:V278"/>
    <mergeCell ref="X277:X278"/>
    <mergeCell ref="AL277:AL278"/>
    <mergeCell ref="AL279:AL280"/>
    <mergeCell ref="AN277:AN278"/>
    <mergeCell ref="AN279:AN280"/>
    <mergeCell ref="Z277:Z278"/>
    <mergeCell ref="AB277:AB278"/>
    <mergeCell ref="AD277:AD278"/>
    <mergeCell ref="Z279:Z280"/>
    <mergeCell ref="AB279:AB280"/>
    <mergeCell ref="AD279:AD280"/>
    <mergeCell ref="AF279:AF280"/>
    <mergeCell ref="AH279:AH280"/>
    <mergeCell ref="AP273:AP274"/>
    <mergeCell ref="H275:H276"/>
    <mergeCell ref="J275:J276"/>
    <mergeCell ref="L275:L276"/>
    <mergeCell ref="N275:N276"/>
    <mergeCell ref="P275:P276"/>
    <mergeCell ref="R275:R276"/>
    <mergeCell ref="T275:T276"/>
    <mergeCell ref="V275:V276"/>
    <mergeCell ref="X275:X276"/>
    <mergeCell ref="AP275:AP276"/>
    <mergeCell ref="H273:H274"/>
    <mergeCell ref="J273:J274"/>
    <mergeCell ref="L273:L274"/>
    <mergeCell ref="N273:N274"/>
    <mergeCell ref="P273:P274"/>
    <mergeCell ref="R273:R274"/>
    <mergeCell ref="T273:T274"/>
    <mergeCell ref="V273:V274"/>
    <mergeCell ref="X273:X274"/>
    <mergeCell ref="AL273:AL274"/>
    <mergeCell ref="AL275:AL276"/>
    <mergeCell ref="AN273:AN274"/>
    <mergeCell ref="AN275:AN276"/>
    <mergeCell ref="Z273:Z274"/>
    <mergeCell ref="AB273:AB274"/>
    <mergeCell ref="AD273:AD274"/>
    <mergeCell ref="Z275:Z276"/>
    <mergeCell ref="AB275:AB276"/>
    <mergeCell ref="AD275:AD276"/>
    <mergeCell ref="AP269:AP270"/>
    <mergeCell ref="H271:H272"/>
    <mergeCell ref="J271:J272"/>
    <mergeCell ref="L271:L272"/>
    <mergeCell ref="N271:N272"/>
    <mergeCell ref="P271:P272"/>
    <mergeCell ref="R271:R272"/>
    <mergeCell ref="T271:T272"/>
    <mergeCell ref="V271:V272"/>
    <mergeCell ref="X271:X272"/>
    <mergeCell ref="AP271:AP272"/>
    <mergeCell ref="H269:H270"/>
    <mergeCell ref="J269:J270"/>
    <mergeCell ref="L269:L270"/>
    <mergeCell ref="N269:N270"/>
    <mergeCell ref="P269:P270"/>
    <mergeCell ref="R269:R270"/>
    <mergeCell ref="T269:T270"/>
    <mergeCell ref="V269:V270"/>
    <mergeCell ref="X269:X270"/>
    <mergeCell ref="AL269:AL270"/>
    <mergeCell ref="AL271:AL272"/>
    <mergeCell ref="AN269:AN270"/>
    <mergeCell ref="AN271:AN272"/>
    <mergeCell ref="Z269:Z270"/>
    <mergeCell ref="AB269:AB270"/>
    <mergeCell ref="AD269:AD270"/>
    <mergeCell ref="Z271:Z272"/>
    <mergeCell ref="AB271:AB272"/>
    <mergeCell ref="AD271:AD272"/>
    <mergeCell ref="AP265:AP266"/>
    <mergeCell ref="H267:H268"/>
    <mergeCell ref="J267:J268"/>
    <mergeCell ref="L267:L268"/>
    <mergeCell ref="N267:N268"/>
    <mergeCell ref="P267:P268"/>
    <mergeCell ref="R267:R268"/>
    <mergeCell ref="T267:T268"/>
    <mergeCell ref="V267:V268"/>
    <mergeCell ref="X267:X268"/>
    <mergeCell ref="AP267:AP268"/>
    <mergeCell ref="H265:H266"/>
    <mergeCell ref="J265:J266"/>
    <mergeCell ref="L265:L266"/>
    <mergeCell ref="N265:N266"/>
    <mergeCell ref="P265:P266"/>
    <mergeCell ref="R265:R266"/>
    <mergeCell ref="T265:T266"/>
    <mergeCell ref="V265:V266"/>
    <mergeCell ref="X265:X266"/>
    <mergeCell ref="AL265:AL266"/>
    <mergeCell ref="AL267:AL268"/>
    <mergeCell ref="AN265:AN266"/>
    <mergeCell ref="AN267:AN268"/>
    <mergeCell ref="Z265:Z266"/>
    <mergeCell ref="AB265:AB266"/>
    <mergeCell ref="AD265:AD266"/>
    <mergeCell ref="Z267:Z268"/>
    <mergeCell ref="AB267:AB268"/>
    <mergeCell ref="AD267:AD268"/>
    <mergeCell ref="AF265:AF266"/>
    <mergeCell ref="AH265:AH266"/>
    <mergeCell ref="AP261:AP262"/>
    <mergeCell ref="H263:H264"/>
    <mergeCell ref="J263:J264"/>
    <mergeCell ref="L263:L264"/>
    <mergeCell ref="N263:N264"/>
    <mergeCell ref="P263:P264"/>
    <mergeCell ref="R263:R264"/>
    <mergeCell ref="T263:T264"/>
    <mergeCell ref="V263:V264"/>
    <mergeCell ref="X263:X264"/>
    <mergeCell ref="AP263:AP264"/>
    <mergeCell ref="H261:H262"/>
    <mergeCell ref="J261:J262"/>
    <mergeCell ref="L261:L262"/>
    <mergeCell ref="N261:N262"/>
    <mergeCell ref="P261:P262"/>
    <mergeCell ref="R261:R262"/>
    <mergeCell ref="T261:T262"/>
    <mergeCell ref="V261:V262"/>
    <mergeCell ref="X261:X262"/>
    <mergeCell ref="AL261:AL262"/>
    <mergeCell ref="AL263:AL264"/>
    <mergeCell ref="AN261:AN262"/>
    <mergeCell ref="AN263:AN264"/>
    <mergeCell ref="Z261:Z262"/>
    <mergeCell ref="AB261:AB262"/>
    <mergeCell ref="AD261:AD262"/>
    <mergeCell ref="Z263:Z264"/>
    <mergeCell ref="AB263:AB264"/>
    <mergeCell ref="AD263:AD264"/>
    <mergeCell ref="AP257:AP258"/>
    <mergeCell ref="H259:H260"/>
    <mergeCell ref="J259:J260"/>
    <mergeCell ref="L259:L260"/>
    <mergeCell ref="N259:N260"/>
    <mergeCell ref="P259:P260"/>
    <mergeCell ref="R259:R260"/>
    <mergeCell ref="T259:T260"/>
    <mergeCell ref="V259:V260"/>
    <mergeCell ref="X259:X260"/>
    <mergeCell ref="AP259:AP260"/>
    <mergeCell ref="H257:H258"/>
    <mergeCell ref="J257:J258"/>
    <mergeCell ref="L257:L258"/>
    <mergeCell ref="N257:N258"/>
    <mergeCell ref="P257:P258"/>
    <mergeCell ref="R257:R258"/>
    <mergeCell ref="T257:T258"/>
    <mergeCell ref="V257:V258"/>
    <mergeCell ref="X257:X258"/>
    <mergeCell ref="AL257:AL258"/>
    <mergeCell ref="AL259:AL260"/>
    <mergeCell ref="AN257:AN258"/>
    <mergeCell ref="AN259:AN260"/>
    <mergeCell ref="Z257:Z258"/>
    <mergeCell ref="AB257:AB258"/>
    <mergeCell ref="AD257:AD258"/>
    <mergeCell ref="Z259:Z260"/>
    <mergeCell ref="AB259:AB260"/>
    <mergeCell ref="AD259:AD260"/>
    <mergeCell ref="AP253:AP254"/>
    <mergeCell ref="H255:H256"/>
    <mergeCell ref="J255:J256"/>
    <mergeCell ref="L255:L256"/>
    <mergeCell ref="N255:N256"/>
    <mergeCell ref="P255:P256"/>
    <mergeCell ref="R255:R256"/>
    <mergeCell ref="T255:T256"/>
    <mergeCell ref="V255:V256"/>
    <mergeCell ref="X255:X256"/>
    <mergeCell ref="AP255:AP256"/>
    <mergeCell ref="H253:H254"/>
    <mergeCell ref="J253:J254"/>
    <mergeCell ref="L253:L254"/>
    <mergeCell ref="N253:N254"/>
    <mergeCell ref="P253:P254"/>
    <mergeCell ref="R253:R254"/>
    <mergeCell ref="T253:T254"/>
    <mergeCell ref="V253:V254"/>
    <mergeCell ref="X253:X254"/>
    <mergeCell ref="AL253:AL254"/>
    <mergeCell ref="AL255:AL256"/>
    <mergeCell ref="AN253:AN254"/>
    <mergeCell ref="AN255:AN256"/>
    <mergeCell ref="Z253:Z254"/>
    <mergeCell ref="AB253:AB254"/>
    <mergeCell ref="AD253:AD254"/>
    <mergeCell ref="Z255:Z256"/>
    <mergeCell ref="AB255:AB256"/>
    <mergeCell ref="AD255:AD256"/>
    <mergeCell ref="AP249:AP250"/>
    <mergeCell ref="H251:H252"/>
    <mergeCell ref="J251:J252"/>
    <mergeCell ref="L251:L252"/>
    <mergeCell ref="N251:N252"/>
    <mergeCell ref="P251:P252"/>
    <mergeCell ref="R251:R252"/>
    <mergeCell ref="T251:T252"/>
    <mergeCell ref="V251:V252"/>
    <mergeCell ref="X251:X252"/>
    <mergeCell ref="AP251:AP252"/>
    <mergeCell ref="H249:H250"/>
    <mergeCell ref="J249:J250"/>
    <mergeCell ref="L249:L250"/>
    <mergeCell ref="N249:N250"/>
    <mergeCell ref="P249:P250"/>
    <mergeCell ref="R249:R250"/>
    <mergeCell ref="T249:T250"/>
    <mergeCell ref="V249:V250"/>
    <mergeCell ref="X249:X250"/>
    <mergeCell ref="AL249:AL250"/>
    <mergeCell ref="AL251:AL252"/>
    <mergeCell ref="AN249:AN250"/>
    <mergeCell ref="AN251:AN252"/>
    <mergeCell ref="Z249:Z250"/>
    <mergeCell ref="AB249:AB250"/>
    <mergeCell ref="AD249:AD250"/>
    <mergeCell ref="Z251:Z252"/>
    <mergeCell ref="AB251:AB252"/>
    <mergeCell ref="AD251:AD252"/>
    <mergeCell ref="AF251:AF252"/>
    <mergeCell ref="AH251:AH252"/>
    <mergeCell ref="AP245:AP246"/>
    <mergeCell ref="H247:H248"/>
    <mergeCell ref="J247:J248"/>
    <mergeCell ref="L247:L248"/>
    <mergeCell ref="N247:N248"/>
    <mergeCell ref="P247:P248"/>
    <mergeCell ref="R247:R248"/>
    <mergeCell ref="T247:T248"/>
    <mergeCell ref="V247:V248"/>
    <mergeCell ref="X247:X248"/>
    <mergeCell ref="AP247:AP248"/>
    <mergeCell ref="H245:H246"/>
    <mergeCell ref="J245:J246"/>
    <mergeCell ref="L245:L246"/>
    <mergeCell ref="N245:N246"/>
    <mergeCell ref="P245:P246"/>
    <mergeCell ref="R245:R246"/>
    <mergeCell ref="T245:T246"/>
    <mergeCell ref="V245:V246"/>
    <mergeCell ref="X245:X246"/>
    <mergeCell ref="AL245:AL246"/>
    <mergeCell ref="AL247:AL248"/>
    <mergeCell ref="AN245:AN246"/>
    <mergeCell ref="AN247:AN248"/>
    <mergeCell ref="Z245:Z246"/>
    <mergeCell ref="AB245:AB246"/>
    <mergeCell ref="AD245:AD246"/>
    <mergeCell ref="Z247:Z248"/>
    <mergeCell ref="AB247:AB248"/>
    <mergeCell ref="AD247:AD248"/>
    <mergeCell ref="AP241:AP242"/>
    <mergeCell ref="H243:H244"/>
    <mergeCell ref="J243:J244"/>
    <mergeCell ref="L243:L244"/>
    <mergeCell ref="N243:N244"/>
    <mergeCell ref="P243:P244"/>
    <mergeCell ref="R243:R244"/>
    <mergeCell ref="T243:T244"/>
    <mergeCell ref="V243:V244"/>
    <mergeCell ref="X243:X244"/>
    <mergeCell ref="AP243:AP244"/>
    <mergeCell ref="H241:H242"/>
    <mergeCell ref="J241:J242"/>
    <mergeCell ref="L241:L242"/>
    <mergeCell ref="N241:N242"/>
    <mergeCell ref="P241:P242"/>
    <mergeCell ref="R241:R242"/>
    <mergeCell ref="T241:T242"/>
    <mergeCell ref="V241:V242"/>
    <mergeCell ref="X241:X242"/>
    <mergeCell ref="AL241:AL242"/>
    <mergeCell ref="AL243:AL244"/>
    <mergeCell ref="AN241:AN242"/>
    <mergeCell ref="AN243:AN244"/>
    <mergeCell ref="Z241:Z242"/>
    <mergeCell ref="AB241:AB242"/>
    <mergeCell ref="AD241:AD242"/>
    <mergeCell ref="Z243:Z244"/>
    <mergeCell ref="AB243:AB244"/>
    <mergeCell ref="AD243:AD244"/>
    <mergeCell ref="AP237:AP238"/>
    <mergeCell ref="H239:H240"/>
    <mergeCell ref="J239:J240"/>
    <mergeCell ref="L239:L240"/>
    <mergeCell ref="N239:N240"/>
    <mergeCell ref="P239:P240"/>
    <mergeCell ref="R239:R240"/>
    <mergeCell ref="T239:T240"/>
    <mergeCell ref="V239:V240"/>
    <mergeCell ref="X239:X240"/>
    <mergeCell ref="AP239:AP240"/>
    <mergeCell ref="H237:H238"/>
    <mergeCell ref="J237:J238"/>
    <mergeCell ref="L237:L238"/>
    <mergeCell ref="N237:N238"/>
    <mergeCell ref="P237:P238"/>
    <mergeCell ref="R237:R238"/>
    <mergeCell ref="T237:T238"/>
    <mergeCell ref="V237:V238"/>
    <mergeCell ref="X237:X238"/>
    <mergeCell ref="AL237:AL238"/>
    <mergeCell ref="AL239:AL240"/>
    <mergeCell ref="AN237:AN238"/>
    <mergeCell ref="AN239:AN240"/>
    <mergeCell ref="Z237:Z238"/>
    <mergeCell ref="AB237:AB238"/>
    <mergeCell ref="AD237:AD238"/>
    <mergeCell ref="Z239:Z240"/>
    <mergeCell ref="AB239:AB240"/>
    <mergeCell ref="AD239:AD240"/>
    <mergeCell ref="AF237:AF238"/>
    <mergeCell ref="AH237:AH238"/>
    <mergeCell ref="AP233:AP234"/>
    <mergeCell ref="H235:H236"/>
    <mergeCell ref="J235:J236"/>
    <mergeCell ref="L235:L236"/>
    <mergeCell ref="N235:N236"/>
    <mergeCell ref="P235:P236"/>
    <mergeCell ref="R235:R236"/>
    <mergeCell ref="T235:T236"/>
    <mergeCell ref="V235:V236"/>
    <mergeCell ref="X235:X236"/>
    <mergeCell ref="AP235:AP236"/>
    <mergeCell ref="H233:H234"/>
    <mergeCell ref="J233:J234"/>
    <mergeCell ref="L233:L234"/>
    <mergeCell ref="N233:N234"/>
    <mergeCell ref="P233:P234"/>
    <mergeCell ref="R233:R234"/>
    <mergeCell ref="T233:T234"/>
    <mergeCell ref="V233:V234"/>
    <mergeCell ref="X233:X234"/>
    <mergeCell ref="AL233:AL234"/>
    <mergeCell ref="AL235:AL236"/>
    <mergeCell ref="AN233:AN234"/>
    <mergeCell ref="AN235:AN236"/>
    <mergeCell ref="Z233:Z234"/>
    <mergeCell ref="AB233:AB234"/>
    <mergeCell ref="AD233:AD234"/>
    <mergeCell ref="Z235:Z236"/>
    <mergeCell ref="AB235:AB236"/>
    <mergeCell ref="AD235:AD236"/>
    <mergeCell ref="AP229:AP230"/>
    <mergeCell ref="H231:H232"/>
    <mergeCell ref="J231:J232"/>
    <mergeCell ref="L231:L232"/>
    <mergeCell ref="N231:N232"/>
    <mergeCell ref="P231:P232"/>
    <mergeCell ref="R231:R232"/>
    <mergeCell ref="T231:T232"/>
    <mergeCell ref="V231:V232"/>
    <mergeCell ref="X231:X232"/>
    <mergeCell ref="AP231:AP232"/>
    <mergeCell ref="H229:H230"/>
    <mergeCell ref="J229:J230"/>
    <mergeCell ref="L229:L230"/>
    <mergeCell ref="N229:N230"/>
    <mergeCell ref="P229:P230"/>
    <mergeCell ref="R229:R230"/>
    <mergeCell ref="T229:T230"/>
    <mergeCell ref="V229:V230"/>
    <mergeCell ref="X229:X230"/>
    <mergeCell ref="AL229:AL230"/>
    <mergeCell ref="AL231:AL232"/>
    <mergeCell ref="AN229:AN230"/>
    <mergeCell ref="AN231:AN232"/>
    <mergeCell ref="Z229:Z230"/>
    <mergeCell ref="AB229:AB230"/>
    <mergeCell ref="AD229:AD230"/>
    <mergeCell ref="Z231:Z232"/>
    <mergeCell ref="AB231:AB232"/>
    <mergeCell ref="AD231:AD232"/>
    <mergeCell ref="AP225:AP226"/>
    <mergeCell ref="H227:H228"/>
    <mergeCell ref="J227:J228"/>
    <mergeCell ref="L227:L228"/>
    <mergeCell ref="N227:N228"/>
    <mergeCell ref="P227:P228"/>
    <mergeCell ref="R227:R228"/>
    <mergeCell ref="T227:T228"/>
    <mergeCell ref="V227:V228"/>
    <mergeCell ref="X227:X228"/>
    <mergeCell ref="AP227:AP228"/>
    <mergeCell ref="H225:H226"/>
    <mergeCell ref="J225:J226"/>
    <mergeCell ref="L225:L226"/>
    <mergeCell ref="N225:N226"/>
    <mergeCell ref="P225:P226"/>
    <mergeCell ref="R225:R226"/>
    <mergeCell ref="T225:T226"/>
    <mergeCell ref="V225:V226"/>
    <mergeCell ref="X225:X226"/>
    <mergeCell ref="AL225:AL226"/>
    <mergeCell ref="AL227:AL228"/>
    <mergeCell ref="AN225:AN226"/>
    <mergeCell ref="AN227:AN228"/>
    <mergeCell ref="Z225:Z226"/>
    <mergeCell ref="AB225:AB226"/>
    <mergeCell ref="AD225:AD226"/>
    <mergeCell ref="Z227:Z228"/>
    <mergeCell ref="AB227:AB228"/>
    <mergeCell ref="AD227:AD228"/>
    <mergeCell ref="AP221:AP222"/>
    <mergeCell ref="H223:H224"/>
    <mergeCell ref="J223:J224"/>
    <mergeCell ref="L223:L224"/>
    <mergeCell ref="N223:N224"/>
    <mergeCell ref="P223:P224"/>
    <mergeCell ref="R223:R224"/>
    <mergeCell ref="T223:T224"/>
    <mergeCell ref="V223:V224"/>
    <mergeCell ref="X223:X224"/>
    <mergeCell ref="AP223:AP224"/>
    <mergeCell ref="H221:H222"/>
    <mergeCell ref="J221:J222"/>
    <mergeCell ref="L221:L222"/>
    <mergeCell ref="N221:N222"/>
    <mergeCell ref="P221:P222"/>
    <mergeCell ref="R221:R222"/>
    <mergeCell ref="T221:T222"/>
    <mergeCell ref="V221:V222"/>
    <mergeCell ref="X221:X222"/>
    <mergeCell ref="AL221:AL222"/>
    <mergeCell ref="AL223:AL224"/>
    <mergeCell ref="AN221:AN222"/>
    <mergeCell ref="AN223:AN224"/>
    <mergeCell ref="Z221:Z222"/>
    <mergeCell ref="AB221:AB222"/>
    <mergeCell ref="AD221:AD222"/>
    <mergeCell ref="Z223:Z224"/>
    <mergeCell ref="AB223:AB224"/>
    <mergeCell ref="AD223:AD224"/>
    <mergeCell ref="AF223:AF224"/>
    <mergeCell ref="AH223:AH224"/>
    <mergeCell ref="AP217:AP218"/>
    <mergeCell ref="H219:H220"/>
    <mergeCell ref="J219:J220"/>
    <mergeCell ref="L219:L220"/>
    <mergeCell ref="N219:N220"/>
    <mergeCell ref="P219:P220"/>
    <mergeCell ref="R219:R220"/>
    <mergeCell ref="T219:T220"/>
    <mergeCell ref="V219:V220"/>
    <mergeCell ref="X219:X220"/>
    <mergeCell ref="AP219:AP220"/>
    <mergeCell ref="H217:H218"/>
    <mergeCell ref="J217:J218"/>
    <mergeCell ref="L217:L218"/>
    <mergeCell ref="N217:N218"/>
    <mergeCell ref="P217:P218"/>
    <mergeCell ref="R217:R218"/>
    <mergeCell ref="T217:T218"/>
    <mergeCell ref="V217:V218"/>
    <mergeCell ref="X217:X218"/>
    <mergeCell ref="AL217:AL218"/>
    <mergeCell ref="AL219:AL220"/>
    <mergeCell ref="AN217:AN218"/>
    <mergeCell ref="AN219:AN220"/>
    <mergeCell ref="Z217:Z218"/>
    <mergeCell ref="AB217:AB218"/>
    <mergeCell ref="AD217:AD218"/>
    <mergeCell ref="Z219:Z220"/>
    <mergeCell ref="AB219:AB220"/>
    <mergeCell ref="AD219:AD220"/>
    <mergeCell ref="AP213:AP214"/>
    <mergeCell ref="H215:H216"/>
    <mergeCell ref="J215:J216"/>
    <mergeCell ref="L215:L216"/>
    <mergeCell ref="N215:N216"/>
    <mergeCell ref="P215:P216"/>
    <mergeCell ref="R215:R216"/>
    <mergeCell ref="T215:T216"/>
    <mergeCell ref="V215:V216"/>
    <mergeCell ref="X215:X216"/>
    <mergeCell ref="AP215:AP216"/>
    <mergeCell ref="H213:H214"/>
    <mergeCell ref="J213:J214"/>
    <mergeCell ref="L213:L214"/>
    <mergeCell ref="N213:N214"/>
    <mergeCell ref="P213:P214"/>
    <mergeCell ref="R213:R214"/>
    <mergeCell ref="T213:T214"/>
    <mergeCell ref="V213:V214"/>
    <mergeCell ref="X213:X214"/>
    <mergeCell ref="AL213:AL214"/>
    <mergeCell ref="AL215:AL216"/>
    <mergeCell ref="AN213:AN214"/>
    <mergeCell ref="AN215:AN216"/>
    <mergeCell ref="Z213:Z214"/>
    <mergeCell ref="AB213:AB214"/>
    <mergeCell ref="AD213:AD214"/>
    <mergeCell ref="Z215:Z216"/>
    <mergeCell ref="AB215:AB216"/>
    <mergeCell ref="AD215:AD216"/>
    <mergeCell ref="AP209:AP210"/>
    <mergeCell ref="H211:H212"/>
    <mergeCell ref="J211:J212"/>
    <mergeCell ref="L211:L212"/>
    <mergeCell ref="N211:N212"/>
    <mergeCell ref="P211:P212"/>
    <mergeCell ref="R211:R212"/>
    <mergeCell ref="T211:T212"/>
    <mergeCell ref="V211:V212"/>
    <mergeCell ref="X211:X212"/>
    <mergeCell ref="AP211:AP212"/>
    <mergeCell ref="H209:H210"/>
    <mergeCell ref="J209:J210"/>
    <mergeCell ref="L209:L210"/>
    <mergeCell ref="N209:N210"/>
    <mergeCell ref="P209:P210"/>
    <mergeCell ref="R209:R210"/>
    <mergeCell ref="T209:T210"/>
    <mergeCell ref="V209:V210"/>
    <mergeCell ref="X209:X210"/>
    <mergeCell ref="AL209:AL210"/>
    <mergeCell ref="AL211:AL212"/>
    <mergeCell ref="AN209:AN210"/>
    <mergeCell ref="AN211:AN212"/>
    <mergeCell ref="Z209:Z210"/>
    <mergeCell ref="AB209:AB210"/>
    <mergeCell ref="AD209:AD210"/>
    <mergeCell ref="Z211:Z212"/>
    <mergeCell ref="AB211:AB212"/>
    <mergeCell ref="AD211:AD212"/>
    <mergeCell ref="AF209:AF210"/>
    <mergeCell ref="AH209:AH210"/>
    <mergeCell ref="AP205:AP206"/>
    <mergeCell ref="H207:H208"/>
    <mergeCell ref="J207:J208"/>
    <mergeCell ref="L207:L208"/>
    <mergeCell ref="N207:N208"/>
    <mergeCell ref="P207:P208"/>
    <mergeCell ref="R207:R208"/>
    <mergeCell ref="T207:T208"/>
    <mergeCell ref="V207:V208"/>
    <mergeCell ref="X207:X208"/>
    <mergeCell ref="AP207:AP208"/>
    <mergeCell ref="H205:H206"/>
    <mergeCell ref="J205:J206"/>
    <mergeCell ref="L205:L206"/>
    <mergeCell ref="N205:N206"/>
    <mergeCell ref="P205:P206"/>
    <mergeCell ref="R205:R206"/>
    <mergeCell ref="T205:T206"/>
    <mergeCell ref="V205:V206"/>
    <mergeCell ref="X205:X206"/>
    <mergeCell ref="AL205:AL206"/>
    <mergeCell ref="AL207:AL208"/>
    <mergeCell ref="AN205:AN206"/>
    <mergeCell ref="AN207:AN208"/>
    <mergeCell ref="Z205:Z206"/>
    <mergeCell ref="AB205:AB206"/>
    <mergeCell ref="AD205:AD206"/>
    <mergeCell ref="Z207:Z208"/>
    <mergeCell ref="AB207:AB208"/>
    <mergeCell ref="AD207:AD208"/>
    <mergeCell ref="AP201:AP202"/>
    <mergeCell ref="H203:H204"/>
    <mergeCell ref="J203:J204"/>
    <mergeCell ref="L203:L204"/>
    <mergeCell ref="N203:N204"/>
    <mergeCell ref="P203:P204"/>
    <mergeCell ref="R203:R204"/>
    <mergeCell ref="T203:T204"/>
    <mergeCell ref="V203:V204"/>
    <mergeCell ref="X203:X204"/>
    <mergeCell ref="AP203:AP204"/>
    <mergeCell ref="H201:H202"/>
    <mergeCell ref="J201:J202"/>
    <mergeCell ref="L201:L202"/>
    <mergeCell ref="N201:N202"/>
    <mergeCell ref="P201:P202"/>
    <mergeCell ref="R201:R202"/>
    <mergeCell ref="T201:T202"/>
    <mergeCell ref="V201:V202"/>
    <mergeCell ref="X201:X202"/>
    <mergeCell ref="AL201:AL202"/>
    <mergeCell ref="AL203:AL204"/>
    <mergeCell ref="AN201:AN202"/>
    <mergeCell ref="AN203:AN204"/>
    <mergeCell ref="Z201:Z202"/>
    <mergeCell ref="AB201:AB202"/>
    <mergeCell ref="AD201:AD202"/>
    <mergeCell ref="Z203:Z204"/>
    <mergeCell ref="AB203:AB204"/>
    <mergeCell ref="AD203:AD204"/>
    <mergeCell ref="AP197:AP198"/>
    <mergeCell ref="H199:H200"/>
    <mergeCell ref="J199:J200"/>
    <mergeCell ref="L199:L200"/>
    <mergeCell ref="N199:N200"/>
    <mergeCell ref="P199:P200"/>
    <mergeCell ref="R199:R200"/>
    <mergeCell ref="T199:T200"/>
    <mergeCell ref="V199:V200"/>
    <mergeCell ref="X199:X200"/>
    <mergeCell ref="AP199:AP200"/>
    <mergeCell ref="H197:H198"/>
    <mergeCell ref="J197:J198"/>
    <mergeCell ref="L197:L198"/>
    <mergeCell ref="N197:N198"/>
    <mergeCell ref="P197:P198"/>
    <mergeCell ref="R197:R198"/>
    <mergeCell ref="T197:T198"/>
    <mergeCell ref="V197:V198"/>
    <mergeCell ref="X197:X198"/>
    <mergeCell ref="AL197:AL198"/>
    <mergeCell ref="AL199:AL200"/>
    <mergeCell ref="AN197:AN198"/>
    <mergeCell ref="AN199:AN200"/>
    <mergeCell ref="Z197:Z198"/>
    <mergeCell ref="AB197:AB198"/>
    <mergeCell ref="AD197:AD198"/>
    <mergeCell ref="Z199:Z200"/>
    <mergeCell ref="AB199:AB200"/>
    <mergeCell ref="AD199:AD200"/>
    <mergeCell ref="AP193:AP194"/>
    <mergeCell ref="H195:H196"/>
    <mergeCell ref="J195:J196"/>
    <mergeCell ref="L195:L196"/>
    <mergeCell ref="N195:N196"/>
    <mergeCell ref="P195:P196"/>
    <mergeCell ref="R195:R196"/>
    <mergeCell ref="T195:T196"/>
    <mergeCell ref="V195:V196"/>
    <mergeCell ref="X195:X196"/>
    <mergeCell ref="AP195:AP196"/>
    <mergeCell ref="H193:H194"/>
    <mergeCell ref="J193:J194"/>
    <mergeCell ref="L193:L194"/>
    <mergeCell ref="N193:N194"/>
    <mergeCell ref="P193:P194"/>
    <mergeCell ref="R193:R194"/>
    <mergeCell ref="T193:T194"/>
    <mergeCell ref="V193:V194"/>
    <mergeCell ref="X193:X194"/>
    <mergeCell ref="AL193:AL194"/>
    <mergeCell ref="AL195:AL196"/>
    <mergeCell ref="AN193:AN194"/>
    <mergeCell ref="AN195:AN196"/>
    <mergeCell ref="Z193:Z194"/>
    <mergeCell ref="AB193:AB194"/>
    <mergeCell ref="AD193:AD194"/>
    <mergeCell ref="Z195:Z196"/>
    <mergeCell ref="AB195:AB196"/>
    <mergeCell ref="AD195:AD196"/>
    <mergeCell ref="AF195:AF196"/>
    <mergeCell ref="AH195:AH196"/>
    <mergeCell ref="AP189:AP190"/>
    <mergeCell ref="H191:H192"/>
    <mergeCell ref="J191:J192"/>
    <mergeCell ref="L191:L192"/>
    <mergeCell ref="N191:N192"/>
    <mergeCell ref="P191:P192"/>
    <mergeCell ref="R191:R192"/>
    <mergeCell ref="T191:T192"/>
    <mergeCell ref="V191:V192"/>
    <mergeCell ref="X191:X192"/>
    <mergeCell ref="AP191:AP192"/>
    <mergeCell ref="H189:H190"/>
    <mergeCell ref="J189:J190"/>
    <mergeCell ref="L189:L190"/>
    <mergeCell ref="N189:N190"/>
    <mergeCell ref="P189:P190"/>
    <mergeCell ref="R189:R190"/>
    <mergeCell ref="T189:T190"/>
    <mergeCell ref="V189:V190"/>
    <mergeCell ref="X189:X190"/>
    <mergeCell ref="AL189:AL190"/>
    <mergeCell ref="AL191:AL192"/>
    <mergeCell ref="AN189:AN190"/>
    <mergeCell ref="AN191:AN192"/>
    <mergeCell ref="Z189:Z190"/>
    <mergeCell ref="AB189:AB190"/>
    <mergeCell ref="AD189:AD190"/>
    <mergeCell ref="Z191:Z192"/>
    <mergeCell ref="AB191:AB192"/>
    <mergeCell ref="AD191:AD192"/>
    <mergeCell ref="AP185:AP186"/>
    <mergeCell ref="H187:H188"/>
    <mergeCell ref="J187:J188"/>
    <mergeCell ref="L187:L188"/>
    <mergeCell ref="N187:N188"/>
    <mergeCell ref="P187:P188"/>
    <mergeCell ref="R187:R188"/>
    <mergeCell ref="T187:T188"/>
    <mergeCell ref="V187:V188"/>
    <mergeCell ref="X187:X188"/>
    <mergeCell ref="AP187:AP188"/>
    <mergeCell ref="H185:H186"/>
    <mergeCell ref="J185:J186"/>
    <mergeCell ref="L185:L186"/>
    <mergeCell ref="N185:N186"/>
    <mergeCell ref="P185:P186"/>
    <mergeCell ref="R185:R186"/>
    <mergeCell ref="T185:T186"/>
    <mergeCell ref="V185:V186"/>
    <mergeCell ref="X185:X186"/>
    <mergeCell ref="AL185:AL186"/>
    <mergeCell ref="AL187:AL188"/>
    <mergeCell ref="AN185:AN186"/>
    <mergeCell ref="AN187:AN188"/>
    <mergeCell ref="Z185:Z186"/>
    <mergeCell ref="AB185:AB186"/>
    <mergeCell ref="AD185:AD186"/>
    <mergeCell ref="Z187:Z188"/>
    <mergeCell ref="AB187:AB188"/>
    <mergeCell ref="AD187:AD188"/>
    <mergeCell ref="AP181:AP182"/>
    <mergeCell ref="H183:H184"/>
    <mergeCell ref="J183:J184"/>
    <mergeCell ref="L183:L184"/>
    <mergeCell ref="N183:N184"/>
    <mergeCell ref="P183:P184"/>
    <mergeCell ref="R183:R184"/>
    <mergeCell ref="T183:T184"/>
    <mergeCell ref="V183:V184"/>
    <mergeCell ref="X183:X184"/>
    <mergeCell ref="AP183:AP184"/>
    <mergeCell ref="H181:H182"/>
    <mergeCell ref="J181:J182"/>
    <mergeCell ref="L181:L182"/>
    <mergeCell ref="N181:N182"/>
    <mergeCell ref="P181:P182"/>
    <mergeCell ref="R181:R182"/>
    <mergeCell ref="T181:T182"/>
    <mergeCell ref="V181:V182"/>
    <mergeCell ref="X181:X182"/>
    <mergeCell ref="AL181:AL182"/>
    <mergeCell ref="AL183:AL184"/>
    <mergeCell ref="AN181:AN182"/>
    <mergeCell ref="AN183:AN184"/>
    <mergeCell ref="Z181:Z182"/>
    <mergeCell ref="AB181:AB182"/>
    <mergeCell ref="AD181:AD182"/>
    <mergeCell ref="Z183:Z184"/>
    <mergeCell ref="AB183:AB184"/>
    <mergeCell ref="AD183:AD184"/>
    <mergeCell ref="AF181:AF182"/>
    <mergeCell ref="AH181:AH182"/>
    <mergeCell ref="AP177:AP178"/>
    <mergeCell ref="H179:H180"/>
    <mergeCell ref="J179:J180"/>
    <mergeCell ref="L179:L180"/>
    <mergeCell ref="N179:N180"/>
    <mergeCell ref="P179:P180"/>
    <mergeCell ref="R179:R180"/>
    <mergeCell ref="T179:T180"/>
    <mergeCell ref="V179:V180"/>
    <mergeCell ref="X179:X180"/>
    <mergeCell ref="AP179:AP180"/>
    <mergeCell ref="H177:H178"/>
    <mergeCell ref="J177:J178"/>
    <mergeCell ref="L177:L178"/>
    <mergeCell ref="N177:N178"/>
    <mergeCell ref="P177:P178"/>
    <mergeCell ref="R177:R178"/>
    <mergeCell ref="T177:T178"/>
    <mergeCell ref="V177:V178"/>
    <mergeCell ref="X177:X178"/>
    <mergeCell ref="AL177:AL178"/>
    <mergeCell ref="AL179:AL180"/>
    <mergeCell ref="AN177:AN178"/>
    <mergeCell ref="AN179:AN180"/>
    <mergeCell ref="Z177:Z178"/>
    <mergeCell ref="AB177:AB178"/>
    <mergeCell ref="AD177:AD178"/>
    <mergeCell ref="Z179:Z180"/>
    <mergeCell ref="AB179:AB180"/>
    <mergeCell ref="AD179:AD180"/>
    <mergeCell ref="AP173:AP174"/>
    <mergeCell ref="H175:H176"/>
    <mergeCell ref="J175:J176"/>
    <mergeCell ref="L175:L176"/>
    <mergeCell ref="N175:N176"/>
    <mergeCell ref="P175:P176"/>
    <mergeCell ref="R175:R176"/>
    <mergeCell ref="T175:T176"/>
    <mergeCell ref="V175:V176"/>
    <mergeCell ref="X175:X176"/>
    <mergeCell ref="AP175:AP176"/>
    <mergeCell ref="H173:H174"/>
    <mergeCell ref="J173:J174"/>
    <mergeCell ref="L173:L174"/>
    <mergeCell ref="N173:N174"/>
    <mergeCell ref="P173:P174"/>
    <mergeCell ref="R173:R174"/>
    <mergeCell ref="T173:T174"/>
    <mergeCell ref="V173:V174"/>
    <mergeCell ref="X173:X174"/>
    <mergeCell ref="AL173:AL174"/>
    <mergeCell ref="AL175:AL176"/>
    <mergeCell ref="AN173:AN174"/>
    <mergeCell ref="AN175:AN176"/>
    <mergeCell ref="Z173:Z174"/>
    <mergeCell ref="AB173:AB174"/>
    <mergeCell ref="AD173:AD174"/>
    <mergeCell ref="Z175:Z176"/>
    <mergeCell ref="AB175:AB176"/>
    <mergeCell ref="AD175:AD176"/>
    <mergeCell ref="AP169:AP170"/>
    <mergeCell ref="H171:H172"/>
    <mergeCell ref="J171:J172"/>
    <mergeCell ref="L171:L172"/>
    <mergeCell ref="N171:N172"/>
    <mergeCell ref="P171:P172"/>
    <mergeCell ref="R171:R172"/>
    <mergeCell ref="T171:T172"/>
    <mergeCell ref="V171:V172"/>
    <mergeCell ref="X171:X172"/>
    <mergeCell ref="AP171:AP172"/>
    <mergeCell ref="H169:H170"/>
    <mergeCell ref="J169:J170"/>
    <mergeCell ref="L169:L170"/>
    <mergeCell ref="N169:N170"/>
    <mergeCell ref="P169:P170"/>
    <mergeCell ref="R169:R170"/>
    <mergeCell ref="T169:T170"/>
    <mergeCell ref="V169:V170"/>
    <mergeCell ref="X169:X170"/>
    <mergeCell ref="AL169:AL170"/>
    <mergeCell ref="AL171:AL172"/>
    <mergeCell ref="AN169:AN170"/>
    <mergeCell ref="AN171:AN172"/>
    <mergeCell ref="Z169:Z170"/>
    <mergeCell ref="AB169:AB170"/>
    <mergeCell ref="AD169:AD170"/>
    <mergeCell ref="Z171:Z172"/>
    <mergeCell ref="AB171:AB172"/>
    <mergeCell ref="AD171:AD172"/>
    <mergeCell ref="AP165:AP166"/>
    <mergeCell ref="H167:H168"/>
    <mergeCell ref="J167:J168"/>
    <mergeCell ref="L167:L168"/>
    <mergeCell ref="N167:N168"/>
    <mergeCell ref="P167:P168"/>
    <mergeCell ref="R167:R168"/>
    <mergeCell ref="T167:T168"/>
    <mergeCell ref="V167:V168"/>
    <mergeCell ref="X167:X168"/>
    <mergeCell ref="AP167:AP168"/>
    <mergeCell ref="H165:H166"/>
    <mergeCell ref="J165:J166"/>
    <mergeCell ref="L165:L166"/>
    <mergeCell ref="N165:N166"/>
    <mergeCell ref="P165:P166"/>
    <mergeCell ref="R165:R166"/>
    <mergeCell ref="T165:T166"/>
    <mergeCell ref="V165:V166"/>
    <mergeCell ref="X165:X166"/>
    <mergeCell ref="AL165:AL166"/>
    <mergeCell ref="AL167:AL168"/>
    <mergeCell ref="AN165:AN166"/>
    <mergeCell ref="AN167:AN168"/>
    <mergeCell ref="Z165:Z166"/>
    <mergeCell ref="AB165:AB166"/>
    <mergeCell ref="AD165:AD166"/>
    <mergeCell ref="Z167:Z168"/>
    <mergeCell ref="AB167:AB168"/>
    <mergeCell ref="AD167:AD168"/>
    <mergeCell ref="AF167:AF168"/>
    <mergeCell ref="AH167:AH168"/>
    <mergeCell ref="AP161:AP162"/>
    <mergeCell ref="H163:H164"/>
    <mergeCell ref="J163:J164"/>
    <mergeCell ref="L163:L164"/>
    <mergeCell ref="N163:N164"/>
    <mergeCell ref="P163:P164"/>
    <mergeCell ref="R163:R164"/>
    <mergeCell ref="T163:T164"/>
    <mergeCell ref="V163:V164"/>
    <mergeCell ref="X163:X164"/>
    <mergeCell ref="AP163:AP164"/>
    <mergeCell ref="H161:H162"/>
    <mergeCell ref="J161:J162"/>
    <mergeCell ref="L161:L162"/>
    <mergeCell ref="N161:N162"/>
    <mergeCell ref="P161:P162"/>
    <mergeCell ref="R161:R162"/>
    <mergeCell ref="T161:T162"/>
    <mergeCell ref="V161:V162"/>
    <mergeCell ref="X161:X162"/>
    <mergeCell ref="AL161:AL162"/>
    <mergeCell ref="AL163:AL164"/>
    <mergeCell ref="AN161:AN162"/>
    <mergeCell ref="AN163:AN164"/>
    <mergeCell ref="Z161:Z162"/>
    <mergeCell ref="AB161:AB162"/>
    <mergeCell ref="AD161:AD162"/>
    <mergeCell ref="Z163:Z164"/>
    <mergeCell ref="AB163:AB164"/>
    <mergeCell ref="AD163:AD164"/>
    <mergeCell ref="AP157:AP158"/>
    <mergeCell ref="H159:H160"/>
    <mergeCell ref="J159:J160"/>
    <mergeCell ref="L159:L160"/>
    <mergeCell ref="N159:N160"/>
    <mergeCell ref="P159:P160"/>
    <mergeCell ref="R159:R160"/>
    <mergeCell ref="T159:T160"/>
    <mergeCell ref="V159:V160"/>
    <mergeCell ref="X159:X160"/>
    <mergeCell ref="AP159:AP160"/>
    <mergeCell ref="H157:H158"/>
    <mergeCell ref="J157:J158"/>
    <mergeCell ref="L157:L158"/>
    <mergeCell ref="N157:N158"/>
    <mergeCell ref="P157:P158"/>
    <mergeCell ref="R157:R158"/>
    <mergeCell ref="T157:T158"/>
    <mergeCell ref="V157:V158"/>
    <mergeCell ref="X157:X158"/>
    <mergeCell ref="AL159:AL160"/>
    <mergeCell ref="AN159:AN160"/>
    <mergeCell ref="AL157:AL158"/>
    <mergeCell ref="AN157:AN158"/>
    <mergeCell ref="Z157:Z158"/>
    <mergeCell ref="AB157:AB158"/>
    <mergeCell ref="AD157:AD158"/>
    <mergeCell ref="Z159:Z160"/>
    <mergeCell ref="AB159:AB160"/>
    <mergeCell ref="AD159:AD160"/>
    <mergeCell ref="AP153:AP154"/>
    <mergeCell ref="H155:H156"/>
    <mergeCell ref="J155:J156"/>
    <mergeCell ref="L155:L156"/>
    <mergeCell ref="N155:N156"/>
    <mergeCell ref="P155:P156"/>
    <mergeCell ref="R155:R156"/>
    <mergeCell ref="T155:T156"/>
    <mergeCell ref="V155:V156"/>
    <mergeCell ref="X155:X156"/>
    <mergeCell ref="AP155:AP156"/>
    <mergeCell ref="H153:H154"/>
    <mergeCell ref="J153:J154"/>
    <mergeCell ref="L153:L154"/>
    <mergeCell ref="N153:N154"/>
    <mergeCell ref="P153:P154"/>
    <mergeCell ref="R153:R154"/>
    <mergeCell ref="T153:T154"/>
    <mergeCell ref="V153:V154"/>
    <mergeCell ref="X153:X154"/>
    <mergeCell ref="AL155:AL156"/>
    <mergeCell ref="AN155:AN156"/>
    <mergeCell ref="Z153:Z154"/>
    <mergeCell ref="AB153:AB154"/>
    <mergeCell ref="AD153:AD154"/>
    <mergeCell ref="Z155:Z156"/>
    <mergeCell ref="AB155:AB156"/>
    <mergeCell ref="AD155:AD156"/>
    <mergeCell ref="AF153:AF154"/>
    <mergeCell ref="AH153:AH154"/>
    <mergeCell ref="AJ153:AJ154"/>
    <mergeCell ref="AF155:AF156"/>
    <mergeCell ref="AP149:AP150"/>
    <mergeCell ref="H151:H152"/>
    <mergeCell ref="J151:J152"/>
    <mergeCell ref="L151:L152"/>
    <mergeCell ref="N151:N152"/>
    <mergeCell ref="P151:P152"/>
    <mergeCell ref="R151:R152"/>
    <mergeCell ref="T151:T152"/>
    <mergeCell ref="V151:V152"/>
    <mergeCell ref="X151:X152"/>
    <mergeCell ref="AP151:AP152"/>
    <mergeCell ref="H149:H150"/>
    <mergeCell ref="J149:J150"/>
    <mergeCell ref="L149:L150"/>
    <mergeCell ref="N149:N150"/>
    <mergeCell ref="P149:P150"/>
    <mergeCell ref="R149:R150"/>
    <mergeCell ref="T149:T150"/>
    <mergeCell ref="V149:V150"/>
    <mergeCell ref="X149:X150"/>
    <mergeCell ref="Z149:Z150"/>
    <mergeCell ref="AB149:AB150"/>
    <mergeCell ref="AD149:AD150"/>
    <mergeCell ref="Z151:Z152"/>
    <mergeCell ref="AB151:AB152"/>
    <mergeCell ref="AD151:AD152"/>
    <mergeCell ref="AF149:AF150"/>
    <mergeCell ref="AH149:AH150"/>
    <mergeCell ref="AJ149:AJ150"/>
    <mergeCell ref="AF151:AF152"/>
    <mergeCell ref="AH151:AH152"/>
    <mergeCell ref="AJ151:AJ152"/>
    <mergeCell ref="AP145:AP146"/>
    <mergeCell ref="H147:H148"/>
    <mergeCell ref="J147:J148"/>
    <mergeCell ref="L147:L148"/>
    <mergeCell ref="N147:N148"/>
    <mergeCell ref="P147:P148"/>
    <mergeCell ref="R147:R148"/>
    <mergeCell ref="T147:T148"/>
    <mergeCell ref="V147:V148"/>
    <mergeCell ref="X147:X148"/>
    <mergeCell ref="AP147:AP148"/>
    <mergeCell ref="H145:H146"/>
    <mergeCell ref="J145:J146"/>
    <mergeCell ref="L145:L146"/>
    <mergeCell ref="N145:N146"/>
    <mergeCell ref="P145:P146"/>
    <mergeCell ref="R145:R146"/>
    <mergeCell ref="T145:T146"/>
    <mergeCell ref="V145:V146"/>
    <mergeCell ref="X145:X146"/>
    <mergeCell ref="Z145:Z146"/>
    <mergeCell ref="AB145:AB146"/>
    <mergeCell ref="AD145:AD146"/>
    <mergeCell ref="Z147:Z148"/>
    <mergeCell ref="AB147:AB148"/>
    <mergeCell ref="AD147:AD148"/>
    <mergeCell ref="AF145:AF146"/>
    <mergeCell ref="AH145:AH146"/>
    <mergeCell ref="AJ145:AJ146"/>
    <mergeCell ref="AF147:AF148"/>
    <mergeCell ref="AH147:AH148"/>
    <mergeCell ref="AJ147:AJ148"/>
    <mergeCell ref="AP141:AP142"/>
    <mergeCell ref="H143:H144"/>
    <mergeCell ref="J143:J144"/>
    <mergeCell ref="L143:L144"/>
    <mergeCell ref="N143:N144"/>
    <mergeCell ref="P143:P144"/>
    <mergeCell ref="R143:R144"/>
    <mergeCell ref="T143:T144"/>
    <mergeCell ref="V143:V144"/>
    <mergeCell ref="X143:X144"/>
    <mergeCell ref="AP143:AP144"/>
    <mergeCell ref="H141:H142"/>
    <mergeCell ref="J141:J142"/>
    <mergeCell ref="L141:L142"/>
    <mergeCell ref="N141:N142"/>
    <mergeCell ref="P141:P142"/>
    <mergeCell ref="R141:R142"/>
    <mergeCell ref="T141:T142"/>
    <mergeCell ref="V141:V142"/>
    <mergeCell ref="X141:X142"/>
    <mergeCell ref="Z141:Z142"/>
    <mergeCell ref="AB141:AB142"/>
    <mergeCell ref="AD141:AD142"/>
    <mergeCell ref="Z143:Z144"/>
    <mergeCell ref="AB143:AB144"/>
    <mergeCell ref="AD143:AD144"/>
    <mergeCell ref="AF141:AF142"/>
    <mergeCell ref="AH141:AH142"/>
    <mergeCell ref="AJ141:AJ142"/>
    <mergeCell ref="AF143:AF144"/>
    <mergeCell ref="AH143:AH144"/>
    <mergeCell ref="AJ143:AJ144"/>
    <mergeCell ref="AP137:AP138"/>
    <mergeCell ref="H139:H140"/>
    <mergeCell ref="J139:J140"/>
    <mergeCell ref="L139:L140"/>
    <mergeCell ref="N139:N140"/>
    <mergeCell ref="P139:P140"/>
    <mergeCell ref="R139:R140"/>
    <mergeCell ref="T139:T140"/>
    <mergeCell ref="V139:V140"/>
    <mergeCell ref="X139:X140"/>
    <mergeCell ref="AP139:AP140"/>
    <mergeCell ref="H137:H138"/>
    <mergeCell ref="J137:J138"/>
    <mergeCell ref="L137:L138"/>
    <mergeCell ref="N137:N138"/>
    <mergeCell ref="P137:P138"/>
    <mergeCell ref="R137:R138"/>
    <mergeCell ref="T137:T138"/>
    <mergeCell ref="V137:V138"/>
    <mergeCell ref="X137:X138"/>
    <mergeCell ref="Z137:Z138"/>
    <mergeCell ref="AB137:AB138"/>
    <mergeCell ref="AD137:AD138"/>
    <mergeCell ref="Z139:Z140"/>
    <mergeCell ref="AB139:AB140"/>
    <mergeCell ref="AD139:AD140"/>
    <mergeCell ref="AF137:AF138"/>
    <mergeCell ref="AH137:AH138"/>
    <mergeCell ref="AJ137:AJ138"/>
    <mergeCell ref="AF139:AF140"/>
    <mergeCell ref="AH139:AH140"/>
    <mergeCell ref="AJ139:AJ140"/>
    <mergeCell ref="AP133:AP134"/>
    <mergeCell ref="H135:H136"/>
    <mergeCell ref="J135:J136"/>
    <mergeCell ref="L135:L136"/>
    <mergeCell ref="N135:N136"/>
    <mergeCell ref="P135:P136"/>
    <mergeCell ref="R135:R136"/>
    <mergeCell ref="T135:T136"/>
    <mergeCell ref="V135:V136"/>
    <mergeCell ref="X135:X136"/>
    <mergeCell ref="AP135:AP136"/>
    <mergeCell ref="H133:H134"/>
    <mergeCell ref="J133:J134"/>
    <mergeCell ref="L133:L134"/>
    <mergeCell ref="N133:N134"/>
    <mergeCell ref="P133:P134"/>
    <mergeCell ref="R133:R134"/>
    <mergeCell ref="T133:T134"/>
    <mergeCell ref="V133:V134"/>
    <mergeCell ref="X133:X134"/>
    <mergeCell ref="H131:H132"/>
    <mergeCell ref="J131:J132"/>
    <mergeCell ref="L131:L132"/>
    <mergeCell ref="N131:N132"/>
    <mergeCell ref="P131:P132"/>
    <mergeCell ref="R131:R132"/>
    <mergeCell ref="T131:T132"/>
    <mergeCell ref="V131:V132"/>
    <mergeCell ref="X131:X132"/>
    <mergeCell ref="AP131:AP132"/>
    <mergeCell ref="C15:G15"/>
    <mergeCell ref="H15:H16"/>
    <mergeCell ref="J15:J16"/>
    <mergeCell ref="L15:L16"/>
    <mergeCell ref="N15:N16"/>
    <mergeCell ref="P15:P16"/>
    <mergeCell ref="R15:R16"/>
    <mergeCell ref="T15:T16"/>
    <mergeCell ref="V15:V16"/>
    <mergeCell ref="C67:G67"/>
    <mergeCell ref="C81:G81"/>
    <mergeCell ref="C83:G83"/>
    <mergeCell ref="C85:G85"/>
    <mergeCell ref="C87:G87"/>
    <mergeCell ref="C89:G89"/>
    <mergeCell ref="C91:G91"/>
    <mergeCell ref="C69:G69"/>
    <mergeCell ref="C71:G71"/>
    <mergeCell ref="C73:G73"/>
    <mergeCell ref="C75:G75"/>
    <mergeCell ref="C77:G77"/>
    <mergeCell ref="C79:G79"/>
    <mergeCell ref="C9:G9"/>
    <mergeCell ref="C11:G11"/>
    <mergeCell ref="C13:G13"/>
    <mergeCell ref="C39:G39"/>
    <mergeCell ref="C41:G41"/>
    <mergeCell ref="C43:G43"/>
    <mergeCell ref="C21:G21"/>
    <mergeCell ref="C23:G23"/>
    <mergeCell ref="C25:G25"/>
    <mergeCell ref="C27:G27"/>
    <mergeCell ref="C29:G29"/>
    <mergeCell ref="C31:G31"/>
    <mergeCell ref="C57:G57"/>
    <mergeCell ref="C59:G59"/>
    <mergeCell ref="C61:G61"/>
    <mergeCell ref="C63:G63"/>
    <mergeCell ref="C65:G65"/>
    <mergeCell ref="C45:G45"/>
    <mergeCell ref="C47:G47"/>
    <mergeCell ref="C49:G49"/>
    <mergeCell ref="C51:G51"/>
    <mergeCell ref="C53:G53"/>
    <mergeCell ref="C55:G55"/>
    <mergeCell ref="C17:G17"/>
    <mergeCell ref="C19:G19"/>
    <mergeCell ref="C33:G33"/>
    <mergeCell ref="C35:G35"/>
    <mergeCell ref="C37:G37"/>
    <mergeCell ref="C105:G105"/>
    <mergeCell ref="C107:G107"/>
    <mergeCell ref="C109:G109"/>
    <mergeCell ref="C111:G111"/>
    <mergeCell ref="C113:G113"/>
    <mergeCell ref="C115:G115"/>
    <mergeCell ref="C93:G93"/>
    <mergeCell ref="C95:G95"/>
    <mergeCell ref="C97:G97"/>
    <mergeCell ref="C99:G99"/>
    <mergeCell ref="C101:G101"/>
    <mergeCell ref="C103:G103"/>
    <mergeCell ref="C129:G129"/>
    <mergeCell ref="C131:G131"/>
    <mergeCell ref="C133:G133"/>
    <mergeCell ref="C135:G135"/>
    <mergeCell ref="C137:G137"/>
    <mergeCell ref="C139:G139"/>
    <mergeCell ref="C117:G117"/>
    <mergeCell ref="C119:G119"/>
    <mergeCell ref="C121:G121"/>
    <mergeCell ref="C123:G123"/>
    <mergeCell ref="C125:G125"/>
    <mergeCell ref="C127:G127"/>
    <mergeCell ref="C153:G153"/>
    <mergeCell ref="C155:G155"/>
    <mergeCell ref="C157:G157"/>
    <mergeCell ref="C159:G159"/>
    <mergeCell ref="C161:G161"/>
    <mergeCell ref="C163:G163"/>
    <mergeCell ref="C141:G141"/>
    <mergeCell ref="C143:G143"/>
    <mergeCell ref="C145:G145"/>
    <mergeCell ref="C147:G147"/>
    <mergeCell ref="C149:G149"/>
    <mergeCell ref="C151:G151"/>
    <mergeCell ref="C177:G177"/>
    <mergeCell ref="C179:G179"/>
    <mergeCell ref="C181:G181"/>
    <mergeCell ref="C183:G183"/>
    <mergeCell ref="C185:G185"/>
    <mergeCell ref="C187:G187"/>
    <mergeCell ref="C165:G165"/>
    <mergeCell ref="C167:G167"/>
    <mergeCell ref="C169:G169"/>
    <mergeCell ref="C171:G171"/>
    <mergeCell ref="C173:G173"/>
    <mergeCell ref="C175:G175"/>
    <mergeCell ref="C201:G201"/>
    <mergeCell ref="C203:G203"/>
    <mergeCell ref="C205:G205"/>
    <mergeCell ref="C207:G207"/>
    <mergeCell ref="C209:G209"/>
    <mergeCell ref="C211:G211"/>
    <mergeCell ref="C189:G189"/>
    <mergeCell ref="C191:G191"/>
    <mergeCell ref="C193:G193"/>
    <mergeCell ref="C195:G195"/>
    <mergeCell ref="C197:G197"/>
    <mergeCell ref="C199:G199"/>
    <mergeCell ref="C225:G225"/>
    <mergeCell ref="C227:G227"/>
    <mergeCell ref="C229:G229"/>
    <mergeCell ref="C231:G231"/>
    <mergeCell ref="C233:G233"/>
    <mergeCell ref="C235:G235"/>
    <mergeCell ref="C213:G213"/>
    <mergeCell ref="C215:G215"/>
    <mergeCell ref="C217:G217"/>
    <mergeCell ref="C219:G219"/>
    <mergeCell ref="C221:G221"/>
    <mergeCell ref="C223:G223"/>
    <mergeCell ref="C249:G249"/>
    <mergeCell ref="C251:G251"/>
    <mergeCell ref="C253:G253"/>
    <mergeCell ref="C255:G255"/>
    <mergeCell ref="C257:G257"/>
    <mergeCell ref="C259:G259"/>
    <mergeCell ref="C237:G237"/>
    <mergeCell ref="C239:G239"/>
    <mergeCell ref="C241:G241"/>
    <mergeCell ref="C243:G243"/>
    <mergeCell ref="C245:G245"/>
    <mergeCell ref="C247:G247"/>
    <mergeCell ref="C273:G273"/>
    <mergeCell ref="C275:G275"/>
    <mergeCell ref="C277:G277"/>
    <mergeCell ref="C279:G279"/>
    <mergeCell ref="C281:G281"/>
    <mergeCell ref="C309:G309"/>
    <mergeCell ref="C311:G311"/>
    <mergeCell ref="C313:G313"/>
    <mergeCell ref="C315:G315"/>
    <mergeCell ref="C317:G317"/>
    <mergeCell ref="C319:G319"/>
    <mergeCell ref="C345:G345"/>
    <mergeCell ref="C347:G347"/>
    <mergeCell ref="C349:G349"/>
    <mergeCell ref="C351:G351"/>
    <mergeCell ref="C353:G353"/>
    <mergeCell ref="C283:G283"/>
    <mergeCell ref="C261:G261"/>
    <mergeCell ref="C263:G263"/>
    <mergeCell ref="C265:G265"/>
    <mergeCell ref="C267:G267"/>
    <mergeCell ref="C269:G269"/>
    <mergeCell ref="C271:G271"/>
    <mergeCell ref="C297:G297"/>
    <mergeCell ref="C299:G299"/>
    <mergeCell ref="C301:G301"/>
    <mergeCell ref="C303:G303"/>
    <mergeCell ref="C305:G305"/>
    <mergeCell ref="C307:G307"/>
    <mergeCell ref="C285:G285"/>
    <mergeCell ref="C287:G287"/>
    <mergeCell ref="C289:G289"/>
    <mergeCell ref="C291:G291"/>
    <mergeCell ref="C293:G293"/>
    <mergeCell ref="C295:G295"/>
    <mergeCell ref="C337:G337"/>
    <mergeCell ref="C339:G339"/>
    <mergeCell ref="C341:G341"/>
    <mergeCell ref="C343:G343"/>
    <mergeCell ref="C369:G369"/>
    <mergeCell ref="C371:G371"/>
    <mergeCell ref="C373:G373"/>
    <mergeCell ref="C375:G375"/>
    <mergeCell ref="C377:G377"/>
    <mergeCell ref="C379:G379"/>
    <mergeCell ref="C357:G357"/>
    <mergeCell ref="C359:G359"/>
    <mergeCell ref="C361:G361"/>
    <mergeCell ref="C363:G363"/>
    <mergeCell ref="C365:G365"/>
    <mergeCell ref="C367:G367"/>
    <mergeCell ref="C321:G321"/>
    <mergeCell ref="C323:G323"/>
    <mergeCell ref="C325:G325"/>
    <mergeCell ref="C327:G327"/>
    <mergeCell ref="C329:G329"/>
    <mergeCell ref="C331:G331"/>
    <mergeCell ref="C493:G493"/>
    <mergeCell ref="C495:G495"/>
    <mergeCell ref="C497:G497"/>
    <mergeCell ref="C427:G427"/>
    <mergeCell ref="C405:G405"/>
    <mergeCell ref="C407:G407"/>
    <mergeCell ref="C409:G409"/>
    <mergeCell ref="C411:G411"/>
    <mergeCell ref="C413:G413"/>
    <mergeCell ref="C415:G415"/>
    <mergeCell ref="C441:G441"/>
    <mergeCell ref="C443:G443"/>
    <mergeCell ref="C445:G445"/>
    <mergeCell ref="C447:G447"/>
    <mergeCell ref="C449:G449"/>
    <mergeCell ref="C451:G451"/>
    <mergeCell ref="C429:G429"/>
    <mergeCell ref="C431:G431"/>
    <mergeCell ref="C433:G433"/>
    <mergeCell ref="C435:G435"/>
    <mergeCell ref="C437:G437"/>
    <mergeCell ref="C439:G439"/>
    <mergeCell ref="C417:G417"/>
    <mergeCell ref="C419:G419"/>
    <mergeCell ref="C421:G421"/>
    <mergeCell ref="C423:G423"/>
    <mergeCell ref="C425:G425"/>
    <mergeCell ref="J9:J10"/>
    <mergeCell ref="L9:L10"/>
    <mergeCell ref="N9:N10"/>
    <mergeCell ref="C465:G465"/>
    <mergeCell ref="C467:G467"/>
    <mergeCell ref="C469:G469"/>
    <mergeCell ref="C471:G471"/>
    <mergeCell ref="C473:G473"/>
    <mergeCell ref="C475:G475"/>
    <mergeCell ref="C453:G453"/>
    <mergeCell ref="C455:G455"/>
    <mergeCell ref="C457:G457"/>
    <mergeCell ref="C459:G459"/>
    <mergeCell ref="C461:G461"/>
    <mergeCell ref="C463:G463"/>
    <mergeCell ref="C489:G489"/>
    <mergeCell ref="C491:G491"/>
    <mergeCell ref="C393:G393"/>
    <mergeCell ref="C395:G395"/>
    <mergeCell ref="C397:G397"/>
    <mergeCell ref="C399:G399"/>
    <mergeCell ref="C401:G401"/>
    <mergeCell ref="C403:G403"/>
    <mergeCell ref="C381:G381"/>
    <mergeCell ref="C383:G383"/>
    <mergeCell ref="C385:G385"/>
    <mergeCell ref="C387:G387"/>
    <mergeCell ref="C389:G389"/>
    <mergeCell ref="C391:G391"/>
    <mergeCell ref="C355:G355"/>
    <mergeCell ref="C333:G333"/>
    <mergeCell ref="C335:G335"/>
    <mergeCell ref="T13:T14"/>
    <mergeCell ref="V13:V14"/>
    <mergeCell ref="X13:X14"/>
    <mergeCell ref="C499:G499"/>
    <mergeCell ref="C477:G477"/>
    <mergeCell ref="C479:G479"/>
    <mergeCell ref="C481:G481"/>
    <mergeCell ref="C483:G483"/>
    <mergeCell ref="C485:G485"/>
    <mergeCell ref="C487:G487"/>
    <mergeCell ref="R6:S6"/>
    <mergeCell ref="AP6:AQ6"/>
    <mergeCell ref="X6:Y6"/>
    <mergeCell ref="V6:W6"/>
    <mergeCell ref="R7:S7"/>
    <mergeCell ref="V7:W7"/>
    <mergeCell ref="X7:Y7"/>
    <mergeCell ref="T6:U6"/>
    <mergeCell ref="T7:U7"/>
    <mergeCell ref="AP7:AQ7"/>
    <mergeCell ref="H6:I6"/>
    <mergeCell ref="J6:K6"/>
    <mergeCell ref="L6:M6"/>
    <mergeCell ref="N6:O6"/>
    <mergeCell ref="P6:Q6"/>
    <mergeCell ref="H7:I7"/>
    <mergeCell ref="J7:K7"/>
    <mergeCell ref="L7:M7"/>
    <mergeCell ref="N7:O7"/>
    <mergeCell ref="P7:Q7"/>
    <mergeCell ref="H11:H12"/>
    <mergeCell ref="H9:H10"/>
    <mergeCell ref="AP19:AP20"/>
    <mergeCell ref="H17:H18"/>
    <mergeCell ref="J17:J18"/>
    <mergeCell ref="L17:L18"/>
    <mergeCell ref="N17:N18"/>
    <mergeCell ref="P17:P18"/>
    <mergeCell ref="R17:R18"/>
    <mergeCell ref="T17:T18"/>
    <mergeCell ref="V17:V18"/>
    <mergeCell ref="X17:X18"/>
    <mergeCell ref="P9:P10"/>
    <mergeCell ref="R9:R10"/>
    <mergeCell ref="T9:T10"/>
    <mergeCell ref="V9:V10"/>
    <mergeCell ref="X9:X10"/>
    <mergeCell ref="AP9:AP10"/>
    <mergeCell ref="J11:J12"/>
    <mergeCell ref="L11:L12"/>
    <mergeCell ref="N11:N12"/>
    <mergeCell ref="P11:P12"/>
    <mergeCell ref="R11:R12"/>
    <mergeCell ref="T11:T12"/>
    <mergeCell ref="V11:V12"/>
    <mergeCell ref="X11:X12"/>
    <mergeCell ref="AP11:AP12"/>
    <mergeCell ref="AP13:AP14"/>
    <mergeCell ref="H13:H14"/>
    <mergeCell ref="J13:J14"/>
    <mergeCell ref="L13:L14"/>
    <mergeCell ref="N13:N14"/>
    <mergeCell ref="P13:P14"/>
    <mergeCell ref="R13:R14"/>
    <mergeCell ref="X15:X16"/>
    <mergeCell ref="AP15:AP16"/>
    <mergeCell ref="AP21:AP22"/>
    <mergeCell ref="H23:H24"/>
    <mergeCell ref="J23:J24"/>
    <mergeCell ref="L23:L24"/>
    <mergeCell ref="N23:N24"/>
    <mergeCell ref="P23:P24"/>
    <mergeCell ref="R23:R24"/>
    <mergeCell ref="T23:T24"/>
    <mergeCell ref="V23:V24"/>
    <mergeCell ref="X23:X24"/>
    <mergeCell ref="AP23:AP24"/>
    <mergeCell ref="H21:H22"/>
    <mergeCell ref="J21:J22"/>
    <mergeCell ref="L21:L22"/>
    <mergeCell ref="N21:N22"/>
    <mergeCell ref="P21:P22"/>
    <mergeCell ref="R21:R22"/>
    <mergeCell ref="T21:T22"/>
    <mergeCell ref="V21:V22"/>
    <mergeCell ref="X21:X22"/>
    <mergeCell ref="AP17:AP18"/>
    <mergeCell ref="H19:H20"/>
    <mergeCell ref="J19:J20"/>
    <mergeCell ref="L19:L20"/>
    <mergeCell ref="N19:N20"/>
    <mergeCell ref="P19:P20"/>
    <mergeCell ref="R19:R20"/>
    <mergeCell ref="T19:T20"/>
    <mergeCell ref="V19:V20"/>
    <mergeCell ref="X19:X20"/>
    <mergeCell ref="AP25:AP26"/>
    <mergeCell ref="H27:H28"/>
    <mergeCell ref="J27:J28"/>
    <mergeCell ref="L27:L28"/>
    <mergeCell ref="N27:N28"/>
    <mergeCell ref="P27:P28"/>
    <mergeCell ref="R27:R28"/>
    <mergeCell ref="T27:T28"/>
    <mergeCell ref="V27:V28"/>
    <mergeCell ref="X27:X28"/>
    <mergeCell ref="AP27:AP28"/>
    <mergeCell ref="H25:H26"/>
    <mergeCell ref="J25:J26"/>
    <mergeCell ref="L25:L26"/>
    <mergeCell ref="N25:N26"/>
    <mergeCell ref="P25:P26"/>
    <mergeCell ref="R25:R26"/>
    <mergeCell ref="T25:T26"/>
    <mergeCell ref="V25:V26"/>
    <mergeCell ref="X25:X26"/>
    <mergeCell ref="AP29:AP30"/>
    <mergeCell ref="H31:H32"/>
    <mergeCell ref="J31:J32"/>
    <mergeCell ref="L31:L32"/>
    <mergeCell ref="N31:N32"/>
    <mergeCell ref="P31:P32"/>
    <mergeCell ref="R31:R32"/>
    <mergeCell ref="T31:T32"/>
    <mergeCell ref="V31:V32"/>
    <mergeCell ref="X31:X32"/>
    <mergeCell ref="AP31:AP32"/>
    <mergeCell ref="H29:H30"/>
    <mergeCell ref="J29:J30"/>
    <mergeCell ref="L29:L30"/>
    <mergeCell ref="N29:N30"/>
    <mergeCell ref="P29:P30"/>
    <mergeCell ref="R29:R30"/>
    <mergeCell ref="T29:T30"/>
    <mergeCell ref="V29:V30"/>
    <mergeCell ref="X29:X30"/>
    <mergeCell ref="Z31:Z32"/>
    <mergeCell ref="AB31:AB32"/>
    <mergeCell ref="AD31:AD32"/>
    <mergeCell ref="AF31:AF32"/>
    <mergeCell ref="AH31:AH32"/>
    <mergeCell ref="AJ31:AJ32"/>
    <mergeCell ref="AP33:AP34"/>
    <mergeCell ref="H35:H36"/>
    <mergeCell ref="J35:J36"/>
    <mergeCell ref="L35:L36"/>
    <mergeCell ref="N35:N36"/>
    <mergeCell ref="P35:P36"/>
    <mergeCell ref="R35:R36"/>
    <mergeCell ref="T35:T36"/>
    <mergeCell ref="V35:V36"/>
    <mergeCell ref="X35:X36"/>
    <mergeCell ref="AP35:AP36"/>
    <mergeCell ref="H33:H34"/>
    <mergeCell ref="J33:J34"/>
    <mergeCell ref="L33:L34"/>
    <mergeCell ref="N33:N34"/>
    <mergeCell ref="P33:P34"/>
    <mergeCell ref="R33:R34"/>
    <mergeCell ref="T33:T34"/>
    <mergeCell ref="V33:V34"/>
    <mergeCell ref="X33:X34"/>
    <mergeCell ref="Z33:Z34"/>
    <mergeCell ref="AB33:AB34"/>
    <mergeCell ref="AD33:AD34"/>
    <mergeCell ref="Z35:Z36"/>
    <mergeCell ref="AB35:AB36"/>
    <mergeCell ref="AD35:AD36"/>
    <mergeCell ref="AF33:AF34"/>
    <mergeCell ref="AH33:AH34"/>
    <mergeCell ref="AJ33:AJ34"/>
    <mergeCell ref="AF35:AF36"/>
    <mergeCell ref="AH35:AH36"/>
    <mergeCell ref="AJ35:AJ36"/>
    <mergeCell ref="AP37:AP38"/>
    <mergeCell ref="H39:H40"/>
    <mergeCell ref="J39:J40"/>
    <mergeCell ref="L39:L40"/>
    <mergeCell ref="N39:N40"/>
    <mergeCell ref="P39:P40"/>
    <mergeCell ref="R39:R40"/>
    <mergeCell ref="T39:T40"/>
    <mergeCell ref="V39:V40"/>
    <mergeCell ref="X39:X40"/>
    <mergeCell ref="AP39:AP40"/>
    <mergeCell ref="H37:H38"/>
    <mergeCell ref="J37:J38"/>
    <mergeCell ref="L37:L38"/>
    <mergeCell ref="N37:N38"/>
    <mergeCell ref="P37:P38"/>
    <mergeCell ref="R37:R38"/>
    <mergeCell ref="T37:T38"/>
    <mergeCell ref="V37:V38"/>
    <mergeCell ref="X37:X38"/>
    <mergeCell ref="Z37:Z38"/>
    <mergeCell ref="AB37:AB38"/>
    <mergeCell ref="AD37:AD38"/>
    <mergeCell ref="Z39:Z40"/>
    <mergeCell ref="AB39:AB40"/>
    <mergeCell ref="AD39:AD40"/>
    <mergeCell ref="AF37:AF38"/>
    <mergeCell ref="AH37:AH38"/>
    <mergeCell ref="AJ37:AJ38"/>
    <mergeCell ref="AF39:AF40"/>
    <mergeCell ref="AH39:AH40"/>
    <mergeCell ref="AJ39:AJ40"/>
    <mergeCell ref="AP41:AP42"/>
    <mergeCell ref="H43:H44"/>
    <mergeCell ref="J43:J44"/>
    <mergeCell ref="L43:L44"/>
    <mergeCell ref="N43:N44"/>
    <mergeCell ref="P43:P44"/>
    <mergeCell ref="R43:R44"/>
    <mergeCell ref="T43:T44"/>
    <mergeCell ref="V43:V44"/>
    <mergeCell ref="X43:X44"/>
    <mergeCell ref="AP43:AP44"/>
    <mergeCell ref="H41:H42"/>
    <mergeCell ref="J41:J42"/>
    <mergeCell ref="L41:L42"/>
    <mergeCell ref="N41:N42"/>
    <mergeCell ref="P41:P42"/>
    <mergeCell ref="R41:R42"/>
    <mergeCell ref="T41:T42"/>
    <mergeCell ref="V41:V42"/>
    <mergeCell ref="X41:X42"/>
    <mergeCell ref="AL43:AL44"/>
    <mergeCell ref="AN43:AN44"/>
    <mergeCell ref="Z41:Z42"/>
    <mergeCell ref="AB41:AB42"/>
    <mergeCell ref="AD41:AD42"/>
    <mergeCell ref="Z43:Z44"/>
    <mergeCell ref="AB43:AB44"/>
    <mergeCell ref="AD43:AD44"/>
    <mergeCell ref="AF41:AF42"/>
    <mergeCell ref="AH41:AH42"/>
    <mergeCell ref="AJ41:AJ42"/>
    <mergeCell ref="AF43:AF44"/>
    <mergeCell ref="AP45:AP46"/>
    <mergeCell ref="H47:H48"/>
    <mergeCell ref="J47:J48"/>
    <mergeCell ref="L47:L48"/>
    <mergeCell ref="N47:N48"/>
    <mergeCell ref="P47:P48"/>
    <mergeCell ref="R47:R48"/>
    <mergeCell ref="T47:T48"/>
    <mergeCell ref="V47:V48"/>
    <mergeCell ref="X47:X48"/>
    <mergeCell ref="AP47:AP48"/>
    <mergeCell ref="H45:H46"/>
    <mergeCell ref="J45:J46"/>
    <mergeCell ref="L45:L46"/>
    <mergeCell ref="N45:N46"/>
    <mergeCell ref="P45:P46"/>
    <mergeCell ref="R45:R46"/>
    <mergeCell ref="T45:T46"/>
    <mergeCell ref="V45:V46"/>
    <mergeCell ref="X45:X46"/>
    <mergeCell ref="AL45:AL46"/>
    <mergeCell ref="AL47:AL48"/>
    <mergeCell ref="AN45:AN46"/>
    <mergeCell ref="AN47:AN48"/>
    <mergeCell ref="Z45:Z46"/>
    <mergeCell ref="AB45:AB46"/>
    <mergeCell ref="AD45:AD46"/>
    <mergeCell ref="Z47:Z48"/>
    <mergeCell ref="AB47:AB48"/>
    <mergeCell ref="AD47:AD48"/>
    <mergeCell ref="AP49:AP50"/>
    <mergeCell ref="H51:H52"/>
    <mergeCell ref="J51:J52"/>
    <mergeCell ref="L51:L52"/>
    <mergeCell ref="N51:N52"/>
    <mergeCell ref="P51:P52"/>
    <mergeCell ref="R51:R52"/>
    <mergeCell ref="T51:T52"/>
    <mergeCell ref="V51:V52"/>
    <mergeCell ref="X51:X52"/>
    <mergeCell ref="AP51:AP52"/>
    <mergeCell ref="H49:H50"/>
    <mergeCell ref="J49:J50"/>
    <mergeCell ref="L49:L50"/>
    <mergeCell ref="N49:N50"/>
    <mergeCell ref="P49:P50"/>
    <mergeCell ref="R49:R50"/>
    <mergeCell ref="T49:T50"/>
    <mergeCell ref="V49:V50"/>
    <mergeCell ref="X49:X50"/>
    <mergeCell ref="AL49:AL50"/>
    <mergeCell ref="AL51:AL52"/>
    <mergeCell ref="AN49:AN50"/>
    <mergeCell ref="AN51:AN52"/>
    <mergeCell ref="Z49:Z50"/>
    <mergeCell ref="AB49:AB50"/>
    <mergeCell ref="AD49:AD50"/>
    <mergeCell ref="Z51:Z52"/>
    <mergeCell ref="AB51:AB52"/>
    <mergeCell ref="AD51:AD52"/>
    <mergeCell ref="AP53:AP54"/>
    <mergeCell ref="H55:H56"/>
    <mergeCell ref="J55:J56"/>
    <mergeCell ref="L55:L56"/>
    <mergeCell ref="N55:N56"/>
    <mergeCell ref="P55:P56"/>
    <mergeCell ref="R55:R56"/>
    <mergeCell ref="T55:T56"/>
    <mergeCell ref="V55:V56"/>
    <mergeCell ref="X55:X56"/>
    <mergeCell ref="AP55:AP56"/>
    <mergeCell ref="H53:H54"/>
    <mergeCell ref="J53:J54"/>
    <mergeCell ref="L53:L54"/>
    <mergeCell ref="N53:N54"/>
    <mergeCell ref="P53:P54"/>
    <mergeCell ref="R53:R54"/>
    <mergeCell ref="T53:T54"/>
    <mergeCell ref="V53:V54"/>
    <mergeCell ref="X53:X54"/>
    <mergeCell ref="AL53:AL54"/>
    <mergeCell ref="AL55:AL56"/>
    <mergeCell ref="AN53:AN54"/>
    <mergeCell ref="AN55:AN56"/>
    <mergeCell ref="Z53:Z54"/>
    <mergeCell ref="AB53:AB54"/>
    <mergeCell ref="AD53:AD54"/>
    <mergeCell ref="Z55:Z56"/>
    <mergeCell ref="AB55:AB56"/>
    <mergeCell ref="AD55:AD56"/>
    <mergeCell ref="AF55:AF56"/>
    <mergeCell ref="AH55:AH56"/>
    <mergeCell ref="AP57:AP58"/>
    <mergeCell ref="H59:H60"/>
    <mergeCell ref="J59:J60"/>
    <mergeCell ref="L59:L60"/>
    <mergeCell ref="N59:N60"/>
    <mergeCell ref="P59:P60"/>
    <mergeCell ref="R59:R60"/>
    <mergeCell ref="T59:T60"/>
    <mergeCell ref="V59:V60"/>
    <mergeCell ref="X59:X60"/>
    <mergeCell ref="AP59:AP60"/>
    <mergeCell ref="H57:H58"/>
    <mergeCell ref="J57:J58"/>
    <mergeCell ref="L57:L58"/>
    <mergeCell ref="N57:N58"/>
    <mergeCell ref="P57:P58"/>
    <mergeCell ref="R57:R58"/>
    <mergeCell ref="T57:T58"/>
    <mergeCell ref="V57:V58"/>
    <mergeCell ref="X57:X58"/>
    <mergeCell ref="AL57:AL58"/>
    <mergeCell ref="AL59:AL60"/>
    <mergeCell ref="AN57:AN58"/>
    <mergeCell ref="AN59:AN60"/>
    <mergeCell ref="Z57:Z58"/>
    <mergeCell ref="AB57:AB58"/>
    <mergeCell ref="AD57:AD58"/>
    <mergeCell ref="Z59:Z60"/>
    <mergeCell ref="AB59:AB60"/>
    <mergeCell ref="AD59:AD60"/>
    <mergeCell ref="AP61:AP62"/>
    <mergeCell ref="H63:H64"/>
    <mergeCell ref="J63:J64"/>
    <mergeCell ref="L63:L64"/>
    <mergeCell ref="N63:N64"/>
    <mergeCell ref="P63:P64"/>
    <mergeCell ref="R63:R64"/>
    <mergeCell ref="T63:T64"/>
    <mergeCell ref="V63:V64"/>
    <mergeCell ref="X63:X64"/>
    <mergeCell ref="AP63:AP64"/>
    <mergeCell ref="H61:H62"/>
    <mergeCell ref="J61:J62"/>
    <mergeCell ref="L61:L62"/>
    <mergeCell ref="N61:N62"/>
    <mergeCell ref="P61:P62"/>
    <mergeCell ref="R61:R62"/>
    <mergeCell ref="T61:T62"/>
    <mergeCell ref="V61:V62"/>
    <mergeCell ref="X61:X62"/>
    <mergeCell ref="AL61:AL62"/>
    <mergeCell ref="AL63:AL64"/>
    <mergeCell ref="AN61:AN62"/>
    <mergeCell ref="AN63:AN64"/>
    <mergeCell ref="Z61:Z62"/>
    <mergeCell ref="AB61:AB62"/>
    <mergeCell ref="AD61:AD62"/>
    <mergeCell ref="Z63:Z64"/>
    <mergeCell ref="AB63:AB64"/>
    <mergeCell ref="AD63:AD64"/>
    <mergeCell ref="AP65:AP66"/>
    <mergeCell ref="H67:H68"/>
    <mergeCell ref="J67:J68"/>
    <mergeCell ref="L67:L68"/>
    <mergeCell ref="N67:N68"/>
    <mergeCell ref="P67:P68"/>
    <mergeCell ref="R67:R68"/>
    <mergeCell ref="T67:T68"/>
    <mergeCell ref="V67:V68"/>
    <mergeCell ref="X67:X68"/>
    <mergeCell ref="AP67:AP68"/>
    <mergeCell ref="H65:H66"/>
    <mergeCell ref="J65:J66"/>
    <mergeCell ref="L65:L66"/>
    <mergeCell ref="N65:N66"/>
    <mergeCell ref="P65:P66"/>
    <mergeCell ref="R65:R66"/>
    <mergeCell ref="T65:T66"/>
    <mergeCell ref="V65:V66"/>
    <mergeCell ref="X65:X66"/>
    <mergeCell ref="AL65:AL66"/>
    <mergeCell ref="AL67:AL68"/>
    <mergeCell ref="AN65:AN66"/>
    <mergeCell ref="AN67:AN68"/>
    <mergeCell ref="Z65:Z66"/>
    <mergeCell ref="AB65:AB66"/>
    <mergeCell ref="AD65:AD66"/>
    <mergeCell ref="Z67:Z68"/>
    <mergeCell ref="AB67:AB68"/>
    <mergeCell ref="AD67:AD68"/>
    <mergeCell ref="AP69:AP70"/>
    <mergeCell ref="H71:H72"/>
    <mergeCell ref="J71:J72"/>
    <mergeCell ref="L71:L72"/>
    <mergeCell ref="N71:N72"/>
    <mergeCell ref="P71:P72"/>
    <mergeCell ref="R71:R72"/>
    <mergeCell ref="T71:T72"/>
    <mergeCell ref="V71:V72"/>
    <mergeCell ref="X71:X72"/>
    <mergeCell ref="AP71:AP72"/>
    <mergeCell ref="H69:H70"/>
    <mergeCell ref="J69:J70"/>
    <mergeCell ref="L69:L70"/>
    <mergeCell ref="N69:N70"/>
    <mergeCell ref="P69:P70"/>
    <mergeCell ref="R69:R70"/>
    <mergeCell ref="T69:T70"/>
    <mergeCell ref="V69:V70"/>
    <mergeCell ref="X69:X70"/>
    <mergeCell ref="AL69:AL70"/>
    <mergeCell ref="AL71:AL72"/>
    <mergeCell ref="AN69:AN70"/>
    <mergeCell ref="AN71:AN72"/>
    <mergeCell ref="Z69:Z70"/>
    <mergeCell ref="AB69:AB70"/>
    <mergeCell ref="AD69:AD70"/>
    <mergeCell ref="Z71:Z72"/>
    <mergeCell ref="AB71:AB72"/>
    <mergeCell ref="AD71:AD72"/>
    <mergeCell ref="AF69:AF70"/>
    <mergeCell ref="AH69:AH70"/>
    <mergeCell ref="AP73:AP74"/>
    <mergeCell ref="H75:H76"/>
    <mergeCell ref="J75:J76"/>
    <mergeCell ref="L75:L76"/>
    <mergeCell ref="N75:N76"/>
    <mergeCell ref="P75:P76"/>
    <mergeCell ref="R75:R76"/>
    <mergeCell ref="T75:T76"/>
    <mergeCell ref="V75:V76"/>
    <mergeCell ref="X75:X76"/>
    <mergeCell ref="AP75:AP76"/>
    <mergeCell ref="H73:H74"/>
    <mergeCell ref="J73:J74"/>
    <mergeCell ref="L73:L74"/>
    <mergeCell ref="N73:N74"/>
    <mergeCell ref="P73:P74"/>
    <mergeCell ref="R73:R74"/>
    <mergeCell ref="T73:T74"/>
    <mergeCell ref="V73:V74"/>
    <mergeCell ref="X73:X74"/>
    <mergeCell ref="AL73:AL74"/>
    <mergeCell ref="AL75:AL76"/>
    <mergeCell ref="AN73:AN74"/>
    <mergeCell ref="AN75:AN76"/>
    <mergeCell ref="Z73:Z74"/>
    <mergeCell ref="AB73:AB74"/>
    <mergeCell ref="AD73:AD74"/>
    <mergeCell ref="Z75:Z76"/>
    <mergeCell ref="AB75:AB76"/>
    <mergeCell ref="AD75:AD76"/>
    <mergeCell ref="AP77:AP78"/>
    <mergeCell ref="H79:H80"/>
    <mergeCell ref="J79:J80"/>
    <mergeCell ref="L79:L80"/>
    <mergeCell ref="N79:N80"/>
    <mergeCell ref="P79:P80"/>
    <mergeCell ref="R79:R80"/>
    <mergeCell ref="T79:T80"/>
    <mergeCell ref="V79:V80"/>
    <mergeCell ref="X79:X80"/>
    <mergeCell ref="AP79:AP80"/>
    <mergeCell ref="H77:H78"/>
    <mergeCell ref="J77:J78"/>
    <mergeCell ref="L77:L78"/>
    <mergeCell ref="N77:N78"/>
    <mergeCell ref="P77:P78"/>
    <mergeCell ref="R77:R78"/>
    <mergeCell ref="T77:T78"/>
    <mergeCell ref="V77:V78"/>
    <mergeCell ref="X77:X78"/>
    <mergeCell ref="AL77:AL78"/>
    <mergeCell ref="AL79:AL80"/>
    <mergeCell ref="AN77:AN78"/>
    <mergeCell ref="AN79:AN80"/>
    <mergeCell ref="Z77:Z78"/>
    <mergeCell ref="AB77:AB78"/>
    <mergeCell ref="AD77:AD78"/>
    <mergeCell ref="Z79:Z80"/>
    <mergeCell ref="AB79:AB80"/>
    <mergeCell ref="AD79:AD80"/>
    <mergeCell ref="AP81:AP82"/>
    <mergeCell ref="H83:H84"/>
    <mergeCell ref="J83:J84"/>
    <mergeCell ref="L83:L84"/>
    <mergeCell ref="N83:N84"/>
    <mergeCell ref="P83:P84"/>
    <mergeCell ref="R83:R84"/>
    <mergeCell ref="T83:T84"/>
    <mergeCell ref="V83:V84"/>
    <mergeCell ref="X83:X84"/>
    <mergeCell ref="AP83:AP84"/>
    <mergeCell ref="H81:H82"/>
    <mergeCell ref="J81:J82"/>
    <mergeCell ref="L81:L82"/>
    <mergeCell ref="N81:N82"/>
    <mergeCell ref="P81:P82"/>
    <mergeCell ref="R81:R82"/>
    <mergeCell ref="T81:T82"/>
    <mergeCell ref="V81:V82"/>
    <mergeCell ref="X81:X82"/>
    <mergeCell ref="AL81:AL82"/>
    <mergeCell ref="AL83:AL84"/>
    <mergeCell ref="AN81:AN82"/>
    <mergeCell ref="AN83:AN84"/>
    <mergeCell ref="Z81:Z82"/>
    <mergeCell ref="AB81:AB82"/>
    <mergeCell ref="AD81:AD82"/>
    <mergeCell ref="Z83:Z84"/>
    <mergeCell ref="AB83:AB84"/>
    <mergeCell ref="AD83:AD84"/>
    <mergeCell ref="AF83:AF84"/>
    <mergeCell ref="AH83:AH84"/>
    <mergeCell ref="AP85:AP86"/>
    <mergeCell ref="H87:H88"/>
    <mergeCell ref="J87:J88"/>
    <mergeCell ref="L87:L88"/>
    <mergeCell ref="N87:N88"/>
    <mergeCell ref="P87:P88"/>
    <mergeCell ref="R87:R88"/>
    <mergeCell ref="T87:T88"/>
    <mergeCell ref="V87:V88"/>
    <mergeCell ref="X87:X88"/>
    <mergeCell ref="AP87:AP88"/>
    <mergeCell ref="H85:H86"/>
    <mergeCell ref="J85:J86"/>
    <mergeCell ref="L85:L86"/>
    <mergeCell ref="N85:N86"/>
    <mergeCell ref="P85:P86"/>
    <mergeCell ref="R85:R86"/>
    <mergeCell ref="T85:T86"/>
    <mergeCell ref="V85:V86"/>
    <mergeCell ref="X85:X86"/>
    <mergeCell ref="AL85:AL86"/>
    <mergeCell ref="AL87:AL88"/>
    <mergeCell ref="AN85:AN86"/>
    <mergeCell ref="AN87:AN88"/>
    <mergeCell ref="Z85:Z86"/>
    <mergeCell ref="AB85:AB86"/>
    <mergeCell ref="AD85:AD86"/>
    <mergeCell ref="Z87:Z88"/>
    <mergeCell ref="AB87:AB88"/>
    <mergeCell ref="AD87:AD88"/>
    <mergeCell ref="AP89:AP90"/>
    <mergeCell ref="H91:H92"/>
    <mergeCell ref="J91:J92"/>
    <mergeCell ref="L91:L92"/>
    <mergeCell ref="N91:N92"/>
    <mergeCell ref="P91:P92"/>
    <mergeCell ref="R91:R92"/>
    <mergeCell ref="T91:T92"/>
    <mergeCell ref="V91:V92"/>
    <mergeCell ref="X91:X92"/>
    <mergeCell ref="AP91:AP92"/>
    <mergeCell ref="H89:H90"/>
    <mergeCell ref="J89:J90"/>
    <mergeCell ref="L89:L90"/>
    <mergeCell ref="N89:N90"/>
    <mergeCell ref="P89:P90"/>
    <mergeCell ref="R89:R90"/>
    <mergeCell ref="T89:T90"/>
    <mergeCell ref="V89:V90"/>
    <mergeCell ref="X89:X90"/>
    <mergeCell ref="AL89:AL90"/>
    <mergeCell ref="AL91:AL92"/>
    <mergeCell ref="AN89:AN90"/>
    <mergeCell ref="AN91:AN92"/>
    <mergeCell ref="Z89:Z90"/>
    <mergeCell ref="AB89:AB90"/>
    <mergeCell ref="AD89:AD90"/>
    <mergeCell ref="Z91:Z92"/>
    <mergeCell ref="AB91:AB92"/>
    <mergeCell ref="AD91:AD92"/>
    <mergeCell ref="AP93:AP94"/>
    <mergeCell ref="H95:H96"/>
    <mergeCell ref="J95:J96"/>
    <mergeCell ref="L95:L96"/>
    <mergeCell ref="N95:N96"/>
    <mergeCell ref="P95:P96"/>
    <mergeCell ref="R95:R96"/>
    <mergeCell ref="T95:T96"/>
    <mergeCell ref="V95:V96"/>
    <mergeCell ref="X95:X96"/>
    <mergeCell ref="AP95:AP96"/>
    <mergeCell ref="H93:H94"/>
    <mergeCell ref="J93:J94"/>
    <mergeCell ref="L93:L94"/>
    <mergeCell ref="N93:N94"/>
    <mergeCell ref="P93:P94"/>
    <mergeCell ref="R93:R94"/>
    <mergeCell ref="T93:T94"/>
    <mergeCell ref="V93:V94"/>
    <mergeCell ref="X93:X94"/>
    <mergeCell ref="AL93:AL94"/>
    <mergeCell ref="AL95:AL96"/>
    <mergeCell ref="AN93:AN94"/>
    <mergeCell ref="AN95:AN96"/>
    <mergeCell ref="Z93:Z94"/>
    <mergeCell ref="AB93:AB94"/>
    <mergeCell ref="AD93:AD94"/>
    <mergeCell ref="Z95:Z96"/>
    <mergeCell ref="AB95:AB96"/>
    <mergeCell ref="AD95:AD96"/>
    <mergeCell ref="AP97:AP98"/>
    <mergeCell ref="H99:H100"/>
    <mergeCell ref="J99:J100"/>
    <mergeCell ref="L99:L100"/>
    <mergeCell ref="N99:N100"/>
    <mergeCell ref="P99:P100"/>
    <mergeCell ref="R99:R100"/>
    <mergeCell ref="T99:T100"/>
    <mergeCell ref="V99:V100"/>
    <mergeCell ref="X99:X100"/>
    <mergeCell ref="AP99:AP100"/>
    <mergeCell ref="H97:H98"/>
    <mergeCell ref="J97:J98"/>
    <mergeCell ref="L97:L98"/>
    <mergeCell ref="N97:N98"/>
    <mergeCell ref="P97:P98"/>
    <mergeCell ref="R97:R98"/>
    <mergeCell ref="T97:T98"/>
    <mergeCell ref="V97:V98"/>
    <mergeCell ref="X97:X98"/>
    <mergeCell ref="AL97:AL98"/>
    <mergeCell ref="AL99:AL100"/>
    <mergeCell ref="AN97:AN98"/>
    <mergeCell ref="AN99:AN100"/>
    <mergeCell ref="Z97:Z98"/>
    <mergeCell ref="AB97:AB98"/>
    <mergeCell ref="AD97:AD98"/>
    <mergeCell ref="Z99:Z100"/>
    <mergeCell ref="AB99:AB100"/>
    <mergeCell ref="AD99:AD100"/>
    <mergeCell ref="AF97:AF98"/>
    <mergeCell ref="AH97:AH98"/>
    <mergeCell ref="AP101:AP102"/>
    <mergeCell ref="H103:H104"/>
    <mergeCell ref="J103:J104"/>
    <mergeCell ref="L103:L104"/>
    <mergeCell ref="N103:N104"/>
    <mergeCell ref="P103:P104"/>
    <mergeCell ref="R103:R104"/>
    <mergeCell ref="T103:T104"/>
    <mergeCell ref="V103:V104"/>
    <mergeCell ref="X103:X104"/>
    <mergeCell ref="AP103:AP104"/>
    <mergeCell ref="H101:H102"/>
    <mergeCell ref="J101:J102"/>
    <mergeCell ref="L101:L102"/>
    <mergeCell ref="N101:N102"/>
    <mergeCell ref="P101:P102"/>
    <mergeCell ref="R101:R102"/>
    <mergeCell ref="T101:T102"/>
    <mergeCell ref="V101:V102"/>
    <mergeCell ref="X101:X102"/>
    <mergeCell ref="AL101:AL102"/>
    <mergeCell ref="AL103:AL104"/>
    <mergeCell ref="AN101:AN102"/>
    <mergeCell ref="AN103:AN104"/>
    <mergeCell ref="Z101:Z102"/>
    <mergeCell ref="AB101:AB102"/>
    <mergeCell ref="AD101:AD102"/>
    <mergeCell ref="Z103:Z104"/>
    <mergeCell ref="AB103:AB104"/>
    <mergeCell ref="AD103:AD104"/>
    <mergeCell ref="AP105:AP106"/>
    <mergeCell ref="H107:H108"/>
    <mergeCell ref="J107:J108"/>
    <mergeCell ref="L107:L108"/>
    <mergeCell ref="N107:N108"/>
    <mergeCell ref="P107:P108"/>
    <mergeCell ref="R107:R108"/>
    <mergeCell ref="T107:T108"/>
    <mergeCell ref="V107:V108"/>
    <mergeCell ref="X107:X108"/>
    <mergeCell ref="AP107:AP108"/>
    <mergeCell ref="H105:H106"/>
    <mergeCell ref="J105:J106"/>
    <mergeCell ref="L105:L106"/>
    <mergeCell ref="N105:N106"/>
    <mergeCell ref="P105:P106"/>
    <mergeCell ref="R105:R106"/>
    <mergeCell ref="T105:T106"/>
    <mergeCell ref="V105:V106"/>
    <mergeCell ref="X105:X106"/>
    <mergeCell ref="AL105:AL106"/>
    <mergeCell ref="AL107:AL108"/>
    <mergeCell ref="AN105:AN106"/>
    <mergeCell ref="AN107:AN108"/>
    <mergeCell ref="Z105:Z106"/>
    <mergeCell ref="AB105:AB106"/>
    <mergeCell ref="AD105:AD106"/>
    <mergeCell ref="Z107:Z108"/>
    <mergeCell ref="AB107:AB108"/>
    <mergeCell ref="AD107:AD108"/>
    <mergeCell ref="AP109:AP110"/>
    <mergeCell ref="H111:H112"/>
    <mergeCell ref="J111:J112"/>
    <mergeCell ref="L111:L112"/>
    <mergeCell ref="N111:N112"/>
    <mergeCell ref="P111:P112"/>
    <mergeCell ref="R111:R112"/>
    <mergeCell ref="T111:T112"/>
    <mergeCell ref="V111:V112"/>
    <mergeCell ref="X111:X112"/>
    <mergeCell ref="AP111:AP112"/>
    <mergeCell ref="H109:H110"/>
    <mergeCell ref="J109:J110"/>
    <mergeCell ref="L109:L110"/>
    <mergeCell ref="N109:N110"/>
    <mergeCell ref="P109:P110"/>
    <mergeCell ref="R109:R110"/>
    <mergeCell ref="T109:T110"/>
    <mergeCell ref="V109:V110"/>
    <mergeCell ref="X109:X110"/>
    <mergeCell ref="AL109:AL110"/>
    <mergeCell ref="AL111:AL112"/>
    <mergeCell ref="AN109:AN110"/>
    <mergeCell ref="AN111:AN112"/>
    <mergeCell ref="Z109:Z110"/>
    <mergeCell ref="AB109:AB110"/>
    <mergeCell ref="AD109:AD110"/>
    <mergeCell ref="Z111:Z112"/>
    <mergeCell ref="AB111:AB112"/>
    <mergeCell ref="AD111:AD112"/>
    <mergeCell ref="AF111:AF112"/>
    <mergeCell ref="AH111:AH112"/>
    <mergeCell ref="AP113:AP114"/>
    <mergeCell ref="H115:H116"/>
    <mergeCell ref="J115:J116"/>
    <mergeCell ref="L115:L116"/>
    <mergeCell ref="N115:N116"/>
    <mergeCell ref="P115:P116"/>
    <mergeCell ref="R115:R116"/>
    <mergeCell ref="T115:T116"/>
    <mergeCell ref="V115:V116"/>
    <mergeCell ref="X115:X116"/>
    <mergeCell ref="AP115:AP116"/>
    <mergeCell ref="H113:H114"/>
    <mergeCell ref="J113:J114"/>
    <mergeCell ref="L113:L114"/>
    <mergeCell ref="N113:N114"/>
    <mergeCell ref="P113:P114"/>
    <mergeCell ref="R113:R114"/>
    <mergeCell ref="T113:T114"/>
    <mergeCell ref="V113:V114"/>
    <mergeCell ref="X113:X114"/>
    <mergeCell ref="AL113:AL114"/>
    <mergeCell ref="AL115:AL116"/>
    <mergeCell ref="AN113:AN114"/>
    <mergeCell ref="AN115:AN116"/>
    <mergeCell ref="Z113:Z114"/>
    <mergeCell ref="AB113:AB114"/>
    <mergeCell ref="AD113:AD114"/>
    <mergeCell ref="Z115:Z116"/>
    <mergeCell ref="AB115:AB116"/>
    <mergeCell ref="AD115:AD116"/>
    <mergeCell ref="AP117:AP118"/>
    <mergeCell ref="H119:H120"/>
    <mergeCell ref="J119:J120"/>
    <mergeCell ref="L119:L120"/>
    <mergeCell ref="N119:N120"/>
    <mergeCell ref="P119:P120"/>
    <mergeCell ref="R119:R120"/>
    <mergeCell ref="T119:T120"/>
    <mergeCell ref="V119:V120"/>
    <mergeCell ref="X119:X120"/>
    <mergeCell ref="AP119:AP120"/>
    <mergeCell ref="H117:H118"/>
    <mergeCell ref="J117:J118"/>
    <mergeCell ref="L117:L118"/>
    <mergeCell ref="N117:N118"/>
    <mergeCell ref="P117:P118"/>
    <mergeCell ref="R117:R118"/>
    <mergeCell ref="T117:T118"/>
    <mergeCell ref="V117:V118"/>
    <mergeCell ref="X117:X118"/>
    <mergeCell ref="AL117:AL118"/>
    <mergeCell ref="AL119:AL120"/>
    <mergeCell ref="AN117:AN118"/>
    <mergeCell ref="AN119:AN120"/>
    <mergeCell ref="Z117:Z118"/>
    <mergeCell ref="AB117:AB118"/>
    <mergeCell ref="AD117:AD118"/>
    <mergeCell ref="Z119:Z120"/>
    <mergeCell ref="AB119:AB120"/>
    <mergeCell ref="AD119:AD120"/>
    <mergeCell ref="H123:H124"/>
    <mergeCell ref="J123:J124"/>
    <mergeCell ref="L123:L124"/>
    <mergeCell ref="N123:N124"/>
    <mergeCell ref="P123:P124"/>
    <mergeCell ref="R123:R124"/>
    <mergeCell ref="T123:T124"/>
    <mergeCell ref="V123:V124"/>
    <mergeCell ref="X123:X124"/>
    <mergeCell ref="AP123:AP124"/>
    <mergeCell ref="H121:H122"/>
    <mergeCell ref="J121:J122"/>
    <mergeCell ref="L121:L122"/>
    <mergeCell ref="N121:N122"/>
    <mergeCell ref="P121:P122"/>
    <mergeCell ref="R121:R122"/>
    <mergeCell ref="T121:T122"/>
    <mergeCell ref="V121:V122"/>
    <mergeCell ref="X121:X122"/>
    <mergeCell ref="AL121:AL122"/>
    <mergeCell ref="AL123:AL124"/>
    <mergeCell ref="AN121:AN122"/>
    <mergeCell ref="AN123:AN124"/>
    <mergeCell ref="Z121:Z122"/>
    <mergeCell ref="AB121:AB122"/>
    <mergeCell ref="AD121:AD122"/>
    <mergeCell ref="Z123:Z124"/>
    <mergeCell ref="AB123:AB124"/>
    <mergeCell ref="AD123:AD124"/>
    <mergeCell ref="F7:G7"/>
    <mergeCell ref="AP129:AP130"/>
    <mergeCell ref="H129:H130"/>
    <mergeCell ref="J129:J130"/>
    <mergeCell ref="L129:L130"/>
    <mergeCell ref="N129:N130"/>
    <mergeCell ref="P129:P130"/>
    <mergeCell ref="R129:R130"/>
    <mergeCell ref="T129:T130"/>
    <mergeCell ref="V129:V130"/>
    <mergeCell ref="X129:X130"/>
    <mergeCell ref="AP125:AP126"/>
    <mergeCell ref="H127:H128"/>
    <mergeCell ref="J127:J128"/>
    <mergeCell ref="L127:L128"/>
    <mergeCell ref="N127:N128"/>
    <mergeCell ref="P127:P128"/>
    <mergeCell ref="R127:R128"/>
    <mergeCell ref="T127:T128"/>
    <mergeCell ref="V127:V128"/>
    <mergeCell ref="X127:X128"/>
    <mergeCell ref="AP127:AP128"/>
    <mergeCell ref="H125:H126"/>
    <mergeCell ref="J125:J126"/>
    <mergeCell ref="L125:L126"/>
    <mergeCell ref="N125:N126"/>
    <mergeCell ref="P125:P126"/>
    <mergeCell ref="R125:R126"/>
    <mergeCell ref="T125:T126"/>
    <mergeCell ref="V125:V126"/>
    <mergeCell ref="X125:X126"/>
    <mergeCell ref="AP121:AP122"/>
  </mergeCells>
  <conditionalFormatting sqref="AR9:AR508">
    <cfRule type="expression" dxfId="154" priority="7038">
      <formula>AR9</formula>
    </cfRule>
  </conditionalFormatting>
  <conditionalFormatting sqref="H8:Y508 AL8:AQ508">
    <cfRule type="expression" dxfId="153" priority="3380" stopIfTrue="1">
      <formula>AND(H$8="Amount",ISNUMBER(H8),H8&lt;&gt;OFFSET(H8,1,0),CELL("protect",H8)=0)</formula>
    </cfRule>
  </conditionalFormatting>
  <conditionalFormatting sqref="A1:E1 AR1:XFD1 A2:Y2 A3:E3 A509:XFD1048576 G3:Y3 A4:Y508 AL2:XFD508">
    <cfRule type="expression" dxfId="152" priority="3381">
      <formula>AND(2=1,CELL("protect",A1)=0)</formula>
    </cfRule>
  </conditionalFormatting>
  <conditionalFormatting sqref="A9:A508">
    <cfRule type="expression" dxfId="151" priority="15" stopIfTrue="1">
      <formula>A9=OFFSET(A9,-1,0)</formula>
    </cfRule>
  </conditionalFormatting>
  <conditionalFormatting sqref="B9:Y508 AL9:AQ508">
    <cfRule type="expression" dxfId="150" priority="14">
      <formula>$AR9</formula>
    </cfRule>
  </conditionalFormatting>
  <conditionalFormatting sqref="G3">
    <cfRule type="expression" dxfId="149" priority="13">
      <formula>G3&lt;&gt;EngEst</formula>
    </cfRule>
  </conditionalFormatting>
  <conditionalFormatting sqref="H7:Y7 AL7:AQ7">
    <cfRule type="expression" dxfId="148" priority="12">
      <formula>LEFT(H7,1)="~"</formula>
    </cfRule>
  </conditionalFormatting>
  <conditionalFormatting sqref="G3:Y3 AL3:AR3">
    <cfRule type="expression" dxfId="147" priority="11">
      <formula>ISTEXT(G3)</formula>
    </cfRule>
  </conditionalFormatting>
  <conditionalFormatting sqref="Z8:AE508">
    <cfRule type="expression" dxfId="146" priority="9" stopIfTrue="1">
      <formula>AND(Z$8="Amount",ISNUMBER(Z8),Z8&lt;&gt;OFFSET(Z8,1,0),CELL("protect",Z8)=0)</formula>
    </cfRule>
  </conditionalFormatting>
  <conditionalFormatting sqref="Z2:AE508">
    <cfRule type="expression" dxfId="145" priority="10">
      <formula>AND(2=1,CELL("protect",Z2)=0)</formula>
    </cfRule>
  </conditionalFormatting>
  <conditionalFormatting sqref="Z9:AE508">
    <cfRule type="expression" dxfId="144" priority="8">
      <formula>$AR9</formula>
    </cfRule>
  </conditionalFormatting>
  <conditionalFormatting sqref="Z7:AE7">
    <cfRule type="expression" dxfId="143" priority="7">
      <formula>LEFT(Z7,1)="~"</formula>
    </cfRule>
  </conditionalFormatting>
  <conditionalFormatting sqref="Z3:AE3">
    <cfRule type="expression" dxfId="142" priority="6">
      <formula>ISTEXT(Z3)</formula>
    </cfRule>
  </conditionalFormatting>
  <conditionalFormatting sqref="AF8:AK508">
    <cfRule type="expression" dxfId="141" priority="4" stopIfTrue="1">
      <formula>AND(AF$8="Amount",ISNUMBER(AF8),AF8&lt;&gt;OFFSET(AF8,1,0),CELL("protect",AF8)=0)</formula>
    </cfRule>
  </conditionalFormatting>
  <conditionalFormatting sqref="AF2:AK508">
    <cfRule type="expression" dxfId="140" priority="5">
      <formula>AND(2=1,CELL("protect",AF2)=0)</formula>
    </cfRule>
  </conditionalFormatting>
  <conditionalFormatting sqref="AF9:AK508">
    <cfRule type="expression" dxfId="139" priority="3">
      <formula>$AR9</formula>
    </cfRule>
  </conditionalFormatting>
  <conditionalFormatting sqref="AF7:AK7">
    <cfRule type="expression" dxfId="138" priority="2">
      <formula>LEFT(AF7,1)="~"</formula>
    </cfRule>
  </conditionalFormatting>
  <conditionalFormatting sqref="AF3:AK3">
    <cfRule type="expression" dxfId="137" priority="1">
      <formula>ISTEXT(AF3)</formula>
    </cfRule>
  </conditionalFormatting>
  <pageMargins left="0.5" right="0.5" top="0.75" bottom="0.75" header="0.5" footer="0.25"/>
  <pageSetup fitToHeight="0" orientation="landscape" horizontalDpi="1200" verticalDpi="1200" r:id="rId1"/>
  <headerFooter alignWithMargins="0">
    <oddHeader>&amp;C&amp;"Verdana,Bold"&amp;12T A B U L A T I O N   O F   B I D S</oddHeader>
    <oddFooter>&amp;L&amp;D&amp;RPage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21"/>
  <sheetViews>
    <sheetView workbookViewId="0">
      <selection activeCell="E13" sqref="E13"/>
    </sheetView>
  </sheetViews>
  <sheetFormatPr defaultRowHeight="10.5" x14ac:dyDescent="0.15"/>
  <cols>
    <col min="1" max="1" width="10.7109375" customWidth="1"/>
    <col min="2" max="4" width="24.7109375" customWidth="1"/>
    <col min="5" max="5" width="9.7109375" customWidth="1"/>
    <col min="6" max="6" width="15.7109375" customWidth="1"/>
    <col min="7" max="7" width="10.7109375" customWidth="1"/>
    <col min="8" max="8" width="12.7109375" customWidth="1"/>
    <col min="9" max="9" width="15.7109375" customWidth="1"/>
    <col min="10" max="10" width="12.7109375" customWidth="1"/>
    <col min="11" max="11" width="10.7109375" customWidth="1"/>
    <col min="12" max="12" width="13.7109375" customWidth="1"/>
    <col min="13" max="13" width="24.7109375" customWidth="1"/>
    <col min="14" max="14" width="10.7109375" customWidth="1"/>
    <col min="15" max="15" width="12.7109375" customWidth="1"/>
    <col min="16" max="16" width="20.7109375" customWidth="1"/>
    <col min="17" max="17" width="24.7109375" customWidth="1"/>
    <col min="18" max="27" width="12.7109375" customWidth="1"/>
  </cols>
  <sheetData>
    <row r="1" spans="1:27" ht="24.75" customHeight="1" x14ac:dyDescent="0.2">
      <c r="A1" s="240" t="s">
        <v>316</v>
      </c>
      <c r="B1" s="207" t="s">
        <v>317</v>
      </c>
      <c r="C1" s="207" t="s">
        <v>318</v>
      </c>
      <c r="D1" s="207" t="s">
        <v>319</v>
      </c>
      <c r="E1" s="207" t="s">
        <v>320</v>
      </c>
      <c r="F1" s="240" t="s">
        <v>321</v>
      </c>
      <c r="G1" s="240" t="s">
        <v>322</v>
      </c>
      <c r="H1" s="240" t="s">
        <v>323</v>
      </c>
      <c r="I1" s="240" t="s">
        <v>324</v>
      </c>
      <c r="J1" s="240" t="s">
        <v>325</v>
      </c>
      <c r="K1" s="240" t="s">
        <v>326</v>
      </c>
      <c r="L1" s="240" t="s">
        <v>327</v>
      </c>
      <c r="M1" s="207" t="s">
        <v>328</v>
      </c>
      <c r="N1" s="240" t="s">
        <v>329</v>
      </c>
      <c r="O1" s="207" t="s">
        <v>330</v>
      </c>
      <c r="P1" s="240" t="s">
        <v>331</v>
      </c>
      <c r="Q1" s="240" t="s">
        <v>332</v>
      </c>
      <c r="R1" s="240" t="s">
        <v>333</v>
      </c>
      <c r="S1" s="240" t="s">
        <v>334</v>
      </c>
      <c r="T1" s="240" t="s">
        <v>335</v>
      </c>
      <c r="U1" s="240" t="s">
        <v>336</v>
      </c>
      <c r="V1" s="240" t="s">
        <v>337</v>
      </c>
      <c r="W1" s="240" t="s">
        <v>338</v>
      </c>
      <c r="X1" s="240" t="s">
        <v>339</v>
      </c>
      <c r="Y1" s="240" t="s">
        <v>340</v>
      </c>
      <c r="Z1" s="240" t="s">
        <v>341</v>
      </c>
      <c r="AA1" s="240" t="s">
        <v>342</v>
      </c>
    </row>
    <row r="2" spans="1:27" ht="12.75" x14ac:dyDescent="0.2">
      <c r="A2" s="207" t="str">
        <f t="shared" ref="A2:A21" si="0">IF(COUNTA($N2:$AA2)&gt;0,Division,"")</f>
        <v>Western</v>
      </c>
      <c r="B2" s="207" t="str">
        <f t="shared" ref="B2:B21" si="1">IF(COUNTA($N2:$AA2)&gt;0,ProjectLine1&amp;IF(LEN(ProjectLine2)&gt;0,"; "&amp;ProjectLine2,""),"")</f>
        <v>AZ FTNP GRCA 13(1); MT OMAD 18(38)</v>
      </c>
      <c r="C2" s="207">
        <f t="shared" ref="C2:C21" si="2">IF(COUNTA($N2:$AA2)&gt;0,Name,"")</f>
        <v>0</v>
      </c>
      <c r="D2" s="207">
        <f t="shared" ref="D2:D21" si="3">IF(COUNTA($N2:$AA2)&gt;0,Description,"")</f>
        <v>0</v>
      </c>
      <c r="E2" s="207" t="str">
        <f t="shared" ref="E2:E21" si="4">IF(COUNTA($N2:$AA2)&gt;0,_xlfn.TEXTBEFORE(ProjectLine1," ")&amp;IF(LEN(ProjectLine2)&gt;0,", "&amp;_xlfn.TEXTBEFORE(ProjectLine2," "),""),"")</f>
        <v>AZ, MT</v>
      </c>
      <c r="F2" s="207" t="str">
        <f t="shared" ref="F2:F21" si="5">IF(COUNTA($N2:$AA2)&gt;0,"Final Estimate","")</f>
        <v>Final Estimate</v>
      </c>
      <c r="G2" s="239" t="str">
        <f t="shared" ref="G2:G21" si="6">IF(COUNTA($N2:$AA2)&gt;0,Letter,"")</f>
        <v>A</v>
      </c>
      <c r="H2" s="239" t="b">
        <f t="shared" ref="H2:H21" si="7">IF(COUNTA($N2:$AA2)&gt;0,LEN(Awarded2)&gt;0,"")</f>
        <v>0</v>
      </c>
      <c r="I2" s="238">
        <f t="shared" ref="I2:I21" si="8">IF(COUNTA($N2:$AA2)&gt;0,AwardDate,"")</f>
        <v>0</v>
      </c>
      <c r="J2" s="207" t="str">
        <f t="shared" ref="J2:J21" si="9">IF(COUNTA($N2:$AA2)&gt;0,SchedOpt,"")</f>
        <v>&lt; Don't show &gt;</v>
      </c>
      <c r="K2" s="239">
        <f t="shared" ref="K2:K21" si="10">IF(COUNTA($N2:$AA2)&gt;0,SUM(ProjectLength),"")</f>
        <v>0</v>
      </c>
      <c r="L2" s="239">
        <f t="shared" ref="L2:L21" si="11">IF(COUNTA($N2:$AA2)&gt;0,LaneMiles,"")</f>
        <v>0</v>
      </c>
      <c r="M2" s="207">
        <f t="shared" ref="M2:M21" si="12">IF(COUNTA($N2:$AA2)&gt;0,ConstrType,"")</f>
        <v>0</v>
      </c>
      <c r="N2" s="242"/>
      <c r="O2" s="242"/>
      <c r="P2" s="242">
        <v>4</v>
      </c>
      <c r="Q2" s="242"/>
      <c r="R2" s="242"/>
      <c r="S2" s="242"/>
      <c r="T2" s="242"/>
      <c r="U2" s="243"/>
      <c r="V2" s="242"/>
      <c r="W2" s="242"/>
      <c r="X2" s="242"/>
      <c r="Y2" s="242"/>
      <c r="Z2" s="242"/>
      <c r="AA2" s="242"/>
    </row>
    <row r="3" spans="1:27" ht="12.75" x14ac:dyDescent="0.2">
      <c r="A3" s="207" t="str">
        <f t="shared" si="0"/>
        <v/>
      </c>
      <c r="B3" s="207" t="str">
        <f t="shared" si="1"/>
        <v/>
      </c>
      <c r="C3" s="207" t="str">
        <f t="shared" si="2"/>
        <v/>
      </c>
      <c r="D3" s="207" t="str">
        <f t="shared" si="3"/>
        <v/>
      </c>
      <c r="E3" s="207" t="str">
        <f t="shared" si="4"/>
        <v/>
      </c>
      <c r="F3" s="207" t="str">
        <f t="shared" si="5"/>
        <v/>
      </c>
      <c r="G3" s="239" t="str">
        <f t="shared" si="6"/>
        <v/>
      </c>
      <c r="H3" s="239" t="str">
        <f t="shared" si="7"/>
        <v/>
      </c>
      <c r="I3" s="238" t="str">
        <f t="shared" si="8"/>
        <v/>
      </c>
      <c r="J3" s="207" t="str">
        <f t="shared" si="9"/>
        <v/>
      </c>
      <c r="K3" s="239" t="str">
        <f t="shared" si="10"/>
        <v/>
      </c>
      <c r="L3" s="239" t="str">
        <f t="shared" si="11"/>
        <v/>
      </c>
      <c r="M3" s="207" t="str">
        <f t="shared" si="12"/>
        <v/>
      </c>
      <c r="N3" s="242"/>
      <c r="O3" s="242"/>
      <c r="P3" s="242"/>
      <c r="Q3" s="242"/>
      <c r="R3" s="242"/>
      <c r="S3" s="242"/>
      <c r="T3" s="242"/>
      <c r="U3" s="242"/>
      <c r="V3" s="242"/>
      <c r="W3" s="242"/>
      <c r="X3" s="242"/>
      <c r="Y3" s="242"/>
      <c r="Z3" s="242"/>
      <c r="AA3" s="242"/>
    </row>
    <row r="4" spans="1:27" ht="12.75" x14ac:dyDescent="0.2">
      <c r="A4" s="241" t="str">
        <f t="shared" si="0"/>
        <v/>
      </c>
      <c r="B4" s="241" t="str">
        <f t="shared" si="1"/>
        <v/>
      </c>
      <c r="C4" s="241" t="str">
        <f t="shared" si="2"/>
        <v/>
      </c>
      <c r="D4" s="241" t="str">
        <f t="shared" si="3"/>
        <v/>
      </c>
      <c r="E4" s="241" t="str">
        <f t="shared" si="4"/>
        <v/>
      </c>
      <c r="F4" s="241" t="str">
        <f t="shared" ref="F4:F17" si="13">IF(COUNTA($N4:$AA4)&gt;0,"Final Estimate","")</f>
        <v/>
      </c>
      <c r="G4" s="244" t="str">
        <f t="shared" si="6"/>
        <v/>
      </c>
      <c r="H4" s="244" t="str">
        <f t="shared" si="7"/>
        <v/>
      </c>
      <c r="I4" s="238" t="str">
        <f t="shared" si="8"/>
        <v/>
      </c>
      <c r="J4" s="241" t="str">
        <f t="shared" si="9"/>
        <v/>
      </c>
      <c r="K4" s="244" t="str">
        <f t="shared" si="10"/>
        <v/>
      </c>
      <c r="L4" s="244" t="str">
        <f t="shared" si="11"/>
        <v/>
      </c>
      <c r="M4" s="241" t="str">
        <f t="shared" si="12"/>
        <v/>
      </c>
      <c r="N4" s="242"/>
      <c r="O4" s="242"/>
      <c r="P4" s="242"/>
      <c r="Q4" s="242"/>
      <c r="R4" s="242"/>
      <c r="S4" s="242"/>
      <c r="T4" s="242"/>
      <c r="U4" s="242"/>
      <c r="V4" s="242"/>
      <c r="W4" s="242"/>
      <c r="X4" s="242"/>
      <c r="Y4" s="242"/>
      <c r="Z4" s="242"/>
      <c r="AA4" s="242"/>
    </row>
    <row r="5" spans="1:27" ht="12.75" x14ac:dyDescent="0.2">
      <c r="A5" s="241" t="str">
        <f t="shared" si="0"/>
        <v/>
      </c>
      <c r="B5" s="241" t="str">
        <f t="shared" si="1"/>
        <v/>
      </c>
      <c r="C5" s="241" t="str">
        <f t="shared" si="2"/>
        <v/>
      </c>
      <c r="D5" s="241" t="str">
        <f t="shared" si="3"/>
        <v/>
      </c>
      <c r="E5" s="241" t="str">
        <f t="shared" si="4"/>
        <v/>
      </c>
      <c r="F5" s="241" t="str">
        <f t="shared" si="13"/>
        <v/>
      </c>
      <c r="G5" s="244" t="str">
        <f t="shared" si="6"/>
        <v/>
      </c>
      <c r="H5" s="244" t="str">
        <f t="shared" si="7"/>
        <v/>
      </c>
      <c r="I5" s="238" t="str">
        <f t="shared" si="8"/>
        <v/>
      </c>
      <c r="J5" s="241" t="str">
        <f t="shared" si="9"/>
        <v/>
      </c>
      <c r="K5" s="244" t="str">
        <f t="shared" si="10"/>
        <v/>
      </c>
      <c r="L5" s="244" t="str">
        <f t="shared" si="11"/>
        <v/>
      </c>
      <c r="M5" s="241" t="str">
        <f t="shared" si="12"/>
        <v/>
      </c>
      <c r="N5" s="242"/>
      <c r="O5" s="242"/>
      <c r="P5" s="242"/>
      <c r="Q5" s="242"/>
      <c r="R5" s="242"/>
      <c r="S5" s="242"/>
      <c r="T5" s="242"/>
      <c r="U5" s="242"/>
      <c r="V5" s="242"/>
      <c r="W5" s="242"/>
      <c r="X5" s="242"/>
      <c r="Y5" s="242"/>
      <c r="Z5" s="242"/>
      <c r="AA5" s="242"/>
    </row>
    <row r="6" spans="1:27" ht="12.75" x14ac:dyDescent="0.2">
      <c r="A6" s="241" t="str">
        <f t="shared" si="0"/>
        <v/>
      </c>
      <c r="B6" s="241" t="str">
        <f t="shared" si="1"/>
        <v/>
      </c>
      <c r="C6" s="241" t="str">
        <f t="shared" si="2"/>
        <v/>
      </c>
      <c r="D6" s="241" t="str">
        <f t="shared" si="3"/>
        <v/>
      </c>
      <c r="E6" s="241" t="str">
        <f t="shared" si="4"/>
        <v/>
      </c>
      <c r="F6" s="241" t="str">
        <f t="shared" si="13"/>
        <v/>
      </c>
      <c r="G6" s="244" t="str">
        <f t="shared" si="6"/>
        <v/>
      </c>
      <c r="H6" s="244" t="str">
        <f t="shared" si="7"/>
        <v/>
      </c>
      <c r="I6" s="238" t="str">
        <f t="shared" si="8"/>
        <v/>
      </c>
      <c r="J6" s="241" t="str">
        <f t="shared" si="9"/>
        <v/>
      </c>
      <c r="K6" s="244" t="str">
        <f t="shared" si="10"/>
        <v/>
      </c>
      <c r="L6" s="244" t="str">
        <f t="shared" si="11"/>
        <v/>
      </c>
      <c r="M6" s="241" t="str">
        <f t="shared" si="12"/>
        <v/>
      </c>
      <c r="N6" s="242"/>
      <c r="O6" s="242"/>
      <c r="P6" s="242"/>
      <c r="Q6" s="242"/>
      <c r="R6" s="242"/>
      <c r="S6" s="242"/>
      <c r="T6" s="242"/>
      <c r="U6" s="242"/>
      <c r="V6" s="242"/>
      <c r="W6" s="242"/>
      <c r="X6" s="242"/>
      <c r="Y6" s="242"/>
      <c r="Z6" s="242"/>
      <c r="AA6" s="242"/>
    </row>
    <row r="7" spans="1:27" ht="12.75" x14ac:dyDescent="0.2">
      <c r="A7" s="241" t="str">
        <f t="shared" si="0"/>
        <v/>
      </c>
      <c r="B7" s="241" t="str">
        <f t="shared" si="1"/>
        <v/>
      </c>
      <c r="C7" s="241" t="str">
        <f t="shared" si="2"/>
        <v/>
      </c>
      <c r="D7" s="241" t="str">
        <f t="shared" si="3"/>
        <v/>
      </c>
      <c r="E7" s="241" t="str">
        <f t="shared" si="4"/>
        <v/>
      </c>
      <c r="F7" s="241" t="str">
        <f t="shared" si="13"/>
        <v/>
      </c>
      <c r="G7" s="244" t="str">
        <f t="shared" si="6"/>
        <v/>
      </c>
      <c r="H7" s="244" t="str">
        <f t="shared" si="7"/>
        <v/>
      </c>
      <c r="I7" s="238" t="str">
        <f t="shared" si="8"/>
        <v/>
      </c>
      <c r="J7" s="241" t="str">
        <f t="shared" si="9"/>
        <v/>
      </c>
      <c r="K7" s="244" t="str">
        <f t="shared" si="10"/>
        <v/>
      </c>
      <c r="L7" s="244" t="str">
        <f t="shared" si="11"/>
        <v/>
      </c>
      <c r="M7" s="241" t="str">
        <f t="shared" si="12"/>
        <v/>
      </c>
      <c r="N7" s="242"/>
      <c r="O7" s="242"/>
      <c r="P7" s="242"/>
      <c r="Q7" s="242"/>
      <c r="R7" s="242"/>
      <c r="S7" s="242"/>
      <c r="T7" s="242"/>
      <c r="U7" s="242"/>
      <c r="V7" s="242"/>
      <c r="W7" s="242"/>
      <c r="X7" s="242"/>
      <c r="Y7" s="242"/>
      <c r="Z7" s="242"/>
      <c r="AA7" s="242"/>
    </row>
    <row r="8" spans="1:27" ht="12.75" x14ac:dyDescent="0.2">
      <c r="A8" s="241" t="str">
        <f t="shared" si="0"/>
        <v/>
      </c>
      <c r="B8" s="241" t="str">
        <f t="shared" si="1"/>
        <v/>
      </c>
      <c r="C8" s="241" t="str">
        <f t="shared" si="2"/>
        <v/>
      </c>
      <c r="D8" s="241" t="str">
        <f t="shared" si="3"/>
        <v/>
      </c>
      <c r="E8" s="241" t="str">
        <f t="shared" si="4"/>
        <v/>
      </c>
      <c r="F8" s="241" t="str">
        <f t="shared" si="13"/>
        <v/>
      </c>
      <c r="G8" s="244" t="str">
        <f t="shared" si="6"/>
        <v/>
      </c>
      <c r="H8" s="244" t="str">
        <f t="shared" si="7"/>
        <v/>
      </c>
      <c r="I8" s="238" t="str">
        <f t="shared" si="8"/>
        <v/>
      </c>
      <c r="J8" s="241" t="str">
        <f t="shared" si="9"/>
        <v/>
      </c>
      <c r="K8" s="244" t="str">
        <f t="shared" si="10"/>
        <v/>
      </c>
      <c r="L8" s="244" t="str">
        <f t="shared" si="11"/>
        <v/>
      </c>
      <c r="M8" s="241" t="str">
        <f t="shared" si="12"/>
        <v/>
      </c>
      <c r="N8" s="242"/>
      <c r="O8" s="242"/>
      <c r="P8" s="242"/>
      <c r="Q8" s="242"/>
      <c r="R8" s="242"/>
      <c r="S8" s="242"/>
      <c r="T8" s="242"/>
      <c r="U8" s="242"/>
      <c r="V8" s="242"/>
      <c r="W8" s="242"/>
      <c r="X8" s="242"/>
      <c r="Y8" s="242"/>
      <c r="Z8" s="242"/>
      <c r="AA8" s="242"/>
    </row>
    <row r="9" spans="1:27" ht="12.75" x14ac:dyDescent="0.2">
      <c r="A9" s="241" t="str">
        <f t="shared" si="0"/>
        <v/>
      </c>
      <c r="B9" s="241" t="str">
        <f t="shared" si="1"/>
        <v/>
      </c>
      <c r="C9" s="241" t="str">
        <f t="shared" si="2"/>
        <v/>
      </c>
      <c r="D9" s="241" t="str">
        <f t="shared" si="3"/>
        <v/>
      </c>
      <c r="E9" s="241" t="str">
        <f t="shared" si="4"/>
        <v/>
      </c>
      <c r="F9" s="241" t="str">
        <f t="shared" si="13"/>
        <v/>
      </c>
      <c r="G9" s="244" t="str">
        <f t="shared" si="6"/>
        <v/>
      </c>
      <c r="H9" s="244" t="str">
        <f t="shared" si="7"/>
        <v/>
      </c>
      <c r="I9" s="238" t="str">
        <f t="shared" si="8"/>
        <v/>
      </c>
      <c r="J9" s="241" t="str">
        <f t="shared" si="9"/>
        <v/>
      </c>
      <c r="K9" s="244" t="str">
        <f t="shared" si="10"/>
        <v/>
      </c>
      <c r="L9" s="244" t="str">
        <f t="shared" si="11"/>
        <v/>
      </c>
      <c r="M9" s="241" t="str">
        <f t="shared" si="12"/>
        <v/>
      </c>
      <c r="N9" s="242"/>
      <c r="O9" s="242"/>
      <c r="P9" s="242"/>
      <c r="Q9" s="242"/>
      <c r="R9" s="242"/>
      <c r="S9" s="242"/>
      <c r="T9" s="242"/>
      <c r="U9" s="242"/>
      <c r="V9" s="242"/>
      <c r="W9" s="242"/>
      <c r="X9" s="242"/>
      <c r="Y9" s="242"/>
      <c r="Z9" s="242"/>
      <c r="AA9" s="242"/>
    </row>
    <row r="10" spans="1:27" ht="12.75" x14ac:dyDescent="0.2">
      <c r="A10" s="241" t="str">
        <f t="shared" si="0"/>
        <v/>
      </c>
      <c r="B10" s="241" t="str">
        <f t="shared" si="1"/>
        <v/>
      </c>
      <c r="C10" s="241" t="str">
        <f t="shared" si="2"/>
        <v/>
      </c>
      <c r="D10" s="241" t="str">
        <f t="shared" si="3"/>
        <v/>
      </c>
      <c r="E10" s="241" t="str">
        <f t="shared" si="4"/>
        <v/>
      </c>
      <c r="F10" s="241" t="str">
        <f t="shared" si="13"/>
        <v/>
      </c>
      <c r="G10" s="244" t="str">
        <f t="shared" si="6"/>
        <v/>
      </c>
      <c r="H10" s="244" t="str">
        <f t="shared" si="7"/>
        <v/>
      </c>
      <c r="I10" s="238" t="str">
        <f t="shared" si="8"/>
        <v/>
      </c>
      <c r="J10" s="241" t="str">
        <f t="shared" si="9"/>
        <v/>
      </c>
      <c r="K10" s="244" t="str">
        <f t="shared" si="10"/>
        <v/>
      </c>
      <c r="L10" s="244" t="str">
        <f t="shared" si="11"/>
        <v/>
      </c>
      <c r="M10" s="241" t="str">
        <f t="shared" si="12"/>
        <v/>
      </c>
      <c r="N10" s="242"/>
      <c r="O10" s="242"/>
      <c r="P10" s="242"/>
      <c r="Q10" s="242"/>
      <c r="R10" s="242"/>
      <c r="S10" s="242"/>
      <c r="T10" s="242"/>
      <c r="U10" s="242"/>
      <c r="V10" s="242"/>
      <c r="W10" s="242"/>
      <c r="X10" s="242"/>
      <c r="Y10" s="242"/>
      <c r="Z10" s="242"/>
      <c r="AA10" s="242"/>
    </row>
    <row r="11" spans="1:27" ht="12.75" x14ac:dyDescent="0.2">
      <c r="A11" s="241" t="str">
        <f t="shared" si="0"/>
        <v/>
      </c>
      <c r="B11" s="241" t="str">
        <f t="shared" si="1"/>
        <v/>
      </c>
      <c r="C11" s="241" t="str">
        <f t="shared" si="2"/>
        <v/>
      </c>
      <c r="D11" s="241" t="str">
        <f t="shared" si="3"/>
        <v/>
      </c>
      <c r="E11" s="241" t="str">
        <f t="shared" si="4"/>
        <v/>
      </c>
      <c r="F11" s="241" t="str">
        <f t="shared" si="13"/>
        <v/>
      </c>
      <c r="G11" s="244" t="str">
        <f t="shared" si="6"/>
        <v/>
      </c>
      <c r="H11" s="244" t="str">
        <f t="shared" si="7"/>
        <v/>
      </c>
      <c r="I11" s="238" t="str">
        <f t="shared" si="8"/>
        <v/>
      </c>
      <c r="J11" s="241" t="str">
        <f t="shared" si="9"/>
        <v/>
      </c>
      <c r="K11" s="244" t="str">
        <f t="shared" si="10"/>
        <v/>
      </c>
      <c r="L11" s="244" t="str">
        <f t="shared" si="11"/>
        <v/>
      </c>
      <c r="M11" s="241" t="str">
        <f t="shared" si="12"/>
        <v/>
      </c>
      <c r="N11" s="242"/>
      <c r="O11" s="242"/>
      <c r="P11" s="242"/>
      <c r="Q11" s="242"/>
      <c r="R11" s="242"/>
      <c r="S11" s="242"/>
      <c r="T11" s="242"/>
      <c r="U11" s="242"/>
      <c r="V11" s="242"/>
      <c r="W11" s="242"/>
      <c r="X11" s="242"/>
      <c r="Y11" s="242"/>
      <c r="Z11" s="242"/>
      <c r="AA11" s="242"/>
    </row>
    <row r="12" spans="1:27" ht="12.75" x14ac:dyDescent="0.2">
      <c r="A12" s="241" t="str">
        <f t="shared" si="0"/>
        <v/>
      </c>
      <c r="B12" s="241" t="str">
        <f t="shared" si="1"/>
        <v/>
      </c>
      <c r="C12" s="241" t="str">
        <f t="shared" si="2"/>
        <v/>
      </c>
      <c r="D12" s="241" t="str">
        <f t="shared" si="3"/>
        <v/>
      </c>
      <c r="E12" s="241" t="str">
        <f t="shared" si="4"/>
        <v/>
      </c>
      <c r="F12" s="241" t="str">
        <f t="shared" si="13"/>
        <v/>
      </c>
      <c r="G12" s="244" t="str">
        <f t="shared" si="6"/>
        <v/>
      </c>
      <c r="H12" s="244" t="str">
        <f t="shared" si="7"/>
        <v/>
      </c>
      <c r="I12" s="238" t="str">
        <f t="shared" si="8"/>
        <v/>
      </c>
      <c r="J12" s="241" t="str">
        <f t="shared" si="9"/>
        <v/>
      </c>
      <c r="K12" s="244" t="str">
        <f t="shared" si="10"/>
        <v/>
      </c>
      <c r="L12" s="244" t="str">
        <f t="shared" si="11"/>
        <v/>
      </c>
      <c r="M12" s="241" t="str">
        <f t="shared" si="12"/>
        <v/>
      </c>
      <c r="N12" s="242"/>
      <c r="O12" s="242"/>
      <c r="P12" s="242"/>
      <c r="Q12" s="242"/>
      <c r="R12" s="242"/>
      <c r="S12" s="242"/>
      <c r="T12" s="242"/>
      <c r="U12" s="242"/>
      <c r="V12" s="242"/>
      <c r="W12" s="242"/>
      <c r="X12" s="242"/>
      <c r="Y12" s="242"/>
      <c r="Z12" s="242"/>
      <c r="AA12" s="242"/>
    </row>
    <row r="13" spans="1:27" ht="12.75" x14ac:dyDescent="0.2">
      <c r="A13" s="241" t="str">
        <f t="shared" si="0"/>
        <v/>
      </c>
      <c r="B13" s="241" t="str">
        <f t="shared" si="1"/>
        <v/>
      </c>
      <c r="C13" s="241" t="str">
        <f t="shared" si="2"/>
        <v/>
      </c>
      <c r="D13" s="241" t="str">
        <f t="shared" si="3"/>
        <v/>
      </c>
      <c r="E13" s="241" t="str">
        <f t="shared" si="4"/>
        <v/>
      </c>
      <c r="F13" s="241" t="str">
        <f t="shared" si="13"/>
        <v/>
      </c>
      <c r="G13" s="244" t="str">
        <f t="shared" si="6"/>
        <v/>
      </c>
      <c r="H13" s="244" t="str">
        <f t="shared" si="7"/>
        <v/>
      </c>
      <c r="I13" s="238" t="str">
        <f t="shared" si="8"/>
        <v/>
      </c>
      <c r="J13" s="241" t="str">
        <f t="shared" si="9"/>
        <v/>
      </c>
      <c r="K13" s="244" t="str">
        <f t="shared" si="10"/>
        <v/>
      </c>
      <c r="L13" s="244" t="str">
        <f t="shared" si="11"/>
        <v/>
      </c>
      <c r="M13" s="241" t="str">
        <f t="shared" si="12"/>
        <v/>
      </c>
      <c r="N13" s="242"/>
      <c r="O13" s="242"/>
      <c r="P13" s="242"/>
      <c r="Q13" s="242"/>
      <c r="R13" s="242"/>
      <c r="S13" s="242"/>
      <c r="T13" s="242"/>
      <c r="U13" s="242"/>
      <c r="V13" s="242"/>
      <c r="W13" s="242"/>
      <c r="X13" s="242"/>
      <c r="Y13" s="242"/>
      <c r="Z13" s="242"/>
      <c r="AA13" s="242"/>
    </row>
    <row r="14" spans="1:27" ht="12.75" x14ac:dyDescent="0.2">
      <c r="A14" s="241" t="str">
        <f t="shared" si="0"/>
        <v/>
      </c>
      <c r="B14" s="241" t="str">
        <f t="shared" si="1"/>
        <v/>
      </c>
      <c r="C14" s="241" t="str">
        <f t="shared" si="2"/>
        <v/>
      </c>
      <c r="D14" s="241" t="str">
        <f t="shared" si="3"/>
        <v/>
      </c>
      <c r="E14" s="241" t="str">
        <f t="shared" si="4"/>
        <v/>
      </c>
      <c r="F14" s="241" t="str">
        <f t="shared" si="13"/>
        <v/>
      </c>
      <c r="G14" s="244" t="str">
        <f t="shared" si="6"/>
        <v/>
      </c>
      <c r="H14" s="244" t="str">
        <f t="shared" si="7"/>
        <v/>
      </c>
      <c r="I14" s="238" t="str">
        <f t="shared" si="8"/>
        <v/>
      </c>
      <c r="J14" s="241" t="str">
        <f t="shared" si="9"/>
        <v/>
      </c>
      <c r="K14" s="244" t="str">
        <f t="shared" si="10"/>
        <v/>
      </c>
      <c r="L14" s="244" t="str">
        <f t="shared" si="11"/>
        <v/>
      </c>
      <c r="M14" s="241" t="str">
        <f t="shared" si="12"/>
        <v/>
      </c>
      <c r="N14" s="242"/>
      <c r="O14" s="242"/>
      <c r="P14" s="242"/>
      <c r="Q14" s="242"/>
      <c r="R14" s="242"/>
      <c r="S14" s="242"/>
      <c r="T14" s="242"/>
      <c r="U14" s="242"/>
      <c r="V14" s="242"/>
      <c r="W14" s="242"/>
      <c r="X14" s="242"/>
      <c r="Y14" s="242"/>
      <c r="Z14" s="242"/>
      <c r="AA14" s="242"/>
    </row>
    <row r="15" spans="1:27" ht="12.75" x14ac:dyDescent="0.2">
      <c r="A15" s="241" t="str">
        <f t="shared" si="0"/>
        <v/>
      </c>
      <c r="B15" s="241" t="str">
        <f t="shared" si="1"/>
        <v/>
      </c>
      <c r="C15" s="241" t="str">
        <f t="shared" si="2"/>
        <v/>
      </c>
      <c r="D15" s="241" t="str">
        <f t="shared" si="3"/>
        <v/>
      </c>
      <c r="E15" s="241" t="str">
        <f t="shared" si="4"/>
        <v/>
      </c>
      <c r="F15" s="241" t="str">
        <f t="shared" si="13"/>
        <v/>
      </c>
      <c r="G15" s="244" t="str">
        <f t="shared" si="6"/>
        <v/>
      </c>
      <c r="H15" s="244" t="str">
        <f t="shared" si="7"/>
        <v/>
      </c>
      <c r="I15" s="238" t="str">
        <f t="shared" si="8"/>
        <v/>
      </c>
      <c r="J15" s="241" t="str">
        <f t="shared" si="9"/>
        <v/>
      </c>
      <c r="K15" s="244" t="str">
        <f t="shared" si="10"/>
        <v/>
      </c>
      <c r="L15" s="244" t="str">
        <f t="shared" si="11"/>
        <v/>
      </c>
      <c r="M15" s="241" t="str">
        <f t="shared" si="12"/>
        <v/>
      </c>
      <c r="N15" s="242"/>
      <c r="O15" s="242"/>
      <c r="P15" s="242"/>
      <c r="Q15" s="242"/>
      <c r="R15" s="242"/>
      <c r="S15" s="242"/>
      <c r="T15" s="242"/>
      <c r="U15" s="242"/>
      <c r="V15" s="242"/>
      <c r="W15" s="242"/>
      <c r="X15" s="242"/>
      <c r="Y15" s="242"/>
      <c r="Z15" s="242"/>
      <c r="AA15" s="242"/>
    </row>
    <row r="16" spans="1:27" ht="12.75" x14ac:dyDescent="0.2">
      <c r="A16" s="241" t="str">
        <f t="shared" si="0"/>
        <v/>
      </c>
      <c r="B16" s="241" t="str">
        <f t="shared" si="1"/>
        <v/>
      </c>
      <c r="C16" s="241" t="str">
        <f t="shared" si="2"/>
        <v/>
      </c>
      <c r="D16" s="241" t="str">
        <f t="shared" si="3"/>
        <v/>
      </c>
      <c r="E16" s="241" t="str">
        <f t="shared" si="4"/>
        <v/>
      </c>
      <c r="F16" s="241" t="str">
        <f t="shared" si="13"/>
        <v/>
      </c>
      <c r="G16" s="244" t="str">
        <f t="shared" si="6"/>
        <v/>
      </c>
      <c r="H16" s="244" t="str">
        <f t="shared" si="7"/>
        <v/>
      </c>
      <c r="I16" s="238" t="str">
        <f t="shared" si="8"/>
        <v/>
      </c>
      <c r="J16" s="241" t="str">
        <f t="shared" si="9"/>
        <v/>
      </c>
      <c r="K16" s="244" t="str">
        <f t="shared" si="10"/>
        <v/>
      </c>
      <c r="L16" s="244" t="str">
        <f t="shared" si="11"/>
        <v/>
      </c>
      <c r="M16" s="241" t="str">
        <f t="shared" si="12"/>
        <v/>
      </c>
      <c r="N16" s="242"/>
      <c r="O16" s="242"/>
      <c r="P16" s="242"/>
      <c r="Q16" s="242"/>
      <c r="R16" s="242"/>
      <c r="S16" s="242"/>
      <c r="T16" s="242"/>
      <c r="U16" s="242"/>
      <c r="V16" s="242"/>
      <c r="W16" s="242"/>
      <c r="X16" s="242"/>
      <c r="Y16" s="242"/>
      <c r="Z16" s="242"/>
      <c r="AA16" s="242"/>
    </row>
    <row r="17" spans="1:27" ht="12.75" x14ac:dyDescent="0.2">
      <c r="A17" s="241" t="str">
        <f t="shared" si="0"/>
        <v/>
      </c>
      <c r="B17" s="241" t="str">
        <f t="shared" si="1"/>
        <v/>
      </c>
      <c r="C17" s="241" t="str">
        <f t="shared" si="2"/>
        <v/>
      </c>
      <c r="D17" s="241" t="str">
        <f t="shared" si="3"/>
        <v/>
      </c>
      <c r="E17" s="241" t="str">
        <f t="shared" si="4"/>
        <v/>
      </c>
      <c r="F17" s="241" t="str">
        <f t="shared" si="13"/>
        <v/>
      </c>
      <c r="G17" s="244" t="str">
        <f t="shared" si="6"/>
        <v/>
      </c>
      <c r="H17" s="244" t="str">
        <f t="shared" si="7"/>
        <v/>
      </c>
      <c r="I17" s="238" t="str">
        <f t="shared" si="8"/>
        <v/>
      </c>
      <c r="J17" s="241" t="str">
        <f t="shared" si="9"/>
        <v/>
      </c>
      <c r="K17" s="244" t="str">
        <f t="shared" si="10"/>
        <v/>
      </c>
      <c r="L17" s="244" t="str">
        <f t="shared" si="11"/>
        <v/>
      </c>
      <c r="M17" s="241" t="str">
        <f t="shared" si="12"/>
        <v/>
      </c>
      <c r="N17" s="242"/>
      <c r="O17" s="242"/>
      <c r="P17" s="242"/>
      <c r="Q17" s="242"/>
      <c r="R17" s="242"/>
      <c r="S17" s="242"/>
      <c r="T17" s="242"/>
      <c r="U17" s="242"/>
      <c r="V17" s="242"/>
      <c r="W17" s="242"/>
      <c r="X17" s="242"/>
      <c r="Y17" s="242"/>
      <c r="Z17" s="242"/>
      <c r="AA17" s="242"/>
    </row>
    <row r="18" spans="1:27" ht="12.75" x14ac:dyDescent="0.2">
      <c r="A18" s="207" t="str">
        <f t="shared" si="0"/>
        <v/>
      </c>
      <c r="B18" s="207" t="str">
        <f t="shared" si="1"/>
        <v/>
      </c>
      <c r="C18" s="207" t="str">
        <f t="shared" si="2"/>
        <v/>
      </c>
      <c r="D18" s="207" t="str">
        <f t="shared" si="3"/>
        <v/>
      </c>
      <c r="E18" s="207" t="str">
        <f t="shared" si="4"/>
        <v/>
      </c>
      <c r="F18" s="207" t="str">
        <f t="shared" si="5"/>
        <v/>
      </c>
      <c r="G18" s="239" t="str">
        <f t="shared" si="6"/>
        <v/>
      </c>
      <c r="H18" s="239" t="str">
        <f t="shared" si="7"/>
        <v/>
      </c>
      <c r="I18" s="238" t="str">
        <f t="shared" si="8"/>
        <v/>
      </c>
      <c r="J18" s="207" t="str">
        <f t="shared" si="9"/>
        <v/>
      </c>
      <c r="K18" s="239" t="str">
        <f t="shared" si="10"/>
        <v/>
      </c>
      <c r="L18" s="239" t="str">
        <f t="shared" si="11"/>
        <v/>
      </c>
      <c r="M18" s="207" t="str">
        <f t="shared" si="12"/>
        <v/>
      </c>
      <c r="N18" s="242"/>
      <c r="O18" s="242"/>
      <c r="P18" s="242"/>
      <c r="Q18" s="242"/>
      <c r="R18" s="242"/>
      <c r="S18" s="242"/>
      <c r="T18" s="242"/>
      <c r="U18" s="242"/>
      <c r="V18" s="242"/>
      <c r="W18" s="242"/>
      <c r="X18" s="242"/>
      <c r="Y18" s="242"/>
      <c r="Z18" s="242"/>
      <c r="AA18" s="242"/>
    </row>
    <row r="19" spans="1:27" ht="12.75" x14ac:dyDescent="0.2">
      <c r="A19" s="207" t="str">
        <f t="shared" si="0"/>
        <v/>
      </c>
      <c r="B19" s="207" t="str">
        <f t="shared" si="1"/>
        <v/>
      </c>
      <c r="C19" s="207" t="str">
        <f t="shared" si="2"/>
        <v/>
      </c>
      <c r="D19" s="207" t="str">
        <f t="shared" si="3"/>
        <v/>
      </c>
      <c r="E19" s="207" t="str">
        <f t="shared" si="4"/>
        <v/>
      </c>
      <c r="F19" s="207" t="str">
        <f t="shared" si="5"/>
        <v/>
      </c>
      <c r="G19" s="239" t="str">
        <f t="shared" si="6"/>
        <v/>
      </c>
      <c r="H19" s="239" t="str">
        <f t="shared" si="7"/>
        <v/>
      </c>
      <c r="I19" s="238" t="str">
        <f t="shared" si="8"/>
        <v/>
      </c>
      <c r="J19" s="207" t="str">
        <f t="shared" si="9"/>
        <v/>
      </c>
      <c r="K19" s="239" t="str">
        <f t="shared" si="10"/>
        <v/>
      </c>
      <c r="L19" s="239" t="str">
        <f t="shared" si="11"/>
        <v/>
      </c>
      <c r="M19" s="207" t="str">
        <f t="shared" si="12"/>
        <v/>
      </c>
      <c r="N19" s="242"/>
      <c r="O19" s="242"/>
      <c r="P19" s="242"/>
      <c r="Q19" s="242"/>
      <c r="R19" s="242"/>
      <c r="S19" s="242"/>
      <c r="T19" s="242"/>
      <c r="U19" s="242"/>
      <c r="V19" s="242"/>
      <c r="W19" s="242"/>
      <c r="X19" s="242"/>
      <c r="Y19" s="242"/>
      <c r="Z19" s="242"/>
      <c r="AA19" s="242"/>
    </row>
    <row r="20" spans="1:27" ht="12.75" x14ac:dyDescent="0.2">
      <c r="A20" s="207" t="str">
        <f t="shared" si="0"/>
        <v/>
      </c>
      <c r="B20" s="207" t="str">
        <f t="shared" si="1"/>
        <v/>
      </c>
      <c r="C20" s="207" t="str">
        <f t="shared" si="2"/>
        <v/>
      </c>
      <c r="D20" s="207" t="str">
        <f t="shared" si="3"/>
        <v/>
      </c>
      <c r="E20" s="207" t="str">
        <f t="shared" si="4"/>
        <v/>
      </c>
      <c r="F20" s="207" t="str">
        <f t="shared" si="5"/>
        <v/>
      </c>
      <c r="G20" s="239" t="str">
        <f t="shared" si="6"/>
        <v/>
      </c>
      <c r="H20" s="239" t="str">
        <f t="shared" si="7"/>
        <v/>
      </c>
      <c r="I20" s="238" t="str">
        <f t="shared" si="8"/>
        <v/>
      </c>
      <c r="J20" s="207" t="str">
        <f t="shared" si="9"/>
        <v/>
      </c>
      <c r="K20" s="239" t="str">
        <f t="shared" si="10"/>
        <v/>
      </c>
      <c r="L20" s="239" t="str">
        <f t="shared" si="11"/>
        <v/>
      </c>
      <c r="M20" s="207" t="str">
        <f t="shared" si="12"/>
        <v/>
      </c>
      <c r="N20" s="242"/>
      <c r="O20" s="242"/>
      <c r="P20" s="242"/>
      <c r="Q20" s="242"/>
      <c r="R20" s="242"/>
      <c r="S20" s="242"/>
      <c r="T20" s="242"/>
      <c r="U20" s="242"/>
      <c r="V20" s="242"/>
      <c r="W20" s="242"/>
      <c r="X20" s="242"/>
      <c r="Y20" s="242"/>
      <c r="Z20" s="242"/>
      <c r="AA20" s="242"/>
    </row>
    <row r="21" spans="1:27" ht="12.75" x14ac:dyDescent="0.2">
      <c r="A21" s="207" t="str">
        <f t="shared" si="0"/>
        <v/>
      </c>
      <c r="B21" s="207" t="str">
        <f t="shared" si="1"/>
        <v/>
      </c>
      <c r="C21" s="207" t="str">
        <f t="shared" si="2"/>
        <v/>
      </c>
      <c r="D21" s="207" t="str">
        <f t="shared" si="3"/>
        <v/>
      </c>
      <c r="E21" s="207" t="str">
        <f t="shared" si="4"/>
        <v/>
      </c>
      <c r="F21" s="207" t="str">
        <f t="shared" si="5"/>
        <v/>
      </c>
      <c r="G21" s="239" t="str">
        <f t="shared" si="6"/>
        <v/>
      </c>
      <c r="H21" s="239" t="str">
        <f t="shared" si="7"/>
        <v/>
      </c>
      <c r="I21" s="238" t="str">
        <f t="shared" si="8"/>
        <v/>
      </c>
      <c r="J21" s="207" t="str">
        <f t="shared" si="9"/>
        <v/>
      </c>
      <c r="K21" s="239" t="str">
        <f t="shared" si="10"/>
        <v/>
      </c>
      <c r="L21" s="239" t="str">
        <f t="shared" si="11"/>
        <v/>
      </c>
      <c r="M21" s="207" t="str">
        <f t="shared" si="12"/>
        <v/>
      </c>
      <c r="N21" s="242"/>
      <c r="O21" s="242"/>
      <c r="P21" s="242"/>
      <c r="Q21" s="242"/>
      <c r="R21" s="242"/>
      <c r="S21" s="242"/>
      <c r="T21" s="242"/>
      <c r="U21" s="242"/>
      <c r="V21" s="242"/>
      <c r="W21" s="242"/>
      <c r="X21" s="242"/>
      <c r="Y21" s="242"/>
      <c r="Z21" s="242"/>
      <c r="AA21" s="242"/>
    </row>
  </sheetData>
  <conditionalFormatting sqref="P2:P21 Z2:AA21">
    <cfRule type="expression" dxfId="136" priority="2">
      <formula>$N2="Roadway"</formula>
    </cfRule>
  </conditionalFormatting>
  <conditionalFormatting sqref="Y2:Y21">
    <cfRule type="expression" dxfId="135" priority="1">
      <formula>$N2="Bridge"</formula>
    </cfRule>
  </conditionalFormatting>
  <dataValidations count="2">
    <dataValidation type="list" allowBlank="1" showInputMessage="1" showErrorMessage="1" promptTitle="Road/Bridge" prompt="Choose whether GIS data refers to Roadway or Bridge" sqref="N2:N21" xr:uid="{00000000-0002-0000-0700-000000000000}">
      <formula1>"Roadway,Bridge"</formula1>
    </dataValidation>
    <dataValidation type="list" allowBlank="1" showInputMessage="1" showErrorMessage="1" promptTitle="Roadway/Bridge Construction Type" prompt="Select construction describing the roadway segment or bridge" sqref="Q2:Q21" xr:uid="{00000000-0002-0000-0700-000001000000}">
      <formula1>INDIRECT(IF($N2="Bridge",BridgeList,ConstrList))</formula1>
    </dataValidation>
  </dataValidations>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CP253"/>
  <sheetViews>
    <sheetView showGridLines="0" topLeftCell="A4" zoomScaleNormal="100" workbookViewId="0">
      <selection activeCell="C4" sqref="C4:C253"/>
    </sheetView>
  </sheetViews>
  <sheetFormatPr defaultColWidth="6.7109375" defaultRowHeight="10.5" x14ac:dyDescent="0.15"/>
  <cols>
    <col min="1" max="1" width="10.42578125" style="1" customWidth="1"/>
    <col min="2" max="2" width="8.7109375" style="1" customWidth="1"/>
    <col min="3" max="3" width="32.7109375" style="1" customWidth="1"/>
    <col min="4" max="44" width="4.7109375" style="1" customWidth="1"/>
    <col min="45" max="45" width="19.42578125" style="1" bestFit="1" customWidth="1"/>
    <col min="46" max="86" width="4.7109375" style="1" customWidth="1"/>
    <col min="87" max="87" width="20.7109375" style="1" customWidth="1"/>
    <col min="88" max="16384" width="6.7109375" style="1"/>
  </cols>
  <sheetData>
    <row r="1" spans="1:88" x14ac:dyDescent="0.15">
      <c r="B1"/>
      <c r="C1" s="91">
        <f ca="1">CELL("width",INDIRECT(ADDRESS(1,COLUMN(INDIRECT(Base&amp;"!Headings"))-1+(MATCH(C3,INDIRECT(Base&amp;"!Headings"),0)),,,Base)))</f>
        <v>30</v>
      </c>
      <c r="D1" s="394" t="str">
        <f>"Maximum "&amp;COLUMNS(D1:AI1)&amp;" words in Pay Item Description."</f>
        <v>Maximum 32 words in Pay Item Description.</v>
      </c>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5">
        <f>COLUMNS(AJ1:AQ1)</f>
        <v>8</v>
      </c>
      <c r="AK1" s="395"/>
      <c r="AL1" s="395"/>
      <c r="AM1" s="395"/>
      <c r="AN1" s="395"/>
      <c r="AO1" s="395"/>
      <c r="AP1" s="395"/>
      <c r="AQ1" s="395"/>
      <c r="AS1" s="91">
        <f ca="1">CELL("width",INDIRECT(ADDRESS(1,COLUMN(INDIRECT(Base&amp;"!Headings"))-1+(MATCH(AS3,INDIRECT(Base&amp;"!Headings"),0)),,,Base)))</f>
        <v>22</v>
      </c>
      <c r="AT1" s="396" t="str">
        <f>"Maximum "&amp;COLUMNS(AT1:BY1)&amp;" words in Remarks."</f>
        <v>Maximum 32 words in Remarks.</v>
      </c>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5">
        <f>COLUMNS(BZ1:CG1)</f>
        <v>8</v>
      </c>
      <c r="CA1" s="395"/>
      <c r="CB1" s="395"/>
      <c r="CC1" s="395"/>
      <c r="CD1" s="395"/>
      <c r="CE1" s="395"/>
      <c r="CF1" s="395"/>
      <c r="CG1" s="395"/>
    </row>
    <row r="2" spans="1:88" ht="15" x14ac:dyDescent="0.2">
      <c r="A2" s="120" t="s">
        <v>343</v>
      </c>
      <c r="B2" s="156">
        <f>COLUMN(B2)-COLUMN(Calcs[])+1</f>
        <v>2</v>
      </c>
      <c r="C2" s="156">
        <f>COLUMN(C3)-COLUMN(Calcs[])+1</f>
        <v>3</v>
      </c>
      <c r="AJ2" s="1">
        <f>COLUMN(AJ3)-COLUMN(Calcs[])+1</f>
        <v>36</v>
      </c>
      <c r="AS2" s="156">
        <f>COLUMN(AS3)-COLUMN(Calcs[])+1</f>
        <v>45</v>
      </c>
      <c r="BZ2" s="1">
        <f>COLUMN(BZ3)-COLUMN(Calcs[])+1</f>
        <v>78</v>
      </c>
    </row>
    <row r="3" spans="1:88" x14ac:dyDescent="0.15">
      <c r="A3" s="92" t="s">
        <v>344</v>
      </c>
      <c r="B3" s="93" t="s">
        <v>187</v>
      </c>
      <c r="C3" s="93" t="s">
        <v>155</v>
      </c>
      <c r="D3" s="94" t="s">
        <v>345</v>
      </c>
      <c r="E3" s="94" t="s">
        <v>346</v>
      </c>
      <c r="F3" s="94" t="s">
        <v>347</v>
      </c>
      <c r="G3" s="94" t="s">
        <v>348</v>
      </c>
      <c r="H3" s="94" t="s">
        <v>349</v>
      </c>
      <c r="I3" s="94" t="s">
        <v>350</v>
      </c>
      <c r="J3" s="94" t="s">
        <v>351</v>
      </c>
      <c r="K3" s="94" t="s">
        <v>352</v>
      </c>
      <c r="L3" s="94" t="s">
        <v>353</v>
      </c>
      <c r="M3" s="94" t="s">
        <v>354</v>
      </c>
      <c r="N3" s="94" t="s">
        <v>355</v>
      </c>
      <c r="O3" s="94" t="s">
        <v>356</v>
      </c>
      <c r="P3" s="94" t="s">
        <v>357</v>
      </c>
      <c r="Q3" s="94" t="s">
        <v>358</v>
      </c>
      <c r="R3" s="94" t="s">
        <v>359</v>
      </c>
      <c r="S3" s="94" t="s">
        <v>360</v>
      </c>
      <c r="T3" s="94" t="s">
        <v>361</v>
      </c>
      <c r="U3" s="94" t="s">
        <v>362</v>
      </c>
      <c r="V3" s="94" t="s">
        <v>363</v>
      </c>
      <c r="W3" s="94" t="s">
        <v>364</v>
      </c>
      <c r="X3" s="94" t="s">
        <v>365</v>
      </c>
      <c r="Y3" s="94" t="s">
        <v>366</v>
      </c>
      <c r="Z3" s="94" t="s">
        <v>367</v>
      </c>
      <c r="AA3" s="94" t="s">
        <v>368</v>
      </c>
      <c r="AB3" s="94" t="s">
        <v>369</v>
      </c>
      <c r="AC3" s="94" t="s">
        <v>370</v>
      </c>
      <c r="AD3" s="94" t="s">
        <v>371</v>
      </c>
      <c r="AE3" s="94" t="s">
        <v>372</v>
      </c>
      <c r="AF3" s="94" t="s">
        <v>373</v>
      </c>
      <c r="AG3" s="94" t="s">
        <v>374</v>
      </c>
      <c r="AH3" s="94" t="s">
        <v>375</v>
      </c>
      <c r="AI3" s="94" t="s">
        <v>376</v>
      </c>
      <c r="AJ3" s="93" t="s">
        <v>377</v>
      </c>
      <c r="AK3" s="93" t="s">
        <v>378</v>
      </c>
      <c r="AL3" s="93" t="s">
        <v>379</v>
      </c>
      <c r="AM3" s="93" t="s">
        <v>380</v>
      </c>
      <c r="AN3" s="93" t="s">
        <v>381</v>
      </c>
      <c r="AO3" s="93" t="s">
        <v>382</v>
      </c>
      <c r="AP3" s="93" t="s">
        <v>383</v>
      </c>
      <c r="AQ3" s="93" t="s">
        <v>384</v>
      </c>
      <c r="AR3" s="94" t="s">
        <v>385</v>
      </c>
      <c r="AS3" s="93" t="s">
        <v>181</v>
      </c>
      <c r="AT3" s="94" t="s">
        <v>386</v>
      </c>
      <c r="AU3" s="94" t="s">
        <v>387</v>
      </c>
      <c r="AV3" s="94" t="s">
        <v>388</v>
      </c>
      <c r="AW3" s="94" t="s">
        <v>389</v>
      </c>
      <c r="AX3" s="94" t="s">
        <v>390</v>
      </c>
      <c r="AY3" s="94" t="s">
        <v>391</v>
      </c>
      <c r="AZ3" s="94" t="s">
        <v>392</v>
      </c>
      <c r="BA3" s="94" t="s">
        <v>393</v>
      </c>
      <c r="BB3" s="94" t="s">
        <v>394</v>
      </c>
      <c r="BC3" s="94" t="s">
        <v>395</v>
      </c>
      <c r="BD3" s="94" t="s">
        <v>396</v>
      </c>
      <c r="BE3" s="94" t="s">
        <v>397</v>
      </c>
      <c r="BF3" s="94" t="s">
        <v>398</v>
      </c>
      <c r="BG3" s="94" t="s">
        <v>399</v>
      </c>
      <c r="BH3" s="94" t="s">
        <v>400</v>
      </c>
      <c r="BI3" s="94" t="s">
        <v>401</v>
      </c>
      <c r="BJ3" s="94" t="s">
        <v>402</v>
      </c>
      <c r="BK3" s="94" t="s">
        <v>403</v>
      </c>
      <c r="BL3" s="94" t="s">
        <v>404</v>
      </c>
      <c r="BM3" s="94" t="s">
        <v>405</v>
      </c>
      <c r="BN3" s="94" t="s">
        <v>406</v>
      </c>
      <c r="BO3" s="94" t="s">
        <v>407</v>
      </c>
      <c r="BP3" s="94" t="s">
        <v>408</v>
      </c>
      <c r="BQ3" s="94" t="s">
        <v>409</v>
      </c>
      <c r="BR3" s="94" t="s">
        <v>410</v>
      </c>
      <c r="BS3" s="94" t="s">
        <v>411</v>
      </c>
      <c r="BT3" s="94" t="s">
        <v>412</v>
      </c>
      <c r="BU3" s="94" t="s">
        <v>413</v>
      </c>
      <c r="BV3" s="94" t="s">
        <v>414</v>
      </c>
      <c r="BW3" s="94" t="s">
        <v>415</v>
      </c>
      <c r="BX3" s="94" t="s">
        <v>416</v>
      </c>
      <c r="BY3" s="94" t="s">
        <v>417</v>
      </c>
      <c r="BZ3" s="93" t="s">
        <v>418</v>
      </c>
      <c r="CA3" s="93" t="s">
        <v>419</v>
      </c>
      <c r="CB3" s="93" t="s">
        <v>420</v>
      </c>
      <c r="CC3" s="93" t="s">
        <v>421</v>
      </c>
      <c r="CD3" s="93" t="s">
        <v>422</v>
      </c>
      <c r="CE3" s="93" t="s">
        <v>423</v>
      </c>
      <c r="CF3" s="93" t="s">
        <v>424</v>
      </c>
      <c r="CG3" s="93" t="s">
        <v>425</v>
      </c>
      <c r="CH3" s="95" t="s">
        <v>426</v>
      </c>
      <c r="CI3" s="109" t="s">
        <v>427</v>
      </c>
      <c r="CJ3" s="109" t="s">
        <v>182</v>
      </c>
    </row>
    <row r="4" spans="1:88" x14ac:dyDescent="0.15">
      <c r="A4" s="6">
        <f ca="1">IFERROR(OFFSET(A4,-1,0)+0,0)+MAX(IF(LEN(Calcs[[#This Row],[Line]])&gt;0,1,0),Calcs[[#This Row],[DL]],Calcs[[#This Row],[RL]])</f>
        <v>1</v>
      </c>
      <c r="B4" s="94" t="str">
        <f ca="1">IFERROR(INDEX(OFFSET(Items[Line],0,0,ROW(Proposed[])-ROW(Items[])+ROWS(Proposed[]),1),MATCH(ROW(B4)-ROW(B$3),INDIRECT(RangeCount),0)),"")</f>
        <v>A0020</v>
      </c>
      <c r="C4" s="94" t="str">
        <f ca="1">IF(LEN(Calcs[[#This Row],[Line]])&gt;0,TRIM(IFERROR(INDEX(Items[Description],MATCH(Calcs[[#This Row],[Line]],Items[Line],0))&amp;INDEX(Items[Description2],MATCH(Calcs[[#This Row],[Line]],Items[Line],0)),INDEX(Proposed[Description],MATCH(Calcs[[#This Row],[Line]],Proposed[Line],0)))),"")</f>
        <v>MOBILIZATION</v>
      </c>
      <c r="D4" s="96">
        <f t="shared" ref="D4:S19" ca="1" si="0">IFERROR(FIND(" ",$C4,IFERROR(OFFSET(D4,0,-1)+1,1)),LEN($C4))</f>
        <v>12</v>
      </c>
      <c r="E4" s="97">
        <f t="shared" ca="1" si="0"/>
        <v>12</v>
      </c>
      <c r="F4" s="97">
        <f t="shared" ca="1" si="0"/>
        <v>12</v>
      </c>
      <c r="G4" s="97">
        <f t="shared" ca="1" si="0"/>
        <v>12</v>
      </c>
      <c r="H4" s="97">
        <f t="shared" ca="1" si="0"/>
        <v>12</v>
      </c>
      <c r="I4" s="97">
        <f t="shared" ca="1" si="0"/>
        <v>12</v>
      </c>
      <c r="J4" s="97">
        <f t="shared" ca="1" si="0"/>
        <v>12</v>
      </c>
      <c r="K4" s="97">
        <f t="shared" ca="1" si="0"/>
        <v>12</v>
      </c>
      <c r="L4" s="97">
        <f t="shared" ca="1" si="0"/>
        <v>12</v>
      </c>
      <c r="M4" s="97">
        <f t="shared" ca="1" si="0"/>
        <v>12</v>
      </c>
      <c r="N4" s="97">
        <f t="shared" ca="1" si="0"/>
        <v>12</v>
      </c>
      <c r="O4" s="97">
        <f t="shared" ca="1" si="0"/>
        <v>12</v>
      </c>
      <c r="P4" s="97">
        <f t="shared" ca="1" si="0"/>
        <v>12</v>
      </c>
      <c r="Q4" s="97">
        <f t="shared" ca="1" si="0"/>
        <v>12</v>
      </c>
      <c r="R4" s="97">
        <f t="shared" ca="1" si="0"/>
        <v>12</v>
      </c>
      <c r="S4" s="97">
        <f t="shared" ca="1" si="0"/>
        <v>12</v>
      </c>
      <c r="T4" s="97">
        <f t="shared" ref="T4:AI19" ca="1" si="1">IFERROR(FIND(" ",$C4,IFERROR(OFFSET(T4,0,-1)+1,1)),LEN($C4))</f>
        <v>12</v>
      </c>
      <c r="U4" s="97">
        <f t="shared" ca="1" si="1"/>
        <v>12</v>
      </c>
      <c r="V4" s="97">
        <f t="shared" ca="1" si="1"/>
        <v>12</v>
      </c>
      <c r="W4" s="97">
        <f t="shared" ca="1" si="1"/>
        <v>12</v>
      </c>
      <c r="X4" s="97">
        <f t="shared" ca="1" si="1"/>
        <v>12</v>
      </c>
      <c r="Y4" s="97">
        <f t="shared" ca="1" si="1"/>
        <v>12</v>
      </c>
      <c r="Z4" s="97">
        <f t="shared" ca="1" si="1"/>
        <v>12</v>
      </c>
      <c r="AA4" s="97">
        <f t="shared" ca="1" si="1"/>
        <v>12</v>
      </c>
      <c r="AB4" s="97">
        <f t="shared" ca="1" si="1"/>
        <v>12</v>
      </c>
      <c r="AC4" s="97">
        <f t="shared" ca="1" si="1"/>
        <v>12</v>
      </c>
      <c r="AD4" s="97">
        <f t="shared" ca="1" si="1"/>
        <v>12</v>
      </c>
      <c r="AE4" s="97">
        <f t="shared" ca="1" si="1"/>
        <v>12</v>
      </c>
      <c r="AF4" s="97">
        <f t="shared" ca="1" si="1"/>
        <v>12</v>
      </c>
      <c r="AG4" s="97">
        <f t="shared" ca="1" si="1"/>
        <v>12</v>
      </c>
      <c r="AH4" s="97">
        <f t="shared" ca="1" si="1"/>
        <v>12</v>
      </c>
      <c r="AI4" s="97">
        <f t="shared" ca="1" si="1"/>
        <v>12</v>
      </c>
      <c r="AJ4" s="98">
        <f t="shared" ref="AJ4:AQ34" ca="1" si="2">HLOOKUP(IF(COLUMN(AJ4)-COLUMN($AJ$3)=0,0,OFFSET(AJ4,0,-1))+widthPayItem,$D4:$AI4,1)</f>
        <v>12</v>
      </c>
      <c r="AK4" s="97">
        <f t="shared" ca="1" si="2"/>
        <v>12</v>
      </c>
      <c r="AL4" s="97">
        <f t="shared" ca="1" si="2"/>
        <v>12</v>
      </c>
      <c r="AM4" s="97">
        <f t="shared" ca="1" si="2"/>
        <v>12</v>
      </c>
      <c r="AN4" s="97">
        <f t="shared" ca="1" si="2"/>
        <v>12</v>
      </c>
      <c r="AO4" s="97">
        <f t="shared" ca="1" si="2"/>
        <v>12</v>
      </c>
      <c r="AP4" s="97">
        <f t="shared" ca="1" si="2"/>
        <v>12</v>
      </c>
      <c r="AQ4" s="97">
        <f t="shared" ca="1" si="2"/>
        <v>12</v>
      </c>
      <c r="AR4" s="99">
        <f ca="1">COUNTIF(AJ4:AQ4,"&lt;"&amp;MAX(AJ4:AQ4))+IF(Calcs[[#This Row],[DL1]]=0,0,1)</f>
        <v>1</v>
      </c>
      <c r="AS4" s="100" t="str">
        <f ca="1">IF(LEN(Calcs[[#This Row],[Line]])&gt;0,IF(RIGHT(Calcs[[#This Row],[Remark]],3)=".  ",LEFT(Calcs[[#This Row],[Remark]],LEN(Calcs[[#This Row],[Remark]])-3),Calcs[[#This Row],[Remark]]),"")</f>
        <v/>
      </c>
      <c r="AT4" s="96">
        <f t="shared" ref="AT4:BI19" ca="1" si="3">IFERROR(FIND(" ",$AS4,IFERROR(OFFSET(AT4,0,-1)+1,1)),LEN($AS4))</f>
        <v>0</v>
      </c>
      <c r="AU4" s="97">
        <f t="shared" ca="1" si="3"/>
        <v>0</v>
      </c>
      <c r="AV4" s="97">
        <f t="shared" ca="1" si="3"/>
        <v>0</v>
      </c>
      <c r="AW4" s="97">
        <f t="shared" ca="1" si="3"/>
        <v>0</v>
      </c>
      <c r="AX4" s="97">
        <f t="shared" ca="1" si="3"/>
        <v>0</v>
      </c>
      <c r="AY4" s="97">
        <f t="shared" ca="1" si="3"/>
        <v>0</v>
      </c>
      <c r="AZ4" s="97">
        <f t="shared" ca="1" si="3"/>
        <v>0</v>
      </c>
      <c r="BA4" s="97">
        <f t="shared" ca="1" si="3"/>
        <v>0</v>
      </c>
      <c r="BB4" s="97">
        <f t="shared" ca="1" si="3"/>
        <v>0</v>
      </c>
      <c r="BC4" s="97">
        <f t="shared" ca="1" si="3"/>
        <v>0</v>
      </c>
      <c r="BD4" s="97">
        <f t="shared" ca="1" si="3"/>
        <v>0</v>
      </c>
      <c r="BE4" s="97">
        <f t="shared" ca="1" si="3"/>
        <v>0</v>
      </c>
      <c r="BF4" s="97">
        <f t="shared" ca="1" si="3"/>
        <v>0</v>
      </c>
      <c r="BG4" s="97">
        <f t="shared" ca="1" si="3"/>
        <v>0</v>
      </c>
      <c r="BH4" s="97">
        <f t="shared" ca="1" si="3"/>
        <v>0</v>
      </c>
      <c r="BI4" s="97">
        <f t="shared" ca="1" si="3"/>
        <v>0</v>
      </c>
      <c r="BJ4" s="97">
        <f t="shared" ref="BJ4:BY19" ca="1" si="4">IFERROR(FIND(" ",$AS4,IFERROR(OFFSET(BJ4,0,-1)+1,1)),LEN($AS4))</f>
        <v>0</v>
      </c>
      <c r="BK4" s="97">
        <f t="shared" ca="1" si="4"/>
        <v>0</v>
      </c>
      <c r="BL4" s="97">
        <f t="shared" ca="1" si="4"/>
        <v>0</v>
      </c>
      <c r="BM4" s="97">
        <f t="shared" ca="1" si="4"/>
        <v>0</v>
      </c>
      <c r="BN4" s="97">
        <f t="shared" ca="1" si="4"/>
        <v>0</v>
      </c>
      <c r="BO4" s="97">
        <f t="shared" ca="1" si="4"/>
        <v>0</v>
      </c>
      <c r="BP4" s="97">
        <f t="shared" ca="1" si="4"/>
        <v>0</v>
      </c>
      <c r="BQ4" s="97">
        <f t="shared" ca="1" si="4"/>
        <v>0</v>
      </c>
      <c r="BR4" s="97">
        <f t="shared" ca="1" si="4"/>
        <v>0</v>
      </c>
      <c r="BS4" s="97">
        <f t="shared" ca="1" si="4"/>
        <v>0</v>
      </c>
      <c r="BT4" s="97">
        <f t="shared" ca="1" si="4"/>
        <v>0</v>
      </c>
      <c r="BU4" s="97">
        <f t="shared" ca="1" si="4"/>
        <v>0</v>
      </c>
      <c r="BV4" s="97">
        <f t="shared" ca="1" si="4"/>
        <v>0</v>
      </c>
      <c r="BW4" s="97">
        <f t="shared" ca="1" si="4"/>
        <v>0</v>
      </c>
      <c r="BX4" s="97">
        <f t="shared" ca="1" si="4"/>
        <v>0</v>
      </c>
      <c r="BY4" s="97">
        <f t="shared" ca="1" si="4"/>
        <v>0</v>
      </c>
      <c r="BZ4" s="98">
        <f t="shared" ref="BZ4:CG34" ca="1" si="5">HLOOKUP(IF(COLUMN(BZ4)-COLUMN($BZ$3)=0,0,OFFSET(BZ4,0,-1))+widthRemarks,$AT4:$BY4,1)</f>
        <v>0</v>
      </c>
      <c r="CA4" s="97">
        <f t="shared" ca="1" si="5"/>
        <v>0</v>
      </c>
      <c r="CB4" s="97">
        <f t="shared" ca="1" si="5"/>
        <v>0</v>
      </c>
      <c r="CC4" s="97">
        <f t="shared" ca="1" si="5"/>
        <v>0</v>
      </c>
      <c r="CD4" s="97">
        <f t="shared" ca="1" si="5"/>
        <v>0</v>
      </c>
      <c r="CE4" s="97">
        <f t="shared" ca="1" si="5"/>
        <v>0</v>
      </c>
      <c r="CF4" s="97">
        <f t="shared" ca="1" si="5"/>
        <v>0</v>
      </c>
      <c r="CG4" s="97">
        <f t="shared" ca="1" si="5"/>
        <v>0</v>
      </c>
      <c r="CH4" s="101">
        <f ca="1">COUNTIF(BZ4:CG4,"&lt;"&amp;MAX(BZ4:CG4))+IF(Calcs[[#This Row],[RL1]]=0,0,1)</f>
        <v>0</v>
      </c>
      <c r="CI4" s="110"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c>
      <c r="CJ4" s="103">
        <f ca="1">IFERROR(OFFSET(CJ4,-1,0)+0,0)+IF(INDEX(INDIRECT(RangeContrQty),MATCH(Calcs[[#This Row],[Line]],OFFSET(Items[Line],0,0,ROW(Proposed[])-ROW(Items[])+ROWS(Proposed[]),1),0)),1,0)</f>
        <v>0</v>
      </c>
    </row>
    <row r="5" spans="1:88" x14ac:dyDescent="0.15">
      <c r="A5" s="6">
        <f ca="1">IFERROR(OFFSET(A5,-1,0)+0,0)+MAX(IF(LEN(Calcs[[#This Row],[Line]])&gt;0,1,0),Calcs[[#This Row],[DL]],Calcs[[#This Row],[RL]])</f>
        <v>3</v>
      </c>
      <c r="B5" s="94" t="str">
        <f ca="1">IFERROR(INDEX(OFFSET(Items[Line],0,0,ROW(Proposed[])-ROW(Items[])+ROWS(Proposed[]),1),MATCH(ROW(B5)-ROW(B$3),INDIRECT(RangeCount),0)),"")</f>
        <v>A0040</v>
      </c>
      <c r="C5" s="94" t="str">
        <f ca="1">IF(LEN(Calcs[[#This Row],[Line]])&gt;0,TRIM(IFERROR(INDEX(Items[Description],MATCH(Calcs[[#This Row],[Line]],Items[Line],0))&amp;INDEX(Items[Description2],MATCH(Calcs[[#This Row],[Line]],Items[Line],0)),INDEX(Proposed[Description],MATCH(Calcs[[#This Row],[Line]],Proposed[Line],0)))),"")</f>
        <v>CENTERLINE, VERIFICATION AND STAKING</v>
      </c>
      <c r="D5" s="96">
        <f t="shared" ca="1" si="0"/>
        <v>12</v>
      </c>
      <c r="E5" s="97">
        <f t="shared" ca="1" si="0"/>
        <v>25</v>
      </c>
      <c r="F5" s="97">
        <f t="shared" ca="1" si="0"/>
        <v>29</v>
      </c>
      <c r="G5" s="97">
        <f t="shared" ca="1" si="0"/>
        <v>36</v>
      </c>
      <c r="H5" s="97">
        <f t="shared" ca="1" si="0"/>
        <v>36</v>
      </c>
      <c r="I5" s="97">
        <f t="shared" ca="1" si="0"/>
        <v>36</v>
      </c>
      <c r="J5" s="97">
        <f t="shared" ca="1" si="0"/>
        <v>36</v>
      </c>
      <c r="K5" s="97">
        <f t="shared" ca="1" si="0"/>
        <v>36</v>
      </c>
      <c r="L5" s="97">
        <f t="shared" ca="1" si="0"/>
        <v>36</v>
      </c>
      <c r="M5" s="97">
        <f t="shared" ca="1" si="0"/>
        <v>36</v>
      </c>
      <c r="N5" s="97">
        <f t="shared" ca="1" si="0"/>
        <v>36</v>
      </c>
      <c r="O5" s="97">
        <f t="shared" ca="1" si="0"/>
        <v>36</v>
      </c>
      <c r="P5" s="97">
        <f t="shared" ca="1" si="0"/>
        <v>36</v>
      </c>
      <c r="Q5" s="97">
        <f t="shared" ca="1" si="0"/>
        <v>36</v>
      </c>
      <c r="R5" s="97">
        <f t="shared" ca="1" si="0"/>
        <v>36</v>
      </c>
      <c r="S5" s="97">
        <f t="shared" ca="1" si="0"/>
        <v>36</v>
      </c>
      <c r="T5" s="97">
        <f t="shared" ca="1" si="1"/>
        <v>36</v>
      </c>
      <c r="U5" s="97">
        <f t="shared" ca="1" si="1"/>
        <v>36</v>
      </c>
      <c r="V5" s="97">
        <f t="shared" ca="1" si="1"/>
        <v>36</v>
      </c>
      <c r="W5" s="97">
        <f t="shared" ca="1" si="1"/>
        <v>36</v>
      </c>
      <c r="X5" s="97">
        <f t="shared" ca="1" si="1"/>
        <v>36</v>
      </c>
      <c r="Y5" s="97">
        <f t="shared" ca="1" si="1"/>
        <v>36</v>
      </c>
      <c r="Z5" s="97">
        <f t="shared" ca="1" si="1"/>
        <v>36</v>
      </c>
      <c r="AA5" s="97">
        <f t="shared" ca="1" si="1"/>
        <v>36</v>
      </c>
      <c r="AB5" s="97">
        <f t="shared" ca="1" si="1"/>
        <v>36</v>
      </c>
      <c r="AC5" s="97">
        <f t="shared" ca="1" si="1"/>
        <v>36</v>
      </c>
      <c r="AD5" s="97">
        <f t="shared" ca="1" si="1"/>
        <v>36</v>
      </c>
      <c r="AE5" s="97">
        <f t="shared" ca="1" si="1"/>
        <v>36</v>
      </c>
      <c r="AF5" s="97">
        <f t="shared" ca="1" si="1"/>
        <v>36</v>
      </c>
      <c r="AG5" s="97">
        <f t="shared" ca="1" si="1"/>
        <v>36</v>
      </c>
      <c r="AH5" s="97">
        <f t="shared" ca="1" si="1"/>
        <v>36</v>
      </c>
      <c r="AI5" s="97">
        <f t="shared" ca="1" si="1"/>
        <v>36</v>
      </c>
      <c r="AJ5" s="98">
        <f t="shared" ca="1" si="2"/>
        <v>29</v>
      </c>
      <c r="AK5" s="97">
        <f t="shared" ca="1" si="2"/>
        <v>36</v>
      </c>
      <c r="AL5" s="97">
        <f t="shared" ca="1" si="2"/>
        <v>36</v>
      </c>
      <c r="AM5" s="97">
        <f t="shared" ca="1" si="2"/>
        <v>36</v>
      </c>
      <c r="AN5" s="97">
        <f t="shared" ca="1" si="2"/>
        <v>36</v>
      </c>
      <c r="AO5" s="97">
        <f t="shared" ca="1" si="2"/>
        <v>36</v>
      </c>
      <c r="AP5" s="97">
        <f t="shared" ca="1" si="2"/>
        <v>36</v>
      </c>
      <c r="AQ5" s="97">
        <f t="shared" ca="1" si="2"/>
        <v>36</v>
      </c>
      <c r="AR5" s="99">
        <f ca="1">COUNTIF(AJ5:AQ5,"&lt;"&amp;MAX(AJ5:AQ5))+IF(Calcs[[#This Row],[DL1]]=0,0,1)</f>
        <v>2</v>
      </c>
      <c r="AS5" s="100" t="str">
        <f ca="1">IF(LEN(Calcs[[#This Row],[Line]])&gt;0,IF(RIGHT(Calcs[[#This Row],[Remark]],3)=".  ",LEFT(Calcs[[#This Row],[Remark]],LEN(Calcs[[#This Row],[Remark]])-3),Calcs[[#This Row],[Remark]]),"")</f>
        <v/>
      </c>
      <c r="AT5" s="96">
        <f t="shared" ca="1" si="3"/>
        <v>0</v>
      </c>
      <c r="AU5" s="102">
        <f t="shared" ca="1" si="3"/>
        <v>0</v>
      </c>
      <c r="AV5" s="102">
        <f t="shared" ca="1" si="3"/>
        <v>0</v>
      </c>
      <c r="AW5" s="102">
        <f t="shared" ca="1" si="3"/>
        <v>0</v>
      </c>
      <c r="AX5" s="102">
        <f t="shared" ca="1" si="3"/>
        <v>0</v>
      </c>
      <c r="AY5" s="102">
        <f t="shared" ca="1" si="3"/>
        <v>0</v>
      </c>
      <c r="AZ5" s="102">
        <f t="shared" ca="1" si="3"/>
        <v>0</v>
      </c>
      <c r="BA5" s="102">
        <f t="shared" ca="1" si="3"/>
        <v>0</v>
      </c>
      <c r="BB5" s="102">
        <f t="shared" ca="1" si="3"/>
        <v>0</v>
      </c>
      <c r="BC5" s="102">
        <f t="shared" ca="1" si="3"/>
        <v>0</v>
      </c>
      <c r="BD5" s="102">
        <f t="shared" ca="1" si="3"/>
        <v>0</v>
      </c>
      <c r="BE5" s="102">
        <f t="shared" ca="1" si="3"/>
        <v>0</v>
      </c>
      <c r="BF5" s="102">
        <f t="shared" ca="1" si="3"/>
        <v>0</v>
      </c>
      <c r="BG5" s="102">
        <f t="shared" ca="1" si="3"/>
        <v>0</v>
      </c>
      <c r="BH5" s="102">
        <f t="shared" ca="1" si="3"/>
        <v>0</v>
      </c>
      <c r="BI5" s="102">
        <f t="shared" ca="1" si="3"/>
        <v>0</v>
      </c>
      <c r="BJ5" s="102">
        <f t="shared" ca="1" si="4"/>
        <v>0</v>
      </c>
      <c r="BK5" s="102">
        <f t="shared" ca="1" si="4"/>
        <v>0</v>
      </c>
      <c r="BL5" s="102">
        <f t="shared" ca="1" si="4"/>
        <v>0</v>
      </c>
      <c r="BM5" s="102">
        <f t="shared" ca="1" si="4"/>
        <v>0</v>
      </c>
      <c r="BN5" s="102">
        <f t="shared" ca="1" si="4"/>
        <v>0</v>
      </c>
      <c r="BO5" s="102">
        <f t="shared" ca="1" si="4"/>
        <v>0</v>
      </c>
      <c r="BP5" s="102">
        <f t="shared" ca="1" si="4"/>
        <v>0</v>
      </c>
      <c r="BQ5" s="102">
        <f t="shared" ca="1" si="4"/>
        <v>0</v>
      </c>
      <c r="BR5" s="102">
        <f t="shared" ca="1" si="4"/>
        <v>0</v>
      </c>
      <c r="BS5" s="102">
        <f t="shared" ca="1" si="4"/>
        <v>0</v>
      </c>
      <c r="BT5" s="102">
        <f t="shared" ca="1" si="4"/>
        <v>0</v>
      </c>
      <c r="BU5" s="102">
        <f t="shared" ca="1" si="4"/>
        <v>0</v>
      </c>
      <c r="BV5" s="102">
        <f t="shared" ca="1" si="4"/>
        <v>0</v>
      </c>
      <c r="BW5" s="102">
        <f t="shared" ca="1" si="4"/>
        <v>0</v>
      </c>
      <c r="BX5" s="102">
        <f t="shared" ca="1" si="4"/>
        <v>0</v>
      </c>
      <c r="BY5" s="102">
        <f t="shared" ca="1" si="4"/>
        <v>0</v>
      </c>
      <c r="BZ5" s="98">
        <f t="shared" ca="1" si="5"/>
        <v>0</v>
      </c>
      <c r="CA5" s="102">
        <f t="shared" ca="1" si="5"/>
        <v>0</v>
      </c>
      <c r="CB5" s="102">
        <f t="shared" ca="1" si="5"/>
        <v>0</v>
      </c>
      <c r="CC5" s="102">
        <f t="shared" ca="1" si="5"/>
        <v>0</v>
      </c>
      <c r="CD5" s="102">
        <f t="shared" ca="1" si="5"/>
        <v>0</v>
      </c>
      <c r="CE5" s="102">
        <f t="shared" ca="1" si="5"/>
        <v>0</v>
      </c>
      <c r="CF5" s="102">
        <f t="shared" ca="1" si="5"/>
        <v>0</v>
      </c>
      <c r="CG5" s="102">
        <f t="shared" ca="1" si="5"/>
        <v>0</v>
      </c>
      <c r="CH5" s="101">
        <f ca="1">COUNTIF(BZ5:CG5,"&lt;"&amp;MAX(BZ5:CG5))+IF(Calcs[[#This Row],[RL1]]=0,0,1)</f>
        <v>0</v>
      </c>
      <c r="CI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c>
      <c r="CJ5" s="103">
        <f ca="1">IFERROR(OFFSET(CJ5,-1,0)+0,0)+IF(INDEX(INDIRECT(RangeContrQty),MATCH(Calcs[[#This Row],[Line]],OFFSET(Items[Line],0,0,ROW(Proposed[])-ROW(Items[])+ROWS(Proposed[]),1),0)),1,0)</f>
        <v>0</v>
      </c>
    </row>
    <row r="6" spans="1:88" x14ac:dyDescent="0.15">
      <c r="A6" s="6">
        <f ca="1">IFERROR(OFFSET(A6,-1,0)+0,0)+MAX(IF(LEN(Calcs[[#This Row],[Line]])&gt;0,1,0),Calcs[[#This Row],[DL]],Calcs[[#This Row],[RL]])</f>
        <v>5</v>
      </c>
      <c r="B6" s="94" t="str">
        <f ca="1">IFERROR(INDEX(OFFSET(Items[Line],0,0,ROW(Proposed[])-ROW(Items[])+ROWS(Proposed[]),1),MATCH(ROW(B6)-ROW(B$3),INDIRECT(RangeCount),0)),"")</f>
        <v>A0060</v>
      </c>
      <c r="C6" s="94" t="str">
        <f ca="1">IF(LEN(Calcs[[#This Row],[Line]])&gt;0,TRIM(IFERROR(INDEX(Items[Description],MATCH(Calcs[[#This Row],[Line]],Items[Line],0))&amp;INDEX(Items[Description2],MATCH(Calcs[[#This Row],[Line]],Items[Line],0)),INDEX(Proposed[Description],MATCH(Calcs[[#This Row],[Line]],Proposed[Line],0)))),"")</f>
        <v>SURVEY AND STAKING, APPROACH ROAD</v>
      </c>
      <c r="D6" s="96">
        <f t="shared" ca="1" si="0"/>
        <v>7</v>
      </c>
      <c r="E6" s="97">
        <f t="shared" ca="1" si="0"/>
        <v>11</v>
      </c>
      <c r="F6" s="97">
        <f t="shared" ca="1" si="0"/>
        <v>20</v>
      </c>
      <c r="G6" s="97">
        <f t="shared" ca="1" si="0"/>
        <v>29</v>
      </c>
      <c r="H6" s="97">
        <f t="shared" ca="1" si="0"/>
        <v>33</v>
      </c>
      <c r="I6" s="97">
        <f t="shared" ca="1" si="0"/>
        <v>33</v>
      </c>
      <c r="J6" s="97">
        <f t="shared" ca="1" si="0"/>
        <v>33</v>
      </c>
      <c r="K6" s="97">
        <f t="shared" ca="1" si="0"/>
        <v>33</v>
      </c>
      <c r="L6" s="97">
        <f t="shared" ca="1" si="0"/>
        <v>33</v>
      </c>
      <c r="M6" s="97">
        <f t="shared" ca="1" si="0"/>
        <v>33</v>
      </c>
      <c r="N6" s="97">
        <f t="shared" ca="1" si="0"/>
        <v>33</v>
      </c>
      <c r="O6" s="97">
        <f t="shared" ca="1" si="0"/>
        <v>33</v>
      </c>
      <c r="P6" s="97">
        <f t="shared" ca="1" si="0"/>
        <v>33</v>
      </c>
      <c r="Q6" s="97">
        <f t="shared" ca="1" si="0"/>
        <v>33</v>
      </c>
      <c r="R6" s="97">
        <f t="shared" ca="1" si="0"/>
        <v>33</v>
      </c>
      <c r="S6" s="97">
        <f t="shared" ca="1" si="0"/>
        <v>33</v>
      </c>
      <c r="T6" s="97">
        <f t="shared" ca="1" si="1"/>
        <v>33</v>
      </c>
      <c r="U6" s="97">
        <f t="shared" ca="1" si="1"/>
        <v>33</v>
      </c>
      <c r="V6" s="97">
        <f t="shared" ca="1" si="1"/>
        <v>33</v>
      </c>
      <c r="W6" s="97">
        <f t="shared" ca="1" si="1"/>
        <v>33</v>
      </c>
      <c r="X6" s="97">
        <f t="shared" ca="1" si="1"/>
        <v>33</v>
      </c>
      <c r="Y6" s="97">
        <f t="shared" ca="1" si="1"/>
        <v>33</v>
      </c>
      <c r="Z6" s="97">
        <f t="shared" ca="1" si="1"/>
        <v>33</v>
      </c>
      <c r="AA6" s="97">
        <f t="shared" ca="1" si="1"/>
        <v>33</v>
      </c>
      <c r="AB6" s="97">
        <f t="shared" ca="1" si="1"/>
        <v>33</v>
      </c>
      <c r="AC6" s="97">
        <f t="shared" ca="1" si="1"/>
        <v>33</v>
      </c>
      <c r="AD6" s="97">
        <f t="shared" ca="1" si="1"/>
        <v>33</v>
      </c>
      <c r="AE6" s="97">
        <f t="shared" ca="1" si="1"/>
        <v>33</v>
      </c>
      <c r="AF6" s="97">
        <f t="shared" ca="1" si="1"/>
        <v>33</v>
      </c>
      <c r="AG6" s="97">
        <f t="shared" ca="1" si="1"/>
        <v>33</v>
      </c>
      <c r="AH6" s="97">
        <f t="shared" ca="1" si="1"/>
        <v>33</v>
      </c>
      <c r="AI6" s="97">
        <f t="shared" ca="1" si="1"/>
        <v>33</v>
      </c>
      <c r="AJ6" s="98">
        <f t="shared" ca="1" si="2"/>
        <v>29</v>
      </c>
      <c r="AK6" s="97">
        <f t="shared" ca="1" si="2"/>
        <v>33</v>
      </c>
      <c r="AL6" s="97">
        <f t="shared" ca="1" si="2"/>
        <v>33</v>
      </c>
      <c r="AM6" s="97">
        <f t="shared" ca="1" si="2"/>
        <v>33</v>
      </c>
      <c r="AN6" s="97">
        <f t="shared" ca="1" si="2"/>
        <v>33</v>
      </c>
      <c r="AO6" s="97">
        <f t="shared" ca="1" si="2"/>
        <v>33</v>
      </c>
      <c r="AP6" s="97">
        <f t="shared" ca="1" si="2"/>
        <v>33</v>
      </c>
      <c r="AQ6" s="97">
        <f t="shared" ca="1" si="2"/>
        <v>33</v>
      </c>
      <c r="AR6" s="99">
        <f ca="1">COUNTIF(AJ6:AQ6,"&lt;"&amp;MAX(AJ6:AQ6))+IF(Calcs[[#This Row],[DL1]]=0,0,1)</f>
        <v>2</v>
      </c>
      <c r="AS6" s="100" t="str">
        <f ca="1">IF(LEN(Calcs[[#This Row],[Line]])&gt;0,IF(RIGHT(Calcs[[#This Row],[Remark]],3)=".  ",LEFT(Calcs[[#This Row],[Remark]],LEN(Calcs[[#This Row],[Remark]])-3),Calcs[[#This Row],[Remark]]),"")</f>
        <v/>
      </c>
      <c r="AT6" s="96">
        <f t="shared" ca="1" si="3"/>
        <v>0</v>
      </c>
      <c r="AU6" s="102">
        <f t="shared" ca="1" si="3"/>
        <v>0</v>
      </c>
      <c r="AV6" s="102">
        <f t="shared" ca="1" si="3"/>
        <v>0</v>
      </c>
      <c r="AW6" s="102">
        <f t="shared" ca="1" si="3"/>
        <v>0</v>
      </c>
      <c r="AX6" s="102">
        <f t="shared" ca="1" si="3"/>
        <v>0</v>
      </c>
      <c r="AY6" s="102">
        <f t="shared" ca="1" si="3"/>
        <v>0</v>
      </c>
      <c r="AZ6" s="102">
        <f t="shared" ca="1" si="3"/>
        <v>0</v>
      </c>
      <c r="BA6" s="102">
        <f t="shared" ca="1" si="3"/>
        <v>0</v>
      </c>
      <c r="BB6" s="102">
        <f t="shared" ca="1" si="3"/>
        <v>0</v>
      </c>
      <c r="BC6" s="102">
        <f t="shared" ca="1" si="3"/>
        <v>0</v>
      </c>
      <c r="BD6" s="102">
        <f t="shared" ca="1" si="3"/>
        <v>0</v>
      </c>
      <c r="BE6" s="102">
        <f t="shared" ca="1" si="3"/>
        <v>0</v>
      </c>
      <c r="BF6" s="102">
        <f t="shared" ca="1" si="3"/>
        <v>0</v>
      </c>
      <c r="BG6" s="102">
        <f t="shared" ca="1" si="3"/>
        <v>0</v>
      </c>
      <c r="BH6" s="102">
        <f t="shared" ca="1" si="3"/>
        <v>0</v>
      </c>
      <c r="BI6" s="102">
        <f t="shared" ca="1" si="3"/>
        <v>0</v>
      </c>
      <c r="BJ6" s="102">
        <f t="shared" ca="1" si="4"/>
        <v>0</v>
      </c>
      <c r="BK6" s="102">
        <f t="shared" ca="1" si="4"/>
        <v>0</v>
      </c>
      <c r="BL6" s="102">
        <f t="shared" ca="1" si="4"/>
        <v>0</v>
      </c>
      <c r="BM6" s="102">
        <f t="shared" ca="1" si="4"/>
        <v>0</v>
      </c>
      <c r="BN6" s="102">
        <f t="shared" ca="1" si="4"/>
        <v>0</v>
      </c>
      <c r="BO6" s="102">
        <f t="shared" ca="1" si="4"/>
        <v>0</v>
      </c>
      <c r="BP6" s="102">
        <f t="shared" ca="1" si="4"/>
        <v>0</v>
      </c>
      <c r="BQ6" s="102">
        <f t="shared" ca="1" si="4"/>
        <v>0</v>
      </c>
      <c r="BR6" s="102">
        <f t="shared" ca="1" si="4"/>
        <v>0</v>
      </c>
      <c r="BS6" s="102">
        <f t="shared" ca="1" si="4"/>
        <v>0</v>
      </c>
      <c r="BT6" s="102">
        <f t="shared" ca="1" si="4"/>
        <v>0</v>
      </c>
      <c r="BU6" s="102">
        <f t="shared" ca="1" si="4"/>
        <v>0</v>
      </c>
      <c r="BV6" s="102">
        <f t="shared" ca="1" si="4"/>
        <v>0</v>
      </c>
      <c r="BW6" s="102">
        <f t="shared" ca="1" si="4"/>
        <v>0</v>
      </c>
      <c r="BX6" s="102">
        <f t="shared" ca="1" si="4"/>
        <v>0</v>
      </c>
      <c r="BY6" s="102">
        <f t="shared" ca="1" si="4"/>
        <v>0</v>
      </c>
      <c r="BZ6" s="98">
        <f t="shared" ca="1" si="5"/>
        <v>0</v>
      </c>
      <c r="CA6" s="102">
        <f t="shared" ca="1" si="5"/>
        <v>0</v>
      </c>
      <c r="CB6" s="102">
        <f t="shared" ca="1" si="5"/>
        <v>0</v>
      </c>
      <c r="CC6" s="102">
        <f t="shared" ca="1" si="5"/>
        <v>0</v>
      </c>
      <c r="CD6" s="102">
        <f t="shared" ca="1" si="5"/>
        <v>0</v>
      </c>
      <c r="CE6" s="102">
        <f t="shared" ca="1" si="5"/>
        <v>0</v>
      </c>
      <c r="CF6" s="102">
        <f t="shared" ca="1" si="5"/>
        <v>0</v>
      </c>
      <c r="CG6" s="102">
        <f t="shared" ca="1" si="5"/>
        <v>0</v>
      </c>
      <c r="CH6" s="101">
        <f ca="1">COUNTIF(BZ6:CG6,"&lt;"&amp;MAX(BZ6:CG6))+IF(Calcs[[#This Row],[RL1]]=0,0,1)</f>
        <v>0</v>
      </c>
      <c r="CI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c>
      <c r="CJ6" s="103">
        <f ca="1">IFERROR(OFFSET(CJ6,-1,0)+0,0)+IF(INDEX(INDIRECT(RangeContrQty),MATCH(Calcs[[#This Row],[Line]],OFFSET(Items[Line],0,0,ROW(Proposed[])-ROW(Items[])+ROWS(Proposed[]),1),0)),1,0)</f>
        <v>0</v>
      </c>
    </row>
    <row r="7" spans="1:88" x14ac:dyDescent="0.15">
      <c r="A7" s="6">
        <f ca="1">IFERROR(OFFSET(A7,-1,0)+0,0)+MAX(IF(LEN(Calcs[[#This Row],[Line]])&gt;0,1,0),Calcs[[#This Row],[DL]],Calcs[[#This Row],[RL]])</f>
        <v>7</v>
      </c>
      <c r="B7" s="94" t="str">
        <f ca="1">IFERROR(INDEX(OFFSET(Items[Line],0,0,ROW(Proposed[])-ROW(Items[])+ROWS(Proposed[]),1),MATCH(ROW(B7)-ROW(B$3),INDIRECT(RangeCount),0)),"")</f>
        <v>A0080</v>
      </c>
      <c r="C7" s="94" t="str">
        <f ca="1">IF(LEN(Calcs[[#This Row],[Line]])&gt;0,TRIM(IFERROR(INDEX(Items[Description],MATCH(Calcs[[#This Row],[Line]],Items[Line],0))&amp;INDEX(Items[Description2],MATCH(Calcs[[#This Row],[Line]],Items[Line],0)),INDEX(Proposed[Description],MATCH(Calcs[[#This Row],[Line]],Proposed[Line],0)))),"")</f>
        <v>SURVEY AND STAKING, DRAINAGE STRUCTURE</v>
      </c>
      <c r="D7" s="96">
        <f t="shared" ca="1" si="0"/>
        <v>7</v>
      </c>
      <c r="E7" s="97">
        <f t="shared" ca="1" si="0"/>
        <v>11</v>
      </c>
      <c r="F7" s="97">
        <f t="shared" ca="1" si="0"/>
        <v>20</v>
      </c>
      <c r="G7" s="97">
        <f t="shared" ca="1" si="0"/>
        <v>29</v>
      </c>
      <c r="H7" s="97">
        <f t="shared" ca="1" si="0"/>
        <v>38</v>
      </c>
      <c r="I7" s="97">
        <f t="shared" ca="1" si="0"/>
        <v>38</v>
      </c>
      <c r="J7" s="97">
        <f t="shared" ca="1" si="0"/>
        <v>38</v>
      </c>
      <c r="K7" s="97">
        <f t="shared" ca="1" si="0"/>
        <v>38</v>
      </c>
      <c r="L7" s="97">
        <f t="shared" ca="1" si="0"/>
        <v>38</v>
      </c>
      <c r="M7" s="97">
        <f t="shared" ca="1" si="0"/>
        <v>38</v>
      </c>
      <c r="N7" s="97">
        <f t="shared" ca="1" si="0"/>
        <v>38</v>
      </c>
      <c r="O7" s="97">
        <f t="shared" ca="1" si="0"/>
        <v>38</v>
      </c>
      <c r="P7" s="97">
        <f t="shared" ca="1" si="0"/>
        <v>38</v>
      </c>
      <c r="Q7" s="97">
        <f t="shared" ca="1" si="0"/>
        <v>38</v>
      </c>
      <c r="R7" s="97">
        <f t="shared" ca="1" si="0"/>
        <v>38</v>
      </c>
      <c r="S7" s="97">
        <f t="shared" ca="1" si="0"/>
        <v>38</v>
      </c>
      <c r="T7" s="97">
        <f t="shared" ca="1" si="1"/>
        <v>38</v>
      </c>
      <c r="U7" s="97">
        <f t="shared" ca="1" si="1"/>
        <v>38</v>
      </c>
      <c r="V7" s="97">
        <f t="shared" ca="1" si="1"/>
        <v>38</v>
      </c>
      <c r="W7" s="97">
        <f t="shared" ca="1" si="1"/>
        <v>38</v>
      </c>
      <c r="X7" s="97">
        <f t="shared" ca="1" si="1"/>
        <v>38</v>
      </c>
      <c r="Y7" s="97">
        <f t="shared" ca="1" si="1"/>
        <v>38</v>
      </c>
      <c r="Z7" s="97">
        <f t="shared" ca="1" si="1"/>
        <v>38</v>
      </c>
      <c r="AA7" s="97">
        <f t="shared" ca="1" si="1"/>
        <v>38</v>
      </c>
      <c r="AB7" s="97">
        <f t="shared" ca="1" si="1"/>
        <v>38</v>
      </c>
      <c r="AC7" s="97">
        <f t="shared" ca="1" si="1"/>
        <v>38</v>
      </c>
      <c r="AD7" s="97">
        <f t="shared" ca="1" si="1"/>
        <v>38</v>
      </c>
      <c r="AE7" s="97">
        <f t="shared" ca="1" si="1"/>
        <v>38</v>
      </c>
      <c r="AF7" s="97">
        <f t="shared" ca="1" si="1"/>
        <v>38</v>
      </c>
      <c r="AG7" s="97">
        <f t="shared" ca="1" si="1"/>
        <v>38</v>
      </c>
      <c r="AH7" s="97">
        <f t="shared" ca="1" si="1"/>
        <v>38</v>
      </c>
      <c r="AI7" s="97">
        <f t="shared" ca="1" si="1"/>
        <v>38</v>
      </c>
      <c r="AJ7" s="98">
        <f t="shared" ca="1" si="2"/>
        <v>29</v>
      </c>
      <c r="AK7" s="97">
        <f t="shared" ca="1" si="2"/>
        <v>38</v>
      </c>
      <c r="AL7" s="97">
        <f t="shared" ca="1" si="2"/>
        <v>38</v>
      </c>
      <c r="AM7" s="97">
        <f t="shared" ca="1" si="2"/>
        <v>38</v>
      </c>
      <c r="AN7" s="97">
        <f t="shared" ca="1" si="2"/>
        <v>38</v>
      </c>
      <c r="AO7" s="97">
        <f t="shared" ca="1" si="2"/>
        <v>38</v>
      </c>
      <c r="AP7" s="97">
        <f t="shared" ca="1" si="2"/>
        <v>38</v>
      </c>
      <c r="AQ7" s="97">
        <f t="shared" ca="1" si="2"/>
        <v>38</v>
      </c>
      <c r="AR7" s="99">
        <f ca="1">COUNTIF(AJ7:AQ7,"&lt;"&amp;MAX(AJ7:AQ7))+IF(Calcs[[#This Row],[DL1]]=0,0,1)</f>
        <v>2</v>
      </c>
      <c r="AS7" s="100" t="str">
        <f ca="1">IF(LEN(Calcs[[#This Row],[Line]])&gt;0,IF(RIGHT(Calcs[[#This Row],[Remark]],3)=".  ",LEFT(Calcs[[#This Row],[Remark]],LEN(Calcs[[#This Row],[Remark]])-3),Calcs[[#This Row],[Remark]]),"")</f>
        <v/>
      </c>
      <c r="AT7" s="96">
        <f t="shared" ca="1" si="3"/>
        <v>0</v>
      </c>
      <c r="AU7" s="102">
        <f t="shared" ca="1" si="3"/>
        <v>0</v>
      </c>
      <c r="AV7" s="102">
        <f t="shared" ca="1" si="3"/>
        <v>0</v>
      </c>
      <c r="AW7" s="102">
        <f t="shared" ca="1" si="3"/>
        <v>0</v>
      </c>
      <c r="AX7" s="102">
        <f t="shared" ca="1" si="3"/>
        <v>0</v>
      </c>
      <c r="AY7" s="102">
        <f t="shared" ca="1" si="3"/>
        <v>0</v>
      </c>
      <c r="AZ7" s="102">
        <f t="shared" ca="1" si="3"/>
        <v>0</v>
      </c>
      <c r="BA7" s="102">
        <f t="shared" ca="1" si="3"/>
        <v>0</v>
      </c>
      <c r="BB7" s="102">
        <f t="shared" ca="1" si="3"/>
        <v>0</v>
      </c>
      <c r="BC7" s="102">
        <f t="shared" ca="1" si="3"/>
        <v>0</v>
      </c>
      <c r="BD7" s="102">
        <f t="shared" ca="1" si="3"/>
        <v>0</v>
      </c>
      <c r="BE7" s="102">
        <f t="shared" ca="1" si="3"/>
        <v>0</v>
      </c>
      <c r="BF7" s="102">
        <f t="shared" ca="1" si="3"/>
        <v>0</v>
      </c>
      <c r="BG7" s="102">
        <f t="shared" ca="1" si="3"/>
        <v>0</v>
      </c>
      <c r="BH7" s="102">
        <f t="shared" ca="1" si="3"/>
        <v>0</v>
      </c>
      <c r="BI7" s="102">
        <f t="shared" ca="1" si="3"/>
        <v>0</v>
      </c>
      <c r="BJ7" s="102">
        <f t="shared" ca="1" si="4"/>
        <v>0</v>
      </c>
      <c r="BK7" s="102">
        <f t="shared" ca="1" si="4"/>
        <v>0</v>
      </c>
      <c r="BL7" s="102">
        <f t="shared" ca="1" si="4"/>
        <v>0</v>
      </c>
      <c r="BM7" s="102">
        <f t="shared" ca="1" si="4"/>
        <v>0</v>
      </c>
      <c r="BN7" s="102">
        <f t="shared" ca="1" si="4"/>
        <v>0</v>
      </c>
      <c r="BO7" s="102">
        <f t="shared" ca="1" si="4"/>
        <v>0</v>
      </c>
      <c r="BP7" s="102">
        <f t="shared" ca="1" si="4"/>
        <v>0</v>
      </c>
      <c r="BQ7" s="102">
        <f t="shared" ca="1" si="4"/>
        <v>0</v>
      </c>
      <c r="BR7" s="102">
        <f t="shared" ca="1" si="4"/>
        <v>0</v>
      </c>
      <c r="BS7" s="102">
        <f t="shared" ca="1" si="4"/>
        <v>0</v>
      </c>
      <c r="BT7" s="102">
        <f t="shared" ca="1" si="4"/>
        <v>0</v>
      </c>
      <c r="BU7" s="102">
        <f t="shared" ca="1" si="4"/>
        <v>0</v>
      </c>
      <c r="BV7" s="102">
        <f t="shared" ca="1" si="4"/>
        <v>0</v>
      </c>
      <c r="BW7" s="102">
        <f t="shared" ca="1" si="4"/>
        <v>0</v>
      </c>
      <c r="BX7" s="102">
        <f t="shared" ca="1" si="4"/>
        <v>0</v>
      </c>
      <c r="BY7" s="102">
        <f t="shared" ca="1" si="4"/>
        <v>0</v>
      </c>
      <c r="BZ7" s="98">
        <f t="shared" ca="1" si="5"/>
        <v>0</v>
      </c>
      <c r="CA7" s="102">
        <f t="shared" ca="1" si="5"/>
        <v>0</v>
      </c>
      <c r="CB7" s="102">
        <f t="shared" ca="1" si="5"/>
        <v>0</v>
      </c>
      <c r="CC7" s="102">
        <f t="shared" ca="1" si="5"/>
        <v>0</v>
      </c>
      <c r="CD7" s="102">
        <f t="shared" ca="1" si="5"/>
        <v>0</v>
      </c>
      <c r="CE7" s="102">
        <f t="shared" ca="1" si="5"/>
        <v>0</v>
      </c>
      <c r="CF7" s="102">
        <f t="shared" ca="1" si="5"/>
        <v>0</v>
      </c>
      <c r="CG7" s="102">
        <f t="shared" ca="1" si="5"/>
        <v>0</v>
      </c>
      <c r="CH7" s="101">
        <f ca="1">COUNTIF(BZ7:CG7,"&lt;"&amp;MAX(BZ7:CG7))+IF(Calcs[[#This Row],[RL1]]=0,0,1)</f>
        <v>0</v>
      </c>
      <c r="CI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c>
      <c r="CJ7" s="103">
        <f ca="1">IFERROR(OFFSET(CJ7,-1,0)+0,0)+IF(INDEX(INDIRECT(RangeContrQty),MATCH(Calcs[[#This Row],[Line]],OFFSET(Items[Line],0,0,ROW(Proposed[])-ROW(Items[])+ROWS(Proposed[]),1),0)),1,0)</f>
        <v>0</v>
      </c>
    </row>
    <row r="8" spans="1:88" x14ac:dyDescent="0.15">
      <c r="A8" s="6">
        <f ca="1">IFERROR(OFFSET(A8,-1,0)+0,0)+MAX(IF(LEN(Calcs[[#This Row],[Line]])&gt;0,1,0),Calcs[[#This Row],[DL]],Calcs[[#This Row],[RL]])</f>
        <v>8</v>
      </c>
      <c r="B8" s="94" t="str">
        <f ca="1">IFERROR(INDEX(OFFSET(Items[Line],0,0,ROW(Proposed[])-ROW(Items[])+ROWS(Proposed[]),1),MATCH(ROW(B8)-ROW(B$3),INDIRECT(RangeCount),0)),"")</f>
        <v>A0100</v>
      </c>
      <c r="C8" s="94" t="str">
        <f ca="1">IF(LEN(Calcs[[#This Row],[Line]])&gt;0,TRIM(IFERROR(INDEX(Items[Description],MATCH(Calcs[[#This Row],[Line]],Items[Line],0))&amp;INDEX(Items[Description2],MATCH(Calcs[[#This Row],[Line]],Items[Line],0)),INDEX(Proposed[Description],MATCH(Calcs[[#This Row],[Line]],Proposed[Line],0)))),"")</f>
        <v>CONTRACTOR QUALITY CONTROL</v>
      </c>
      <c r="D8" s="96">
        <f t="shared" ca="1" si="0"/>
        <v>11</v>
      </c>
      <c r="E8" s="97">
        <f t="shared" ca="1" si="0"/>
        <v>19</v>
      </c>
      <c r="F8" s="97">
        <f t="shared" ca="1" si="0"/>
        <v>26</v>
      </c>
      <c r="G8" s="97">
        <f t="shared" ca="1" si="0"/>
        <v>26</v>
      </c>
      <c r="H8" s="97">
        <f t="shared" ca="1" si="0"/>
        <v>26</v>
      </c>
      <c r="I8" s="97">
        <f t="shared" ca="1" si="0"/>
        <v>26</v>
      </c>
      <c r="J8" s="97">
        <f t="shared" ca="1" si="0"/>
        <v>26</v>
      </c>
      <c r="K8" s="97">
        <f t="shared" ca="1" si="0"/>
        <v>26</v>
      </c>
      <c r="L8" s="97">
        <f t="shared" ca="1" si="0"/>
        <v>26</v>
      </c>
      <c r="M8" s="97">
        <f t="shared" ca="1" si="0"/>
        <v>26</v>
      </c>
      <c r="N8" s="97">
        <f t="shared" ca="1" si="0"/>
        <v>26</v>
      </c>
      <c r="O8" s="97">
        <f t="shared" ca="1" si="0"/>
        <v>26</v>
      </c>
      <c r="P8" s="97">
        <f t="shared" ca="1" si="0"/>
        <v>26</v>
      </c>
      <c r="Q8" s="97">
        <f t="shared" ca="1" si="0"/>
        <v>26</v>
      </c>
      <c r="R8" s="97">
        <f t="shared" ca="1" si="0"/>
        <v>26</v>
      </c>
      <c r="S8" s="97">
        <f t="shared" ca="1" si="0"/>
        <v>26</v>
      </c>
      <c r="T8" s="97">
        <f t="shared" ca="1" si="1"/>
        <v>26</v>
      </c>
      <c r="U8" s="97">
        <f t="shared" ca="1" si="1"/>
        <v>26</v>
      </c>
      <c r="V8" s="97">
        <f t="shared" ca="1" si="1"/>
        <v>26</v>
      </c>
      <c r="W8" s="97">
        <f t="shared" ca="1" si="1"/>
        <v>26</v>
      </c>
      <c r="X8" s="97">
        <f t="shared" ca="1" si="1"/>
        <v>26</v>
      </c>
      <c r="Y8" s="97">
        <f t="shared" ca="1" si="1"/>
        <v>26</v>
      </c>
      <c r="Z8" s="97">
        <f t="shared" ca="1" si="1"/>
        <v>26</v>
      </c>
      <c r="AA8" s="97">
        <f t="shared" ca="1" si="1"/>
        <v>26</v>
      </c>
      <c r="AB8" s="97">
        <f t="shared" ca="1" si="1"/>
        <v>26</v>
      </c>
      <c r="AC8" s="97">
        <f t="shared" ca="1" si="1"/>
        <v>26</v>
      </c>
      <c r="AD8" s="97">
        <f t="shared" ca="1" si="1"/>
        <v>26</v>
      </c>
      <c r="AE8" s="97">
        <f t="shared" ca="1" si="1"/>
        <v>26</v>
      </c>
      <c r="AF8" s="97">
        <f t="shared" ca="1" si="1"/>
        <v>26</v>
      </c>
      <c r="AG8" s="97">
        <f t="shared" ca="1" si="1"/>
        <v>26</v>
      </c>
      <c r="AH8" s="97">
        <f t="shared" ca="1" si="1"/>
        <v>26</v>
      </c>
      <c r="AI8" s="97">
        <f t="shared" ca="1" si="1"/>
        <v>26</v>
      </c>
      <c r="AJ8" s="98">
        <f t="shared" ca="1" si="2"/>
        <v>26</v>
      </c>
      <c r="AK8" s="97">
        <f t="shared" ca="1" si="2"/>
        <v>26</v>
      </c>
      <c r="AL8" s="97">
        <f t="shared" ca="1" si="2"/>
        <v>26</v>
      </c>
      <c r="AM8" s="97">
        <f t="shared" ca="1" si="2"/>
        <v>26</v>
      </c>
      <c r="AN8" s="97">
        <f t="shared" ca="1" si="2"/>
        <v>26</v>
      </c>
      <c r="AO8" s="97">
        <f t="shared" ca="1" si="2"/>
        <v>26</v>
      </c>
      <c r="AP8" s="97">
        <f t="shared" ca="1" si="2"/>
        <v>26</v>
      </c>
      <c r="AQ8" s="97">
        <f t="shared" ca="1" si="2"/>
        <v>26</v>
      </c>
      <c r="AR8" s="99">
        <f ca="1">COUNTIF(AJ8:AQ8,"&lt;"&amp;MAX(AJ8:AQ8))+IF(Calcs[[#This Row],[DL1]]=0,0,1)</f>
        <v>1</v>
      </c>
      <c r="AS8" s="100" t="str">
        <f ca="1">IF(LEN(Calcs[[#This Row],[Line]])&gt;0,IF(RIGHT(Calcs[[#This Row],[Remark]],3)=".  ",LEFT(Calcs[[#This Row],[Remark]],LEN(Calcs[[#This Row],[Remark]])-3),Calcs[[#This Row],[Remark]]),"")</f>
        <v/>
      </c>
      <c r="AT8" s="96">
        <f t="shared" ca="1" si="3"/>
        <v>0</v>
      </c>
      <c r="AU8" s="102">
        <f t="shared" ca="1" si="3"/>
        <v>0</v>
      </c>
      <c r="AV8" s="102">
        <f t="shared" ca="1" si="3"/>
        <v>0</v>
      </c>
      <c r="AW8" s="102">
        <f t="shared" ca="1" si="3"/>
        <v>0</v>
      </c>
      <c r="AX8" s="102">
        <f t="shared" ca="1" si="3"/>
        <v>0</v>
      </c>
      <c r="AY8" s="102">
        <f t="shared" ca="1" si="3"/>
        <v>0</v>
      </c>
      <c r="AZ8" s="102">
        <f t="shared" ca="1" si="3"/>
        <v>0</v>
      </c>
      <c r="BA8" s="102">
        <f t="shared" ca="1" si="3"/>
        <v>0</v>
      </c>
      <c r="BB8" s="102">
        <f t="shared" ca="1" si="3"/>
        <v>0</v>
      </c>
      <c r="BC8" s="102">
        <f t="shared" ca="1" si="3"/>
        <v>0</v>
      </c>
      <c r="BD8" s="102">
        <f t="shared" ca="1" si="3"/>
        <v>0</v>
      </c>
      <c r="BE8" s="102">
        <f t="shared" ca="1" si="3"/>
        <v>0</v>
      </c>
      <c r="BF8" s="102">
        <f t="shared" ca="1" si="3"/>
        <v>0</v>
      </c>
      <c r="BG8" s="102">
        <f t="shared" ca="1" si="3"/>
        <v>0</v>
      </c>
      <c r="BH8" s="102">
        <f t="shared" ca="1" si="3"/>
        <v>0</v>
      </c>
      <c r="BI8" s="102">
        <f t="shared" ca="1" si="3"/>
        <v>0</v>
      </c>
      <c r="BJ8" s="102">
        <f t="shared" ca="1" si="4"/>
        <v>0</v>
      </c>
      <c r="BK8" s="102">
        <f t="shared" ca="1" si="4"/>
        <v>0</v>
      </c>
      <c r="BL8" s="102">
        <f t="shared" ca="1" si="4"/>
        <v>0</v>
      </c>
      <c r="BM8" s="102">
        <f t="shared" ca="1" si="4"/>
        <v>0</v>
      </c>
      <c r="BN8" s="102">
        <f t="shared" ca="1" si="4"/>
        <v>0</v>
      </c>
      <c r="BO8" s="102">
        <f t="shared" ca="1" si="4"/>
        <v>0</v>
      </c>
      <c r="BP8" s="102">
        <f t="shared" ca="1" si="4"/>
        <v>0</v>
      </c>
      <c r="BQ8" s="102">
        <f t="shared" ca="1" si="4"/>
        <v>0</v>
      </c>
      <c r="BR8" s="102">
        <f t="shared" ca="1" si="4"/>
        <v>0</v>
      </c>
      <c r="BS8" s="102">
        <f t="shared" ca="1" si="4"/>
        <v>0</v>
      </c>
      <c r="BT8" s="102">
        <f t="shared" ca="1" si="4"/>
        <v>0</v>
      </c>
      <c r="BU8" s="102">
        <f t="shared" ca="1" si="4"/>
        <v>0</v>
      </c>
      <c r="BV8" s="102">
        <f t="shared" ca="1" si="4"/>
        <v>0</v>
      </c>
      <c r="BW8" s="102">
        <f t="shared" ca="1" si="4"/>
        <v>0</v>
      </c>
      <c r="BX8" s="102">
        <f t="shared" ca="1" si="4"/>
        <v>0</v>
      </c>
      <c r="BY8" s="102">
        <f t="shared" ca="1" si="4"/>
        <v>0</v>
      </c>
      <c r="BZ8" s="98">
        <f t="shared" ca="1" si="5"/>
        <v>0</v>
      </c>
      <c r="CA8" s="102">
        <f t="shared" ca="1" si="5"/>
        <v>0</v>
      </c>
      <c r="CB8" s="102">
        <f t="shared" ca="1" si="5"/>
        <v>0</v>
      </c>
      <c r="CC8" s="102">
        <f t="shared" ca="1" si="5"/>
        <v>0</v>
      </c>
      <c r="CD8" s="102">
        <f t="shared" ca="1" si="5"/>
        <v>0</v>
      </c>
      <c r="CE8" s="102">
        <f t="shared" ca="1" si="5"/>
        <v>0</v>
      </c>
      <c r="CF8" s="102">
        <f t="shared" ca="1" si="5"/>
        <v>0</v>
      </c>
      <c r="CG8" s="102">
        <f t="shared" ca="1" si="5"/>
        <v>0</v>
      </c>
      <c r="CH8" s="101">
        <f ca="1">COUNTIF(BZ8:CG8,"&lt;"&amp;MAX(BZ8:CG8))+IF(Calcs[[#This Row],[RL1]]=0,0,1)</f>
        <v>0</v>
      </c>
      <c r="CI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c>
      <c r="CJ8" s="103">
        <f ca="1">IFERROR(OFFSET(CJ8,-1,0)+0,0)+IF(INDEX(INDIRECT(RangeContrQty),MATCH(Calcs[[#This Row],[Line]],OFFSET(Items[Line],0,0,ROW(Proposed[])-ROW(Items[])+ROWS(Proposed[]),1),0)),1,0)</f>
        <v>0</v>
      </c>
    </row>
    <row r="9" spans="1:88" x14ac:dyDescent="0.15">
      <c r="A9" s="6">
        <f ca="1">IFERROR(OFFSET(A9,-1,0)+0,0)+MAX(IF(LEN(Calcs[[#This Row],[Line]])&gt;0,1,0),Calcs[[#This Row],[DL]],Calcs[[#This Row],[RL]])</f>
        <v>9</v>
      </c>
      <c r="B9" s="94" t="str">
        <f ca="1">IFERROR(INDEX(OFFSET(Items[Line],0,0,ROW(Proposed[])-ROW(Items[])+ROWS(Proposed[]),1),MATCH(ROW(B9)-ROW(B$3),INDIRECT(RangeCount),0)),"")</f>
        <v>A0120</v>
      </c>
      <c r="C9" s="94" t="str">
        <f ca="1">IF(LEN(Calcs[[#This Row],[Line]])&gt;0,TRIM(IFERROR(INDEX(Items[Description],MATCH(Calcs[[#This Row],[Line]],Items[Line],0))&amp;INDEX(Items[Description2],MATCH(Calcs[[#This Row],[Line]],Items[Line],0)),INDEX(Proposed[Description],MATCH(Calcs[[#This Row],[Line]],Proposed[Line],0)))),"")</f>
        <v>CONTRACTOR TESTING</v>
      </c>
      <c r="D9" s="96">
        <f t="shared" ca="1" si="0"/>
        <v>11</v>
      </c>
      <c r="E9" s="97">
        <f t="shared" ca="1" si="0"/>
        <v>18</v>
      </c>
      <c r="F9" s="97">
        <f t="shared" ca="1" si="0"/>
        <v>18</v>
      </c>
      <c r="G9" s="97">
        <f t="shared" ca="1" si="0"/>
        <v>18</v>
      </c>
      <c r="H9" s="97">
        <f t="shared" ca="1" si="0"/>
        <v>18</v>
      </c>
      <c r="I9" s="97">
        <f t="shared" ca="1" si="0"/>
        <v>18</v>
      </c>
      <c r="J9" s="97">
        <f t="shared" ca="1" si="0"/>
        <v>18</v>
      </c>
      <c r="K9" s="97">
        <f t="shared" ca="1" si="0"/>
        <v>18</v>
      </c>
      <c r="L9" s="97">
        <f t="shared" ca="1" si="0"/>
        <v>18</v>
      </c>
      <c r="M9" s="97">
        <f t="shared" ca="1" si="0"/>
        <v>18</v>
      </c>
      <c r="N9" s="97">
        <f t="shared" ca="1" si="0"/>
        <v>18</v>
      </c>
      <c r="O9" s="97">
        <f t="shared" ca="1" si="0"/>
        <v>18</v>
      </c>
      <c r="P9" s="97">
        <f t="shared" ca="1" si="0"/>
        <v>18</v>
      </c>
      <c r="Q9" s="97">
        <f t="shared" ca="1" si="0"/>
        <v>18</v>
      </c>
      <c r="R9" s="97">
        <f t="shared" ca="1" si="0"/>
        <v>18</v>
      </c>
      <c r="S9" s="97">
        <f t="shared" ca="1" si="0"/>
        <v>18</v>
      </c>
      <c r="T9" s="97">
        <f t="shared" ca="1" si="1"/>
        <v>18</v>
      </c>
      <c r="U9" s="97">
        <f t="shared" ca="1" si="1"/>
        <v>18</v>
      </c>
      <c r="V9" s="97">
        <f t="shared" ca="1" si="1"/>
        <v>18</v>
      </c>
      <c r="W9" s="97">
        <f t="shared" ca="1" si="1"/>
        <v>18</v>
      </c>
      <c r="X9" s="97">
        <f t="shared" ca="1" si="1"/>
        <v>18</v>
      </c>
      <c r="Y9" s="97">
        <f t="shared" ca="1" si="1"/>
        <v>18</v>
      </c>
      <c r="Z9" s="97">
        <f t="shared" ca="1" si="1"/>
        <v>18</v>
      </c>
      <c r="AA9" s="97">
        <f t="shared" ca="1" si="1"/>
        <v>18</v>
      </c>
      <c r="AB9" s="97">
        <f t="shared" ca="1" si="1"/>
        <v>18</v>
      </c>
      <c r="AC9" s="97">
        <f t="shared" ca="1" si="1"/>
        <v>18</v>
      </c>
      <c r="AD9" s="97">
        <f t="shared" ca="1" si="1"/>
        <v>18</v>
      </c>
      <c r="AE9" s="97">
        <f t="shared" ca="1" si="1"/>
        <v>18</v>
      </c>
      <c r="AF9" s="97">
        <f t="shared" ca="1" si="1"/>
        <v>18</v>
      </c>
      <c r="AG9" s="97">
        <f t="shared" ca="1" si="1"/>
        <v>18</v>
      </c>
      <c r="AH9" s="97">
        <f t="shared" ca="1" si="1"/>
        <v>18</v>
      </c>
      <c r="AI9" s="97">
        <f t="shared" ca="1" si="1"/>
        <v>18</v>
      </c>
      <c r="AJ9" s="98">
        <f t="shared" ca="1" si="2"/>
        <v>18</v>
      </c>
      <c r="AK9" s="97">
        <f t="shared" ca="1" si="2"/>
        <v>18</v>
      </c>
      <c r="AL9" s="97">
        <f t="shared" ca="1" si="2"/>
        <v>18</v>
      </c>
      <c r="AM9" s="97">
        <f t="shared" ca="1" si="2"/>
        <v>18</v>
      </c>
      <c r="AN9" s="97">
        <f t="shared" ca="1" si="2"/>
        <v>18</v>
      </c>
      <c r="AO9" s="97">
        <f t="shared" ca="1" si="2"/>
        <v>18</v>
      </c>
      <c r="AP9" s="97">
        <f t="shared" ca="1" si="2"/>
        <v>18</v>
      </c>
      <c r="AQ9" s="97">
        <f t="shared" ca="1" si="2"/>
        <v>18</v>
      </c>
      <c r="AR9" s="99">
        <f ca="1">COUNTIF(AJ9:AQ9,"&lt;"&amp;MAX(AJ9:AQ9))+IF(Calcs[[#This Row],[DL1]]=0,0,1)</f>
        <v>1</v>
      </c>
      <c r="AS9" s="100" t="str">
        <f ca="1">IF(LEN(Calcs[[#This Row],[Line]])&gt;0,IF(RIGHT(Calcs[[#This Row],[Remark]],3)=".  ",LEFT(Calcs[[#This Row],[Remark]],LEN(Calcs[[#This Row],[Remark]])-3),Calcs[[#This Row],[Remark]]),"")</f>
        <v/>
      </c>
      <c r="AT9" s="96">
        <f t="shared" ca="1" si="3"/>
        <v>0</v>
      </c>
      <c r="AU9" s="102">
        <f t="shared" ca="1" si="3"/>
        <v>0</v>
      </c>
      <c r="AV9" s="102">
        <f t="shared" ca="1" si="3"/>
        <v>0</v>
      </c>
      <c r="AW9" s="102">
        <f t="shared" ca="1" si="3"/>
        <v>0</v>
      </c>
      <c r="AX9" s="102">
        <f t="shared" ca="1" si="3"/>
        <v>0</v>
      </c>
      <c r="AY9" s="102">
        <f t="shared" ca="1" si="3"/>
        <v>0</v>
      </c>
      <c r="AZ9" s="102">
        <f t="shared" ca="1" si="3"/>
        <v>0</v>
      </c>
      <c r="BA9" s="102">
        <f t="shared" ca="1" si="3"/>
        <v>0</v>
      </c>
      <c r="BB9" s="102">
        <f t="shared" ca="1" si="3"/>
        <v>0</v>
      </c>
      <c r="BC9" s="102">
        <f t="shared" ca="1" si="3"/>
        <v>0</v>
      </c>
      <c r="BD9" s="102">
        <f t="shared" ca="1" si="3"/>
        <v>0</v>
      </c>
      <c r="BE9" s="102">
        <f t="shared" ca="1" si="3"/>
        <v>0</v>
      </c>
      <c r="BF9" s="102">
        <f t="shared" ca="1" si="3"/>
        <v>0</v>
      </c>
      <c r="BG9" s="102">
        <f t="shared" ca="1" si="3"/>
        <v>0</v>
      </c>
      <c r="BH9" s="102">
        <f t="shared" ca="1" si="3"/>
        <v>0</v>
      </c>
      <c r="BI9" s="102">
        <f t="shared" ca="1" si="3"/>
        <v>0</v>
      </c>
      <c r="BJ9" s="102">
        <f t="shared" ca="1" si="4"/>
        <v>0</v>
      </c>
      <c r="BK9" s="102">
        <f t="shared" ca="1" si="4"/>
        <v>0</v>
      </c>
      <c r="BL9" s="102">
        <f t="shared" ca="1" si="4"/>
        <v>0</v>
      </c>
      <c r="BM9" s="102">
        <f t="shared" ca="1" si="4"/>
        <v>0</v>
      </c>
      <c r="BN9" s="102">
        <f t="shared" ca="1" si="4"/>
        <v>0</v>
      </c>
      <c r="BO9" s="102">
        <f t="shared" ca="1" si="4"/>
        <v>0</v>
      </c>
      <c r="BP9" s="102">
        <f t="shared" ca="1" si="4"/>
        <v>0</v>
      </c>
      <c r="BQ9" s="102">
        <f t="shared" ca="1" si="4"/>
        <v>0</v>
      </c>
      <c r="BR9" s="102">
        <f t="shared" ca="1" si="4"/>
        <v>0</v>
      </c>
      <c r="BS9" s="102">
        <f t="shared" ca="1" si="4"/>
        <v>0</v>
      </c>
      <c r="BT9" s="102">
        <f t="shared" ca="1" si="4"/>
        <v>0</v>
      </c>
      <c r="BU9" s="102">
        <f t="shared" ca="1" si="4"/>
        <v>0</v>
      </c>
      <c r="BV9" s="102">
        <f t="shared" ca="1" si="4"/>
        <v>0</v>
      </c>
      <c r="BW9" s="102">
        <f t="shared" ca="1" si="4"/>
        <v>0</v>
      </c>
      <c r="BX9" s="102">
        <f t="shared" ca="1" si="4"/>
        <v>0</v>
      </c>
      <c r="BY9" s="102">
        <f t="shared" ca="1" si="4"/>
        <v>0</v>
      </c>
      <c r="BZ9" s="98">
        <f t="shared" ca="1" si="5"/>
        <v>0</v>
      </c>
      <c r="CA9" s="102">
        <f t="shared" ca="1" si="5"/>
        <v>0</v>
      </c>
      <c r="CB9" s="102">
        <f t="shared" ca="1" si="5"/>
        <v>0</v>
      </c>
      <c r="CC9" s="102">
        <f t="shared" ca="1" si="5"/>
        <v>0</v>
      </c>
      <c r="CD9" s="102">
        <f t="shared" ca="1" si="5"/>
        <v>0</v>
      </c>
      <c r="CE9" s="102">
        <f t="shared" ca="1" si="5"/>
        <v>0</v>
      </c>
      <c r="CF9" s="102">
        <f t="shared" ca="1" si="5"/>
        <v>0</v>
      </c>
      <c r="CG9" s="102">
        <f t="shared" ca="1" si="5"/>
        <v>0</v>
      </c>
      <c r="CH9" s="101">
        <f ca="1">COUNTIF(BZ9:CG9,"&lt;"&amp;MAX(BZ9:CG9))+IF(Calcs[[#This Row],[RL1]]=0,0,1)</f>
        <v>0</v>
      </c>
      <c r="CI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c>
      <c r="CJ9" s="103">
        <f ca="1">IFERROR(OFFSET(CJ9,-1,0)+0,0)+IF(INDEX(INDIRECT(RangeContrQty),MATCH(Calcs[[#This Row],[Line]],OFFSET(Items[Line],0,0,ROW(Proposed[])-ROW(Items[])+ROWS(Proposed[]),1),0)),1,0)</f>
        <v>0</v>
      </c>
    </row>
    <row r="10" spans="1:88" x14ac:dyDescent="0.15">
      <c r="A10" s="6">
        <f ca="1">IFERROR(OFFSET(A10,-1,0)+0,0)+MAX(IF(LEN(Calcs[[#This Row],[Line]])&gt;0,1,0),Calcs[[#This Row],[DL]],Calcs[[#This Row],[RL]])</f>
        <v>10</v>
      </c>
      <c r="B10" s="94" t="str">
        <f ca="1">IFERROR(INDEX(OFFSET(Items[Line],0,0,ROW(Proposed[])-ROW(Items[])+ROWS(Proposed[]),1),MATCH(ROW(B10)-ROW(B$3),INDIRECT(RangeCount),0)),"")</f>
        <v>A0140</v>
      </c>
      <c r="C10" s="94" t="str">
        <f ca="1">IF(LEN(Calcs[[#This Row],[Line]])&gt;0,TRIM(IFERROR(INDEX(Items[Description],MATCH(Calcs[[#This Row],[Line]],Items[Line],0))&amp;INDEX(Items[Description2],MATCH(Calcs[[#This Row],[Line]],Items[Line],0)),INDEX(Proposed[Description],MATCH(Calcs[[#This Row],[Line]],Proposed[Line],0)))),"")</f>
        <v>CONSTRUCTION SCHEDULE</v>
      </c>
      <c r="D10" s="96">
        <f t="shared" ca="1" si="0"/>
        <v>13</v>
      </c>
      <c r="E10" s="97">
        <f t="shared" ca="1" si="0"/>
        <v>21</v>
      </c>
      <c r="F10" s="97">
        <f t="shared" ca="1" si="0"/>
        <v>21</v>
      </c>
      <c r="G10" s="97">
        <f t="shared" ca="1" si="0"/>
        <v>21</v>
      </c>
      <c r="H10" s="97">
        <f t="shared" ca="1" si="0"/>
        <v>21</v>
      </c>
      <c r="I10" s="97">
        <f t="shared" ca="1" si="0"/>
        <v>21</v>
      </c>
      <c r="J10" s="97">
        <f t="shared" ca="1" si="0"/>
        <v>21</v>
      </c>
      <c r="K10" s="97">
        <f t="shared" ca="1" si="0"/>
        <v>21</v>
      </c>
      <c r="L10" s="97">
        <f t="shared" ca="1" si="0"/>
        <v>21</v>
      </c>
      <c r="M10" s="97">
        <f t="shared" ca="1" si="0"/>
        <v>21</v>
      </c>
      <c r="N10" s="97">
        <f t="shared" ca="1" si="0"/>
        <v>21</v>
      </c>
      <c r="O10" s="97">
        <f t="shared" ca="1" si="0"/>
        <v>21</v>
      </c>
      <c r="P10" s="97">
        <f t="shared" ca="1" si="0"/>
        <v>21</v>
      </c>
      <c r="Q10" s="97">
        <f t="shared" ca="1" si="0"/>
        <v>21</v>
      </c>
      <c r="R10" s="97">
        <f t="shared" ca="1" si="0"/>
        <v>21</v>
      </c>
      <c r="S10" s="97">
        <f t="shared" ca="1" si="0"/>
        <v>21</v>
      </c>
      <c r="T10" s="97">
        <f t="shared" ca="1" si="1"/>
        <v>21</v>
      </c>
      <c r="U10" s="97">
        <f t="shared" ca="1" si="1"/>
        <v>21</v>
      </c>
      <c r="V10" s="97">
        <f t="shared" ca="1" si="1"/>
        <v>21</v>
      </c>
      <c r="W10" s="97">
        <f t="shared" ca="1" si="1"/>
        <v>21</v>
      </c>
      <c r="X10" s="97">
        <f t="shared" ca="1" si="1"/>
        <v>21</v>
      </c>
      <c r="Y10" s="97">
        <f t="shared" ca="1" si="1"/>
        <v>21</v>
      </c>
      <c r="Z10" s="97">
        <f t="shared" ca="1" si="1"/>
        <v>21</v>
      </c>
      <c r="AA10" s="97">
        <f t="shared" ca="1" si="1"/>
        <v>21</v>
      </c>
      <c r="AB10" s="97">
        <f t="shared" ca="1" si="1"/>
        <v>21</v>
      </c>
      <c r="AC10" s="97">
        <f t="shared" ca="1" si="1"/>
        <v>21</v>
      </c>
      <c r="AD10" s="97">
        <f t="shared" ca="1" si="1"/>
        <v>21</v>
      </c>
      <c r="AE10" s="97">
        <f t="shared" ca="1" si="1"/>
        <v>21</v>
      </c>
      <c r="AF10" s="97">
        <f t="shared" ca="1" si="1"/>
        <v>21</v>
      </c>
      <c r="AG10" s="97">
        <f t="shared" ca="1" si="1"/>
        <v>21</v>
      </c>
      <c r="AH10" s="97">
        <f t="shared" ca="1" si="1"/>
        <v>21</v>
      </c>
      <c r="AI10" s="97">
        <f t="shared" ca="1" si="1"/>
        <v>21</v>
      </c>
      <c r="AJ10" s="98">
        <f t="shared" ca="1" si="2"/>
        <v>21</v>
      </c>
      <c r="AK10" s="97">
        <f t="shared" ca="1" si="2"/>
        <v>21</v>
      </c>
      <c r="AL10" s="97">
        <f t="shared" ca="1" si="2"/>
        <v>21</v>
      </c>
      <c r="AM10" s="97">
        <f t="shared" ca="1" si="2"/>
        <v>21</v>
      </c>
      <c r="AN10" s="97">
        <f t="shared" ca="1" si="2"/>
        <v>21</v>
      </c>
      <c r="AO10" s="97">
        <f t="shared" ca="1" si="2"/>
        <v>21</v>
      </c>
      <c r="AP10" s="97">
        <f t="shared" ca="1" si="2"/>
        <v>21</v>
      </c>
      <c r="AQ10" s="97">
        <f t="shared" ca="1" si="2"/>
        <v>21</v>
      </c>
      <c r="AR10" s="99">
        <f ca="1">COUNTIF(AJ10:AQ10,"&lt;"&amp;MAX(AJ10:AQ10))+IF(Calcs[[#This Row],[DL1]]=0,0,1)</f>
        <v>1</v>
      </c>
      <c r="AS10" s="100" t="str">
        <f ca="1">IF(LEN(Calcs[[#This Row],[Line]])&gt;0,IF(RIGHT(Calcs[[#This Row],[Remark]],3)=".  ",LEFT(Calcs[[#This Row],[Remark]],LEN(Calcs[[#This Row],[Remark]])-3),Calcs[[#This Row],[Remark]]),"")</f>
        <v/>
      </c>
      <c r="AT10" s="96">
        <f t="shared" ca="1" si="3"/>
        <v>0</v>
      </c>
      <c r="AU10" s="102">
        <f t="shared" ca="1" si="3"/>
        <v>0</v>
      </c>
      <c r="AV10" s="102">
        <f t="shared" ca="1" si="3"/>
        <v>0</v>
      </c>
      <c r="AW10" s="102">
        <f t="shared" ca="1" si="3"/>
        <v>0</v>
      </c>
      <c r="AX10" s="102">
        <f t="shared" ca="1" si="3"/>
        <v>0</v>
      </c>
      <c r="AY10" s="102">
        <f t="shared" ca="1" si="3"/>
        <v>0</v>
      </c>
      <c r="AZ10" s="102">
        <f t="shared" ca="1" si="3"/>
        <v>0</v>
      </c>
      <c r="BA10" s="102">
        <f t="shared" ca="1" si="3"/>
        <v>0</v>
      </c>
      <c r="BB10" s="102">
        <f t="shared" ca="1" si="3"/>
        <v>0</v>
      </c>
      <c r="BC10" s="102">
        <f t="shared" ca="1" si="3"/>
        <v>0</v>
      </c>
      <c r="BD10" s="102">
        <f t="shared" ca="1" si="3"/>
        <v>0</v>
      </c>
      <c r="BE10" s="102">
        <f t="shared" ca="1" si="3"/>
        <v>0</v>
      </c>
      <c r="BF10" s="102">
        <f t="shared" ca="1" si="3"/>
        <v>0</v>
      </c>
      <c r="BG10" s="102">
        <f t="shared" ca="1" si="3"/>
        <v>0</v>
      </c>
      <c r="BH10" s="102">
        <f t="shared" ca="1" si="3"/>
        <v>0</v>
      </c>
      <c r="BI10" s="102">
        <f t="shared" ca="1" si="3"/>
        <v>0</v>
      </c>
      <c r="BJ10" s="102">
        <f t="shared" ca="1" si="4"/>
        <v>0</v>
      </c>
      <c r="BK10" s="102">
        <f t="shared" ca="1" si="4"/>
        <v>0</v>
      </c>
      <c r="BL10" s="102">
        <f t="shared" ca="1" si="4"/>
        <v>0</v>
      </c>
      <c r="BM10" s="102">
        <f t="shared" ca="1" si="4"/>
        <v>0</v>
      </c>
      <c r="BN10" s="102">
        <f t="shared" ca="1" si="4"/>
        <v>0</v>
      </c>
      <c r="BO10" s="102">
        <f t="shared" ca="1" si="4"/>
        <v>0</v>
      </c>
      <c r="BP10" s="102">
        <f t="shared" ca="1" si="4"/>
        <v>0</v>
      </c>
      <c r="BQ10" s="102">
        <f t="shared" ca="1" si="4"/>
        <v>0</v>
      </c>
      <c r="BR10" s="102">
        <f t="shared" ca="1" si="4"/>
        <v>0</v>
      </c>
      <c r="BS10" s="102">
        <f t="shared" ca="1" si="4"/>
        <v>0</v>
      </c>
      <c r="BT10" s="102">
        <f t="shared" ca="1" si="4"/>
        <v>0</v>
      </c>
      <c r="BU10" s="102">
        <f t="shared" ca="1" si="4"/>
        <v>0</v>
      </c>
      <c r="BV10" s="102">
        <f t="shared" ca="1" si="4"/>
        <v>0</v>
      </c>
      <c r="BW10" s="102">
        <f t="shared" ca="1" si="4"/>
        <v>0</v>
      </c>
      <c r="BX10" s="102">
        <f t="shared" ca="1" si="4"/>
        <v>0</v>
      </c>
      <c r="BY10" s="102">
        <f t="shared" ca="1" si="4"/>
        <v>0</v>
      </c>
      <c r="BZ10" s="98">
        <f t="shared" ca="1" si="5"/>
        <v>0</v>
      </c>
      <c r="CA10" s="102">
        <f t="shared" ca="1" si="5"/>
        <v>0</v>
      </c>
      <c r="CB10" s="102">
        <f t="shared" ca="1" si="5"/>
        <v>0</v>
      </c>
      <c r="CC10" s="102">
        <f t="shared" ca="1" si="5"/>
        <v>0</v>
      </c>
      <c r="CD10" s="102">
        <f t="shared" ca="1" si="5"/>
        <v>0</v>
      </c>
      <c r="CE10" s="102">
        <f t="shared" ca="1" si="5"/>
        <v>0</v>
      </c>
      <c r="CF10" s="102">
        <f t="shared" ca="1" si="5"/>
        <v>0</v>
      </c>
      <c r="CG10" s="102">
        <f t="shared" ca="1" si="5"/>
        <v>0</v>
      </c>
      <c r="CH10" s="101">
        <f ca="1">COUNTIF(BZ10:CG10,"&lt;"&amp;MAX(BZ10:CG10))+IF(Calcs[[#This Row],[RL1]]=0,0,1)</f>
        <v>0</v>
      </c>
      <c r="CI1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c>
      <c r="CJ10" s="103">
        <f ca="1">IFERROR(OFFSET(CJ10,-1,0)+0,0)+IF(INDEX(INDIRECT(RangeContrQty),MATCH(Calcs[[#This Row],[Line]],OFFSET(Items[Line],0,0,ROW(Proposed[])-ROW(Items[])+ROWS(Proposed[]),1),0)),1,0)</f>
        <v>0</v>
      </c>
    </row>
    <row r="11" spans="1:88" x14ac:dyDescent="0.15">
      <c r="A11" s="6">
        <f ca="1">IFERROR(OFFSET(A11,-1,0)+0,0)+MAX(IF(LEN(Calcs[[#This Row],[Line]])&gt;0,1,0),Calcs[[#This Row],[DL]],Calcs[[#This Row],[RL]])</f>
        <v>10</v>
      </c>
      <c r="B11" s="94" t="str">
        <f ca="1">IFERROR(INDEX(OFFSET(Items[Line],0,0,ROW(Proposed[])-ROW(Items[])+ROWS(Proposed[]),1),MATCH(ROW(B11)-ROW(B$3),INDIRECT(RangeCount),0)),"")</f>
        <v/>
      </c>
      <c r="C11" s="94" t="str">
        <f ca="1">IF(LEN(Calcs[[#This Row],[Line]])&gt;0,TRIM(IFERROR(INDEX(Items[Description],MATCH(Calcs[[#This Row],[Line]],Items[Line],0))&amp;INDEX(Items[Description2],MATCH(Calcs[[#This Row],[Line]],Items[Line],0)),INDEX(Proposed[Description],MATCH(Calcs[[#This Row],[Line]],Proposed[Line],0)))),"")</f>
        <v/>
      </c>
      <c r="D11" s="96">
        <f t="shared" ca="1" si="0"/>
        <v>0</v>
      </c>
      <c r="E11" s="97">
        <f t="shared" ca="1" si="0"/>
        <v>0</v>
      </c>
      <c r="F11" s="97">
        <f t="shared" ca="1" si="0"/>
        <v>0</v>
      </c>
      <c r="G11" s="97">
        <f t="shared" ca="1" si="0"/>
        <v>0</v>
      </c>
      <c r="H11" s="97">
        <f t="shared" ca="1" si="0"/>
        <v>0</v>
      </c>
      <c r="I11" s="97">
        <f t="shared" ca="1" si="0"/>
        <v>0</v>
      </c>
      <c r="J11" s="97">
        <f t="shared" ca="1" si="0"/>
        <v>0</v>
      </c>
      <c r="K11" s="97">
        <f t="shared" ca="1" si="0"/>
        <v>0</v>
      </c>
      <c r="L11" s="97">
        <f t="shared" ca="1" si="0"/>
        <v>0</v>
      </c>
      <c r="M11" s="97">
        <f t="shared" ca="1" si="0"/>
        <v>0</v>
      </c>
      <c r="N11" s="97">
        <f t="shared" ca="1" si="0"/>
        <v>0</v>
      </c>
      <c r="O11" s="97">
        <f t="shared" ca="1" si="0"/>
        <v>0</v>
      </c>
      <c r="P11" s="97">
        <f t="shared" ca="1" si="0"/>
        <v>0</v>
      </c>
      <c r="Q11" s="97">
        <f t="shared" ca="1" si="0"/>
        <v>0</v>
      </c>
      <c r="R11" s="97">
        <f t="shared" ca="1" si="0"/>
        <v>0</v>
      </c>
      <c r="S11" s="97">
        <f t="shared" ca="1" si="0"/>
        <v>0</v>
      </c>
      <c r="T11" s="97">
        <f t="shared" ca="1" si="1"/>
        <v>0</v>
      </c>
      <c r="U11" s="97">
        <f t="shared" ca="1" si="1"/>
        <v>0</v>
      </c>
      <c r="V11" s="97">
        <f t="shared" ca="1" si="1"/>
        <v>0</v>
      </c>
      <c r="W11" s="97">
        <f t="shared" ca="1" si="1"/>
        <v>0</v>
      </c>
      <c r="X11" s="97">
        <f t="shared" ca="1" si="1"/>
        <v>0</v>
      </c>
      <c r="Y11" s="97">
        <f t="shared" ca="1" si="1"/>
        <v>0</v>
      </c>
      <c r="Z11" s="97">
        <f t="shared" ca="1" si="1"/>
        <v>0</v>
      </c>
      <c r="AA11" s="97">
        <f t="shared" ca="1" si="1"/>
        <v>0</v>
      </c>
      <c r="AB11" s="97">
        <f t="shared" ca="1" si="1"/>
        <v>0</v>
      </c>
      <c r="AC11" s="97">
        <f t="shared" ca="1" si="1"/>
        <v>0</v>
      </c>
      <c r="AD11" s="97">
        <f t="shared" ca="1" si="1"/>
        <v>0</v>
      </c>
      <c r="AE11" s="97">
        <f t="shared" ca="1" si="1"/>
        <v>0</v>
      </c>
      <c r="AF11" s="97">
        <f t="shared" ca="1" si="1"/>
        <v>0</v>
      </c>
      <c r="AG11" s="97">
        <f t="shared" ca="1" si="1"/>
        <v>0</v>
      </c>
      <c r="AH11" s="97">
        <f t="shared" ca="1" si="1"/>
        <v>0</v>
      </c>
      <c r="AI11" s="97">
        <f t="shared" ca="1" si="1"/>
        <v>0</v>
      </c>
      <c r="AJ11" s="98">
        <f t="shared" ca="1" si="2"/>
        <v>0</v>
      </c>
      <c r="AK11" s="97">
        <f t="shared" ca="1" si="2"/>
        <v>0</v>
      </c>
      <c r="AL11" s="97">
        <f t="shared" ca="1" si="2"/>
        <v>0</v>
      </c>
      <c r="AM11" s="97">
        <f t="shared" ca="1" si="2"/>
        <v>0</v>
      </c>
      <c r="AN11" s="97">
        <f t="shared" ca="1" si="2"/>
        <v>0</v>
      </c>
      <c r="AO11" s="97">
        <f t="shared" ca="1" si="2"/>
        <v>0</v>
      </c>
      <c r="AP11" s="97">
        <f t="shared" ca="1" si="2"/>
        <v>0</v>
      </c>
      <c r="AQ11" s="97">
        <f t="shared" ca="1" si="2"/>
        <v>0</v>
      </c>
      <c r="AR11" s="99">
        <f ca="1">COUNTIF(AJ11:AQ11,"&lt;"&amp;MAX(AJ11:AQ11))+IF(Calcs[[#This Row],[DL1]]=0,0,1)</f>
        <v>0</v>
      </c>
      <c r="AS11" s="100" t="str">
        <f ca="1">IF(LEN(Calcs[[#This Row],[Line]])&gt;0,IF(RIGHT(Calcs[[#This Row],[Remark]],3)=".  ",LEFT(Calcs[[#This Row],[Remark]],LEN(Calcs[[#This Row],[Remark]])-3),Calcs[[#This Row],[Remark]]),"")</f>
        <v/>
      </c>
      <c r="AT11" s="96">
        <f t="shared" ca="1" si="3"/>
        <v>0</v>
      </c>
      <c r="AU11" s="102">
        <f t="shared" ca="1" si="3"/>
        <v>0</v>
      </c>
      <c r="AV11" s="102">
        <f t="shared" ca="1" si="3"/>
        <v>0</v>
      </c>
      <c r="AW11" s="102">
        <f t="shared" ca="1" si="3"/>
        <v>0</v>
      </c>
      <c r="AX11" s="102">
        <f t="shared" ca="1" si="3"/>
        <v>0</v>
      </c>
      <c r="AY11" s="102">
        <f t="shared" ca="1" si="3"/>
        <v>0</v>
      </c>
      <c r="AZ11" s="102">
        <f t="shared" ca="1" si="3"/>
        <v>0</v>
      </c>
      <c r="BA11" s="102">
        <f t="shared" ca="1" si="3"/>
        <v>0</v>
      </c>
      <c r="BB11" s="102">
        <f t="shared" ca="1" si="3"/>
        <v>0</v>
      </c>
      <c r="BC11" s="102">
        <f t="shared" ca="1" si="3"/>
        <v>0</v>
      </c>
      <c r="BD11" s="102">
        <f t="shared" ca="1" si="3"/>
        <v>0</v>
      </c>
      <c r="BE11" s="102">
        <f t="shared" ca="1" si="3"/>
        <v>0</v>
      </c>
      <c r="BF11" s="102">
        <f t="shared" ca="1" si="3"/>
        <v>0</v>
      </c>
      <c r="BG11" s="102">
        <f t="shared" ca="1" si="3"/>
        <v>0</v>
      </c>
      <c r="BH11" s="102">
        <f t="shared" ca="1" si="3"/>
        <v>0</v>
      </c>
      <c r="BI11" s="102">
        <f t="shared" ca="1" si="3"/>
        <v>0</v>
      </c>
      <c r="BJ11" s="102">
        <f t="shared" ca="1" si="4"/>
        <v>0</v>
      </c>
      <c r="BK11" s="102">
        <f t="shared" ca="1" si="4"/>
        <v>0</v>
      </c>
      <c r="BL11" s="102">
        <f t="shared" ca="1" si="4"/>
        <v>0</v>
      </c>
      <c r="BM11" s="102">
        <f t="shared" ca="1" si="4"/>
        <v>0</v>
      </c>
      <c r="BN11" s="102">
        <f t="shared" ca="1" si="4"/>
        <v>0</v>
      </c>
      <c r="BO11" s="102">
        <f t="shared" ca="1" si="4"/>
        <v>0</v>
      </c>
      <c r="BP11" s="102">
        <f t="shared" ca="1" si="4"/>
        <v>0</v>
      </c>
      <c r="BQ11" s="102">
        <f t="shared" ca="1" si="4"/>
        <v>0</v>
      </c>
      <c r="BR11" s="102">
        <f t="shared" ca="1" si="4"/>
        <v>0</v>
      </c>
      <c r="BS11" s="102">
        <f t="shared" ca="1" si="4"/>
        <v>0</v>
      </c>
      <c r="BT11" s="102">
        <f t="shared" ca="1" si="4"/>
        <v>0</v>
      </c>
      <c r="BU11" s="102">
        <f t="shared" ca="1" si="4"/>
        <v>0</v>
      </c>
      <c r="BV11" s="102">
        <f t="shared" ca="1" si="4"/>
        <v>0</v>
      </c>
      <c r="BW11" s="102">
        <f t="shared" ca="1" si="4"/>
        <v>0</v>
      </c>
      <c r="BX11" s="102">
        <f t="shared" ca="1" si="4"/>
        <v>0</v>
      </c>
      <c r="BY11" s="102">
        <f t="shared" ca="1" si="4"/>
        <v>0</v>
      </c>
      <c r="BZ11" s="98">
        <f t="shared" ca="1" si="5"/>
        <v>0</v>
      </c>
      <c r="CA11" s="102">
        <f t="shared" ca="1" si="5"/>
        <v>0</v>
      </c>
      <c r="CB11" s="102">
        <f t="shared" ca="1" si="5"/>
        <v>0</v>
      </c>
      <c r="CC11" s="102">
        <f t="shared" ca="1" si="5"/>
        <v>0</v>
      </c>
      <c r="CD11" s="102">
        <f t="shared" ca="1" si="5"/>
        <v>0</v>
      </c>
      <c r="CE11" s="102">
        <f t="shared" ca="1" si="5"/>
        <v>0</v>
      </c>
      <c r="CF11" s="102">
        <f t="shared" ca="1" si="5"/>
        <v>0</v>
      </c>
      <c r="CG11" s="102">
        <f t="shared" ca="1" si="5"/>
        <v>0</v>
      </c>
      <c r="CH11" s="101">
        <f ca="1">COUNTIF(BZ11:CG11,"&lt;"&amp;MAX(BZ11:CG11))+IF(Calcs[[#This Row],[RL1]]=0,0,1)</f>
        <v>0</v>
      </c>
      <c r="CI1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 s="103">
        <f ca="1">IFERROR(OFFSET(CJ11,-1,0)+0,0)+IF(INDEX(INDIRECT(RangeContrQty),MATCH(Calcs[[#This Row],[Line]],OFFSET(Items[Line],0,0,ROW(Proposed[])-ROW(Items[])+ROWS(Proposed[]),1),0)),1,0)</f>
        <v>0</v>
      </c>
    </row>
    <row r="12" spans="1:88" x14ac:dyDescent="0.15">
      <c r="A12" s="6">
        <f ca="1">IFERROR(OFFSET(A12,-1,0)+0,0)+MAX(IF(LEN(Calcs[[#This Row],[Line]])&gt;0,1,0),Calcs[[#This Row],[DL]],Calcs[[#This Row],[RL]])</f>
        <v>10</v>
      </c>
      <c r="B12" s="94" t="str">
        <f ca="1">IFERROR(INDEX(OFFSET(Items[Line],0,0,ROW(Proposed[])-ROW(Items[])+ROWS(Proposed[]),1),MATCH(ROW(B12)-ROW(B$3),INDIRECT(RangeCount),0)),"")</f>
        <v/>
      </c>
      <c r="C12" s="94" t="str">
        <f ca="1">IF(LEN(Calcs[[#This Row],[Line]])&gt;0,TRIM(IFERROR(INDEX(Items[Description],MATCH(Calcs[[#This Row],[Line]],Items[Line],0))&amp;INDEX(Items[Description2],MATCH(Calcs[[#This Row],[Line]],Items[Line],0)),INDEX(Proposed[Description],MATCH(Calcs[[#This Row],[Line]],Proposed[Line],0)))),"")</f>
        <v/>
      </c>
      <c r="D12" s="96">
        <f t="shared" ca="1" si="0"/>
        <v>0</v>
      </c>
      <c r="E12" s="97">
        <f t="shared" ca="1" si="0"/>
        <v>0</v>
      </c>
      <c r="F12" s="97">
        <f t="shared" ca="1" si="0"/>
        <v>0</v>
      </c>
      <c r="G12" s="97">
        <f t="shared" ca="1" si="0"/>
        <v>0</v>
      </c>
      <c r="H12" s="97">
        <f t="shared" ca="1" si="0"/>
        <v>0</v>
      </c>
      <c r="I12" s="97">
        <f t="shared" ca="1" si="0"/>
        <v>0</v>
      </c>
      <c r="J12" s="97">
        <f t="shared" ca="1" si="0"/>
        <v>0</v>
      </c>
      <c r="K12" s="97">
        <f t="shared" ca="1" si="0"/>
        <v>0</v>
      </c>
      <c r="L12" s="97">
        <f t="shared" ca="1" si="0"/>
        <v>0</v>
      </c>
      <c r="M12" s="97">
        <f t="shared" ca="1" si="0"/>
        <v>0</v>
      </c>
      <c r="N12" s="97">
        <f t="shared" ca="1" si="0"/>
        <v>0</v>
      </c>
      <c r="O12" s="97">
        <f t="shared" ca="1" si="0"/>
        <v>0</v>
      </c>
      <c r="P12" s="97">
        <f t="shared" ca="1" si="0"/>
        <v>0</v>
      </c>
      <c r="Q12" s="97">
        <f t="shared" ca="1" si="0"/>
        <v>0</v>
      </c>
      <c r="R12" s="97">
        <f t="shared" ca="1" si="0"/>
        <v>0</v>
      </c>
      <c r="S12" s="97">
        <f t="shared" ca="1" si="0"/>
        <v>0</v>
      </c>
      <c r="T12" s="97">
        <f t="shared" ca="1" si="1"/>
        <v>0</v>
      </c>
      <c r="U12" s="97">
        <f t="shared" ca="1" si="1"/>
        <v>0</v>
      </c>
      <c r="V12" s="97">
        <f t="shared" ca="1" si="1"/>
        <v>0</v>
      </c>
      <c r="W12" s="97">
        <f t="shared" ca="1" si="1"/>
        <v>0</v>
      </c>
      <c r="X12" s="97">
        <f t="shared" ca="1" si="1"/>
        <v>0</v>
      </c>
      <c r="Y12" s="97">
        <f t="shared" ca="1" si="1"/>
        <v>0</v>
      </c>
      <c r="Z12" s="97">
        <f t="shared" ca="1" si="1"/>
        <v>0</v>
      </c>
      <c r="AA12" s="97">
        <f t="shared" ca="1" si="1"/>
        <v>0</v>
      </c>
      <c r="AB12" s="97">
        <f t="shared" ca="1" si="1"/>
        <v>0</v>
      </c>
      <c r="AC12" s="97">
        <f t="shared" ca="1" si="1"/>
        <v>0</v>
      </c>
      <c r="AD12" s="97">
        <f t="shared" ca="1" si="1"/>
        <v>0</v>
      </c>
      <c r="AE12" s="97">
        <f t="shared" ca="1" si="1"/>
        <v>0</v>
      </c>
      <c r="AF12" s="97">
        <f t="shared" ca="1" si="1"/>
        <v>0</v>
      </c>
      <c r="AG12" s="97">
        <f t="shared" ca="1" si="1"/>
        <v>0</v>
      </c>
      <c r="AH12" s="97">
        <f t="shared" ca="1" si="1"/>
        <v>0</v>
      </c>
      <c r="AI12" s="97">
        <f t="shared" ca="1" si="1"/>
        <v>0</v>
      </c>
      <c r="AJ12" s="98">
        <f t="shared" ca="1" si="2"/>
        <v>0</v>
      </c>
      <c r="AK12" s="97">
        <f t="shared" ca="1" si="2"/>
        <v>0</v>
      </c>
      <c r="AL12" s="97">
        <f t="shared" ca="1" si="2"/>
        <v>0</v>
      </c>
      <c r="AM12" s="97">
        <f t="shared" ca="1" si="2"/>
        <v>0</v>
      </c>
      <c r="AN12" s="97">
        <f t="shared" ca="1" si="2"/>
        <v>0</v>
      </c>
      <c r="AO12" s="97">
        <f t="shared" ca="1" si="2"/>
        <v>0</v>
      </c>
      <c r="AP12" s="97">
        <f t="shared" ca="1" si="2"/>
        <v>0</v>
      </c>
      <c r="AQ12" s="97">
        <f t="shared" ca="1" si="2"/>
        <v>0</v>
      </c>
      <c r="AR12" s="99">
        <f ca="1">COUNTIF(AJ12:AQ12,"&lt;"&amp;MAX(AJ12:AQ12))+IF(Calcs[[#This Row],[DL1]]=0,0,1)</f>
        <v>0</v>
      </c>
      <c r="AS12" s="100" t="str">
        <f ca="1">IF(LEN(Calcs[[#This Row],[Line]])&gt;0,IF(RIGHT(Calcs[[#This Row],[Remark]],3)=".  ",LEFT(Calcs[[#This Row],[Remark]],LEN(Calcs[[#This Row],[Remark]])-3),Calcs[[#This Row],[Remark]]),"")</f>
        <v/>
      </c>
      <c r="AT12" s="96">
        <f t="shared" ca="1" si="3"/>
        <v>0</v>
      </c>
      <c r="AU12" s="102">
        <f t="shared" ca="1" si="3"/>
        <v>0</v>
      </c>
      <c r="AV12" s="102">
        <f t="shared" ca="1" si="3"/>
        <v>0</v>
      </c>
      <c r="AW12" s="102">
        <f t="shared" ca="1" si="3"/>
        <v>0</v>
      </c>
      <c r="AX12" s="102">
        <f t="shared" ca="1" si="3"/>
        <v>0</v>
      </c>
      <c r="AY12" s="102">
        <f t="shared" ca="1" si="3"/>
        <v>0</v>
      </c>
      <c r="AZ12" s="102">
        <f t="shared" ca="1" si="3"/>
        <v>0</v>
      </c>
      <c r="BA12" s="102">
        <f t="shared" ca="1" si="3"/>
        <v>0</v>
      </c>
      <c r="BB12" s="102">
        <f t="shared" ca="1" si="3"/>
        <v>0</v>
      </c>
      <c r="BC12" s="102">
        <f t="shared" ca="1" si="3"/>
        <v>0</v>
      </c>
      <c r="BD12" s="102">
        <f t="shared" ca="1" si="3"/>
        <v>0</v>
      </c>
      <c r="BE12" s="102">
        <f t="shared" ca="1" si="3"/>
        <v>0</v>
      </c>
      <c r="BF12" s="102">
        <f t="shared" ca="1" si="3"/>
        <v>0</v>
      </c>
      <c r="BG12" s="102">
        <f t="shared" ca="1" si="3"/>
        <v>0</v>
      </c>
      <c r="BH12" s="102">
        <f t="shared" ca="1" si="3"/>
        <v>0</v>
      </c>
      <c r="BI12" s="102">
        <f t="shared" ca="1" si="3"/>
        <v>0</v>
      </c>
      <c r="BJ12" s="102">
        <f t="shared" ca="1" si="4"/>
        <v>0</v>
      </c>
      <c r="BK12" s="102">
        <f t="shared" ca="1" si="4"/>
        <v>0</v>
      </c>
      <c r="BL12" s="102">
        <f t="shared" ca="1" si="4"/>
        <v>0</v>
      </c>
      <c r="BM12" s="102">
        <f t="shared" ca="1" si="4"/>
        <v>0</v>
      </c>
      <c r="BN12" s="102">
        <f t="shared" ca="1" si="4"/>
        <v>0</v>
      </c>
      <c r="BO12" s="102">
        <f t="shared" ca="1" si="4"/>
        <v>0</v>
      </c>
      <c r="BP12" s="102">
        <f t="shared" ca="1" si="4"/>
        <v>0</v>
      </c>
      <c r="BQ12" s="102">
        <f t="shared" ca="1" si="4"/>
        <v>0</v>
      </c>
      <c r="BR12" s="102">
        <f t="shared" ca="1" si="4"/>
        <v>0</v>
      </c>
      <c r="BS12" s="102">
        <f t="shared" ca="1" si="4"/>
        <v>0</v>
      </c>
      <c r="BT12" s="102">
        <f t="shared" ca="1" si="4"/>
        <v>0</v>
      </c>
      <c r="BU12" s="102">
        <f t="shared" ca="1" si="4"/>
        <v>0</v>
      </c>
      <c r="BV12" s="102">
        <f t="shared" ca="1" si="4"/>
        <v>0</v>
      </c>
      <c r="BW12" s="102">
        <f t="shared" ca="1" si="4"/>
        <v>0</v>
      </c>
      <c r="BX12" s="102">
        <f t="shared" ca="1" si="4"/>
        <v>0</v>
      </c>
      <c r="BY12" s="102">
        <f t="shared" ca="1" si="4"/>
        <v>0</v>
      </c>
      <c r="BZ12" s="98">
        <f t="shared" ca="1" si="5"/>
        <v>0</v>
      </c>
      <c r="CA12" s="102">
        <f t="shared" ca="1" si="5"/>
        <v>0</v>
      </c>
      <c r="CB12" s="102">
        <f t="shared" ca="1" si="5"/>
        <v>0</v>
      </c>
      <c r="CC12" s="102">
        <f t="shared" ca="1" si="5"/>
        <v>0</v>
      </c>
      <c r="CD12" s="102">
        <f t="shared" ca="1" si="5"/>
        <v>0</v>
      </c>
      <c r="CE12" s="102">
        <f t="shared" ca="1" si="5"/>
        <v>0</v>
      </c>
      <c r="CF12" s="102">
        <f t="shared" ca="1" si="5"/>
        <v>0</v>
      </c>
      <c r="CG12" s="102">
        <f t="shared" ca="1" si="5"/>
        <v>0</v>
      </c>
      <c r="CH12" s="101">
        <f ca="1">COUNTIF(BZ12:CG12,"&lt;"&amp;MAX(BZ12:CG12))+IF(Calcs[[#This Row],[RL1]]=0,0,1)</f>
        <v>0</v>
      </c>
      <c r="CI1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 s="103">
        <f ca="1">IFERROR(OFFSET(CJ12,-1,0)+0,0)+IF(INDEX(INDIRECT(RangeContrQty),MATCH(Calcs[[#This Row],[Line]],OFFSET(Items[Line],0,0,ROW(Proposed[])-ROW(Items[])+ROWS(Proposed[]),1),0)),1,0)</f>
        <v>0</v>
      </c>
    </row>
    <row r="13" spans="1:88" x14ac:dyDescent="0.15">
      <c r="A13" s="6">
        <f ca="1">IFERROR(OFFSET(A13,-1,0)+0,0)+MAX(IF(LEN(Calcs[[#This Row],[Line]])&gt;0,1,0),Calcs[[#This Row],[DL]],Calcs[[#This Row],[RL]])</f>
        <v>10</v>
      </c>
      <c r="B13" s="94" t="str">
        <f ca="1">IFERROR(INDEX(OFFSET(Items[Line],0,0,ROW(Proposed[])-ROW(Items[])+ROWS(Proposed[]),1),MATCH(ROW(B13)-ROW(B$3),INDIRECT(RangeCount),0)),"")</f>
        <v/>
      </c>
      <c r="C13" s="94" t="str">
        <f ca="1">IF(LEN(Calcs[[#This Row],[Line]])&gt;0,TRIM(IFERROR(INDEX(Items[Description],MATCH(Calcs[[#This Row],[Line]],Items[Line],0))&amp;INDEX(Items[Description2],MATCH(Calcs[[#This Row],[Line]],Items[Line],0)),INDEX(Proposed[Description],MATCH(Calcs[[#This Row],[Line]],Proposed[Line],0)))),"")</f>
        <v/>
      </c>
      <c r="D13" s="96">
        <f t="shared" ca="1" si="0"/>
        <v>0</v>
      </c>
      <c r="E13" s="97">
        <f t="shared" ca="1" si="0"/>
        <v>0</v>
      </c>
      <c r="F13" s="97">
        <f t="shared" ca="1" si="0"/>
        <v>0</v>
      </c>
      <c r="G13" s="97">
        <f t="shared" ca="1" si="0"/>
        <v>0</v>
      </c>
      <c r="H13" s="97">
        <f t="shared" ca="1" si="0"/>
        <v>0</v>
      </c>
      <c r="I13" s="97">
        <f t="shared" ca="1" si="0"/>
        <v>0</v>
      </c>
      <c r="J13" s="97">
        <f t="shared" ca="1" si="0"/>
        <v>0</v>
      </c>
      <c r="K13" s="97">
        <f t="shared" ca="1" si="0"/>
        <v>0</v>
      </c>
      <c r="L13" s="97">
        <f t="shared" ca="1" si="0"/>
        <v>0</v>
      </c>
      <c r="M13" s="97">
        <f t="shared" ca="1" si="0"/>
        <v>0</v>
      </c>
      <c r="N13" s="97">
        <f t="shared" ca="1" si="0"/>
        <v>0</v>
      </c>
      <c r="O13" s="97">
        <f t="shared" ca="1" si="0"/>
        <v>0</v>
      </c>
      <c r="P13" s="97">
        <f t="shared" ca="1" si="0"/>
        <v>0</v>
      </c>
      <c r="Q13" s="97">
        <f t="shared" ca="1" si="0"/>
        <v>0</v>
      </c>
      <c r="R13" s="97">
        <f t="shared" ca="1" si="0"/>
        <v>0</v>
      </c>
      <c r="S13" s="97">
        <f t="shared" ca="1" si="0"/>
        <v>0</v>
      </c>
      <c r="T13" s="97">
        <f t="shared" ca="1" si="1"/>
        <v>0</v>
      </c>
      <c r="U13" s="97">
        <f t="shared" ca="1" si="1"/>
        <v>0</v>
      </c>
      <c r="V13" s="97">
        <f t="shared" ca="1" si="1"/>
        <v>0</v>
      </c>
      <c r="W13" s="97">
        <f t="shared" ca="1" si="1"/>
        <v>0</v>
      </c>
      <c r="X13" s="97">
        <f t="shared" ca="1" si="1"/>
        <v>0</v>
      </c>
      <c r="Y13" s="97">
        <f t="shared" ca="1" si="1"/>
        <v>0</v>
      </c>
      <c r="Z13" s="97">
        <f t="shared" ca="1" si="1"/>
        <v>0</v>
      </c>
      <c r="AA13" s="97">
        <f t="shared" ca="1" si="1"/>
        <v>0</v>
      </c>
      <c r="AB13" s="97">
        <f t="shared" ca="1" si="1"/>
        <v>0</v>
      </c>
      <c r="AC13" s="97">
        <f t="shared" ca="1" si="1"/>
        <v>0</v>
      </c>
      <c r="AD13" s="97">
        <f t="shared" ca="1" si="1"/>
        <v>0</v>
      </c>
      <c r="AE13" s="97">
        <f t="shared" ca="1" si="1"/>
        <v>0</v>
      </c>
      <c r="AF13" s="97">
        <f t="shared" ca="1" si="1"/>
        <v>0</v>
      </c>
      <c r="AG13" s="97">
        <f t="shared" ca="1" si="1"/>
        <v>0</v>
      </c>
      <c r="AH13" s="97">
        <f t="shared" ca="1" si="1"/>
        <v>0</v>
      </c>
      <c r="AI13" s="97">
        <f t="shared" ca="1" si="1"/>
        <v>0</v>
      </c>
      <c r="AJ13" s="98">
        <f t="shared" ca="1" si="2"/>
        <v>0</v>
      </c>
      <c r="AK13" s="97">
        <f t="shared" ca="1" si="2"/>
        <v>0</v>
      </c>
      <c r="AL13" s="97">
        <f t="shared" ca="1" si="2"/>
        <v>0</v>
      </c>
      <c r="AM13" s="97">
        <f t="shared" ca="1" si="2"/>
        <v>0</v>
      </c>
      <c r="AN13" s="97">
        <f t="shared" ca="1" si="2"/>
        <v>0</v>
      </c>
      <c r="AO13" s="97">
        <f t="shared" ca="1" si="2"/>
        <v>0</v>
      </c>
      <c r="AP13" s="97">
        <f t="shared" ca="1" si="2"/>
        <v>0</v>
      </c>
      <c r="AQ13" s="97">
        <f t="shared" ca="1" si="2"/>
        <v>0</v>
      </c>
      <c r="AR13" s="99">
        <f ca="1">COUNTIF(AJ13:AQ13,"&lt;"&amp;MAX(AJ13:AQ13))+IF(Calcs[[#This Row],[DL1]]=0,0,1)</f>
        <v>0</v>
      </c>
      <c r="AS13" s="100" t="str">
        <f ca="1">IF(LEN(Calcs[[#This Row],[Line]])&gt;0,IF(RIGHT(Calcs[[#This Row],[Remark]],3)=".  ",LEFT(Calcs[[#This Row],[Remark]],LEN(Calcs[[#This Row],[Remark]])-3),Calcs[[#This Row],[Remark]]),"")</f>
        <v/>
      </c>
      <c r="AT13" s="96">
        <f t="shared" ca="1" si="3"/>
        <v>0</v>
      </c>
      <c r="AU13" s="102">
        <f t="shared" ca="1" si="3"/>
        <v>0</v>
      </c>
      <c r="AV13" s="102">
        <f t="shared" ca="1" si="3"/>
        <v>0</v>
      </c>
      <c r="AW13" s="102">
        <f t="shared" ca="1" si="3"/>
        <v>0</v>
      </c>
      <c r="AX13" s="102">
        <f t="shared" ca="1" si="3"/>
        <v>0</v>
      </c>
      <c r="AY13" s="102">
        <f t="shared" ca="1" si="3"/>
        <v>0</v>
      </c>
      <c r="AZ13" s="102">
        <f t="shared" ca="1" si="3"/>
        <v>0</v>
      </c>
      <c r="BA13" s="102">
        <f t="shared" ca="1" si="3"/>
        <v>0</v>
      </c>
      <c r="BB13" s="102">
        <f t="shared" ca="1" si="3"/>
        <v>0</v>
      </c>
      <c r="BC13" s="102">
        <f t="shared" ca="1" si="3"/>
        <v>0</v>
      </c>
      <c r="BD13" s="102">
        <f t="shared" ca="1" si="3"/>
        <v>0</v>
      </c>
      <c r="BE13" s="102">
        <f t="shared" ca="1" si="3"/>
        <v>0</v>
      </c>
      <c r="BF13" s="102">
        <f t="shared" ca="1" si="3"/>
        <v>0</v>
      </c>
      <c r="BG13" s="102">
        <f t="shared" ca="1" si="3"/>
        <v>0</v>
      </c>
      <c r="BH13" s="102">
        <f t="shared" ca="1" si="3"/>
        <v>0</v>
      </c>
      <c r="BI13" s="102">
        <f t="shared" ca="1" si="3"/>
        <v>0</v>
      </c>
      <c r="BJ13" s="102">
        <f t="shared" ca="1" si="4"/>
        <v>0</v>
      </c>
      <c r="BK13" s="102">
        <f t="shared" ca="1" si="4"/>
        <v>0</v>
      </c>
      <c r="BL13" s="102">
        <f t="shared" ca="1" si="4"/>
        <v>0</v>
      </c>
      <c r="BM13" s="102">
        <f t="shared" ca="1" si="4"/>
        <v>0</v>
      </c>
      <c r="BN13" s="102">
        <f t="shared" ca="1" si="4"/>
        <v>0</v>
      </c>
      <c r="BO13" s="102">
        <f t="shared" ca="1" si="4"/>
        <v>0</v>
      </c>
      <c r="BP13" s="102">
        <f t="shared" ca="1" si="4"/>
        <v>0</v>
      </c>
      <c r="BQ13" s="102">
        <f t="shared" ca="1" si="4"/>
        <v>0</v>
      </c>
      <c r="BR13" s="102">
        <f t="shared" ca="1" si="4"/>
        <v>0</v>
      </c>
      <c r="BS13" s="102">
        <f t="shared" ca="1" si="4"/>
        <v>0</v>
      </c>
      <c r="BT13" s="102">
        <f t="shared" ca="1" si="4"/>
        <v>0</v>
      </c>
      <c r="BU13" s="102">
        <f t="shared" ca="1" si="4"/>
        <v>0</v>
      </c>
      <c r="BV13" s="102">
        <f t="shared" ca="1" si="4"/>
        <v>0</v>
      </c>
      <c r="BW13" s="102">
        <f t="shared" ca="1" si="4"/>
        <v>0</v>
      </c>
      <c r="BX13" s="102">
        <f t="shared" ca="1" si="4"/>
        <v>0</v>
      </c>
      <c r="BY13" s="102">
        <f t="shared" ca="1" si="4"/>
        <v>0</v>
      </c>
      <c r="BZ13" s="98">
        <f t="shared" ca="1" si="5"/>
        <v>0</v>
      </c>
      <c r="CA13" s="102">
        <f t="shared" ca="1" si="5"/>
        <v>0</v>
      </c>
      <c r="CB13" s="102">
        <f t="shared" ca="1" si="5"/>
        <v>0</v>
      </c>
      <c r="CC13" s="102">
        <f t="shared" ca="1" si="5"/>
        <v>0</v>
      </c>
      <c r="CD13" s="102">
        <f t="shared" ca="1" si="5"/>
        <v>0</v>
      </c>
      <c r="CE13" s="102">
        <f t="shared" ca="1" si="5"/>
        <v>0</v>
      </c>
      <c r="CF13" s="102">
        <f t="shared" ca="1" si="5"/>
        <v>0</v>
      </c>
      <c r="CG13" s="102">
        <f t="shared" ca="1" si="5"/>
        <v>0</v>
      </c>
      <c r="CH13" s="101">
        <f ca="1">COUNTIF(BZ13:CG13,"&lt;"&amp;MAX(BZ13:CG13))+IF(Calcs[[#This Row],[RL1]]=0,0,1)</f>
        <v>0</v>
      </c>
      <c r="CI1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 s="103">
        <f ca="1">IFERROR(OFFSET(CJ13,-1,0)+0,0)+IF(INDEX(INDIRECT(RangeContrQty),MATCH(Calcs[[#This Row],[Line]],OFFSET(Items[Line],0,0,ROW(Proposed[])-ROW(Items[])+ROWS(Proposed[]),1),0)),1,0)</f>
        <v>0</v>
      </c>
    </row>
    <row r="14" spans="1:88" x14ac:dyDescent="0.15">
      <c r="A14" s="6">
        <f ca="1">IFERROR(OFFSET(A14,-1,0)+0,0)+MAX(IF(LEN(Calcs[[#This Row],[Line]])&gt;0,1,0),Calcs[[#This Row],[DL]],Calcs[[#This Row],[RL]])</f>
        <v>10</v>
      </c>
      <c r="B14" s="94" t="str">
        <f ca="1">IFERROR(INDEX(OFFSET(Items[Line],0,0,ROW(Proposed[])-ROW(Items[])+ROWS(Proposed[]),1),MATCH(ROW(B14)-ROW(B$3),INDIRECT(RangeCount),0)),"")</f>
        <v/>
      </c>
      <c r="C14" s="94" t="str">
        <f ca="1">IF(LEN(Calcs[[#This Row],[Line]])&gt;0,TRIM(IFERROR(INDEX(Items[Description],MATCH(Calcs[[#This Row],[Line]],Items[Line],0))&amp;INDEX(Items[Description2],MATCH(Calcs[[#This Row],[Line]],Items[Line],0)),INDEX(Proposed[Description],MATCH(Calcs[[#This Row],[Line]],Proposed[Line],0)))),"")</f>
        <v/>
      </c>
      <c r="D14" s="96">
        <f t="shared" ca="1" si="0"/>
        <v>0</v>
      </c>
      <c r="E14" s="97">
        <f t="shared" ca="1" si="0"/>
        <v>0</v>
      </c>
      <c r="F14" s="97">
        <f t="shared" ca="1" si="0"/>
        <v>0</v>
      </c>
      <c r="G14" s="97">
        <f t="shared" ca="1" si="0"/>
        <v>0</v>
      </c>
      <c r="H14" s="97">
        <f t="shared" ca="1" si="0"/>
        <v>0</v>
      </c>
      <c r="I14" s="97">
        <f t="shared" ca="1" si="0"/>
        <v>0</v>
      </c>
      <c r="J14" s="97">
        <f t="shared" ca="1" si="0"/>
        <v>0</v>
      </c>
      <c r="K14" s="97">
        <f t="shared" ca="1" si="0"/>
        <v>0</v>
      </c>
      <c r="L14" s="97">
        <f t="shared" ca="1" si="0"/>
        <v>0</v>
      </c>
      <c r="M14" s="97">
        <f t="shared" ca="1" si="0"/>
        <v>0</v>
      </c>
      <c r="N14" s="97">
        <f t="shared" ca="1" si="0"/>
        <v>0</v>
      </c>
      <c r="O14" s="97">
        <f t="shared" ca="1" si="0"/>
        <v>0</v>
      </c>
      <c r="P14" s="97">
        <f t="shared" ca="1" si="0"/>
        <v>0</v>
      </c>
      <c r="Q14" s="97">
        <f t="shared" ca="1" si="0"/>
        <v>0</v>
      </c>
      <c r="R14" s="97">
        <f t="shared" ca="1" si="0"/>
        <v>0</v>
      </c>
      <c r="S14" s="97">
        <f t="shared" ca="1" si="0"/>
        <v>0</v>
      </c>
      <c r="T14" s="97">
        <f t="shared" ca="1" si="1"/>
        <v>0</v>
      </c>
      <c r="U14" s="97">
        <f t="shared" ca="1" si="1"/>
        <v>0</v>
      </c>
      <c r="V14" s="97">
        <f t="shared" ca="1" si="1"/>
        <v>0</v>
      </c>
      <c r="W14" s="97">
        <f t="shared" ca="1" si="1"/>
        <v>0</v>
      </c>
      <c r="X14" s="97">
        <f t="shared" ca="1" si="1"/>
        <v>0</v>
      </c>
      <c r="Y14" s="97">
        <f t="shared" ca="1" si="1"/>
        <v>0</v>
      </c>
      <c r="Z14" s="97">
        <f t="shared" ca="1" si="1"/>
        <v>0</v>
      </c>
      <c r="AA14" s="97">
        <f t="shared" ca="1" si="1"/>
        <v>0</v>
      </c>
      <c r="AB14" s="97">
        <f t="shared" ca="1" si="1"/>
        <v>0</v>
      </c>
      <c r="AC14" s="97">
        <f t="shared" ca="1" si="1"/>
        <v>0</v>
      </c>
      <c r="AD14" s="97">
        <f t="shared" ca="1" si="1"/>
        <v>0</v>
      </c>
      <c r="AE14" s="97">
        <f t="shared" ca="1" si="1"/>
        <v>0</v>
      </c>
      <c r="AF14" s="97">
        <f t="shared" ca="1" si="1"/>
        <v>0</v>
      </c>
      <c r="AG14" s="97">
        <f t="shared" ca="1" si="1"/>
        <v>0</v>
      </c>
      <c r="AH14" s="97">
        <f t="shared" ca="1" si="1"/>
        <v>0</v>
      </c>
      <c r="AI14" s="97">
        <f t="shared" ca="1" si="1"/>
        <v>0</v>
      </c>
      <c r="AJ14" s="98">
        <f t="shared" ca="1" si="2"/>
        <v>0</v>
      </c>
      <c r="AK14" s="97">
        <f t="shared" ca="1" si="2"/>
        <v>0</v>
      </c>
      <c r="AL14" s="97">
        <f t="shared" ca="1" si="2"/>
        <v>0</v>
      </c>
      <c r="AM14" s="97">
        <f t="shared" ca="1" si="2"/>
        <v>0</v>
      </c>
      <c r="AN14" s="97">
        <f t="shared" ca="1" si="2"/>
        <v>0</v>
      </c>
      <c r="AO14" s="97">
        <f t="shared" ca="1" si="2"/>
        <v>0</v>
      </c>
      <c r="AP14" s="97">
        <f t="shared" ca="1" si="2"/>
        <v>0</v>
      </c>
      <c r="AQ14" s="97">
        <f t="shared" ca="1" si="2"/>
        <v>0</v>
      </c>
      <c r="AR14" s="99">
        <f ca="1">COUNTIF(AJ14:AQ14,"&lt;"&amp;MAX(AJ14:AQ14))+IF(Calcs[[#This Row],[DL1]]=0,0,1)</f>
        <v>0</v>
      </c>
      <c r="AS14" s="100" t="str">
        <f ca="1">IF(LEN(Calcs[[#This Row],[Line]])&gt;0,IF(RIGHT(Calcs[[#This Row],[Remark]],3)=".  ",LEFT(Calcs[[#This Row],[Remark]],LEN(Calcs[[#This Row],[Remark]])-3),Calcs[[#This Row],[Remark]]),"")</f>
        <v/>
      </c>
      <c r="AT14" s="96">
        <f t="shared" ca="1" si="3"/>
        <v>0</v>
      </c>
      <c r="AU14" s="102">
        <f t="shared" ca="1" si="3"/>
        <v>0</v>
      </c>
      <c r="AV14" s="102">
        <f t="shared" ca="1" si="3"/>
        <v>0</v>
      </c>
      <c r="AW14" s="102">
        <f t="shared" ca="1" si="3"/>
        <v>0</v>
      </c>
      <c r="AX14" s="102">
        <f t="shared" ca="1" si="3"/>
        <v>0</v>
      </c>
      <c r="AY14" s="102">
        <f t="shared" ca="1" si="3"/>
        <v>0</v>
      </c>
      <c r="AZ14" s="102">
        <f t="shared" ca="1" si="3"/>
        <v>0</v>
      </c>
      <c r="BA14" s="102">
        <f t="shared" ca="1" si="3"/>
        <v>0</v>
      </c>
      <c r="BB14" s="102">
        <f t="shared" ca="1" si="3"/>
        <v>0</v>
      </c>
      <c r="BC14" s="102">
        <f t="shared" ca="1" si="3"/>
        <v>0</v>
      </c>
      <c r="BD14" s="102">
        <f t="shared" ca="1" si="3"/>
        <v>0</v>
      </c>
      <c r="BE14" s="102">
        <f t="shared" ca="1" si="3"/>
        <v>0</v>
      </c>
      <c r="BF14" s="102">
        <f t="shared" ca="1" si="3"/>
        <v>0</v>
      </c>
      <c r="BG14" s="102">
        <f t="shared" ca="1" si="3"/>
        <v>0</v>
      </c>
      <c r="BH14" s="102">
        <f t="shared" ca="1" si="3"/>
        <v>0</v>
      </c>
      <c r="BI14" s="102">
        <f t="shared" ca="1" si="3"/>
        <v>0</v>
      </c>
      <c r="BJ14" s="102">
        <f t="shared" ca="1" si="4"/>
        <v>0</v>
      </c>
      <c r="BK14" s="102">
        <f t="shared" ca="1" si="4"/>
        <v>0</v>
      </c>
      <c r="BL14" s="102">
        <f t="shared" ca="1" si="4"/>
        <v>0</v>
      </c>
      <c r="BM14" s="102">
        <f t="shared" ca="1" si="4"/>
        <v>0</v>
      </c>
      <c r="BN14" s="102">
        <f t="shared" ca="1" si="4"/>
        <v>0</v>
      </c>
      <c r="BO14" s="102">
        <f t="shared" ca="1" si="4"/>
        <v>0</v>
      </c>
      <c r="BP14" s="102">
        <f t="shared" ca="1" si="4"/>
        <v>0</v>
      </c>
      <c r="BQ14" s="102">
        <f t="shared" ca="1" si="4"/>
        <v>0</v>
      </c>
      <c r="BR14" s="102">
        <f t="shared" ca="1" si="4"/>
        <v>0</v>
      </c>
      <c r="BS14" s="102">
        <f t="shared" ca="1" si="4"/>
        <v>0</v>
      </c>
      <c r="BT14" s="102">
        <f t="shared" ca="1" si="4"/>
        <v>0</v>
      </c>
      <c r="BU14" s="102">
        <f t="shared" ca="1" si="4"/>
        <v>0</v>
      </c>
      <c r="BV14" s="102">
        <f t="shared" ca="1" si="4"/>
        <v>0</v>
      </c>
      <c r="BW14" s="102">
        <f t="shared" ca="1" si="4"/>
        <v>0</v>
      </c>
      <c r="BX14" s="102">
        <f t="shared" ca="1" si="4"/>
        <v>0</v>
      </c>
      <c r="BY14" s="102">
        <f t="shared" ca="1" si="4"/>
        <v>0</v>
      </c>
      <c r="BZ14" s="98">
        <f t="shared" ca="1" si="5"/>
        <v>0</v>
      </c>
      <c r="CA14" s="102">
        <f t="shared" ca="1" si="5"/>
        <v>0</v>
      </c>
      <c r="CB14" s="102">
        <f t="shared" ca="1" si="5"/>
        <v>0</v>
      </c>
      <c r="CC14" s="102">
        <f t="shared" ca="1" si="5"/>
        <v>0</v>
      </c>
      <c r="CD14" s="102">
        <f t="shared" ca="1" si="5"/>
        <v>0</v>
      </c>
      <c r="CE14" s="102">
        <f t="shared" ca="1" si="5"/>
        <v>0</v>
      </c>
      <c r="CF14" s="102">
        <f t="shared" ca="1" si="5"/>
        <v>0</v>
      </c>
      <c r="CG14" s="102">
        <f t="shared" ca="1" si="5"/>
        <v>0</v>
      </c>
      <c r="CH14" s="101">
        <f ca="1">COUNTIF(BZ14:CG14,"&lt;"&amp;MAX(BZ14:CG14))+IF(Calcs[[#This Row],[RL1]]=0,0,1)</f>
        <v>0</v>
      </c>
      <c r="CI1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 s="103">
        <f ca="1">IFERROR(OFFSET(CJ14,-1,0)+0,0)+IF(INDEX(INDIRECT(RangeContrQty),MATCH(Calcs[[#This Row],[Line]],OFFSET(Items[Line],0,0,ROW(Proposed[])-ROW(Items[])+ROWS(Proposed[]),1),0)),1,0)</f>
        <v>0</v>
      </c>
    </row>
    <row r="15" spans="1:88" x14ac:dyDescent="0.15">
      <c r="A15" s="6">
        <f ca="1">IFERROR(OFFSET(A15,-1,0)+0,0)+MAX(IF(LEN(Calcs[[#This Row],[Line]])&gt;0,1,0),Calcs[[#This Row],[DL]],Calcs[[#This Row],[RL]])</f>
        <v>10</v>
      </c>
      <c r="B15" s="94" t="str">
        <f ca="1">IFERROR(INDEX(OFFSET(Items[Line],0,0,ROW(Proposed[])-ROW(Items[])+ROWS(Proposed[]),1),MATCH(ROW(B15)-ROW(B$3),INDIRECT(RangeCount),0)),"")</f>
        <v/>
      </c>
      <c r="C15" s="94" t="str">
        <f ca="1">IF(LEN(Calcs[[#This Row],[Line]])&gt;0,TRIM(IFERROR(INDEX(Items[Description],MATCH(Calcs[[#This Row],[Line]],Items[Line],0))&amp;INDEX(Items[Description2],MATCH(Calcs[[#This Row],[Line]],Items[Line],0)),INDEX(Proposed[Description],MATCH(Calcs[[#This Row],[Line]],Proposed[Line],0)))),"")</f>
        <v/>
      </c>
      <c r="D15" s="96">
        <f t="shared" ca="1" si="0"/>
        <v>0</v>
      </c>
      <c r="E15" s="97">
        <f t="shared" ca="1" si="0"/>
        <v>0</v>
      </c>
      <c r="F15" s="97">
        <f t="shared" ca="1" si="0"/>
        <v>0</v>
      </c>
      <c r="G15" s="97">
        <f t="shared" ca="1" si="0"/>
        <v>0</v>
      </c>
      <c r="H15" s="97">
        <f t="shared" ca="1" si="0"/>
        <v>0</v>
      </c>
      <c r="I15" s="97">
        <f t="shared" ca="1" si="0"/>
        <v>0</v>
      </c>
      <c r="J15" s="97">
        <f t="shared" ca="1" si="0"/>
        <v>0</v>
      </c>
      <c r="K15" s="97">
        <f t="shared" ca="1" si="0"/>
        <v>0</v>
      </c>
      <c r="L15" s="97">
        <f t="shared" ca="1" si="0"/>
        <v>0</v>
      </c>
      <c r="M15" s="97">
        <f t="shared" ca="1" si="0"/>
        <v>0</v>
      </c>
      <c r="N15" s="97">
        <f t="shared" ca="1" si="0"/>
        <v>0</v>
      </c>
      <c r="O15" s="97">
        <f t="shared" ca="1" si="0"/>
        <v>0</v>
      </c>
      <c r="P15" s="97">
        <f t="shared" ca="1" si="0"/>
        <v>0</v>
      </c>
      <c r="Q15" s="97">
        <f t="shared" ca="1" si="0"/>
        <v>0</v>
      </c>
      <c r="R15" s="97">
        <f t="shared" ca="1" si="0"/>
        <v>0</v>
      </c>
      <c r="S15" s="97">
        <f t="shared" ca="1" si="0"/>
        <v>0</v>
      </c>
      <c r="T15" s="97">
        <f t="shared" ca="1" si="1"/>
        <v>0</v>
      </c>
      <c r="U15" s="97">
        <f t="shared" ca="1" si="1"/>
        <v>0</v>
      </c>
      <c r="V15" s="97">
        <f t="shared" ca="1" si="1"/>
        <v>0</v>
      </c>
      <c r="W15" s="97">
        <f t="shared" ca="1" si="1"/>
        <v>0</v>
      </c>
      <c r="X15" s="97">
        <f t="shared" ca="1" si="1"/>
        <v>0</v>
      </c>
      <c r="Y15" s="97">
        <f t="shared" ca="1" si="1"/>
        <v>0</v>
      </c>
      <c r="Z15" s="97">
        <f t="shared" ca="1" si="1"/>
        <v>0</v>
      </c>
      <c r="AA15" s="97">
        <f t="shared" ca="1" si="1"/>
        <v>0</v>
      </c>
      <c r="AB15" s="97">
        <f t="shared" ca="1" si="1"/>
        <v>0</v>
      </c>
      <c r="AC15" s="97">
        <f t="shared" ca="1" si="1"/>
        <v>0</v>
      </c>
      <c r="AD15" s="97">
        <f t="shared" ca="1" si="1"/>
        <v>0</v>
      </c>
      <c r="AE15" s="97">
        <f t="shared" ca="1" si="1"/>
        <v>0</v>
      </c>
      <c r="AF15" s="97">
        <f t="shared" ca="1" si="1"/>
        <v>0</v>
      </c>
      <c r="AG15" s="97">
        <f t="shared" ca="1" si="1"/>
        <v>0</v>
      </c>
      <c r="AH15" s="97">
        <f t="shared" ca="1" si="1"/>
        <v>0</v>
      </c>
      <c r="AI15" s="97">
        <f t="shared" ca="1" si="1"/>
        <v>0</v>
      </c>
      <c r="AJ15" s="98">
        <f t="shared" ca="1" si="2"/>
        <v>0</v>
      </c>
      <c r="AK15" s="97">
        <f t="shared" ca="1" si="2"/>
        <v>0</v>
      </c>
      <c r="AL15" s="97">
        <f t="shared" ca="1" si="2"/>
        <v>0</v>
      </c>
      <c r="AM15" s="97">
        <f t="shared" ca="1" si="2"/>
        <v>0</v>
      </c>
      <c r="AN15" s="97">
        <f t="shared" ca="1" si="2"/>
        <v>0</v>
      </c>
      <c r="AO15" s="97">
        <f t="shared" ca="1" si="2"/>
        <v>0</v>
      </c>
      <c r="AP15" s="97">
        <f t="shared" ca="1" si="2"/>
        <v>0</v>
      </c>
      <c r="AQ15" s="97">
        <f t="shared" ca="1" si="2"/>
        <v>0</v>
      </c>
      <c r="AR15" s="99">
        <f ca="1">COUNTIF(AJ15:AQ15,"&lt;"&amp;MAX(AJ15:AQ15))+IF(Calcs[[#This Row],[DL1]]=0,0,1)</f>
        <v>0</v>
      </c>
      <c r="AS15" s="100" t="str">
        <f ca="1">IF(LEN(Calcs[[#This Row],[Line]])&gt;0,IF(RIGHT(Calcs[[#This Row],[Remark]],3)=".  ",LEFT(Calcs[[#This Row],[Remark]],LEN(Calcs[[#This Row],[Remark]])-3),Calcs[[#This Row],[Remark]]),"")</f>
        <v/>
      </c>
      <c r="AT15" s="96">
        <f t="shared" ca="1" si="3"/>
        <v>0</v>
      </c>
      <c r="AU15" s="102">
        <f t="shared" ca="1" si="3"/>
        <v>0</v>
      </c>
      <c r="AV15" s="102">
        <f t="shared" ca="1" si="3"/>
        <v>0</v>
      </c>
      <c r="AW15" s="102">
        <f t="shared" ca="1" si="3"/>
        <v>0</v>
      </c>
      <c r="AX15" s="102">
        <f t="shared" ca="1" si="3"/>
        <v>0</v>
      </c>
      <c r="AY15" s="102">
        <f t="shared" ca="1" si="3"/>
        <v>0</v>
      </c>
      <c r="AZ15" s="102">
        <f t="shared" ca="1" si="3"/>
        <v>0</v>
      </c>
      <c r="BA15" s="102">
        <f t="shared" ca="1" si="3"/>
        <v>0</v>
      </c>
      <c r="BB15" s="102">
        <f t="shared" ca="1" si="3"/>
        <v>0</v>
      </c>
      <c r="BC15" s="102">
        <f t="shared" ca="1" si="3"/>
        <v>0</v>
      </c>
      <c r="BD15" s="102">
        <f t="shared" ca="1" si="3"/>
        <v>0</v>
      </c>
      <c r="BE15" s="102">
        <f t="shared" ca="1" si="3"/>
        <v>0</v>
      </c>
      <c r="BF15" s="102">
        <f t="shared" ca="1" si="3"/>
        <v>0</v>
      </c>
      <c r="BG15" s="102">
        <f t="shared" ca="1" si="3"/>
        <v>0</v>
      </c>
      <c r="BH15" s="102">
        <f t="shared" ca="1" si="3"/>
        <v>0</v>
      </c>
      <c r="BI15" s="102">
        <f t="shared" ca="1" si="3"/>
        <v>0</v>
      </c>
      <c r="BJ15" s="102">
        <f t="shared" ca="1" si="4"/>
        <v>0</v>
      </c>
      <c r="BK15" s="102">
        <f t="shared" ca="1" si="4"/>
        <v>0</v>
      </c>
      <c r="BL15" s="102">
        <f t="shared" ca="1" si="4"/>
        <v>0</v>
      </c>
      <c r="BM15" s="102">
        <f t="shared" ca="1" si="4"/>
        <v>0</v>
      </c>
      <c r="BN15" s="102">
        <f t="shared" ca="1" si="4"/>
        <v>0</v>
      </c>
      <c r="BO15" s="102">
        <f t="shared" ca="1" si="4"/>
        <v>0</v>
      </c>
      <c r="BP15" s="102">
        <f t="shared" ca="1" si="4"/>
        <v>0</v>
      </c>
      <c r="BQ15" s="102">
        <f t="shared" ca="1" si="4"/>
        <v>0</v>
      </c>
      <c r="BR15" s="102">
        <f t="shared" ca="1" si="4"/>
        <v>0</v>
      </c>
      <c r="BS15" s="102">
        <f t="shared" ca="1" si="4"/>
        <v>0</v>
      </c>
      <c r="BT15" s="102">
        <f t="shared" ca="1" si="4"/>
        <v>0</v>
      </c>
      <c r="BU15" s="102">
        <f t="shared" ca="1" si="4"/>
        <v>0</v>
      </c>
      <c r="BV15" s="102">
        <f t="shared" ca="1" si="4"/>
        <v>0</v>
      </c>
      <c r="BW15" s="102">
        <f t="shared" ca="1" si="4"/>
        <v>0</v>
      </c>
      <c r="BX15" s="102">
        <f t="shared" ca="1" si="4"/>
        <v>0</v>
      </c>
      <c r="BY15" s="102">
        <f t="shared" ca="1" si="4"/>
        <v>0</v>
      </c>
      <c r="BZ15" s="98">
        <f t="shared" ca="1" si="5"/>
        <v>0</v>
      </c>
      <c r="CA15" s="102">
        <f t="shared" ca="1" si="5"/>
        <v>0</v>
      </c>
      <c r="CB15" s="102">
        <f t="shared" ca="1" si="5"/>
        <v>0</v>
      </c>
      <c r="CC15" s="102">
        <f t="shared" ca="1" si="5"/>
        <v>0</v>
      </c>
      <c r="CD15" s="102">
        <f t="shared" ca="1" si="5"/>
        <v>0</v>
      </c>
      <c r="CE15" s="102">
        <f t="shared" ca="1" si="5"/>
        <v>0</v>
      </c>
      <c r="CF15" s="102">
        <f t="shared" ca="1" si="5"/>
        <v>0</v>
      </c>
      <c r="CG15" s="102">
        <f t="shared" ca="1" si="5"/>
        <v>0</v>
      </c>
      <c r="CH15" s="101">
        <f ca="1">COUNTIF(BZ15:CG15,"&lt;"&amp;MAX(BZ15:CG15))+IF(Calcs[[#This Row],[RL1]]=0,0,1)</f>
        <v>0</v>
      </c>
      <c r="CI1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 s="103">
        <f ca="1">IFERROR(OFFSET(CJ15,-1,0)+0,0)+IF(INDEX(INDIRECT(RangeContrQty),MATCH(Calcs[[#This Row],[Line]],OFFSET(Items[Line],0,0,ROW(Proposed[])-ROW(Items[])+ROWS(Proposed[]),1),0)),1,0)</f>
        <v>0</v>
      </c>
    </row>
    <row r="16" spans="1:88" x14ac:dyDescent="0.15">
      <c r="A16" s="6">
        <f ca="1">IFERROR(OFFSET(A16,-1,0)+0,0)+MAX(IF(LEN(Calcs[[#This Row],[Line]])&gt;0,1,0),Calcs[[#This Row],[DL]],Calcs[[#This Row],[RL]])</f>
        <v>10</v>
      </c>
      <c r="B16" s="94" t="str">
        <f ca="1">IFERROR(INDEX(OFFSET(Items[Line],0,0,ROW(Proposed[])-ROW(Items[])+ROWS(Proposed[]),1),MATCH(ROW(B16)-ROW(B$3),INDIRECT(RangeCount),0)),"")</f>
        <v/>
      </c>
      <c r="C16" s="94" t="str">
        <f ca="1">IF(LEN(Calcs[[#This Row],[Line]])&gt;0,TRIM(IFERROR(INDEX(Items[Description],MATCH(Calcs[[#This Row],[Line]],Items[Line],0))&amp;INDEX(Items[Description2],MATCH(Calcs[[#This Row],[Line]],Items[Line],0)),INDEX(Proposed[Description],MATCH(Calcs[[#This Row],[Line]],Proposed[Line],0)))),"")</f>
        <v/>
      </c>
      <c r="D16" s="96">
        <f t="shared" ca="1" si="0"/>
        <v>0</v>
      </c>
      <c r="E16" s="97">
        <f t="shared" ca="1" si="0"/>
        <v>0</v>
      </c>
      <c r="F16" s="97">
        <f t="shared" ca="1" si="0"/>
        <v>0</v>
      </c>
      <c r="G16" s="97">
        <f t="shared" ca="1" si="0"/>
        <v>0</v>
      </c>
      <c r="H16" s="97">
        <f t="shared" ca="1" si="0"/>
        <v>0</v>
      </c>
      <c r="I16" s="97">
        <f t="shared" ca="1" si="0"/>
        <v>0</v>
      </c>
      <c r="J16" s="97">
        <f t="shared" ca="1" si="0"/>
        <v>0</v>
      </c>
      <c r="K16" s="97">
        <f t="shared" ca="1" si="0"/>
        <v>0</v>
      </c>
      <c r="L16" s="97">
        <f t="shared" ca="1" si="0"/>
        <v>0</v>
      </c>
      <c r="M16" s="97">
        <f t="shared" ca="1" si="0"/>
        <v>0</v>
      </c>
      <c r="N16" s="97">
        <f t="shared" ca="1" si="0"/>
        <v>0</v>
      </c>
      <c r="O16" s="97">
        <f t="shared" ca="1" si="0"/>
        <v>0</v>
      </c>
      <c r="P16" s="97">
        <f t="shared" ca="1" si="0"/>
        <v>0</v>
      </c>
      <c r="Q16" s="97">
        <f t="shared" ca="1" si="0"/>
        <v>0</v>
      </c>
      <c r="R16" s="97">
        <f t="shared" ca="1" si="0"/>
        <v>0</v>
      </c>
      <c r="S16" s="97">
        <f t="shared" ca="1" si="0"/>
        <v>0</v>
      </c>
      <c r="T16" s="97">
        <f t="shared" ca="1" si="1"/>
        <v>0</v>
      </c>
      <c r="U16" s="97">
        <f t="shared" ca="1" si="1"/>
        <v>0</v>
      </c>
      <c r="V16" s="97">
        <f t="shared" ca="1" si="1"/>
        <v>0</v>
      </c>
      <c r="W16" s="97">
        <f t="shared" ca="1" si="1"/>
        <v>0</v>
      </c>
      <c r="X16" s="97">
        <f t="shared" ca="1" si="1"/>
        <v>0</v>
      </c>
      <c r="Y16" s="97">
        <f t="shared" ca="1" si="1"/>
        <v>0</v>
      </c>
      <c r="Z16" s="97">
        <f t="shared" ca="1" si="1"/>
        <v>0</v>
      </c>
      <c r="AA16" s="97">
        <f t="shared" ca="1" si="1"/>
        <v>0</v>
      </c>
      <c r="AB16" s="97">
        <f t="shared" ca="1" si="1"/>
        <v>0</v>
      </c>
      <c r="AC16" s="97">
        <f t="shared" ca="1" si="1"/>
        <v>0</v>
      </c>
      <c r="AD16" s="97">
        <f t="shared" ca="1" si="1"/>
        <v>0</v>
      </c>
      <c r="AE16" s="97">
        <f t="shared" ca="1" si="1"/>
        <v>0</v>
      </c>
      <c r="AF16" s="97">
        <f t="shared" ca="1" si="1"/>
        <v>0</v>
      </c>
      <c r="AG16" s="97">
        <f t="shared" ca="1" si="1"/>
        <v>0</v>
      </c>
      <c r="AH16" s="97">
        <f t="shared" ca="1" si="1"/>
        <v>0</v>
      </c>
      <c r="AI16" s="97">
        <f t="shared" ca="1" si="1"/>
        <v>0</v>
      </c>
      <c r="AJ16" s="98">
        <f t="shared" ca="1" si="2"/>
        <v>0</v>
      </c>
      <c r="AK16" s="97">
        <f t="shared" ca="1" si="2"/>
        <v>0</v>
      </c>
      <c r="AL16" s="97">
        <f t="shared" ca="1" si="2"/>
        <v>0</v>
      </c>
      <c r="AM16" s="97">
        <f t="shared" ca="1" si="2"/>
        <v>0</v>
      </c>
      <c r="AN16" s="97">
        <f t="shared" ca="1" si="2"/>
        <v>0</v>
      </c>
      <c r="AO16" s="97">
        <f t="shared" ca="1" si="2"/>
        <v>0</v>
      </c>
      <c r="AP16" s="97">
        <f t="shared" ca="1" si="2"/>
        <v>0</v>
      </c>
      <c r="AQ16" s="97">
        <f t="shared" ca="1" si="2"/>
        <v>0</v>
      </c>
      <c r="AR16" s="99">
        <f ca="1">COUNTIF(AJ16:AQ16,"&lt;"&amp;MAX(AJ16:AQ16))+IF(Calcs[[#This Row],[DL1]]=0,0,1)</f>
        <v>0</v>
      </c>
      <c r="AS16" s="100" t="str">
        <f ca="1">IF(LEN(Calcs[[#This Row],[Line]])&gt;0,IF(RIGHT(Calcs[[#This Row],[Remark]],3)=".  ",LEFT(Calcs[[#This Row],[Remark]],LEN(Calcs[[#This Row],[Remark]])-3),Calcs[[#This Row],[Remark]]),"")</f>
        <v/>
      </c>
      <c r="AT16" s="96">
        <f t="shared" ca="1" si="3"/>
        <v>0</v>
      </c>
      <c r="AU16" s="102">
        <f t="shared" ca="1" si="3"/>
        <v>0</v>
      </c>
      <c r="AV16" s="102">
        <f t="shared" ca="1" si="3"/>
        <v>0</v>
      </c>
      <c r="AW16" s="102">
        <f t="shared" ca="1" si="3"/>
        <v>0</v>
      </c>
      <c r="AX16" s="102">
        <f t="shared" ca="1" si="3"/>
        <v>0</v>
      </c>
      <c r="AY16" s="102">
        <f t="shared" ca="1" si="3"/>
        <v>0</v>
      </c>
      <c r="AZ16" s="102">
        <f t="shared" ca="1" si="3"/>
        <v>0</v>
      </c>
      <c r="BA16" s="102">
        <f t="shared" ca="1" si="3"/>
        <v>0</v>
      </c>
      <c r="BB16" s="102">
        <f t="shared" ca="1" si="3"/>
        <v>0</v>
      </c>
      <c r="BC16" s="102">
        <f t="shared" ca="1" si="3"/>
        <v>0</v>
      </c>
      <c r="BD16" s="102">
        <f t="shared" ca="1" si="3"/>
        <v>0</v>
      </c>
      <c r="BE16" s="102">
        <f t="shared" ca="1" si="3"/>
        <v>0</v>
      </c>
      <c r="BF16" s="102">
        <f t="shared" ca="1" si="3"/>
        <v>0</v>
      </c>
      <c r="BG16" s="102">
        <f t="shared" ca="1" si="3"/>
        <v>0</v>
      </c>
      <c r="BH16" s="102">
        <f t="shared" ca="1" si="3"/>
        <v>0</v>
      </c>
      <c r="BI16" s="102">
        <f t="shared" ca="1" si="3"/>
        <v>0</v>
      </c>
      <c r="BJ16" s="102">
        <f t="shared" ca="1" si="4"/>
        <v>0</v>
      </c>
      <c r="BK16" s="102">
        <f t="shared" ca="1" si="4"/>
        <v>0</v>
      </c>
      <c r="BL16" s="102">
        <f t="shared" ca="1" si="4"/>
        <v>0</v>
      </c>
      <c r="BM16" s="102">
        <f t="shared" ca="1" si="4"/>
        <v>0</v>
      </c>
      <c r="BN16" s="102">
        <f t="shared" ca="1" si="4"/>
        <v>0</v>
      </c>
      <c r="BO16" s="102">
        <f t="shared" ca="1" si="4"/>
        <v>0</v>
      </c>
      <c r="BP16" s="102">
        <f t="shared" ca="1" si="4"/>
        <v>0</v>
      </c>
      <c r="BQ16" s="102">
        <f t="shared" ca="1" si="4"/>
        <v>0</v>
      </c>
      <c r="BR16" s="102">
        <f t="shared" ca="1" si="4"/>
        <v>0</v>
      </c>
      <c r="BS16" s="102">
        <f t="shared" ca="1" si="4"/>
        <v>0</v>
      </c>
      <c r="BT16" s="102">
        <f t="shared" ca="1" si="4"/>
        <v>0</v>
      </c>
      <c r="BU16" s="102">
        <f t="shared" ca="1" si="4"/>
        <v>0</v>
      </c>
      <c r="BV16" s="102">
        <f t="shared" ca="1" si="4"/>
        <v>0</v>
      </c>
      <c r="BW16" s="102">
        <f t="shared" ca="1" si="4"/>
        <v>0</v>
      </c>
      <c r="BX16" s="102">
        <f t="shared" ca="1" si="4"/>
        <v>0</v>
      </c>
      <c r="BY16" s="102">
        <f t="shared" ca="1" si="4"/>
        <v>0</v>
      </c>
      <c r="BZ16" s="98">
        <f t="shared" ca="1" si="5"/>
        <v>0</v>
      </c>
      <c r="CA16" s="102">
        <f t="shared" ca="1" si="5"/>
        <v>0</v>
      </c>
      <c r="CB16" s="102">
        <f t="shared" ca="1" si="5"/>
        <v>0</v>
      </c>
      <c r="CC16" s="102">
        <f t="shared" ca="1" si="5"/>
        <v>0</v>
      </c>
      <c r="CD16" s="102">
        <f t="shared" ca="1" si="5"/>
        <v>0</v>
      </c>
      <c r="CE16" s="102">
        <f t="shared" ca="1" si="5"/>
        <v>0</v>
      </c>
      <c r="CF16" s="102">
        <f t="shared" ca="1" si="5"/>
        <v>0</v>
      </c>
      <c r="CG16" s="102">
        <f t="shared" ca="1" si="5"/>
        <v>0</v>
      </c>
      <c r="CH16" s="101">
        <f ca="1">COUNTIF(BZ16:CG16,"&lt;"&amp;MAX(BZ16:CG16))+IF(Calcs[[#This Row],[RL1]]=0,0,1)</f>
        <v>0</v>
      </c>
      <c r="CI1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 s="103">
        <f ca="1">IFERROR(OFFSET(CJ16,-1,0)+0,0)+IF(INDEX(INDIRECT(RangeContrQty),MATCH(Calcs[[#This Row],[Line]],OFFSET(Items[Line],0,0,ROW(Proposed[])-ROW(Items[])+ROWS(Proposed[]),1),0)),1,0)</f>
        <v>0</v>
      </c>
    </row>
    <row r="17" spans="1:88" x14ac:dyDescent="0.15">
      <c r="A17" s="6">
        <f ca="1">IFERROR(OFFSET(A17,-1,0)+0,0)+MAX(IF(LEN(Calcs[[#This Row],[Line]])&gt;0,1,0),Calcs[[#This Row],[DL]],Calcs[[#This Row],[RL]])</f>
        <v>10</v>
      </c>
      <c r="B17" s="94" t="str">
        <f ca="1">IFERROR(INDEX(OFFSET(Items[Line],0,0,ROW(Proposed[])-ROW(Items[])+ROWS(Proposed[]),1),MATCH(ROW(B17)-ROW(B$3),INDIRECT(RangeCount),0)),"")</f>
        <v/>
      </c>
      <c r="C17" s="94" t="str">
        <f ca="1">IF(LEN(Calcs[[#This Row],[Line]])&gt;0,TRIM(IFERROR(INDEX(Items[Description],MATCH(Calcs[[#This Row],[Line]],Items[Line],0))&amp;INDEX(Items[Description2],MATCH(Calcs[[#This Row],[Line]],Items[Line],0)),INDEX(Proposed[Description],MATCH(Calcs[[#This Row],[Line]],Proposed[Line],0)))),"")</f>
        <v/>
      </c>
      <c r="D17" s="96">
        <f t="shared" ca="1" si="0"/>
        <v>0</v>
      </c>
      <c r="E17" s="97">
        <f t="shared" ca="1" si="0"/>
        <v>0</v>
      </c>
      <c r="F17" s="97">
        <f t="shared" ca="1" si="0"/>
        <v>0</v>
      </c>
      <c r="G17" s="97">
        <f t="shared" ca="1" si="0"/>
        <v>0</v>
      </c>
      <c r="H17" s="97">
        <f t="shared" ca="1" si="0"/>
        <v>0</v>
      </c>
      <c r="I17" s="97">
        <f t="shared" ca="1" si="0"/>
        <v>0</v>
      </c>
      <c r="J17" s="97">
        <f t="shared" ca="1" si="0"/>
        <v>0</v>
      </c>
      <c r="K17" s="97">
        <f t="shared" ca="1" si="0"/>
        <v>0</v>
      </c>
      <c r="L17" s="97">
        <f t="shared" ca="1" si="0"/>
        <v>0</v>
      </c>
      <c r="M17" s="97">
        <f t="shared" ca="1" si="0"/>
        <v>0</v>
      </c>
      <c r="N17" s="97">
        <f t="shared" ca="1" si="0"/>
        <v>0</v>
      </c>
      <c r="O17" s="97">
        <f t="shared" ca="1" si="0"/>
        <v>0</v>
      </c>
      <c r="P17" s="97">
        <f t="shared" ca="1" si="0"/>
        <v>0</v>
      </c>
      <c r="Q17" s="97">
        <f t="shared" ca="1" si="0"/>
        <v>0</v>
      </c>
      <c r="R17" s="97">
        <f t="shared" ca="1" si="0"/>
        <v>0</v>
      </c>
      <c r="S17" s="97">
        <f t="shared" ca="1" si="0"/>
        <v>0</v>
      </c>
      <c r="T17" s="97">
        <f t="shared" ca="1" si="1"/>
        <v>0</v>
      </c>
      <c r="U17" s="97">
        <f t="shared" ca="1" si="1"/>
        <v>0</v>
      </c>
      <c r="V17" s="97">
        <f t="shared" ca="1" si="1"/>
        <v>0</v>
      </c>
      <c r="W17" s="97">
        <f t="shared" ca="1" si="1"/>
        <v>0</v>
      </c>
      <c r="X17" s="97">
        <f t="shared" ca="1" si="1"/>
        <v>0</v>
      </c>
      <c r="Y17" s="97">
        <f t="shared" ca="1" si="1"/>
        <v>0</v>
      </c>
      <c r="Z17" s="97">
        <f t="shared" ca="1" si="1"/>
        <v>0</v>
      </c>
      <c r="AA17" s="97">
        <f t="shared" ca="1" si="1"/>
        <v>0</v>
      </c>
      <c r="AB17" s="97">
        <f t="shared" ca="1" si="1"/>
        <v>0</v>
      </c>
      <c r="AC17" s="97">
        <f t="shared" ca="1" si="1"/>
        <v>0</v>
      </c>
      <c r="AD17" s="97">
        <f t="shared" ca="1" si="1"/>
        <v>0</v>
      </c>
      <c r="AE17" s="97">
        <f t="shared" ca="1" si="1"/>
        <v>0</v>
      </c>
      <c r="AF17" s="97">
        <f t="shared" ca="1" si="1"/>
        <v>0</v>
      </c>
      <c r="AG17" s="97">
        <f t="shared" ca="1" si="1"/>
        <v>0</v>
      </c>
      <c r="AH17" s="97">
        <f t="shared" ca="1" si="1"/>
        <v>0</v>
      </c>
      <c r="AI17" s="97">
        <f t="shared" ca="1" si="1"/>
        <v>0</v>
      </c>
      <c r="AJ17" s="98">
        <f t="shared" ca="1" si="2"/>
        <v>0</v>
      </c>
      <c r="AK17" s="97">
        <f t="shared" ca="1" si="2"/>
        <v>0</v>
      </c>
      <c r="AL17" s="97">
        <f t="shared" ca="1" si="2"/>
        <v>0</v>
      </c>
      <c r="AM17" s="97">
        <f t="shared" ca="1" si="2"/>
        <v>0</v>
      </c>
      <c r="AN17" s="97">
        <f t="shared" ca="1" si="2"/>
        <v>0</v>
      </c>
      <c r="AO17" s="97">
        <f t="shared" ca="1" si="2"/>
        <v>0</v>
      </c>
      <c r="AP17" s="97">
        <f t="shared" ca="1" si="2"/>
        <v>0</v>
      </c>
      <c r="AQ17" s="97">
        <f t="shared" ca="1" si="2"/>
        <v>0</v>
      </c>
      <c r="AR17" s="99">
        <f ca="1">COUNTIF(AJ17:AQ17,"&lt;"&amp;MAX(AJ17:AQ17))+IF(Calcs[[#This Row],[DL1]]=0,0,1)</f>
        <v>0</v>
      </c>
      <c r="AS17" s="100" t="str">
        <f ca="1">IF(LEN(Calcs[[#This Row],[Line]])&gt;0,IF(RIGHT(Calcs[[#This Row],[Remark]],3)=".  ",LEFT(Calcs[[#This Row],[Remark]],LEN(Calcs[[#This Row],[Remark]])-3),Calcs[[#This Row],[Remark]]),"")</f>
        <v/>
      </c>
      <c r="AT17" s="96">
        <f t="shared" ca="1" si="3"/>
        <v>0</v>
      </c>
      <c r="AU17" s="102">
        <f t="shared" ca="1" si="3"/>
        <v>0</v>
      </c>
      <c r="AV17" s="102">
        <f t="shared" ca="1" si="3"/>
        <v>0</v>
      </c>
      <c r="AW17" s="102">
        <f t="shared" ca="1" si="3"/>
        <v>0</v>
      </c>
      <c r="AX17" s="102">
        <f t="shared" ca="1" si="3"/>
        <v>0</v>
      </c>
      <c r="AY17" s="102">
        <f t="shared" ca="1" si="3"/>
        <v>0</v>
      </c>
      <c r="AZ17" s="102">
        <f t="shared" ca="1" si="3"/>
        <v>0</v>
      </c>
      <c r="BA17" s="102">
        <f t="shared" ca="1" si="3"/>
        <v>0</v>
      </c>
      <c r="BB17" s="102">
        <f t="shared" ca="1" si="3"/>
        <v>0</v>
      </c>
      <c r="BC17" s="102">
        <f t="shared" ca="1" si="3"/>
        <v>0</v>
      </c>
      <c r="BD17" s="102">
        <f t="shared" ca="1" si="3"/>
        <v>0</v>
      </c>
      <c r="BE17" s="102">
        <f t="shared" ca="1" si="3"/>
        <v>0</v>
      </c>
      <c r="BF17" s="102">
        <f t="shared" ca="1" si="3"/>
        <v>0</v>
      </c>
      <c r="BG17" s="102">
        <f t="shared" ca="1" si="3"/>
        <v>0</v>
      </c>
      <c r="BH17" s="102">
        <f t="shared" ca="1" si="3"/>
        <v>0</v>
      </c>
      <c r="BI17" s="102">
        <f t="shared" ca="1" si="3"/>
        <v>0</v>
      </c>
      <c r="BJ17" s="102">
        <f t="shared" ca="1" si="4"/>
        <v>0</v>
      </c>
      <c r="BK17" s="102">
        <f t="shared" ca="1" si="4"/>
        <v>0</v>
      </c>
      <c r="BL17" s="102">
        <f t="shared" ca="1" si="4"/>
        <v>0</v>
      </c>
      <c r="BM17" s="102">
        <f t="shared" ca="1" si="4"/>
        <v>0</v>
      </c>
      <c r="BN17" s="102">
        <f t="shared" ca="1" si="4"/>
        <v>0</v>
      </c>
      <c r="BO17" s="102">
        <f t="shared" ca="1" si="4"/>
        <v>0</v>
      </c>
      <c r="BP17" s="102">
        <f t="shared" ca="1" si="4"/>
        <v>0</v>
      </c>
      <c r="BQ17" s="102">
        <f t="shared" ca="1" si="4"/>
        <v>0</v>
      </c>
      <c r="BR17" s="102">
        <f t="shared" ca="1" si="4"/>
        <v>0</v>
      </c>
      <c r="BS17" s="102">
        <f t="shared" ca="1" si="4"/>
        <v>0</v>
      </c>
      <c r="BT17" s="102">
        <f t="shared" ca="1" si="4"/>
        <v>0</v>
      </c>
      <c r="BU17" s="102">
        <f t="shared" ca="1" si="4"/>
        <v>0</v>
      </c>
      <c r="BV17" s="102">
        <f t="shared" ca="1" si="4"/>
        <v>0</v>
      </c>
      <c r="BW17" s="102">
        <f t="shared" ca="1" si="4"/>
        <v>0</v>
      </c>
      <c r="BX17" s="102">
        <f t="shared" ca="1" si="4"/>
        <v>0</v>
      </c>
      <c r="BY17" s="102">
        <f t="shared" ca="1" si="4"/>
        <v>0</v>
      </c>
      <c r="BZ17" s="98">
        <f t="shared" ca="1" si="5"/>
        <v>0</v>
      </c>
      <c r="CA17" s="102">
        <f t="shared" ca="1" si="5"/>
        <v>0</v>
      </c>
      <c r="CB17" s="102">
        <f t="shared" ca="1" si="5"/>
        <v>0</v>
      </c>
      <c r="CC17" s="102">
        <f t="shared" ca="1" si="5"/>
        <v>0</v>
      </c>
      <c r="CD17" s="102">
        <f t="shared" ca="1" si="5"/>
        <v>0</v>
      </c>
      <c r="CE17" s="102">
        <f t="shared" ca="1" si="5"/>
        <v>0</v>
      </c>
      <c r="CF17" s="102">
        <f t="shared" ca="1" si="5"/>
        <v>0</v>
      </c>
      <c r="CG17" s="102">
        <f t="shared" ca="1" si="5"/>
        <v>0</v>
      </c>
      <c r="CH17" s="101">
        <f ca="1">COUNTIF(BZ17:CG17,"&lt;"&amp;MAX(BZ17:CG17))+IF(Calcs[[#This Row],[RL1]]=0,0,1)</f>
        <v>0</v>
      </c>
      <c r="CI1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 s="103">
        <f ca="1">IFERROR(OFFSET(CJ17,-1,0)+0,0)+IF(INDEX(INDIRECT(RangeContrQty),MATCH(Calcs[[#This Row],[Line]],OFFSET(Items[Line],0,0,ROW(Proposed[])-ROW(Items[])+ROWS(Proposed[]),1),0)),1,0)</f>
        <v>0</v>
      </c>
    </row>
    <row r="18" spans="1:88" x14ac:dyDescent="0.15">
      <c r="A18" s="6">
        <f ca="1">IFERROR(OFFSET(A18,-1,0)+0,0)+MAX(IF(LEN(Calcs[[#This Row],[Line]])&gt;0,1,0),Calcs[[#This Row],[DL]],Calcs[[#This Row],[RL]])</f>
        <v>10</v>
      </c>
      <c r="B18" s="94" t="str">
        <f ca="1">IFERROR(INDEX(OFFSET(Items[Line],0,0,ROW(Proposed[])-ROW(Items[])+ROWS(Proposed[]),1),MATCH(ROW(B18)-ROW(B$3),INDIRECT(RangeCount),0)),"")</f>
        <v/>
      </c>
      <c r="C18" s="94" t="str">
        <f ca="1">IF(LEN(Calcs[[#This Row],[Line]])&gt;0,TRIM(IFERROR(INDEX(Items[Description],MATCH(Calcs[[#This Row],[Line]],Items[Line],0))&amp;INDEX(Items[Description2],MATCH(Calcs[[#This Row],[Line]],Items[Line],0)),INDEX(Proposed[Description],MATCH(Calcs[[#This Row],[Line]],Proposed[Line],0)))),"")</f>
        <v/>
      </c>
      <c r="D18" s="96">
        <f t="shared" ca="1" si="0"/>
        <v>0</v>
      </c>
      <c r="E18" s="97">
        <f t="shared" ca="1" si="0"/>
        <v>0</v>
      </c>
      <c r="F18" s="97">
        <f t="shared" ca="1" si="0"/>
        <v>0</v>
      </c>
      <c r="G18" s="97">
        <f t="shared" ca="1" si="0"/>
        <v>0</v>
      </c>
      <c r="H18" s="97">
        <f t="shared" ca="1" si="0"/>
        <v>0</v>
      </c>
      <c r="I18" s="97">
        <f t="shared" ca="1" si="0"/>
        <v>0</v>
      </c>
      <c r="J18" s="97">
        <f t="shared" ca="1" si="0"/>
        <v>0</v>
      </c>
      <c r="K18" s="97">
        <f t="shared" ca="1" si="0"/>
        <v>0</v>
      </c>
      <c r="L18" s="97">
        <f t="shared" ca="1" si="0"/>
        <v>0</v>
      </c>
      <c r="M18" s="97">
        <f t="shared" ca="1" si="0"/>
        <v>0</v>
      </c>
      <c r="N18" s="97">
        <f t="shared" ca="1" si="0"/>
        <v>0</v>
      </c>
      <c r="O18" s="97">
        <f t="shared" ca="1" si="0"/>
        <v>0</v>
      </c>
      <c r="P18" s="97">
        <f t="shared" ca="1" si="0"/>
        <v>0</v>
      </c>
      <c r="Q18" s="97">
        <f t="shared" ca="1" si="0"/>
        <v>0</v>
      </c>
      <c r="R18" s="97">
        <f t="shared" ca="1" si="0"/>
        <v>0</v>
      </c>
      <c r="S18" s="97">
        <f t="shared" ca="1" si="0"/>
        <v>0</v>
      </c>
      <c r="T18" s="97">
        <f t="shared" ca="1" si="1"/>
        <v>0</v>
      </c>
      <c r="U18" s="97">
        <f t="shared" ca="1" si="1"/>
        <v>0</v>
      </c>
      <c r="V18" s="97">
        <f t="shared" ca="1" si="1"/>
        <v>0</v>
      </c>
      <c r="W18" s="97">
        <f t="shared" ca="1" si="1"/>
        <v>0</v>
      </c>
      <c r="X18" s="97">
        <f t="shared" ca="1" si="1"/>
        <v>0</v>
      </c>
      <c r="Y18" s="97">
        <f t="shared" ca="1" si="1"/>
        <v>0</v>
      </c>
      <c r="Z18" s="97">
        <f t="shared" ca="1" si="1"/>
        <v>0</v>
      </c>
      <c r="AA18" s="97">
        <f t="shared" ca="1" si="1"/>
        <v>0</v>
      </c>
      <c r="AB18" s="97">
        <f t="shared" ca="1" si="1"/>
        <v>0</v>
      </c>
      <c r="AC18" s="97">
        <f t="shared" ca="1" si="1"/>
        <v>0</v>
      </c>
      <c r="AD18" s="97">
        <f t="shared" ca="1" si="1"/>
        <v>0</v>
      </c>
      <c r="AE18" s="97">
        <f t="shared" ca="1" si="1"/>
        <v>0</v>
      </c>
      <c r="AF18" s="97">
        <f t="shared" ca="1" si="1"/>
        <v>0</v>
      </c>
      <c r="AG18" s="97">
        <f t="shared" ca="1" si="1"/>
        <v>0</v>
      </c>
      <c r="AH18" s="97">
        <f t="shared" ca="1" si="1"/>
        <v>0</v>
      </c>
      <c r="AI18" s="97">
        <f t="shared" ca="1" si="1"/>
        <v>0</v>
      </c>
      <c r="AJ18" s="98">
        <f t="shared" ca="1" si="2"/>
        <v>0</v>
      </c>
      <c r="AK18" s="97">
        <f t="shared" ca="1" si="2"/>
        <v>0</v>
      </c>
      <c r="AL18" s="97">
        <f t="shared" ca="1" si="2"/>
        <v>0</v>
      </c>
      <c r="AM18" s="97">
        <f t="shared" ca="1" si="2"/>
        <v>0</v>
      </c>
      <c r="AN18" s="97">
        <f t="shared" ca="1" si="2"/>
        <v>0</v>
      </c>
      <c r="AO18" s="97">
        <f t="shared" ca="1" si="2"/>
        <v>0</v>
      </c>
      <c r="AP18" s="97">
        <f t="shared" ca="1" si="2"/>
        <v>0</v>
      </c>
      <c r="AQ18" s="97">
        <f t="shared" ca="1" si="2"/>
        <v>0</v>
      </c>
      <c r="AR18" s="99">
        <f ca="1">COUNTIF(AJ18:AQ18,"&lt;"&amp;MAX(AJ18:AQ18))+IF(Calcs[[#This Row],[DL1]]=0,0,1)</f>
        <v>0</v>
      </c>
      <c r="AS18" s="100" t="str">
        <f ca="1">IF(LEN(Calcs[[#This Row],[Line]])&gt;0,IF(RIGHT(Calcs[[#This Row],[Remark]],3)=".  ",LEFT(Calcs[[#This Row],[Remark]],LEN(Calcs[[#This Row],[Remark]])-3),Calcs[[#This Row],[Remark]]),"")</f>
        <v/>
      </c>
      <c r="AT18" s="96">
        <f t="shared" ca="1" si="3"/>
        <v>0</v>
      </c>
      <c r="AU18" s="102">
        <f t="shared" ca="1" si="3"/>
        <v>0</v>
      </c>
      <c r="AV18" s="102">
        <f t="shared" ca="1" si="3"/>
        <v>0</v>
      </c>
      <c r="AW18" s="102">
        <f t="shared" ca="1" si="3"/>
        <v>0</v>
      </c>
      <c r="AX18" s="102">
        <f t="shared" ca="1" si="3"/>
        <v>0</v>
      </c>
      <c r="AY18" s="102">
        <f t="shared" ca="1" si="3"/>
        <v>0</v>
      </c>
      <c r="AZ18" s="102">
        <f t="shared" ca="1" si="3"/>
        <v>0</v>
      </c>
      <c r="BA18" s="102">
        <f t="shared" ca="1" si="3"/>
        <v>0</v>
      </c>
      <c r="BB18" s="102">
        <f t="shared" ca="1" si="3"/>
        <v>0</v>
      </c>
      <c r="BC18" s="102">
        <f t="shared" ca="1" si="3"/>
        <v>0</v>
      </c>
      <c r="BD18" s="102">
        <f t="shared" ca="1" si="3"/>
        <v>0</v>
      </c>
      <c r="BE18" s="102">
        <f t="shared" ca="1" si="3"/>
        <v>0</v>
      </c>
      <c r="BF18" s="102">
        <f t="shared" ca="1" si="3"/>
        <v>0</v>
      </c>
      <c r="BG18" s="102">
        <f t="shared" ca="1" si="3"/>
        <v>0</v>
      </c>
      <c r="BH18" s="102">
        <f t="shared" ca="1" si="3"/>
        <v>0</v>
      </c>
      <c r="BI18" s="102">
        <f t="shared" ca="1" si="3"/>
        <v>0</v>
      </c>
      <c r="BJ18" s="102">
        <f t="shared" ca="1" si="4"/>
        <v>0</v>
      </c>
      <c r="BK18" s="102">
        <f t="shared" ca="1" si="4"/>
        <v>0</v>
      </c>
      <c r="BL18" s="102">
        <f t="shared" ca="1" si="4"/>
        <v>0</v>
      </c>
      <c r="BM18" s="102">
        <f t="shared" ca="1" si="4"/>
        <v>0</v>
      </c>
      <c r="BN18" s="102">
        <f t="shared" ca="1" si="4"/>
        <v>0</v>
      </c>
      <c r="BO18" s="102">
        <f t="shared" ca="1" si="4"/>
        <v>0</v>
      </c>
      <c r="BP18" s="102">
        <f t="shared" ca="1" si="4"/>
        <v>0</v>
      </c>
      <c r="BQ18" s="102">
        <f t="shared" ca="1" si="4"/>
        <v>0</v>
      </c>
      <c r="BR18" s="102">
        <f t="shared" ca="1" si="4"/>
        <v>0</v>
      </c>
      <c r="BS18" s="102">
        <f t="shared" ca="1" si="4"/>
        <v>0</v>
      </c>
      <c r="BT18" s="102">
        <f t="shared" ca="1" si="4"/>
        <v>0</v>
      </c>
      <c r="BU18" s="102">
        <f t="shared" ca="1" si="4"/>
        <v>0</v>
      </c>
      <c r="BV18" s="102">
        <f t="shared" ca="1" si="4"/>
        <v>0</v>
      </c>
      <c r="BW18" s="102">
        <f t="shared" ca="1" si="4"/>
        <v>0</v>
      </c>
      <c r="BX18" s="102">
        <f t="shared" ca="1" si="4"/>
        <v>0</v>
      </c>
      <c r="BY18" s="102">
        <f t="shared" ca="1" si="4"/>
        <v>0</v>
      </c>
      <c r="BZ18" s="98">
        <f t="shared" ca="1" si="5"/>
        <v>0</v>
      </c>
      <c r="CA18" s="102">
        <f t="shared" ca="1" si="5"/>
        <v>0</v>
      </c>
      <c r="CB18" s="102">
        <f t="shared" ca="1" si="5"/>
        <v>0</v>
      </c>
      <c r="CC18" s="102">
        <f t="shared" ca="1" si="5"/>
        <v>0</v>
      </c>
      <c r="CD18" s="102">
        <f t="shared" ca="1" si="5"/>
        <v>0</v>
      </c>
      <c r="CE18" s="102">
        <f t="shared" ca="1" si="5"/>
        <v>0</v>
      </c>
      <c r="CF18" s="102">
        <f t="shared" ca="1" si="5"/>
        <v>0</v>
      </c>
      <c r="CG18" s="102">
        <f t="shared" ca="1" si="5"/>
        <v>0</v>
      </c>
      <c r="CH18" s="101">
        <f ca="1">COUNTIF(BZ18:CG18,"&lt;"&amp;MAX(BZ18:CG18))+IF(Calcs[[#This Row],[RL1]]=0,0,1)</f>
        <v>0</v>
      </c>
      <c r="CI1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 s="103">
        <f ca="1">IFERROR(OFFSET(CJ18,-1,0)+0,0)+IF(INDEX(INDIRECT(RangeContrQty),MATCH(Calcs[[#This Row],[Line]],OFFSET(Items[Line],0,0,ROW(Proposed[])-ROW(Items[])+ROWS(Proposed[]),1),0)),1,0)</f>
        <v>0</v>
      </c>
    </row>
    <row r="19" spans="1:88" x14ac:dyDescent="0.15">
      <c r="A19" s="6">
        <f ca="1">IFERROR(OFFSET(A19,-1,0)+0,0)+MAX(IF(LEN(Calcs[[#This Row],[Line]])&gt;0,1,0),Calcs[[#This Row],[DL]],Calcs[[#This Row],[RL]])</f>
        <v>10</v>
      </c>
      <c r="B19" s="94" t="str">
        <f ca="1">IFERROR(INDEX(OFFSET(Items[Line],0,0,ROW(Proposed[])-ROW(Items[])+ROWS(Proposed[]),1),MATCH(ROW(B19)-ROW(B$3),INDIRECT(RangeCount),0)),"")</f>
        <v/>
      </c>
      <c r="C19" s="94" t="str">
        <f ca="1">IF(LEN(Calcs[[#This Row],[Line]])&gt;0,TRIM(IFERROR(INDEX(Items[Description],MATCH(Calcs[[#This Row],[Line]],Items[Line],0))&amp;INDEX(Items[Description2],MATCH(Calcs[[#This Row],[Line]],Items[Line],0)),INDEX(Proposed[Description],MATCH(Calcs[[#This Row],[Line]],Proposed[Line],0)))),"")</f>
        <v/>
      </c>
      <c r="D19" s="96">
        <f t="shared" ca="1" si="0"/>
        <v>0</v>
      </c>
      <c r="E19" s="97">
        <f t="shared" ca="1" si="0"/>
        <v>0</v>
      </c>
      <c r="F19" s="97">
        <f t="shared" ca="1" si="0"/>
        <v>0</v>
      </c>
      <c r="G19" s="97">
        <f t="shared" ca="1" si="0"/>
        <v>0</v>
      </c>
      <c r="H19" s="97">
        <f t="shared" ca="1" si="0"/>
        <v>0</v>
      </c>
      <c r="I19" s="97">
        <f t="shared" ca="1" si="0"/>
        <v>0</v>
      </c>
      <c r="J19" s="97">
        <f t="shared" ca="1" si="0"/>
        <v>0</v>
      </c>
      <c r="K19" s="97">
        <f t="shared" ca="1" si="0"/>
        <v>0</v>
      </c>
      <c r="L19" s="97">
        <f t="shared" ca="1" si="0"/>
        <v>0</v>
      </c>
      <c r="M19" s="97">
        <f t="shared" ca="1" si="0"/>
        <v>0</v>
      </c>
      <c r="N19" s="97">
        <f t="shared" ca="1" si="0"/>
        <v>0</v>
      </c>
      <c r="O19" s="97">
        <f t="shared" ca="1" si="0"/>
        <v>0</v>
      </c>
      <c r="P19" s="97">
        <f t="shared" ca="1" si="0"/>
        <v>0</v>
      </c>
      <c r="Q19" s="97">
        <f t="shared" ca="1" si="0"/>
        <v>0</v>
      </c>
      <c r="R19" s="97">
        <f t="shared" ca="1" si="0"/>
        <v>0</v>
      </c>
      <c r="S19" s="97">
        <f t="shared" ref="S19:AH34" ca="1" si="6">IFERROR(FIND(" ",$C19,IFERROR(OFFSET(S19,0,-1)+1,1)),LEN($C19))</f>
        <v>0</v>
      </c>
      <c r="T19" s="97">
        <f t="shared" ca="1" si="6"/>
        <v>0</v>
      </c>
      <c r="U19" s="97">
        <f t="shared" ca="1" si="6"/>
        <v>0</v>
      </c>
      <c r="V19" s="97">
        <f t="shared" ca="1" si="6"/>
        <v>0</v>
      </c>
      <c r="W19" s="97">
        <f t="shared" ca="1" si="6"/>
        <v>0</v>
      </c>
      <c r="X19" s="97">
        <f t="shared" ca="1" si="1"/>
        <v>0</v>
      </c>
      <c r="Y19" s="97">
        <f t="shared" ca="1" si="1"/>
        <v>0</v>
      </c>
      <c r="Z19" s="97">
        <f t="shared" ca="1" si="1"/>
        <v>0</v>
      </c>
      <c r="AA19" s="97">
        <f t="shared" ca="1" si="1"/>
        <v>0</v>
      </c>
      <c r="AB19" s="97">
        <f t="shared" ca="1" si="1"/>
        <v>0</v>
      </c>
      <c r="AC19" s="97">
        <f t="shared" ca="1" si="1"/>
        <v>0</v>
      </c>
      <c r="AD19" s="97">
        <f t="shared" ca="1" si="1"/>
        <v>0</v>
      </c>
      <c r="AE19" s="97">
        <f t="shared" ca="1" si="1"/>
        <v>0</v>
      </c>
      <c r="AF19" s="97">
        <f t="shared" ca="1" si="1"/>
        <v>0</v>
      </c>
      <c r="AG19" s="97">
        <f t="shared" ca="1" si="1"/>
        <v>0</v>
      </c>
      <c r="AH19" s="97">
        <f t="shared" ca="1" si="1"/>
        <v>0</v>
      </c>
      <c r="AI19" s="97">
        <f t="shared" ca="1" si="1"/>
        <v>0</v>
      </c>
      <c r="AJ19" s="98">
        <f t="shared" ca="1" si="2"/>
        <v>0</v>
      </c>
      <c r="AK19" s="97">
        <f t="shared" ca="1" si="2"/>
        <v>0</v>
      </c>
      <c r="AL19" s="97">
        <f t="shared" ca="1" si="2"/>
        <v>0</v>
      </c>
      <c r="AM19" s="97">
        <f t="shared" ca="1" si="2"/>
        <v>0</v>
      </c>
      <c r="AN19" s="97">
        <f t="shared" ca="1" si="2"/>
        <v>0</v>
      </c>
      <c r="AO19" s="97">
        <f t="shared" ca="1" si="2"/>
        <v>0</v>
      </c>
      <c r="AP19" s="97">
        <f t="shared" ca="1" si="2"/>
        <v>0</v>
      </c>
      <c r="AQ19" s="97">
        <f t="shared" ca="1" si="2"/>
        <v>0</v>
      </c>
      <c r="AR19" s="99">
        <f ca="1">COUNTIF(AJ19:AQ19,"&lt;"&amp;MAX(AJ19:AQ19))+IF(Calcs[[#This Row],[DL1]]=0,0,1)</f>
        <v>0</v>
      </c>
      <c r="AS19" s="100" t="str">
        <f ca="1">IF(LEN(Calcs[[#This Row],[Line]])&gt;0,IF(RIGHT(Calcs[[#This Row],[Remark]],3)=".  ",LEFT(Calcs[[#This Row],[Remark]],LEN(Calcs[[#This Row],[Remark]])-3),Calcs[[#This Row],[Remark]]),"")</f>
        <v/>
      </c>
      <c r="AT19" s="96">
        <f t="shared" ca="1" si="3"/>
        <v>0</v>
      </c>
      <c r="AU19" s="102">
        <f t="shared" ca="1" si="3"/>
        <v>0</v>
      </c>
      <c r="AV19" s="102">
        <f t="shared" ca="1" si="3"/>
        <v>0</v>
      </c>
      <c r="AW19" s="102">
        <f t="shared" ca="1" si="3"/>
        <v>0</v>
      </c>
      <c r="AX19" s="102">
        <f t="shared" ca="1" si="3"/>
        <v>0</v>
      </c>
      <c r="AY19" s="102">
        <f t="shared" ca="1" si="3"/>
        <v>0</v>
      </c>
      <c r="AZ19" s="102">
        <f t="shared" ca="1" si="3"/>
        <v>0</v>
      </c>
      <c r="BA19" s="102">
        <f t="shared" ca="1" si="3"/>
        <v>0</v>
      </c>
      <c r="BB19" s="102">
        <f t="shared" ca="1" si="3"/>
        <v>0</v>
      </c>
      <c r="BC19" s="102">
        <f t="shared" ca="1" si="3"/>
        <v>0</v>
      </c>
      <c r="BD19" s="102">
        <f t="shared" ca="1" si="3"/>
        <v>0</v>
      </c>
      <c r="BE19" s="102">
        <f t="shared" ca="1" si="3"/>
        <v>0</v>
      </c>
      <c r="BF19" s="102">
        <f t="shared" ca="1" si="3"/>
        <v>0</v>
      </c>
      <c r="BG19" s="102">
        <f t="shared" ca="1" si="3"/>
        <v>0</v>
      </c>
      <c r="BH19" s="102">
        <f t="shared" ca="1" si="3"/>
        <v>0</v>
      </c>
      <c r="BI19" s="102">
        <f t="shared" ref="BI19:BX34" ca="1" si="7">IFERROR(FIND(" ",$AS19,IFERROR(OFFSET(BI19,0,-1)+1,1)),LEN($AS19))</f>
        <v>0</v>
      </c>
      <c r="BJ19" s="102">
        <f t="shared" ca="1" si="7"/>
        <v>0</v>
      </c>
      <c r="BK19" s="102">
        <f t="shared" ca="1" si="7"/>
        <v>0</v>
      </c>
      <c r="BL19" s="102">
        <f t="shared" ca="1" si="7"/>
        <v>0</v>
      </c>
      <c r="BM19" s="102">
        <f t="shared" ca="1" si="7"/>
        <v>0</v>
      </c>
      <c r="BN19" s="102">
        <f t="shared" ca="1" si="4"/>
        <v>0</v>
      </c>
      <c r="BO19" s="102">
        <f t="shared" ca="1" si="4"/>
        <v>0</v>
      </c>
      <c r="BP19" s="102">
        <f t="shared" ca="1" si="4"/>
        <v>0</v>
      </c>
      <c r="BQ19" s="102">
        <f t="shared" ca="1" si="4"/>
        <v>0</v>
      </c>
      <c r="BR19" s="102">
        <f t="shared" ca="1" si="4"/>
        <v>0</v>
      </c>
      <c r="BS19" s="102">
        <f t="shared" ca="1" si="4"/>
        <v>0</v>
      </c>
      <c r="BT19" s="102">
        <f t="shared" ca="1" si="4"/>
        <v>0</v>
      </c>
      <c r="BU19" s="102">
        <f t="shared" ca="1" si="4"/>
        <v>0</v>
      </c>
      <c r="BV19" s="102">
        <f t="shared" ca="1" si="4"/>
        <v>0</v>
      </c>
      <c r="BW19" s="102">
        <f t="shared" ca="1" si="4"/>
        <v>0</v>
      </c>
      <c r="BX19" s="102">
        <f t="shared" ca="1" si="4"/>
        <v>0</v>
      </c>
      <c r="BY19" s="102">
        <f t="shared" ca="1" si="4"/>
        <v>0</v>
      </c>
      <c r="BZ19" s="98">
        <f t="shared" ca="1" si="5"/>
        <v>0</v>
      </c>
      <c r="CA19" s="102">
        <f t="shared" ca="1" si="5"/>
        <v>0</v>
      </c>
      <c r="CB19" s="102">
        <f t="shared" ca="1" si="5"/>
        <v>0</v>
      </c>
      <c r="CC19" s="102">
        <f t="shared" ca="1" si="5"/>
        <v>0</v>
      </c>
      <c r="CD19" s="102">
        <f t="shared" ca="1" si="5"/>
        <v>0</v>
      </c>
      <c r="CE19" s="102">
        <f t="shared" ca="1" si="5"/>
        <v>0</v>
      </c>
      <c r="CF19" s="102">
        <f t="shared" ca="1" si="5"/>
        <v>0</v>
      </c>
      <c r="CG19" s="102">
        <f t="shared" ca="1" si="5"/>
        <v>0</v>
      </c>
      <c r="CH19" s="101">
        <f ca="1">COUNTIF(BZ19:CG19,"&lt;"&amp;MAX(BZ19:CG19))+IF(Calcs[[#This Row],[RL1]]=0,0,1)</f>
        <v>0</v>
      </c>
      <c r="CI1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 s="103">
        <f ca="1">IFERROR(OFFSET(CJ19,-1,0)+0,0)+IF(INDEX(INDIRECT(RangeContrQty),MATCH(Calcs[[#This Row],[Line]],OFFSET(Items[Line],0,0,ROW(Proposed[])-ROW(Items[])+ROWS(Proposed[]),1),0)),1,0)</f>
        <v>0</v>
      </c>
    </row>
    <row r="20" spans="1:88" x14ac:dyDescent="0.15">
      <c r="A20" s="6">
        <f ca="1">IFERROR(OFFSET(A20,-1,0)+0,0)+MAX(IF(LEN(Calcs[[#This Row],[Line]])&gt;0,1,0),Calcs[[#This Row],[DL]],Calcs[[#This Row],[RL]])</f>
        <v>10</v>
      </c>
      <c r="B20" s="94" t="str">
        <f ca="1">IFERROR(INDEX(OFFSET(Items[Line],0,0,ROW(Proposed[])-ROW(Items[])+ROWS(Proposed[]),1),MATCH(ROW(B20)-ROW(B$3),INDIRECT(RangeCount),0)),"")</f>
        <v/>
      </c>
      <c r="C20" s="94" t="str">
        <f ca="1">IF(LEN(Calcs[[#This Row],[Line]])&gt;0,TRIM(IFERROR(INDEX(Items[Description],MATCH(Calcs[[#This Row],[Line]],Items[Line],0))&amp;INDEX(Items[Description2],MATCH(Calcs[[#This Row],[Line]],Items[Line],0)),INDEX(Proposed[Description],MATCH(Calcs[[#This Row],[Line]],Proposed[Line],0)))),"")</f>
        <v/>
      </c>
      <c r="D20" s="96">
        <f t="shared" ref="D20:S35" ca="1" si="8">IFERROR(FIND(" ",$C20,IFERROR(OFFSET(D20,0,-1)+1,1)),LEN($C20))</f>
        <v>0</v>
      </c>
      <c r="E20" s="97">
        <f t="shared" ca="1" si="8"/>
        <v>0</v>
      </c>
      <c r="F20" s="97">
        <f t="shared" ca="1" si="8"/>
        <v>0</v>
      </c>
      <c r="G20" s="97">
        <f t="shared" ca="1" si="8"/>
        <v>0</v>
      </c>
      <c r="H20" s="97">
        <f t="shared" ca="1" si="8"/>
        <v>0</v>
      </c>
      <c r="I20" s="97">
        <f t="shared" ca="1" si="8"/>
        <v>0</v>
      </c>
      <c r="J20" s="97">
        <f t="shared" ca="1" si="8"/>
        <v>0</v>
      </c>
      <c r="K20" s="97">
        <f t="shared" ca="1" si="8"/>
        <v>0</v>
      </c>
      <c r="L20" s="97">
        <f t="shared" ca="1" si="8"/>
        <v>0</v>
      </c>
      <c r="M20" s="97">
        <f t="shared" ca="1" si="8"/>
        <v>0</v>
      </c>
      <c r="N20" s="97">
        <f t="shared" ca="1" si="8"/>
        <v>0</v>
      </c>
      <c r="O20" s="97">
        <f t="shared" ca="1" si="8"/>
        <v>0</v>
      </c>
      <c r="P20" s="97">
        <f t="shared" ca="1" si="8"/>
        <v>0</v>
      </c>
      <c r="Q20" s="97">
        <f t="shared" ca="1" si="8"/>
        <v>0</v>
      </c>
      <c r="R20" s="97">
        <f t="shared" ca="1" si="8"/>
        <v>0</v>
      </c>
      <c r="S20" s="97">
        <f t="shared" ca="1" si="8"/>
        <v>0</v>
      </c>
      <c r="T20" s="97">
        <f t="shared" ca="1" si="6"/>
        <v>0</v>
      </c>
      <c r="U20" s="97">
        <f t="shared" ca="1" si="6"/>
        <v>0</v>
      </c>
      <c r="V20" s="97">
        <f t="shared" ca="1" si="6"/>
        <v>0</v>
      </c>
      <c r="W20" s="97">
        <f t="shared" ca="1" si="6"/>
        <v>0</v>
      </c>
      <c r="X20" s="97">
        <f t="shared" ca="1" si="6"/>
        <v>0</v>
      </c>
      <c r="Y20" s="97">
        <f t="shared" ca="1" si="6"/>
        <v>0</v>
      </c>
      <c r="Z20" s="97">
        <f t="shared" ca="1" si="6"/>
        <v>0</v>
      </c>
      <c r="AA20" s="97">
        <f t="shared" ca="1" si="6"/>
        <v>0</v>
      </c>
      <c r="AB20" s="97">
        <f t="shared" ca="1" si="6"/>
        <v>0</v>
      </c>
      <c r="AC20" s="97">
        <f t="shared" ca="1" si="6"/>
        <v>0</v>
      </c>
      <c r="AD20" s="97">
        <f t="shared" ca="1" si="6"/>
        <v>0</v>
      </c>
      <c r="AE20" s="97">
        <f t="shared" ca="1" si="6"/>
        <v>0</v>
      </c>
      <c r="AF20" s="97">
        <f t="shared" ca="1" si="6"/>
        <v>0</v>
      </c>
      <c r="AG20" s="97">
        <f t="shared" ca="1" si="6"/>
        <v>0</v>
      </c>
      <c r="AH20" s="97">
        <f t="shared" ca="1" si="6"/>
        <v>0</v>
      </c>
      <c r="AI20" s="97">
        <f t="shared" ref="AI20:AI40" ca="1" si="9">IFERROR(FIND(" ",$C20,IFERROR(OFFSET(AI20,0,-1)+1,1)),LEN($C20))</f>
        <v>0</v>
      </c>
      <c r="AJ20" s="98">
        <f t="shared" ca="1" si="2"/>
        <v>0</v>
      </c>
      <c r="AK20" s="97">
        <f t="shared" ca="1" si="2"/>
        <v>0</v>
      </c>
      <c r="AL20" s="97">
        <f t="shared" ca="1" si="2"/>
        <v>0</v>
      </c>
      <c r="AM20" s="97">
        <f t="shared" ca="1" si="2"/>
        <v>0</v>
      </c>
      <c r="AN20" s="97">
        <f t="shared" ca="1" si="2"/>
        <v>0</v>
      </c>
      <c r="AO20" s="97">
        <f t="shared" ca="1" si="2"/>
        <v>0</v>
      </c>
      <c r="AP20" s="97">
        <f t="shared" ca="1" si="2"/>
        <v>0</v>
      </c>
      <c r="AQ20" s="97">
        <f t="shared" ca="1" si="2"/>
        <v>0</v>
      </c>
      <c r="AR20" s="99">
        <f ca="1">COUNTIF(AJ20:AQ20,"&lt;"&amp;MAX(AJ20:AQ20))+IF(Calcs[[#This Row],[DL1]]=0,0,1)</f>
        <v>0</v>
      </c>
      <c r="AS20" s="100" t="str">
        <f ca="1">IF(LEN(Calcs[[#This Row],[Line]])&gt;0,IF(RIGHT(Calcs[[#This Row],[Remark]],3)=".  ",LEFT(Calcs[[#This Row],[Remark]],LEN(Calcs[[#This Row],[Remark]])-3),Calcs[[#This Row],[Remark]]),"")</f>
        <v/>
      </c>
      <c r="AT20" s="96">
        <f t="shared" ref="AT20:BI35" ca="1" si="10">IFERROR(FIND(" ",$AS20,IFERROR(OFFSET(AT20,0,-1)+1,1)),LEN($AS20))</f>
        <v>0</v>
      </c>
      <c r="AU20" s="102">
        <f t="shared" ca="1" si="10"/>
        <v>0</v>
      </c>
      <c r="AV20" s="102">
        <f t="shared" ca="1" si="10"/>
        <v>0</v>
      </c>
      <c r="AW20" s="102">
        <f t="shared" ca="1" si="10"/>
        <v>0</v>
      </c>
      <c r="AX20" s="102">
        <f t="shared" ca="1" si="10"/>
        <v>0</v>
      </c>
      <c r="AY20" s="102">
        <f t="shared" ca="1" si="10"/>
        <v>0</v>
      </c>
      <c r="AZ20" s="102">
        <f t="shared" ca="1" si="10"/>
        <v>0</v>
      </c>
      <c r="BA20" s="102">
        <f t="shared" ca="1" si="10"/>
        <v>0</v>
      </c>
      <c r="BB20" s="102">
        <f t="shared" ca="1" si="10"/>
        <v>0</v>
      </c>
      <c r="BC20" s="102">
        <f t="shared" ca="1" si="10"/>
        <v>0</v>
      </c>
      <c r="BD20" s="102">
        <f t="shared" ca="1" si="10"/>
        <v>0</v>
      </c>
      <c r="BE20" s="102">
        <f t="shared" ca="1" si="10"/>
        <v>0</v>
      </c>
      <c r="BF20" s="102">
        <f t="shared" ca="1" si="10"/>
        <v>0</v>
      </c>
      <c r="BG20" s="102">
        <f t="shared" ca="1" si="10"/>
        <v>0</v>
      </c>
      <c r="BH20" s="102">
        <f t="shared" ca="1" si="10"/>
        <v>0</v>
      </c>
      <c r="BI20" s="102">
        <f t="shared" ca="1" si="10"/>
        <v>0</v>
      </c>
      <c r="BJ20" s="102">
        <f t="shared" ca="1" si="7"/>
        <v>0</v>
      </c>
      <c r="BK20" s="102">
        <f t="shared" ca="1" si="7"/>
        <v>0</v>
      </c>
      <c r="BL20" s="102">
        <f t="shared" ca="1" si="7"/>
        <v>0</v>
      </c>
      <c r="BM20" s="102">
        <f t="shared" ca="1" si="7"/>
        <v>0</v>
      </c>
      <c r="BN20" s="102">
        <f t="shared" ca="1" si="7"/>
        <v>0</v>
      </c>
      <c r="BO20" s="102">
        <f t="shared" ca="1" si="7"/>
        <v>0</v>
      </c>
      <c r="BP20" s="102">
        <f t="shared" ca="1" si="7"/>
        <v>0</v>
      </c>
      <c r="BQ20" s="102">
        <f t="shared" ca="1" si="7"/>
        <v>0</v>
      </c>
      <c r="BR20" s="102">
        <f t="shared" ca="1" si="7"/>
        <v>0</v>
      </c>
      <c r="BS20" s="102">
        <f t="shared" ca="1" si="7"/>
        <v>0</v>
      </c>
      <c r="BT20" s="102">
        <f t="shared" ca="1" si="7"/>
        <v>0</v>
      </c>
      <c r="BU20" s="102">
        <f t="shared" ca="1" si="7"/>
        <v>0</v>
      </c>
      <c r="BV20" s="102">
        <f t="shared" ca="1" si="7"/>
        <v>0</v>
      </c>
      <c r="BW20" s="102">
        <f t="shared" ca="1" si="7"/>
        <v>0</v>
      </c>
      <c r="BX20" s="102">
        <f t="shared" ca="1" si="7"/>
        <v>0</v>
      </c>
      <c r="BY20" s="102">
        <f t="shared" ref="BY20:BY40" ca="1" si="11">IFERROR(FIND(" ",$AS20,IFERROR(OFFSET(BY20,0,-1)+1,1)),LEN($AS20))</f>
        <v>0</v>
      </c>
      <c r="BZ20" s="98">
        <f t="shared" ca="1" si="5"/>
        <v>0</v>
      </c>
      <c r="CA20" s="102">
        <f t="shared" ca="1" si="5"/>
        <v>0</v>
      </c>
      <c r="CB20" s="102">
        <f t="shared" ca="1" si="5"/>
        <v>0</v>
      </c>
      <c r="CC20" s="102">
        <f t="shared" ca="1" si="5"/>
        <v>0</v>
      </c>
      <c r="CD20" s="102">
        <f t="shared" ca="1" si="5"/>
        <v>0</v>
      </c>
      <c r="CE20" s="102">
        <f t="shared" ca="1" si="5"/>
        <v>0</v>
      </c>
      <c r="CF20" s="102">
        <f t="shared" ca="1" si="5"/>
        <v>0</v>
      </c>
      <c r="CG20" s="102">
        <f t="shared" ca="1" si="5"/>
        <v>0</v>
      </c>
      <c r="CH20" s="101">
        <f ca="1">COUNTIF(BZ20:CG20,"&lt;"&amp;MAX(BZ20:CG20))+IF(Calcs[[#This Row],[RL1]]=0,0,1)</f>
        <v>0</v>
      </c>
      <c r="CI2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 s="103">
        <f ca="1">IFERROR(OFFSET(CJ20,-1,0)+0,0)+IF(INDEX(INDIRECT(RangeContrQty),MATCH(Calcs[[#This Row],[Line]],OFFSET(Items[Line],0,0,ROW(Proposed[])-ROW(Items[])+ROWS(Proposed[]),1),0)),1,0)</f>
        <v>0</v>
      </c>
    </row>
    <row r="21" spans="1:88" x14ac:dyDescent="0.15">
      <c r="A21" s="6">
        <f ca="1">IFERROR(OFFSET(A21,-1,0)+0,0)+MAX(IF(LEN(Calcs[[#This Row],[Line]])&gt;0,1,0),Calcs[[#This Row],[DL]],Calcs[[#This Row],[RL]])</f>
        <v>10</v>
      </c>
      <c r="B21" s="94" t="str">
        <f ca="1">IFERROR(INDEX(OFFSET(Items[Line],0,0,ROW(Proposed[])-ROW(Items[])+ROWS(Proposed[]),1),MATCH(ROW(B21)-ROW(B$3),INDIRECT(RangeCount),0)),"")</f>
        <v/>
      </c>
      <c r="C21" s="94" t="str">
        <f ca="1">IF(LEN(Calcs[[#This Row],[Line]])&gt;0,TRIM(IFERROR(INDEX(Items[Description],MATCH(Calcs[[#This Row],[Line]],Items[Line],0))&amp;INDEX(Items[Description2],MATCH(Calcs[[#This Row],[Line]],Items[Line],0)),INDEX(Proposed[Description],MATCH(Calcs[[#This Row],[Line]],Proposed[Line],0)))),"")</f>
        <v/>
      </c>
      <c r="D21" s="96">
        <f t="shared" ca="1" si="8"/>
        <v>0</v>
      </c>
      <c r="E21" s="97">
        <f t="shared" ca="1" si="8"/>
        <v>0</v>
      </c>
      <c r="F21" s="97">
        <f t="shared" ca="1" si="8"/>
        <v>0</v>
      </c>
      <c r="G21" s="97">
        <f t="shared" ca="1" si="8"/>
        <v>0</v>
      </c>
      <c r="H21" s="97">
        <f t="shared" ca="1" si="8"/>
        <v>0</v>
      </c>
      <c r="I21" s="97">
        <f t="shared" ca="1" si="8"/>
        <v>0</v>
      </c>
      <c r="J21" s="97">
        <f t="shared" ca="1" si="8"/>
        <v>0</v>
      </c>
      <c r="K21" s="97">
        <f t="shared" ca="1" si="8"/>
        <v>0</v>
      </c>
      <c r="L21" s="97">
        <f t="shared" ca="1" si="8"/>
        <v>0</v>
      </c>
      <c r="M21" s="97">
        <f t="shared" ca="1" si="8"/>
        <v>0</v>
      </c>
      <c r="N21" s="97">
        <f t="shared" ca="1" si="8"/>
        <v>0</v>
      </c>
      <c r="O21" s="97">
        <f t="shared" ca="1" si="8"/>
        <v>0</v>
      </c>
      <c r="P21" s="97">
        <f t="shared" ca="1" si="8"/>
        <v>0</v>
      </c>
      <c r="Q21" s="97">
        <f t="shared" ca="1" si="8"/>
        <v>0</v>
      </c>
      <c r="R21" s="97">
        <f t="shared" ca="1" si="8"/>
        <v>0</v>
      </c>
      <c r="S21" s="97">
        <f t="shared" ca="1" si="8"/>
        <v>0</v>
      </c>
      <c r="T21" s="97">
        <f t="shared" ca="1" si="6"/>
        <v>0</v>
      </c>
      <c r="U21" s="97">
        <f t="shared" ca="1" si="6"/>
        <v>0</v>
      </c>
      <c r="V21" s="97">
        <f t="shared" ca="1" si="6"/>
        <v>0</v>
      </c>
      <c r="W21" s="97">
        <f t="shared" ca="1" si="6"/>
        <v>0</v>
      </c>
      <c r="X21" s="97">
        <f t="shared" ca="1" si="6"/>
        <v>0</v>
      </c>
      <c r="Y21" s="97">
        <f t="shared" ca="1" si="6"/>
        <v>0</v>
      </c>
      <c r="Z21" s="97">
        <f t="shared" ca="1" si="6"/>
        <v>0</v>
      </c>
      <c r="AA21" s="97">
        <f t="shared" ca="1" si="6"/>
        <v>0</v>
      </c>
      <c r="AB21" s="97">
        <f t="shared" ca="1" si="6"/>
        <v>0</v>
      </c>
      <c r="AC21" s="97">
        <f t="shared" ca="1" si="6"/>
        <v>0</v>
      </c>
      <c r="AD21" s="97">
        <f t="shared" ca="1" si="6"/>
        <v>0</v>
      </c>
      <c r="AE21" s="97">
        <f t="shared" ca="1" si="6"/>
        <v>0</v>
      </c>
      <c r="AF21" s="97">
        <f t="shared" ca="1" si="6"/>
        <v>0</v>
      </c>
      <c r="AG21" s="97">
        <f t="shared" ca="1" si="6"/>
        <v>0</v>
      </c>
      <c r="AH21" s="97">
        <f t="shared" ca="1" si="6"/>
        <v>0</v>
      </c>
      <c r="AI21" s="97">
        <f t="shared" ca="1" si="9"/>
        <v>0</v>
      </c>
      <c r="AJ21" s="98">
        <f t="shared" ca="1" si="2"/>
        <v>0</v>
      </c>
      <c r="AK21" s="97">
        <f t="shared" ca="1" si="2"/>
        <v>0</v>
      </c>
      <c r="AL21" s="97">
        <f t="shared" ca="1" si="2"/>
        <v>0</v>
      </c>
      <c r="AM21" s="97">
        <f t="shared" ca="1" si="2"/>
        <v>0</v>
      </c>
      <c r="AN21" s="97">
        <f t="shared" ca="1" si="2"/>
        <v>0</v>
      </c>
      <c r="AO21" s="97">
        <f t="shared" ca="1" si="2"/>
        <v>0</v>
      </c>
      <c r="AP21" s="97">
        <f t="shared" ca="1" si="2"/>
        <v>0</v>
      </c>
      <c r="AQ21" s="97">
        <f t="shared" ca="1" si="2"/>
        <v>0</v>
      </c>
      <c r="AR21" s="99">
        <f ca="1">COUNTIF(AJ21:AQ21,"&lt;"&amp;MAX(AJ21:AQ21))+IF(Calcs[[#This Row],[DL1]]=0,0,1)</f>
        <v>0</v>
      </c>
      <c r="AS21" s="100" t="str">
        <f ca="1">IF(LEN(Calcs[[#This Row],[Line]])&gt;0,IF(RIGHT(Calcs[[#This Row],[Remark]],3)=".  ",LEFT(Calcs[[#This Row],[Remark]],LEN(Calcs[[#This Row],[Remark]])-3),Calcs[[#This Row],[Remark]]),"")</f>
        <v/>
      </c>
      <c r="AT21" s="96">
        <f t="shared" ca="1" si="10"/>
        <v>0</v>
      </c>
      <c r="AU21" s="102">
        <f t="shared" ca="1" si="10"/>
        <v>0</v>
      </c>
      <c r="AV21" s="102">
        <f t="shared" ca="1" si="10"/>
        <v>0</v>
      </c>
      <c r="AW21" s="102">
        <f t="shared" ca="1" si="10"/>
        <v>0</v>
      </c>
      <c r="AX21" s="102">
        <f t="shared" ca="1" si="10"/>
        <v>0</v>
      </c>
      <c r="AY21" s="102">
        <f t="shared" ca="1" si="10"/>
        <v>0</v>
      </c>
      <c r="AZ21" s="102">
        <f t="shared" ca="1" si="10"/>
        <v>0</v>
      </c>
      <c r="BA21" s="102">
        <f t="shared" ca="1" si="10"/>
        <v>0</v>
      </c>
      <c r="BB21" s="102">
        <f t="shared" ca="1" si="10"/>
        <v>0</v>
      </c>
      <c r="BC21" s="102">
        <f t="shared" ca="1" si="10"/>
        <v>0</v>
      </c>
      <c r="BD21" s="102">
        <f t="shared" ca="1" si="10"/>
        <v>0</v>
      </c>
      <c r="BE21" s="102">
        <f t="shared" ca="1" si="10"/>
        <v>0</v>
      </c>
      <c r="BF21" s="102">
        <f t="shared" ca="1" si="10"/>
        <v>0</v>
      </c>
      <c r="BG21" s="102">
        <f t="shared" ca="1" si="10"/>
        <v>0</v>
      </c>
      <c r="BH21" s="102">
        <f t="shared" ca="1" si="10"/>
        <v>0</v>
      </c>
      <c r="BI21" s="102">
        <f t="shared" ca="1" si="10"/>
        <v>0</v>
      </c>
      <c r="BJ21" s="102">
        <f t="shared" ca="1" si="7"/>
        <v>0</v>
      </c>
      <c r="BK21" s="102">
        <f t="shared" ca="1" si="7"/>
        <v>0</v>
      </c>
      <c r="BL21" s="102">
        <f t="shared" ca="1" si="7"/>
        <v>0</v>
      </c>
      <c r="BM21" s="102">
        <f t="shared" ca="1" si="7"/>
        <v>0</v>
      </c>
      <c r="BN21" s="102">
        <f t="shared" ca="1" si="7"/>
        <v>0</v>
      </c>
      <c r="BO21" s="102">
        <f t="shared" ca="1" si="7"/>
        <v>0</v>
      </c>
      <c r="BP21" s="102">
        <f t="shared" ca="1" si="7"/>
        <v>0</v>
      </c>
      <c r="BQ21" s="102">
        <f t="shared" ca="1" si="7"/>
        <v>0</v>
      </c>
      <c r="BR21" s="102">
        <f t="shared" ca="1" si="7"/>
        <v>0</v>
      </c>
      <c r="BS21" s="102">
        <f t="shared" ca="1" si="7"/>
        <v>0</v>
      </c>
      <c r="BT21" s="102">
        <f t="shared" ca="1" si="7"/>
        <v>0</v>
      </c>
      <c r="BU21" s="102">
        <f t="shared" ca="1" si="7"/>
        <v>0</v>
      </c>
      <c r="BV21" s="102">
        <f t="shared" ca="1" si="7"/>
        <v>0</v>
      </c>
      <c r="BW21" s="102">
        <f t="shared" ca="1" si="7"/>
        <v>0</v>
      </c>
      <c r="BX21" s="102">
        <f t="shared" ca="1" si="7"/>
        <v>0</v>
      </c>
      <c r="BY21" s="102">
        <f t="shared" ca="1" si="11"/>
        <v>0</v>
      </c>
      <c r="BZ21" s="98">
        <f t="shared" ca="1" si="5"/>
        <v>0</v>
      </c>
      <c r="CA21" s="102">
        <f t="shared" ca="1" si="5"/>
        <v>0</v>
      </c>
      <c r="CB21" s="102">
        <f t="shared" ca="1" si="5"/>
        <v>0</v>
      </c>
      <c r="CC21" s="102">
        <f t="shared" ca="1" si="5"/>
        <v>0</v>
      </c>
      <c r="CD21" s="102">
        <f t="shared" ca="1" si="5"/>
        <v>0</v>
      </c>
      <c r="CE21" s="102">
        <f t="shared" ca="1" si="5"/>
        <v>0</v>
      </c>
      <c r="CF21" s="102">
        <f t="shared" ca="1" si="5"/>
        <v>0</v>
      </c>
      <c r="CG21" s="102">
        <f t="shared" ca="1" si="5"/>
        <v>0</v>
      </c>
      <c r="CH21" s="101">
        <f ca="1">COUNTIF(BZ21:CG21,"&lt;"&amp;MAX(BZ21:CG21))+IF(Calcs[[#This Row],[RL1]]=0,0,1)</f>
        <v>0</v>
      </c>
      <c r="CI2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 s="103">
        <f ca="1">IFERROR(OFFSET(CJ21,-1,0)+0,0)+IF(INDEX(INDIRECT(RangeContrQty),MATCH(Calcs[[#This Row],[Line]],OFFSET(Items[Line],0,0,ROW(Proposed[])-ROW(Items[])+ROWS(Proposed[]),1),0)),1,0)</f>
        <v>0</v>
      </c>
    </row>
    <row r="22" spans="1:88" x14ac:dyDescent="0.15">
      <c r="A22" s="6">
        <f ca="1">IFERROR(OFFSET(A22,-1,0)+0,0)+MAX(IF(LEN(Calcs[[#This Row],[Line]])&gt;0,1,0),Calcs[[#This Row],[DL]],Calcs[[#This Row],[RL]])</f>
        <v>10</v>
      </c>
      <c r="B22" s="94" t="str">
        <f ca="1">IFERROR(INDEX(OFFSET(Items[Line],0,0,ROW(Proposed[])-ROW(Items[])+ROWS(Proposed[]),1),MATCH(ROW(B22)-ROW(B$3),INDIRECT(RangeCount),0)),"")</f>
        <v/>
      </c>
      <c r="C22" s="94" t="str">
        <f ca="1">IF(LEN(Calcs[[#This Row],[Line]])&gt;0,TRIM(IFERROR(INDEX(Items[Description],MATCH(Calcs[[#This Row],[Line]],Items[Line],0))&amp;INDEX(Items[Description2],MATCH(Calcs[[#This Row],[Line]],Items[Line],0)),INDEX(Proposed[Description],MATCH(Calcs[[#This Row],[Line]],Proposed[Line],0)))),"")</f>
        <v/>
      </c>
      <c r="D22" s="96">
        <f t="shared" ca="1" si="8"/>
        <v>0</v>
      </c>
      <c r="E22" s="97">
        <f t="shared" ca="1" si="8"/>
        <v>0</v>
      </c>
      <c r="F22" s="97">
        <f t="shared" ca="1" si="8"/>
        <v>0</v>
      </c>
      <c r="G22" s="97">
        <f t="shared" ca="1" si="8"/>
        <v>0</v>
      </c>
      <c r="H22" s="97">
        <f t="shared" ca="1" si="8"/>
        <v>0</v>
      </c>
      <c r="I22" s="97">
        <f t="shared" ca="1" si="8"/>
        <v>0</v>
      </c>
      <c r="J22" s="97">
        <f t="shared" ca="1" si="8"/>
        <v>0</v>
      </c>
      <c r="K22" s="97">
        <f t="shared" ca="1" si="8"/>
        <v>0</v>
      </c>
      <c r="L22" s="97">
        <f t="shared" ca="1" si="8"/>
        <v>0</v>
      </c>
      <c r="M22" s="97">
        <f t="shared" ca="1" si="8"/>
        <v>0</v>
      </c>
      <c r="N22" s="97">
        <f t="shared" ca="1" si="8"/>
        <v>0</v>
      </c>
      <c r="O22" s="97">
        <f t="shared" ca="1" si="8"/>
        <v>0</v>
      </c>
      <c r="P22" s="97">
        <f t="shared" ca="1" si="8"/>
        <v>0</v>
      </c>
      <c r="Q22" s="97">
        <f t="shared" ca="1" si="8"/>
        <v>0</v>
      </c>
      <c r="R22" s="97">
        <f t="shared" ca="1" si="8"/>
        <v>0</v>
      </c>
      <c r="S22" s="97">
        <f t="shared" ca="1" si="8"/>
        <v>0</v>
      </c>
      <c r="T22" s="97">
        <f t="shared" ca="1" si="6"/>
        <v>0</v>
      </c>
      <c r="U22" s="97">
        <f t="shared" ca="1" si="6"/>
        <v>0</v>
      </c>
      <c r="V22" s="97">
        <f t="shared" ca="1" si="6"/>
        <v>0</v>
      </c>
      <c r="W22" s="97">
        <f t="shared" ca="1" si="6"/>
        <v>0</v>
      </c>
      <c r="X22" s="97">
        <f t="shared" ca="1" si="6"/>
        <v>0</v>
      </c>
      <c r="Y22" s="97">
        <f t="shared" ca="1" si="6"/>
        <v>0</v>
      </c>
      <c r="Z22" s="97">
        <f t="shared" ca="1" si="6"/>
        <v>0</v>
      </c>
      <c r="AA22" s="97">
        <f t="shared" ca="1" si="6"/>
        <v>0</v>
      </c>
      <c r="AB22" s="97">
        <f t="shared" ca="1" si="6"/>
        <v>0</v>
      </c>
      <c r="AC22" s="97">
        <f t="shared" ca="1" si="6"/>
        <v>0</v>
      </c>
      <c r="AD22" s="97">
        <f t="shared" ca="1" si="6"/>
        <v>0</v>
      </c>
      <c r="AE22" s="97">
        <f t="shared" ca="1" si="6"/>
        <v>0</v>
      </c>
      <c r="AF22" s="97">
        <f t="shared" ca="1" si="6"/>
        <v>0</v>
      </c>
      <c r="AG22" s="97">
        <f t="shared" ca="1" si="6"/>
        <v>0</v>
      </c>
      <c r="AH22" s="97">
        <f t="shared" ca="1" si="6"/>
        <v>0</v>
      </c>
      <c r="AI22" s="97">
        <f t="shared" ca="1" si="9"/>
        <v>0</v>
      </c>
      <c r="AJ22" s="98">
        <f t="shared" ca="1" si="2"/>
        <v>0</v>
      </c>
      <c r="AK22" s="97">
        <f t="shared" ca="1" si="2"/>
        <v>0</v>
      </c>
      <c r="AL22" s="97">
        <f t="shared" ca="1" si="2"/>
        <v>0</v>
      </c>
      <c r="AM22" s="97">
        <f t="shared" ca="1" si="2"/>
        <v>0</v>
      </c>
      <c r="AN22" s="97">
        <f t="shared" ca="1" si="2"/>
        <v>0</v>
      </c>
      <c r="AO22" s="97">
        <f t="shared" ca="1" si="2"/>
        <v>0</v>
      </c>
      <c r="AP22" s="97">
        <f t="shared" ca="1" si="2"/>
        <v>0</v>
      </c>
      <c r="AQ22" s="97">
        <f t="shared" ca="1" si="2"/>
        <v>0</v>
      </c>
      <c r="AR22" s="99">
        <f ca="1">COUNTIF(AJ22:AQ22,"&lt;"&amp;MAX(AJ22:AQ22))+IF(Calcs[[#This Row],[DL1]]=0,0,1)</f>
        <v>0</v>
      </c>
      <c r="AS22" s="100" t="str">
        <f ca="1">IF(LEN(Calcs[[#This Row],[Line]])&gt;0,IF(RIGHT(Calcs[[#This Row],[Remark]],3)=".  ",LEFT(Calcs[[#This Row],[Remark]],LEN(Calcs[[#This Row],[Remark]])-3),Calcs[[#This Row],[Remark]]),"")</f>
        <v/>
      </c>
      <c r="AT22" s="96">
        <f t="shared" ca="1" si="10"/>
        <v>0</v>
      </c>
      <c r="AU22" s="102">
        <f t="shared" ca="1" si="10"/>
        <v>0</v>
      </c>
      <c r="AV22" s="102">
        <f t="shared" ca="1" si="10"/>
        <v>0</v>
      </c>
      <c r="AW22" s="102">
        <f t="shared" ca="1" si="10"/>
        <v>0</v>
      </c>
      <c r="AX22" s="102">
        <f t="shared" ca="1" si="10"/>
        <v>0</v>
      </c>
      <c r="AY22" s="102">
        <f t="shared" ca="1" si="10"/>
        <v>0</v>
      </c>
      <c r="AZ22" s="102">
        <f t="shared" ca="1" si="10"/>
        <v>0</v>
      </c>
      <c r="BA22" s="102">
        <f t="shared" ca="1" si="10"/>
        <v>0</v>
      </c>
      <c r="BB22" s="102">
        <f t="shared" ca="1" si="10"/>
        <v>0</v>
      </c>
      <c r="BC22" s="102">
        <f t="shared" ca="1" si="10"/>
        <v>0</v>
      </c>
      <c r="BD22" s="102">
        <f t="shared" ca="1" si="10"/>
        <v>0</v>
      </c>
      <c r="BE22" s="102">
        <f t="shared" ca="1" si="10"/>
        <v>0</v>
      </c>
      <c r="BF22" s="102">
        <f t="shared" ca="1" si="10"/>
        <v>0</v>
      </c>
      <c r="BG22" s="102">
        <f t="shared" ca="1" si="10"/>
        <v>0</v>
      </c>
      <c r="BH22" s="102">
        <f t="shared" ca="1" si="10"/>
        <v>0</v>
      </c>
      <c r="BI22" s="102">
        <f t="shared" ca="1" si="10"/>
        <v>0</v>
      </c>
      <c r="BJ22" s="102">
        <f t="shared" ca="1" si="7"/>
        <v>0</v>
      </c>
      <c r="BK22" s="102">
        <f t="shared" ca="1" si="7"/>
        <v>0</v>
      </c>
      <c r="BL22" s="102">
        <f t="shared" ca="1" si="7"/>
        <v>0</v>
      </c>
      <c r="BM22" s="102">
        <f t="shared" ca="1" si="7"/>
        <v>0</v>
      </c>
      <c r="BN22" s="102">
        <f t="shared" ca="1" si="7"/>
        <v>0</v>
      </c>
      <c r="BO22" s="102">
        <f t="shared" ca="1" si="7"/>
        <v>0</v>
      </c>
      <c r="BP22" s="102">
        <f t="shared" ca="1" si="7"/>
        <v>0</v>
      </c>
      <c r="BQ22" s="102">
        <f t="shared" ca="1" si="7"/>
        <v>0</v>
      </c>
      <c r="BR22" s="102">
        <f t="shared" ca="1" si="7"/>
        <v>0</v>
      </c>
      <c r="BS22" s="102">
        <f t="shared" ca="1" si="7"/>
        <v>0</v>
      </c>
      <c r="BT22" s="102">
        <f t="shared" ca="1" si="7"/>
        <v>0</v>
      </c>
      <c r="BU22" s="102">
        <f t="shared" ca="1" si="7"/>
        <v>0</v>
      </c>
      <c r="BV22" s="102">
        <f t="shared" ca="1" si="7"/>
        <v>0</v>
      </c>
      <c r="BW22" s="102">
        <f t="shared" ca="1" si="7"/>
        <v>0</v>
      </c>
      <c r="BX22" s="102">
        <f t="shared" ca="1" si="7"/>
        <v>0</v>
      </c>
      <c r="BY22" s="102">
        <f t="shared" ca="1" si="11"/>
        <v>0</v>
      </c>
      <c r="BZ22" s="98">
        <f t="shared" ca="1" si="5"/>
        <v>0</v>
      </c>
      <c r="CA22" s="102">
        <f t="shared" ca="1" si="5"/>
        <v>0</v>
      </c>
      <c r="CB22" s="102">
        <f t="shared" ca="1" si="5"/>
        <v>0</v>
      </c>
      <c r="CC22" s="102">
        <f t="shared" ca="1" si="5"/>
        <v>0</v>
      </c>
      <c r="CD22" s="102">
        <f t="shared" ca="1" si="5"/>
        <v>0</v>
      </c>
      <c r="CE22" s="102">
        <f t="shared" ca="1" si="5"/>
        <v>0</v>
      </c>
      <c r="CF22" s="102">
        <f t="shared" ca="1" si="5"/>
        <v>0</v>
      </c>
      <c r="CG22" s="102">
        <f t="shared" ca="1" si="5"/>
        <v>0</v>
      </c>
      <c r="CH22" s="101">
        <f ca="1">COUNTIF(BZ22:CG22,"&lt;"&amp;MAX(BZ22:CG22))+IF(Calcs[[#This Row],[RL1]]=0,0,1)</f>
        <v>0</v>
      </c>
      <c r="CI2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 s="103">
        <f ca="1">IFERROR(OFFSET(CJ22,-1,0)+0,0)+IF(INDEX(INDIRECT(RangeContrQty),MATCH(Calcs[[#This Row],[Line]],OFFSET(Items[Line],0,0,ROW(Proposed[])-ROW(Items[])+ROWS(Proposed[]),1),0)),1,0)</f>
        <v>0</v>
      </c>
    </row>
    <row r="23" spans="1:88" x14ac:dyDescent="0.15">
      <c r="A23" s="6">
        <f ca="1">IFERROR(OFFSET(A23,-1,0)+0,0)+MAX(IF(LEN(Calcs[[#This Row],[Line]])&gt;0,1,0),Calcs[[#This Row],[DL]],Calcs[[#This Row],[RL]])</f>
        <v>10</v>
      </c>
      <c r="B23" s="94" t="str">
        <f ca="1">IFERROR(INDEX(OFFSET(Items[Line],0,0,ROW(Proposed[])-ROW(Items[])+ROWS(Proposed[]),1),MATCH(ROW(B23)-ROW(B$3),INDIRECT(RangeCount),0)),"")</f>
        <v/>
      </c>
      <c r="C23" s="94" t="str">
        <f ca="1">IF(LEN(Calcs[[#This Row],[Line]])&gt;0,TRIM(IFERROR(INDEX(Items[Description],MATCH(Calcs[[#This Row],[Line]],Items[Line],0))&amp;INDEX(Items[Description2],MATCH(Calcs[[#This Row],[Line]],Items[Line],0)),INDEX(Proposed[Description],MATCH(Calcs[[#This Row],[Line]],Proposed[Line],0)))),"")</f>
        <v/>
      </c>
      <c r="D23" s="96">
        <f t="shared" ca="1" si="8"/>
        <v>0</v>
      </c>
      <c r="E23" s="97">
        <f t="shared" ca="1" si="8"/>
        <v>0</v>
      </c>
      <c r="F23" s="97">
        <f t="shared" ca="1" si="8"/>
        <v>0</v>
      </c>
      <c r="G23" s="97">
        <f t="shared" ca="1" si="8"/>
        <v>0</v>
      </c>
      <c r="H23" s="97">
        <f t="shared" ca="1" si="8"/>
        <v>0</v>
      </c>
      <c r="I23" s="97">
        <f t="shared" ca="1" si="8"/>
        <v>0</v>
      </c>
      <c r="J23" s="97">
        <f t="shared" ca="1" si="8"/>
        <v>0</v>
      </c>
      <c r="K23" s="97">
        <f t="shared" ca="1" si="8"/>
        <v>0</v>
      </c>
      <c r="L23" s="97">
        <f t="shared" ca="1" si="8"/>
        <v>0</v>
      </c>
      <c r="M23" s="97">
        <f t="shared" ca="1" si="8"/>
        <v>0</v>
      </c>
      <c r="N23" s="97">
        <f t="shared" ca="1" si="8"/>
        <v>0</v>
      </c>
      <c r="O23" s="97">
        <f t="shared" ca="1" si="8"/>
        <v>0</v>
      </c>
      <c r="P23" s="97">
        <f t="shared" ca="1" si="8"/>
        <v>0</v>
      </c>
      <c r="Q23" s="97">
        <f t="shared" ca="1" si="8"/>
        <v>0</v>
      </c>
      <c r="R23" s="97">
        <f t="shared" ca="1" si="8"/>
        <v>0</v>
      </c>
      <c r="S23" s="97">
        <f t="shared" ca="1" si="8"/>
        <v>0</v>
      </c>
      <c r="T23" s="97">
        <f t="shared" ca="1" si="6"/>
        <v>0</v>
      </c>
      <c r="U23" s="97">
        <f t="shared" ca="1" si="6"/>
        <v>0</v>
      </c>
      <c r="V23" s="97">
        <f t="shared" ca="1" si="6"/>
        <v>0</v>
      </c>
      <c r="W23" s="97">
        <f t="shared" ca="1" si="6"/>
        <v>0</v>
      </c>
      <c r="X23" s="97">
        <f t="shared" ca="1" si="6"/>
        <v>0</v>
      </c>
      <c r="Y23" s="97">
        <f t="shared" ca="1" si="6"/>
        <v>0</v>
      </c>
      <c r="Z23" s="97">
        <f t="shared" ca="1" si="6"/>
        <v>0</v>
      </c>
      <c r="AA23" s="97">
        <f t="shared" ca="1" si="6"/>
        <v>0</v>
      </c>
      <c r="AB23" s="97">
        <f t="shared" ca="1" si="6"/>
        <v>0</v>
      </c>
      <c r="AC23" s="97">
        <f t="shared" ca="1" si="6"/>
        <v>0</v>
      </c>
      <c r="AD23" s="97">
        <f t="shared" ca="1" si="6"/>
        <v>0</v>
      </c>
      <c r="AE23" s="97">
        <f t="shared" ca="1" si="6"/>
        <v>0</v>
      </c>
      <c r="AF23" s="97">
        <f t="shared" ca="1" si="6"/>
        <v>0</v>
      </c>
      <c r="AG23" s="97">
        <f t="shared" ca="1" si="6"/>
        <v>0</v>
      </c>
      <c r="AH23" s="97">
        <f t="shared" ca="1" si="6"/>
        <v>0</v>
      </c>
      <c r="AI23" s="97">
        <f t="shared" ca="1" si="9"/>
        <v>0</v>
      </c>
      <c r="AJ23" s="98">
        <f t="shared" ca="1" si="2"/>
        <v>0</v>
      </c>
      <c r="AK23" s="97">
        <f t="shared" ca="1" si="2"/>
        <v>0</v>
      </c>
      <c r="AL23" s="97">
        <f t="shared" ca="1" si="2"/>
        <v>0</v>
      </c>
      <c r="AM23" s="97">
        <f t="shared" ca="1" si="2"/>
        <v>0</v>
      </c>
      <c r="AN23" s="97">
        <f t="shared" ca="1" si="2"/>
        <v>0</v>
      </c>
      <c r="AO23" s="97">
        <f t="shared" ca="1" si="2"/>
        <v>0</v>
      </c>
      <c r="AP23" s="97">
        <f t="shared" ca="1" si="2"/>
        <v>0</v>
      </c>
      <c r="AQ23" s="97">
        <f t="shared" ca="1" si="2"/>
        <v>0</v>
      </c>
      <c r="AR23" s="99">
        <f ca="1">COUNTIF(AJ23:AQ23,"&lt;"&amp;MAX(AJ23:AQ23))+IF(Calcs[[#This Row],[DL1]]=0,0,1)</f>
        <v>0</v>
      </c>
      <c r="AS23" s="100" t="str">
        <f ca="1">IF(LEN(Calcs[[#This Row],[Line]])&gt;0,IF(RIGHT(Calcs[[#This Row],[Remark]],3)=".  ",LEFT(Calcs[[#This Row],[Remark]],LEN(Calcs[[#This Row],[Remark]])-3),Calcs[[#This Row],[Remark]]),"")</f>
        <v/>
      </c>
      <c r="AT23" s="96">
        <f t="shared" ca="1" si="10"/>
        <v>0</v>
      </c>
      <c r="AU23" s="102">
        <f t="shared" ca="1" si="10"/>
        <v>0</v>
      </c>
      <c r="AV23" s="102">
        <f t="shared" ca="1" si="10"/>
        <v>0</v>
      </c>
      <c r="AW23" s="102">
        <f t="shared" ca="1" si="10"/>
        <v>0</v>
      </c>
      <c r="AX23" s="102">
        <f t="shared" ca="1" si="10"/>
        <v>0</v>
      </c>
      <c r="AY23" s="102">
        <f t="shared" ca="1" si="10"/>
        <v>0</v>
      </c>
      <c r="AZ23" s="102">
        <f t="shared" ca="1" si="10"/>
        <v>0</v>
      </c>
      <c r="BA23" s="102">
        <f t="shared" ca="1" si="10"/>
        <v>0</v>
      </c>
      <c r="BB23" s="102">
        <f t="shared" ca="1" si="10"/>
        <v>0</v>
      </c>
      <c r="BC23" s="102">
        <f t="shared" ca="1" si="10"/>
        <v>0</v>
      </c>
      <c r="BD23" s="102">
        <f t="shared" ca="1" si="10"/>
        <v>0</v>
      </c>
      <c r="BE23" s="102">
        <f t="shared" ca="1" si="10"/>
        <v>0</v>
      </c>
      <c r="BF23" s="102">
        <f t="shared" ca="1" si="10"/>
        <v>0</v>
      </c>
      <c r="BG23" s="102">
        <f t="shared" ca="1" si="10"/>
        <v>0</v>
      </c>
      <c r="BH23" s="102">
        <f t="shared" ca="1" si="10"/>
        <v>0</v>
      </c>
      <c r="BI23" s="102">
        <f t="shared" ca="1" si="10"/>
        <v>0</v>
      </c>
      <c r="BJ23" s="102">
        <f t="shared" ca="1" si="7"/>
        <v>0</v>
      </c>
      <c r="BK23" s="102">
        <f t="shared" ca="1" si="7"/>
        <v>0</v>
      </c>
      <c r="BL23" s="102">
        <f t="shared" ca="1" si="7"/>
        <v>0</v>
      </c>
      <c r="BM23" s="102">
        <f t="shared" ca="1" si="7"/>
        <v>0</v>
      </c>
      <c r="BN23" s="102">
        <f t="shared" ca="1" si="7"/>
        <v>0</v>
      </c>
      <c r="BO23" s="102">
        <f t="shared" ca="1" si="7"/>
        <v>0</v>
      </c>
      <c r="BP23" s="102">
        <f t="shared" ca="1" si="7"/>
        <v>0</v>
      </c>
      <c r="BQ23" s="102">
        <f t="shared" ca="1" si="7"/>
        <v>0</v>
      </c>
      <c r="BR23" s="102">
        <f t="shared" ca="1" si="7"/>
        <v>0</v>
      </c>
      <c r="BS23" s="102">
        <f t="shared" ca="1" si="7"/>
        <v>0</v>
      </c>
      <c r="BT23" s="102">
        <f t="shared" ca="1" si="7"/>
        <v>0</v>
      </c>
      <c r="BU23" s="102">
        <f t="shared" ca="1" si="7"/>
        <v>0</v>
      </c>
      <c r="BV23" s="102">
        <f t="shared" ca="1" si="7"/>
        <v>0</v>
      </c>
      <c r="BW23" s="102">
        <f t="shared" ca="1" si="7"/>
        <v>0</v>
      </c>
      <c r="BX23" s="102">
        <f t="shared" ca="1" si="7"/>
        <v>0</v>
      </c>
      <c r="BY23" s="102">
        <f t="shared" ca="1" si="11"/>
        <v>0</v>
      </c>
      <c r="BZ23" s="98">
        <f t="shared" ca="1" si="5"/>
        <v>0</v>
      </c>
      <c r="CA23" s="102">
        <f t="shared" ca="1" si="5"/>
        <v>0</v>
      </c>
      <c r="CB23" s="102">
        <f t="shared" ca="1" si="5"/>
        <v>0</v>
      </c>
      <c r="CC23" s="102">
        <f t="shared" ca="1" si="5"/>
        <v>0</v>
      </c>
      <c r="CD23" s="102">
        <f t="shared" ca="1" si="5"/>
        <v>0</v>
      </c>
      <c r="CE23" s="102">
        <f t="shared" ca="1" si="5"/>
        <v>0</v>
      </c>
      <c r="CF23" s="102">
        <f t="shared" ca="1" si="5"/>
        <v>0</v>
      </c>
      <c r="CG23" s="102">
        <f t="shared" ca="1" si="5"/>
        <v>0</v>
      </c>
      <c r="CH23" s="101">
        <f ca="1">COUNTIF(BZ23:CG23,"&lt;"&amp;MAX(BZ23:CG23))+IF(Calcs[[#This Row],[RL1]]=0,0,1)</f>
        <v>0</v>
      </c>
      <c r="CI2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 s="103">
        <f ca="1">IFERROR(OFFSET(CJ23,-1,0)+0,0)+IF(INDEX(INDIRECT(RangeContrQty),MATCH(Calcs[[#This Row],[Line]],OFFSET(Items[Line],0,0,ROW(Proposed[])-ROW(Items[])+ROWS(Proposed[]),1),0)),1,0)</f>
        <v>0</v>
      </c>
    </row>
    <row r="24" spans="1:88" x14ac:dyDescent="0.15">
      <c r="A24" s="6">
        <f ca="1">IFERROR(OFFSET(A24,-1,0)+0,0)+MAX(IF(LEN(Calcs[[#This Row],[Line]])&gt;0,1,0),Calcs[[#This Row],[DL]],Calcs[[#This Row],[RL]])</f>
        <v>10</v>
      </c>
      <c r="B24" s="94" t="str">
        <f ca="1">IFERROR(INDEX(OFFSET(Items[Line],0,0,ROW(Proposed[])-ROW(Items[])+ROWS(Proposed[]),1),MATCH(ROW(B24)-ROW(B$3),INDIRECT(RangeCount),0)),"")</f>
        <v/>
      </c>
      <c r="C24" s="94" t="str">
        <f ca="1">IF(LEN(Calcs[[#This Row],[Line]])&gt;0,TRIM(IFERROR(INDEX(Items[Description],MATCH(Calcs[[#This Row],[Line]],Items[Line],0))&amp;INDEX(Items[Description2],MATCH(Calcs[[#This Row],[Line]],Items[Line],0)),INDEX(Proposed[Description],MATCH(Calcs[[#This Row],[Line]],Proposed[Line],0)))),"")</f>
        <v/>
      </c>
      <c r="D24" s="96">
        <f t="shared" ca="1" si="8"/>
        <v>0</v>
      </c>
      <c r="E24" s="97">
        <f t="shared" ca="1" si="8"/>
        <v>0</v>
      </c>
      <c r="F24" s="97">
        <f t="shared" ca="1" si="8"/>
        <v>0</v>
      </c>
      <c r="G24" s="97">
        <f t="shared" ca="1" si="8"/>
        <v>0</v>
      </c>
      <c r="H24" s="97">
        <f t="shared" ca="1" si="8"/>
        <v>0</v>
      </c>
      <c r="I24" s="97">
        <f t="shared" ca="1" si="8"/>
        <v>0</v>
      </c>
      <c r="J24" s="97">
        <f t="shared" ca="1" si="8"/>
        <v>0</v>
      </c>
      <c r="K24" s="97">
        <f t="shared" ca="1" si="8"/>
        <v>0</v>
      </c>
      <c r="L24" s="97">
        <f t="shared" ca="1" si="8"/>
        <v>0</v>
      </c>
      <c r="M24" s="97">
        <f t="shared" ca="1" si="8"/>
        <v>0</v>
      </c>
      <c r="N24" s="97">
        <f t="shared" ca="1" si="8"/>
        <v>0</v>
      </c>
      <c r="O24" s="97">
        <f t="shared" ca="1" si="8"/>
        <v>0</v>
      </c>
      <c r="P24" s="97">
        <f t="shared" ca="1" si="8"/>
        <v>0</v>
      </c>
      <c r="Q24" s="97">
        <f t="shared" ca="1" si="8"/>
        <v>0</v>
      </c>
      <c r="R24" s="97">
        <f t="shared" ca="1" si="8"/>
        <v>0</v>
      </c>
      <c r="S24" s="97">
        <f t="shared" ca="1" si="8"/>
        <v>0</v>
      </c>
      <c r="T24" s="97">
        <f t="shared" ca="1" si="6"/>
        <v>0</v>
      </c>
      <c r="U24" s="97">
        <f t="shared" ca="1" si="6"/>
        <v>0</v>
      </c>
      <c r="V24" s="97">
        <f t="shared" ca="1" si="6"/>
        <v>0</v>
      </c>
      <c r="W24" s="97">
        <f t="shared" ca="1" si="6"/>
        <v>0</v>
      </c>
      <c r="X24" s="97">
        <f t="shared" ca="1" si="6"/>
        <v>0</v>
      </c>
      <c r="Y24" s="97">
        <f t="shared" ca="1" si="6"/>
        <v>0</v>
      </c>
      <c r="Z24" s="97">
        <f t="shared" ca="1" si="6"/>
        <v>0</v>
      </c>
      <c r="AA24" s="97">
        <f t="shared" ca="1" si="6"/>
        <v>0</v>
      </c>
      <c r="AB24" s="97">
        <f t="shared" ca="1" si="6"/>
        <v>0</v>
      </c>
      <c r="AC24" s="97">
        <f t="shared" ca="1" si="6"/>
        <v>0</v>
      </c>
      <c r="AD24" s="97">
        <f t="shared" ca="1" si="6"/>
        <v>0</v>
      </c>
      <c r="AE24" s="97">
        <f t="shared" ca="1" si="6"/>
        <v>0</v>
      </c>
      <c r="AF24" s="97">
        <f t="shared" ca="1" si="6"/>
        <v>0</v>
      </c>
      <c r="AG24" s="97">
        <f t="shared" ca="1" si="6"/>
        <v>0</v>
      </c>
      <c r="AH24" s="97">
        <f t="shared" ca="1" si="6"/>
        <v>0</v>
      </c>
      <c r="AI24" s="97">
        <f t="shared" ca="1" si="9"/>
        <v>0</v>
      </c>
      <c r="AJ24" s="98">
        <f t="shared" ca="1" si="2"/>
        <v>0</v>
      </c>
      <c r="AK24" s="97">
        <f t="shared" ca="1" si="2"/>
        <v>0</v>
      </c>
      <c r="AL24" s="97">
        <f t="shared" ca="1" si="2"/>
        <v>0</v>
      </c>
      <c r="AM24" s="97">
        <f t="shared" ca="1" si="2"/>
        <v>0</v>
      </c>
      <c r="AN24" s="97">
        <f t="shared" ca="1" si="2"/>
        <v>0</v>
      </c>
      <c r="AO24" s="97">
        <f t="shared" ca="1" si="2"/>
        <v>0</v>
      </c>
      <c r="AP24" s="97">
        <f t="shared" ca="1" si="2"/>
        <v>0</v>
      </c>
      <c r="AQ24" s="97">
        <f t="shared" ca="1" si="2"/>
        <v>0</v>
      </c>
      <c r="AR24" s="99">
        <f ca="1">COUNTIF(AJ24:AQ24,"&lt;"&amp;MAX(AJ24:AQ24))+IF(Calcs[[#This Row],[DL1]]=0,0,1)</f>
        <v>0</v>
      </c>
      <c r="AS24" s="100" t="str">
        <f ca="1">IF(LEN(Calcs[[#This Row],[Line]])&gt;0,IF(RIGHT(Calcs[[#This Row],[Remark]],3)=".  ",LEFT(Calcs[[#This Row],[Remark]],LEN(Calcs[[#This Row],[Remark]])-3),Calcs[[#This Row],[Remark]]),"")</f>
        <v/>
      </c>
      <c r="AT24" s="96">
        <f t="shared" ca="1" si="10"/>
        <v>0</v>
      </c>
      <c r="AU24" s="102">
        <f t="shared" ca="1" si="10"/>
        <v>0</v>
      </c>
      <c r="AV24" s="102">
        <f t="shared" ca="1" si="10"/>
        <v>0</v>
      </c>
      <c r="AW24" s="102">
        <f t="shared" ca="1" si="10"/>
        <v>0</v>
      </c>
      <c r="AX24" s="102">
        <f t="shared" ca="1" si="10"/>
        <v>0</v>
      </c>
      <c r="AY24" s="102">
        <f t="shared" ca="1" si="10"/>
        <v>0</v>
      </c>
      <c r="AZ24" s="102">
        <f t="shared" ca="1" si="10"/>
        <v>0</v>
      </c>
      <c r="BA24" s="102">
        <f t="shared" ca="1" si="10"/>
        <v>0</v>
      </c>
      <c r="BB24" s="102">
        <f t="shared" ca="1" si="10"/>
        <v>0</v>
      </c>
      <c r="BC24" s="102">
        <f t="shared" ca="1" si="10"/>
        <v>0</v>
      </c>
      <c r="BD24" s="102">
        <f t="shared" ca="1" si="10"/>
        <v>0</v>
      </c>
      <c r="BE24" s="102">
        <f t="shared" ca="1" si="10"/>
        <v>0</v>
      </c>
      <c r="BF24" s="102">
        <f t="shared" ca="1" si="10"/>
        <v>0</v>
      </c>
      <c r="BG24" s="102">
        <f t="shared" ca="1" si="10"/>
        <v>0</v>
      </c>
      <c r="BH24" s="102">
        <f t="shared" ca="1" si="10"/>
        <v>0</v>
      </c>
      <c r="BI24" s="102">
        <f t="shared" ca="1" si="10"/>
        <v>0</v>
      </c>
      <c r="BJ24" s="102">
        <f t="shared" ca="1" si="7"/>
        <v>0</v>
      </c>
      <c r="BK24" s="102">
        <f t="shared" ca="1" si="7"/>
        <v>0</v>
      </c>
      <c r="BL24" s="102">
        <f t="shared" ca="1" si="7"/>
        <v>0</v>
      </c>
      <c r="BM24" s="102">
        <f t="shared" ca="1" si="7"/>
        <v>0</v>
      </c>
      <c r="BN24" s="102">
        <f t="shared" ca="1" si="7"/>
        <v>0</v>
      </c>
      <c r="BO24" s="102">
        <f t="shared" ca="1" si="7"/>
        <v>0</v>
      </c>
      <c r="BP24" s="102">
        <f t="shared" ca="1" si="7"/>
        <v>0</v>
      </c>
      <c r="BQ24" s="102">
        <f t="shared" ca="1" si="7"/>
        <v>0</v>
      </c>
      <c r="BR24" s="102">
        <f t="shared" ca="1" si="7"/>
        <v>0</v>
      </c>
      <c r="BS24" s="102">
        <f t="shared" ca="1" si="7"/>
        <v>0</v>
      </c>
      <c r="BT24" s="102">
        <f t="shared" ca="1" si="7"/>
        <v>0</v>
      </c>
      <c r="BU24" s="102">
        <f t="shared" ca="1" si="7"/>
        <v>0</v>
      </c>
      <c r="BV24" s="102">
        <f t="shared" ca="1" si="7"/>
        <v>0</v>
      </c>
      <c r="BW24" s="102">
        <f t="shared" ca="1" si="7"/>
        <v>0</v>
      </c>
      <c r="BX24" s="102">
        <f t="shared" ca="1" si="7"/>
        <v>0</v>
      </c>
      <c r="BY24" s="102">
        <f t="shared" ca="1" si="11"/>
        <v>0</v>
      </c>
      <c r="BZ24" s="98">
        <f t="shared" ca="1" si="5"/>
        <v>0</v>
      </c>
      <c r="CA24" s="102">
        <f t="shared" ca="1" si="5"/>
        <v>0</v>
      </c>
      <c r="CB24" s="102">
        <f t="shared" ca="1" si="5"/>
        <v>0</v>
      </c>
      <c r="CC24" s="102">
        <f t="shared" ca="1" si="5"/>
        <v>0</v>
      </c>
      <c r="CD24" s="102">
        <f t="shared" ca="1" si="5"/>
        <v>0</v>
      </c>
      <c r="CE24" s="102">
        <f t="shared" ca="1" si="5"/>
        <v>0</v>
      </c>
      <c r="CF24" s="102">
        <f t="shared" ca="1" si="5"/>
        <v>0</v>
      </c>
      <c r="CG24" s="102">
        <f t="shared" ca="1" si="5"/>
        <v>0</v>
      </c>
      <c r="CH24" s="101">
        <f ca="1">COUNTIF(BZ24:CG24,"&lt;"&amp;MAX(BZ24:CG24))+IF(Calcs[[#This Row],[RL1]]=0,0,1)</f>
        <v>0</v>
      </c>
      <c r="CI2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 s="103">
        <f ca="1">IFERROR(OFFSET(CJ24,-1,0)+0,0)+IF(INDEX(INDIRECT(RangeContrQty),MATCH(Calcs[[#This Row],[Line]],OFFSET(Items[Line],0,0,ROW(Proposed[])-ROW(Items[])+ROWS(Proposed[]),1),0)),1,0)</f>
        <v>0</v>
      </c>
    </row>
    <row r="25" spans="1:88" x14ac:dyDescent="0.15">
      <c r="A25" s="6">
        <f ca="1">IFERROR(OFFSET(A25,-1,0)+0,0)+MAX(IF(LEN(Calcs[[#This Row],[Line]])&gt;0,1,0),Calcs[[#This Row],[DL]],Calcs[[#This Row],[RL]])</f>
        <v>10</v>
      </c>
      <c r="B25" s="94" t="str">
        <f ca="1">IFERROR(INDEX(OFFSET(Items[Line],0,0,ROW(Proposed[])-ROW(Items[])+ROWS(Proposed[]),1),MATCH(ROW(B25)-ROW(B$3),INDIRECT(RangeCount),0)),"")</f>
        <v/>
      </c>
      <c r="C25" s="94" t="str">
        <f ca="1">IF(LEN(Calcs[[#This Row],[Line]])&gt;0,TRIM(IFERROR(INDEX(Items[Description],MATCH(Calcs[[#This Row],[Line]],Items[Line],0))&amp;INDEX(Items[Description2],MATCH(Calcs[[#This Row],[Line]],Items[Line],0)),INDEX(Proposed[Description],MATCH(Calcs[[#This Row],[Line]],Proposed[Line],0)))),"")</f>
        <v/>
      </c>
      <c r="D25" s="96">
        <f t="shared" ca="1" si="8"/>
        <v>0</v>
      </c>
      <c r="E25" s="97">
        <f t="shared" ca="1" si="8"/>
        <v>0</v>
      </c>
      <c r="F25" s="97">
        <f t="shared" ca="1" si="8"/>
        <v>0</v>
      </c>
      <c r="G25" s="97">
        <f t="shared" ca="1" si="8"/>
        <v>0</v>
      </c>
      <c r="H25" s="97">
        <f t="shared" ca="1" si="8"/>
        <v>0</v>
      </c>
      <c r="I25" s="97">
        <f t="shared" ca="1" si="8"/>
        <v>0</v>
      </c>
      <c r="J25" s="97">
        <f t="shared" ca="1" si="8"/>
        <v>0</v>
      </c>
      <c r="K25" s="97">
        <f t="shared" ca="1" si="8"/>
        <v>0</v>
      </c>
      <c r="L25" s="97">
        <f t="shared" ca="1" si="8"/>
        <v>0</v>
      </c>
      <c r="M25" s="97">
        <f t="shared" ca="1" si="8"/>
        <v>0</v>
      </c>
      <c r="N25" s="97">
        <f t="shared" ca="1" si="8"/>
        <v>0</v>
      </c>
      <c r="O25" s="97">
        <f t="shared" ca="1" si="8"/>
        <v>0</v>
      </c>
      <c r="P25" s="97">
        <f t="shared" ca="1" si="8"/>
        <v>0</v>
      </c>
      <c r="Q25" s="97">
        <f t="shared" ca="1" si="8"/>
        <v>0</v>
      </c>
      <c r="R25" s="97">
        <f t="shared" ca="1" si="8"/>
        <v>0</v>
      </c>
      <c r="S25" s="97">
        <f t="shared" ca="1" si="8"/>
        <v>0</v>
      </c>
      <c r="T25" s="97">
        <f t="shared" ca="1" si="6"/>
        <v>0</v>
      </c>
      <c r="U25" s="97">
        <f t="shared" ca="1" si="6"/>
        <v>0</v>
      </c>
      <c r="V25" s="97">
        <f t="shared" ca="1" si="6"/>
        <v>0</v>
      </c>
      <c r="W25" s="97">
        <f t="shared" ca="1" si="6"/>
        <v>0</v>
      </c>
      <c r="X25" s="97">
        <f t="shared" ca="1" si="6"/>
        <v>0</v>
      </c>
      <c r="Y25" s="97">
        <f t="shared" ca="1" si="6"/>
        <v>0</v>
      </c>
      <c r="Z25" s="97">
        <f t="shared" ca="1" si="6"/>
        <v>0</v>
      </c>
      <c r="AA25" s="97">
        <f t="shared" ca="1" si="6"/>
        <v>0</v>
      </c>
      <c r="AB25" s="97">
        <f t="shared" ca="1" si="6"/>
        <v>0</v>
      </c>
      <c r="AC25" s="97">
        <f t="shared" ca="1" si="6"/>
        <v>0</v>
      </c>
      <c r="AD25" s="97">
        <f t="shared" ca="1" si="6"/>
        <v>0</v>
      </c>
      <c r="AE25" s="97">
        <f t="shared" ca="1" si="6"/>
        <v>0</v>
      </c>
      <c r="AF25" s="97">
        <f t="shared" ca="1" si="6"/>
        <v>0</v>
      </c>
      <c r="AG25" s="97">
        <f t="shared" ca="1" si="6"/>
        <v>0</v>
      </c>
      <c r="AH25" s="97">
        <f t="shared" ca="1" si="6"/>
        <v>0</v>
      </c>
      <c r="AI25" s="97">
        <f t="shared" ca="1" si="9"/>
        <v>0</v>
      </c>
      <c r="AJ25" s="98">
        <f t="shared" ca="1" si="2"/>
        <v>0</v>
      </c>
      <c r="AK25" s="97">
        <f t="shared" ca="1" si="2"/>
        <v>0</v>
      </c>
      <c r="AL25" s="97">
        <f t="shared" ca="1" si="2"/>
        <v>0</v>
      </c>
      <c r="AM25" s="97">
        <f t="shared" ca="1" si="2"/>
        <v>0</v>
      </c>
      <c r="AN25" s="97">
        <f t="shared" ca="1" si="2"/>
        <v>0</v>
      </c>
      <c r="AO25" s="97">
        <f t="shared" ca="1" si="2"/>
        <v>0</v>
      </c>
      <c r="AP25" s="97">
        <f t="shared" ca="1" si="2"/>
        <v>0</v>
      </c>
      <c r="AQ25" s="97">
        <f t="shared" ca="1" si="2"/>
        <v>0</v>
      </c>
      <c r="AR25" s="99">
        <f ca="1">COUNTIF(AJ25:AQ25,"&lt;"&amp;MAX(AJ25:AQ25))+IF(Calcs[[#This Row],[DL1]]=0,0,1)</f>
        <v>0</v>
      </c>
      <c r="AS25" s="100" t="str">
        <f ca="1">IF(LEN(Calcs[[#This Row],[Line]])&gt;0,IF(RIGHT(Calcs[[#This Row],[Remark]],3)=".  ",LEFT(Calcs[[#This Row],[Remark]],LEN(Calcs[[#This Row],[Remark]])-3),Calcs[[#This Row],[Remark]]),"")</f>
        <v/>
      </c>
      <c r="AT25" s="96">
        <f t="shared" ca="1" si="10"/>
        <v>0</v>
      </c>
      <c r="AU25" s="102">
        <f t="shared" ca="1" si="10"/>
        <v>0</v>
      </c>
      <c r="AV25" s="102">
        <f t="shared" ca="1" si="10"/>
        <v>0</v>
      </c>
      <c r="AW25" s="102">
        <f t="shared" ca="1" si="10"/>
        <v>0</v>
      </c>
      <c r="AX25" s="102">
        <f t="shared" ca="1" si="10"/>
        <v>0</v>
      </c>
      <c r="AY25" s="102">
        <f t="shared" ca="1" si="10"/>
        <v>0</v>
      </c>
      <c r="AZ25" s="102">
        <f t="shared" ca="1" si="10"/>
        <v>0</v>
      </c>
      <c r="BA25" s="102">
        <f t="shared" ca="1" si="10"/>
        <v>0</v>
      </c>
      <c r="BB25" s="102">
        <f t="shared" ca="1" si="10"/>
        <v>0</v>
      </c>
      <c r="BC25" s="102">
        <f t="shared" ca="1" si="10"/>
        <v>0</v>
      </c>
      <c r="BD25" s="102">
        <f t="shared" ca="1" si="10"/>
        <v>0</v>
      </c>
      <c r="BE25" s="102">
        <f t="shared" ca="1" si="10"/>
        <v>0</v>
      </c>
      <c r="BF25" s="102">
        <f t="shared" ca="1" si="10"/>
        <v>0</v>
      </c>
      <c r="BG25" s="102">
        <f t="shared" ca="1" si="10"/>
        <v>0</v>
      </c>
      <c r="BH25" s="102">
        <f t="shared" ca="1" si="10"/>
        <v>0</v>
      </c>
      <c r="BI25" s="102">
        <f t="shared" ca="1" si="10"/>
        <v>0</v>
      </c>
      <c r="BJ25" s="102">
        <f t="shared" ca="1" si="7"/>
        <v>0</v>
      </c>
      <c r="BK25" s="102">
        <f t="shared" ca="1" si="7"/>
        <v>0</v>
      </c>
      <c r="BL25" s="102">
        <f t="shared" ca="1" si="7"/>
        <v>0</v>
      </c>
      <c r="BM25" s="102">
        <f t="shared" ca="1" si="7"/>
        <v>0</v>
      </c>
      <c r="BN25" s="102">
        <f t="shared" ca="1" si="7"/>
        <v>0</v>
      </c>
      <c r="BO25" s="102">
        <f t="shared" ca="1" si="7"/>
        <v>0</v>
      </c>
      <c r="BP25" s="102">
        <f t="shared" ca="1" si="7"/>
        <v>0</v>
      </c>
      <c r="BQ25" s="102">
        <f t="shared" ca="1" si="7"/>
        <v>0</v>
      </c>
      <c r="BR25" s="102">
        <f t="shared" ca="1" si="7"/>
        <v>0</v>
      </c>
      <c r="BS25" s="102">
        <f t="shared" ca="1" si="7"/>
        <v>0</v>
      </c>
      <c r="BT25" s="102">
        <f t="shared" ca="1" si="7"/>
        <v>0</v>
      </c>
      <c r="BU25" s="102">
        <f t="shared" ca="1" si="7"/>
        <v>0</v>
      </c>
      <c r="BV25" s="102">
        <f t="shared" ca="1" si="7"/>
        <v>0</v>
      </c>
      <c r="BW25" s="102">
        <f t="shared" ca="1" si="7"/>
        <v>0</v>
      </c>
      <c r="BX25" s="102">
        <f t="shared" ca="1" si="7"/>
        <v>0</v>
      </c>
      <c r="BY25" s="102">
        <f t="shared" ca="1" si="11"/>
        <v>0</v>
      </c>
      <c r="BZ25" s="98">
        <f t="shared" ca="1" si="5"/>
        <v>0</v>
      </c>
      <c r="CA25" s="102">
        <f t="shared" ca="1" si="5"/>
        <v>0</v>
      </c>
      <c r="CB25" s="102">
        <f t="shared" ca="1" si="5"/>
        <v>0</v>
      </c>
      <c r="CC25" s="102">
        <f t="shared" ca="1" si="5"/>
        <v>0</v>
      </c>
      <c r="CD25" s="102">
        <f t="shared" ca="1" si="5"/>
        <v>0</v>
      </c>
      <c r="CE25" s="102">
        <f t="shared" ca="1" si="5"/>
        <v>0</v>
      </c>
      <c r="CF25" s="102">
        <f t="shared" ca="1" si="5"/>
        <v>0</v>
      </c>
      <c r="CG25" s="102">
        <f t="shared" ca="1" si="5"/>
        <v>0</v>
      </c>
      <c r="CH25" s="101">
        <f ca="1">COUNTIF(BZ25:CG25,"&lt;"&amp;MAX(BZ25:CG25))+IF(Calcs[[#This Row],[RL1]]=0,0,1)</f>
        <v>0</v>
      </c>
      <c r="CI2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5" s="103">
        <f ca="1">IFERROR(OFFSET(CJ25,-1,0)+0,0)+IF(INDEX(INDIRECT(RangeContrQty),MATCH(Calcs[[#This Row],[Line]],OFFSET(Items[Line],0,0,ROW(Proposed[])-ROW(Items[])+ROWS(Proposed[]),1),0)),1,0)</f>
        <v>0</v>
      </c>
    </row>
    <row r="26" spans="1:88" x14ac:dyDescent="0.15">
      <c r="A26" s="6">
        <f ca="1">IFERROR(OFFSET(A26,-1,0)+0,0)+MAX(IF(LEN(Calcs[[#This Row],[Line]])&gt;0,1,0),Calcs[[#This Row],[DL]],Calcs[[#This Row],[RL]])</f>
        <v>10</v>
      </c>
      <c r="B26" s="94" t="str">
        <f ca="1">IFERROR(INDEX(OFFSET(Items[Line],0,0,ROW(Proposed[])-ROW(Items[])+ROWS(Proposed[]),1),MATCH(ROW(B26)-ROW(B$3),INDIRECT(RangeCount),0)),"")</f>
        <v/>
      </c>
      <c r="C26" s="94" t="str">
        <f ca="1">IF(LEN(Calcs[[#This Row],[Line]])&gt;0,TRIM(IFERROR(INDEX(Items[Description],MATCH(Calcs[[#This Row],[Line]],Items[Line],0))&amp;INDEX(Items[Description2],MATCH(Calcs[[#This Row],[Line]],Items[Line],0)),INDEX(Proposed[Description],MATCH(Calcs[[#This Row],[Line]],Proposed[Line],0)))),"")</f>
        <v/>
      </c>
      <c r="D26" s="96">
        <f t="shared" ca="1" si="8"/>
        <v>0</v>
      </c>
      <c r="E26" s="97">
        <f t="shared" ca="1" si="8"/>
        <v>0</v>
      </c>
      <c r="F26" s="97">
        <f t="shared" ca="1" si="8"/>
        <v>0</v>
      </c>
      <c r="G26" s="97">
        <f t="shared" ca="1" si="8"/>
        <v>0</v>
      </c>
      <c r="H26" s="97">
        <f t="shared" ca="1" si="8"/>
        <v>0</v>
      </c>
      <c r="I26" s="97">
        <f t="shared" ca="1" si="8"/>
        <v>0</v>
      </c>
      <c r="J26" s="97">
        <f t="shared" ca="1" si="8"/>
        <v>0</v>
      </c>
      <c r="K26" s="97">
        <f t="shared" ca="1" si="8"/>
        <v>0</v>
      </c>
      <c r="L26" s="97">
        <f t="shared" ca="1" si="8"/>
        <v>0</v>
      </c>
      <c r="M26" s="97">
        <f t="shared" ca="1" si="8"/>
        <v>0</v>
      </c>
      <c r="N26" s="97">
        <f t="shared" ca="1" si="8"/>
        <v>0</v>
      </c>
      <c r="O26" s="97">
        <f t="shared" ca="1" si="8"/>
        <v>0</v>
      </c>
      <c r="P26" s="97">
        <f t="shared" ca="1" si="8"/>
        <v>0</v>
      </c>
      <c r="Q26" s="97">
        <f t="shared" ca="1" si="8"/>
        <v>0</v>
      </c>
      <c r="R26" s="97">
        <f t="shared" ca="1" si="8"/>
        <v>0</v>
      </c>
      <c r="S26" s="97">
        <f t="shared" ca="1" si="8"/>
        <v>0</v>
      </c>
      <c r="T26" s="97">
        <f t="shared" ca="1" si="6"/>
        <v>0</v>
      </c>
      <c r="U26" s="97">
        <f t="shared" ca="1" si="6"/>
        <v>0</v>
      </c>
      <c r="V26" s="97">
        <f t="shared" ca="1" si="6"/>
        <v>0</v>
      </c>
      <c r="W26" s="97">
        <f t="shared" ca="1" si="6"/>
        <v>0</v>
      </c>
      <c r="X26" s="97">
        <f t="shared" ca="1" si="6"/>
        <v>0</v>
      </c>
      <c r="Y26" s="97">
        <f t="shared" ca="1" si="6"/>
        <v>0</v>
      </c>
      <c r="Z26" s="97">
        <f t="shared" ca="1" si="6"/>
        <v>0</v>
      </c>
      <c r="AA26" s="97">
        <f t="shared" ca="1" si="6"/>
        <v>0</v>
      </c>
      <c r="AB26" s="97">
        <f t="shared" ca="1" si="6"/>
        <v>0</v>
      </c>
      <c r="AC26" s="97">
        <f t="shared" ca="1" si="6"/>
        <v>0</v>
      </c>
      <c r="AD26" s="97">
        <f t="shared" ca="1" si="6"/>
        <v>0</v>
      </c>
      <c r="AE26" s="97">
        <f t="shared" ca="1" si="6"/>
        <v>0</v>
      </c>
      <c r="AF26" s="97">
        <f t="shared" ca="1" si="6"/>
        <v>0</v>
      </c>
      <c r="AG26" s="97">
        <f t="shared" ca="1" si="6"/>
        <v>0</v>
      </c>
      <c r="AH26" s="97">
        <f t="shared" ca="1" si="6"/>
        <v>0</v>
      </c>
      <c r="AI26" s="97">
        <f t="shared" ca="1" si="9"/>
        <v>0</v>
      </c>
      <c r="AJ26" s="98">
        <f t="shared" ca="1" si="2"/>
        <v>0</v>
      </c>
      <c r="AK26" s="97">
        <f t="shared" ca="1" si="2"/>
        <v>0</v>
      </c>
      <c r="AL26" s="97">
        <f t="shared" ca="1" si="2"/>
        <v>0</v>
      </c>
      <c r="AM26" s="97">
        <f t="shared" ca="1" si="2"/>
        <v>0</v>
      </c>
      <c r="AN26" s="97">
        <f t="shared" ca="1" si="2"/>
        <v>0</v>
      </c>
      <c r="AO26" s="97">
        <f t="shared" ca="1" si="2"/>
        <v>0</v>
      </c>
      <c r="AP26" s="97">
        <f t="shared" ca="1" si="2"/>
        <v>0</v>
      </c>
      <c r="AQ26" s="97">
        <f t="shared" ca="1" si="2"/>
        <v>0</v>
      </c>
      <c r="AR26" s="99">
        <f ca="1">COUNTIF(AJ26:AQ26,"&lt;"&amp;MAX(AJ26:AQ26))+IF(Calcs[[#This Row],[DL1]]=0,0,1)</f>
        <v>0</v>
      </c>
      <c r="AS26" s="100" t="str">
        <f ca="1">IF(LEN(Calcs[[#This Row],[Line]])&gt;0,IF(RIGHT(Calcs[[#This Row],[Remark]],3)=".  ",LEFT(Calcs[[#This Row],[Remark]],LEN(Calcs[[#This Row],[Remark]])-3),Calcs[[#This Row],[Remark]]),"")</f>
        <v/>
      </c>
      <c r="AT26" s="96">
        <f t="shared" ca="1" si="10"/>
        <v>0</v>
      </c>
      <c r="AU26" s="102">
        <f t="shared" ca="1" si="10"/>
        <v>0</v>
      </c>
      <c r="AV26" s="102">
        <f t="shared" ca="1" si="10"/>
        <v>0</v>
      </c>
      <c r="AW26" s="102">
        <f t="shared" ca="1" si="10"/>
        <v>0</v>
      </c>
      <c r="AX26" s="102">
        <f t="shared" ca="1" si="10"/>
        <v>0</v>
      </c>
      <c r="AY26" s="102">
        <f t="shared" ca="1" si="10"/>
        <v>0</v>
      </c>
      <c r="AZ26" s="102">
        <f t="shared" ca="1" si="10"/>
        <v>0</v>
      </c>
      <c r="BA26" s="102">
        <f t="shared" ca="1" si="10"/>
        <v>0</v>
      </c>
      <c r="BB26" s="102">
        <f t="shared" ca="1" si="10"/>
        <v>0</v>
      </c>
      <c r="BC26" s="102">
        <f t="shared" ca="1" si="10"/>
        <v>0</v>
      </c>
      <c r="BD26" s="102">
        <f t="shared" ca="1" si="10"/>
        <v>0</v>
      </c>
      <c r="BE26" s="102">
        <f t="shared" ca="1" si="10"/>
        <v>0</v>
      </c>
      <c r="BF26" s="102">
        <f t="shared" ca="1" si="10"/>
        <v>0</v>
      </c>
      <c r="BG26" s="102">
        <f t="shared" ca="1" si="10"/>
        <v>0</v>
      </c>
      <c r="BH26" s="102">
        <f t="shared" ca="1" si="10"/>
        <v>0</v>
      </c>
      <c r="BI26" s="102">
        <f t="shared" ca="1" si="10"/>
        <v>0</v>
      </c>
      <c r="BJ26" s="102">
        <f t="shared" ca="1" si="7"/>
        <v>0</v>
      </c>
      <c r="BK26" s="102">
        <f t="shared" ca="1" si="7"/>
        <v>0</v>
      </c>
      <c r="BL26" s="102">
        <f t="shared" ca="1" si="7"/>
        <v>0</v>
      </c>
      <c r="BM26" s="102">
        <f t="shared" ca="1" si="7"/>
        <v>0</v>
      </c>
      <c r="BN26" s="102">
        <f t="shared" ca="1" si="7"/>
        <v>0</v>
      </c>
      <c r="BO26" s="102">
        <f t="shared" ca="1" si="7"/>
        <v>0</v>
      </c>
      <c r="BP26" s="102">
        <f t="shared" ca="1" si="7"/>
        <v>0</v>
      </c>
      <c r="BQ26" s="102">
        <f t="shared" ca="1" si="7"/>
        <v>0</v>
      </c>
      <c r="BR26" s="102">
        <f t="shared" ca="1" si="7"/>
        <v>0</v>
      </c>
      <c r="BS26" s="102">
        <f t="shared" ca="1" si="7"/>
        <v>0</v>
      </c>
      <c r="BT26" s="102">
        <f t="shared" ca="1" si="7"/>
        <v>0</v>
      </c>
      <c r="BU26" s="102">
        <f t="shared" ca="1" si="7"/>
        <v>0</v>
      </c>
      <c r="BV26" s="102">
        <f t="shared" ca="1" si="7"/>
        <v>0</v>
      </c>
      <c r="BW26" s="102">
        <f t="shared" ca="1" si="7"/>
        <v>0</v>
      </c>
      <c r="BX26" s="102">
        <f t="shared" ca="1" si="7"/>
        <v>0</v>
      </c>
      <c r="BY26" s="102">
        <f t="shared" ca="1" si="11"/>
        <v>0</v>
      </c>
      <c r="BZ26" s="98">
        <f t="shared" ca="1" si="5"/>
        <v>0</v>
      </c>
      <c r="CA26" s="102">
        <f t="shared" ca="1" si="5"/>
        <v>0</v>
      </c>
      <c r="CB26" s="102">
        <f t="shared" ca="1" si="5"/>
        <v>0</v>
      </c>
      <c r="CC26" s="102">
        <f t="shared" ca="1" si="5"/>
        <v>0</v>
      </c>
      <c r="CD26" s="102">
        <f t="shared" ca="1" si="5"/>
        <v>0</v>
      </c>
      <c r="CE26" s="102">
        <f t="shared" ca="1" si="5"/>
        <v>0</v>
      </c>
      <c r="CF26" s="102">
        <f t="shared" ca="1" si="5"/>
        <v>0</v>
      </c>
      <c r="CG26" s="102">
        <f t="shared" ca="1" si="5"/>
        <v>0</v>
      </c>
      <c r="CH26" s="101">
        <f ca="1">COUNTIF(BZ26:CG26,"&lt;"&amp;MAX(BZ26:CG26))+IF(Calcs[[#This Row],[RL1]]=0,0,1)</f>
        <v>0</v>
      </c>
      <c r="CI2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6" s="103">
        <f ca="1">IFERROR(OFFSET(CJ26,-1,0)+0,0)+IF(INDEX(INDIRECT(RangeContrQty),MATCH(Calcs[[#This Row],[Line]],OFFSET(Items[Line],0,0,ROW(Proposed[])-ROW(Items[])+ROWS(Proposed[]),1),0)),1,0)</f>
        <v>0</v>
      </c>
    </row>
    <row r="27" spans="1:88" x14ac:dyDescent="0.15">
      <c r="A27" s="6">
        <f ca="1">IFERROR(OFFSET(A27,-1,0)+0,0)+MAX(IF(LEN(Calcs[[#This Row],[Line]])&gt;0,1,0),Calcs[[#This Row],[DL]],Calcs[[#This Row],[RL]])</f>
        <v>10</v>
      </c>
      <c r="B27" s="94" t="str">
        <f ca="1">IFERROR(INDEX(OFFSET(Items[Line],0,0,ROW(Proposed[])-ROW(Items[])+ROWS(Proposed[]),1),MATCH(ROW(B27)-ROW(B$3),INDIRECT(RangeCount),0)),"")</f>
        <v/>
      </c>
      <c r="C27" s="94" t="str">
        <f ca="1">IF(LEN(Calcs[[#This Row],[Line]])&gt;0,TRIM(IFERROR(INDEX(Items[Description],MATCH(Calcs[[#This Row],[Line]],Items[Line],0))&amp;INDEX(Items[Description2],MATCH(Calcs[[#This Row],[Line]],Items[Line],0)),INDEX(Proposed[Description],MATCH(Calcs[[#This Row],[Line]],Proposed[Line],0)))),"")</f>
        <v/>
      </c>
      <c r="D27" s="96">
        <f t="shared" ca="1" si="8"/>
        <v>0</v>
      </c>
      <c r="E27" s="97">
        <f t="shared" ca="1" si="8"/>
        <v>0</v>
      </c>
      <c r="F27" s="97">
        <f t="shared" ca="1" si="8"/>
        <v>0</v>
      </c>
      <c r="G27" s="97">
        <f t="shared" ca="1" si="8"/>
        <v>0</v>
      </c>
      <c r="H27" s="97">
        <f t="shared" ca="1" si="8"/>
        <v>0</v>
      </c>
      <c r="I27" s="97">
        <f t="shared" ca="1" si="8"/>
        <v>0</v>
      </c>
      <c r="J27" s="97">
        <f t="shared" ca="1" si="8"/>
        <v>0</v>
      </c>
      <c r="K27" s="97">
        <f t="shared" ca="1" si="8"/>
        <v>0</v>
      </c>
      <c r="L27" s="97">
        <f t="shared" ca="1" si="8"/>
        <v>0</v>
      </c>
      <c r="M27" s="97">
        <f t="shared" ca="1" si="8"/>
        <v>0</v>
      </c>
      <c r="N27" s="97">
        <f t="shared" ca="1" si="8"/>
        <v>0</v>
      </c>
      <c r="O27" s="97">
        <f t="shared" ca="1" si="8"/>
        <v>0</v>
      </c>
      <c r="P27" s="97">
        <f t="shared" ca="1" si="8"/>
        <v>0</v>
      </c>
      <c r="Q27" s="97">
        <f t="shared" ca="1" si="8"/>
        <v>0</v>
      </c>
      <c r="R27" s="97">
        <f t="shared" ca="1" si="8"/>
        <v>0</v>
      </c>
      <c r="S27" s="97">
        <f t="shared" ca="1" si="8"/>
        <v>0</v>
      </c>
      <c r="T27" s="97">
        <f t="shared" ca="1" si="6"/>
        <v>0</v>
      </c>
      <c r="U27" s="97">
        <f t="shared" ca="1" si="6"/>
        <v>0</v>
      </c>
      <c r="V27" s="97">
        <f t="shared" ca="1" si="6"/>
        <v>0</v>
      </c>
      <c r="W27" s="97">
        <f t="shared" ca="1" si="6"/>
        <v>0</v>
      </c>
      <c r="X27" s="97">
        <f t="shared" ca="1" si="6"/>
        <v>0</v>
      </c>
      <c r="Y27" s="97">
        <f t="shared" ca="1" si="6"/>
        <v>0</v>
      </c>
      <c r="Z27" s="97">
        <f t="shared" ca="1" si="6"/>
        <v>0</v>
      </c>
      <c r="AA27" s="97">
        <f t="shared" ca="1" si="6"/>
        <v>0</v>
      </c>
      <c r="AB27" s="97">
        <f t="shared" ca="1" si="6"/>
        <v>0</v>
      </c>
      <c r="AC27" s="97">
        <f t="shared" ca="1" si="6"/>
        <v>0</v>
      </c>
      <c r="AD27" s="97">
        <f t="shared" ca="1" si="6"/>
        <v>0</v>
      </c>
      <c r="AE27" s="97">
        <f t="shared" ca="1" si="6"/>
        <v>0</v>
      </c>
      <c r="AF27" s="97">
        <f t="shared" ca="1" si="6"/>
        <v>0</v>
      </c>
      <c r="AG27" s="97">
        <f t="shared" ca="1" si="6"/>
        <v>0</v>
      </c>
      <c r="AH27" s="97">
        <f t="shared" ca="1" si="6"/>
        <v>0</v>
      </c>
      <c r="AI27" s="97">
        <f t="shared" ca="1" si="9"/>
        <v>0</v>
      </c>
      <c r="AJ27" s="98">
        <f t="shared" ca="1" si="2"/>
        <v>0</v>
      </c>
      <c r="AK27" s="97">
        <f t="shared" ca="1" si="2"/>
        <v>0</v>
      </c>
      <c r="AL27" s="97">
        <f t="shared" ca="1" si="2"/>
        <v>0</v>
      </c>
      <c r="AM27" s="97">
        <f t="shared" ca="1" si="2"/>
        <v>0</v>
      </c>
      <c r="AN27" s="97">
        <f t="shared" ca="1" si="2"/>
        <v>0</v>
      </c>
      <c r="AO27" s="97">
        <f t="shared" ca="1" si="2"/>
        <v>0</v>
      </c>
      <c r="AP27" s="97">
        <f t="shared" ca="1" si="2"/>
        <v>0</v>
      </c>
      <c r="AQ27" s="97">
        <f t="shared" ca="1" si="2"/>
        <v>0</v>
      </c>
      <c r="AR27" s="99">
        <f ca="1">COUNTIF(AJ27:AQ27,"&lt;"&amp;MAX(AJ27:AQ27))+IF(Calcs[[#This Row],[DL1]]=0,0,1)</f>
        <v>0</v>
      </c>
      <c r="AS27" s="100" t="str">
        <f ca="1">IF(LEN(Calcs[[#This Row],[Line]])&gt;0,IF(RIGHT(Calcs[[#This Row],[Remark]],3)=".  ",LEFT(Calcs[[#This Row],[Remark]],LEN(Calcs[[#This Row],[Remark]])-3),Calcs[[#This Row],[Remark]]),"")</f>
        <v/>
      </c>
      <c r="AT27" s="96">
        <f t="shared" ca="1" si="10"/>
        <v>0</v>
      </c>
      <c r="AU27" s="102">
        <f t="shared" ca="1" si="10"/>
        <v>0</v>
      </c>
      <c r="AV27" s="102">
        <f t="shared" ca="1" si="10"/>
        <v>0</v>
      </c>
      <c r="AW27" s="102">
        <f t="shared" ca="1" si="10"/>
        <v>0</v>
      </c>
      <c r="AX27" s="102">
        <f t="shared" ca="1" si="10"/>
        <v>0</v>
      </c>
      <c r="AY27" s="102">
        <f t="shared" ca="1" si="10"/>
        <v>0</v>
      </c>
      <c r="AZ27" s="102">
        <f t="shared" ca="1" si="10"/>
        <v>0</v>
      </c>
      <c r="BA27" s="102">
        <f t="shared" ca="1" si="10"/>
        <v>0</v>
      </c>
      <c r="BB27" s="102">
        <f t="shared" ca="1" si="10"/>
        <v>0</v>
      </c>
      <c r="BC27" s="102">
        <f t="shared" ca="1" si="10"/>
        <v>0</v>
      </c>
      <c r="BD27" s="102">
        <f t="shared" ca="1" si="10"/>
        <v>0</v>
      </c>
      <c r="BE27" s="102">
        <f t="shared" ca="1" si="10"/>
        <v>0</v>
      </c>
      <c r="BF27" s="102">
        <f t="shared" ca="1" si="10"/>
        <v>0</v>
      </c>
      <c r="BG27" s="102">
        <f t="shared" ca="1" si="10"/>
        <v>0</v>
      </c>
      <c r="BH27" s="102">
        <f t="shared" ca="1" si="10"/>
        <v>0</v>
      </c>
      <c r="BI27" s="102">
        <f t="shared" ca="1" si="10"/>
        <v>0</v>
      </c>
      <c r="BJ27" s="102">
        <f t="shared" ca="1" si="7"/>
        <v>0</v>
      </c>
      <c r="BK27" s="102">
        <f t="shared" ca="1" si="7"/>
        <v>0</v>
      </c>
      <c r="BL27" s="102">
        <f t="shared" ca="1" si="7"/>
        <v>0</v>
      </c>
      <c r="BM27" s="102">
        <f t="shared" ca="1" si="7"/>
        <v>0</v>
      </c>
      <c r="BN27" s="102">
        <f t="shared" ca="1" si="7"/>
        <v>0</v>
      </c>
      <c r="BO27" s="102">
        <f t="shared" ca="1" si="7"/>
        <v>0</v>
      </c>
      <c r="BP27" s="102">
        <f t="shared" ca="1" si="7"/>
        <v>0</v>
      </c>
      <c r="BQ27" s="102">
        <f t="shared" ca="1" si="7"/>
        <v>0</v>
      </c>
      <c r="BR27" s="102">
        <f t="shared" ca="1" si="7"/>
        <v>0</v>
      </c>
      <c r="BS27" s="102">
        <f t="shared" ca="1" si="7"/>
        <v>0</v>
      </c>
      <c r="BT27" s="102">
        <f t="shared" ca="1" si="7"/>
        <v>0</v>
      </c>
      <c r="BU27" s="102">
        <f t="shared" ca="1" si="7"/>
        <v>0</v>
      </c>
      <c r="BV27" s="102">
        <f t="shared" ca="1" si="7"/>
        <v>0</v>
      </c>
      <c r="BW27" s="102">
        <f t="shared" ca="1" si="7"/>
        <v>0</v>
      </c>
      <c r="BX27" s="102">
        <f t="shared" ca="1" si="7"/>
        <v>0</v>
      </c>
      <c r="BY27" s="102">
        <f t="shared" ca="1" si="11"/>
        <v>0</v>
      </c>
      <c r="BZ27" s="98">
        <f t="shared" ca="1" si="5"/>
        <v>0</v>
      </c>
      <c r="CA27" s="102">
        <f t="shared" ca="1" si="5"/>
        <v>0</v>
      </c>
      <c r="CB27" s="102">
        <f t="shared" ca="1" si="5"/>
        <v>0</v>
      </c>
      <c r="CC27" s="102">
        <f t="shared" ca="1" si="5"/>
        <v>0</v>
      </c>
      <c r="CD27" s="102">
        <f t="shared" ca="1" si="5"/>
        <v>0</v>
      </c>
      <c r="CE27" s="102">
        <f t="shared" ca="1" si="5"/>
        <v>0</v>
      </c>
      <c r="CF27" s="102">
        <f t="shared" ca="1" si="5"/>
        <v>0</v>
      </c>
      <c r="CG27" s="102">
        <f t="shared" ca="1" si="5"/>
        <v>0</v>
      </c>
      <c r="CH27" s="101">
        <f ca="1">COUNTIF(BZ27:CG27,"&lt;"&amp;MAX(BZ27:CG27))+IF(Calcs[[#This Row],[RL1]]=0,0,1)</f>
        <v>0</v>
      </c>
      <c r="CI2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7" s="103">
        <f ca="1">IFERROR(OFFSET(CJ27,-1,0)+0,0)+IF(INDEX(INDIRECT(RangeContrQty),MATCH(Calcs[[#This Row],[Line]],OFFSET(Items[Line],0,0,ROW(Proposed[])-ROW(Items[])+ROWS(Proposed[]),1),0)),1,0)</f>
        <v>0</v>
      </c>
    </row>
    <row r="28" spans="1:88" x14ac:dyDescent="0.15">
      <c r="A28" s="6">
        <f ca="1">IFERROR(OFFSET(A28,-1,0)+0,0)+MAX(IF(LEN(Calcs[[#This Row],[Line]])&gt;0,1,0),Calcs[[#This Row],[DL]],Calcs[[#This Row],[RL]])</f>
        <v>10</v>
      </c>
      <c r="B28" s="94" t="str">
        <f ca="1">IFERROR(INDEX(OFFSET(Items[Line],0,0,ROW(Proposed[])-ROW(Items[])+ROWS(Proposed[]),1),MATCH(ROW(B28)-ROW(B$3),INDIRECT(RangeCount),0)),"")</f>
        <v/>
      </c>
      <c r="C28" s="94" t="str">
        <f ca="1">IF(LEN(Calcs[[#This Row],[Line]])&gt;0,TRIM(IFERROR(INDEX(Items[Description],MATCH(Calcs[[#This Row],[Line]],Items[Line],0))&amp;INDEX(Items[Description2],MATCH(Calcs[[#This Row],[Line]],Items[Line],0)),INDEX(Proposed[Description],MATCH(Calcs[[#This Row],[Line]],Proposed[Line],0)))),"")</f>
        <v/>
      </c>
      <c r="D28" s="96">
        <f t="shared" ca="1" si="8"/>
        <v>0</v>
      </c>
      <c r="E28" s="97">
        <f t="shared" ca="1" si="8"/>
        <v>0</v>
      </c>
      <c r="F28" s="97">
        <f t="shared" ca="1" si="8"/>
        <v>0</v>
      </c>
      <c r="G28" s="97">
        <f t="shared" ca="1" si="8"/>
        <v>0</v>
      </c>
      <c r="H28" s="97">
        <f t="shared" ca="1" si="8"/>
        <v>0</v>
      </c>
      <c r="I28" s="97">
        <f t="shared" ca="1" si="8"/>
        <v>0</v>
      </c>
      <c r="J28" s="97">
        <f t="shared" ca="1" si="8"/>
        <v>0</v>
      </c>
      <c r="K28" s="97">
        <f t="shared" ca="1" si="8"/>
        <v>0</v>
      </c>
      <c r="L28" s="97">
        <f t="shared" ca="1" si="8"/>
        <v>0</v>
      </c>
      <c r="M28" s="97">
        <f t="shared" ca="1" si="8"/>
        <v>0</v>
      </c>
      <c r="N28" s="97">
        <f t="shared" ca="1" si="8"/>
        <v>0</v>
      </c>
      <c r="O28" s="97">
        <f t="shared" ca="1" si="8"/>
        <v>0</v>
      </c>
      <c r="P28" s="97">
        <f t="shared" ca="1" si="8"/>
        <v>0</v>
      </c>
      <c r="Q28" s="97">
        <f t="shared" ca="1" si="8"/>
        <v>0</v>
      </c>
      <c r="R28" s="97">
        <f t="shared" ca="1" si="8"/>
        <v>0</v>
      </c>
      <c r="S28" s="97">
        <f t="shared" ca="1" si="8"/>
        <v>0</v>
      </c>
      <c r="T28" s="97">
        <f t="shared" ca="1" si="6"/>
        <v>0</v>
      </c>
      <c r="U28" s="97">
        <f t="shared" ca="1" si="6"/>
        <v>0</v>
      </c>
      <c r="V28" s="97">
        <f t="shared" ca="1" si="6"/>
        <v>0</v>
      </c>
      <c r="W28" s="97">
        <f t="shared" ca="1" si="6"/>
        <v>0</v>
      </c>
      <c r="X28" s="97">
        <f t="shared" ca="1" si="6"/>
        <v>0</v>
      </c>
      <c r="Y28" s="97">
        <f t="shared" ca="1" si="6"/>
        <v>0</v>
      </c>
      <c r="Z28" s="97">
        <f t="shared" ca="1" si="6"/>
        <v>0</v>
      </c>
      <c r="AA28" s="97">
        <f t="shared" ca="1" si="6"/>
        <v>0</v>
      </c>
      <c r="AB28" s="97">
        <f t="shared" ca="1" si="6"/>
        <v>0</v>
      </c>
      <c r="AC28" s="97">
        <f t="shared" ca="1" si="6"/>
        <v>0</v>
      </c>
      <c r="AD28" s="97">
        <f t="shared" ca="1" si="6"/>
        <v>0</v>
      </c>
      <c r="AE28" s="97">
        <f t="shared" ca="1" si="6"/>
        <v>0</v>
      </c>
      <c r="AF28" s="97">
        <f t="shared" ca="1" si="6"/>
        <v>0</v>
      </c>
      <c r="AG28" s="97">
        <f t="shared" ca="1" si="6"/>
        <v>0</v>
      </c>
      <c r="AH28" s="97">
        <f t="shared" ca="1" si="6"/>
        <v>0</v>
      </c>
      <c r="AI28" s="97">
        <f t="shared" ca="1" si="9"/>
        <v>0</v>
      </c>
      <c r="AJ28" s="98">
        <f t="shared" ca="1" si="2"/>
        <v>0</v>
      </c>
      <c r="AK28" s="97">
        <f t="shared" ca="1" si="2"/>
        <v>0</v>
      </c>
      <c r="AL28" s="97">
        <f t="shared" ca="1" si="2"/>
        <v>0</v>
      </c>
      <c r="AM28" s="97">
        <f t="shared" ca="1" si="2"/>
        <v>0</v>
      </c>
      <c r="AN28" s="97">
        <f t="shared" ca="1" si="2"/>
        <v>0</v>
      </c>
      <c r="AO28" s="97">
        <f t="shared" ca="1" si="2"/>
        <v>0</v>
      </c>
      <c r="AP28" s="97">
        <f t="shared" ca="1" si="2"/>
        <v>0</v>
      </c>
      <c r="AQ28" s="97">
        <f t="shared" ca="1" si="2"/>
        <v>0</v>
      </c>
      <c r="AR28" s="99">
        <f ca="1">COUNTIF(AJ28:AQ28,"&lt;"&amp;MAX(AJ28:AQ28))+IF(Calcs[[#This Row],[DL1]]=0,0,1)</f>
        <v>0</v>
      </c>
      <c r="AS28" s="100" t="str">
        <f ca="1">IF(LEN(Calcs[[#This Row],[Line]])&gt;0,IF(RIGHT(Calcs[[#This Row],[Remark]],3)=".  ",LEFT(Calcs[[#This Row],[Remark]],LEN(Calcs[[#This Row],[Remark]])-3),Calcs[[#This Row],[Remark]]),"")</f>
        <v/>
      </c>
      <c r="AT28" s="96">
        <f t="shared" ca="1" si="10"/>
        <v>0</v>
      </c>
      <c r="AU28" s="102">
        <f t="shared" ca="1" si="10"/>
        <v>0</v>
      </c>
      <c r="AV28" s="102">
        <f t="shared" ca="1" si="10"/>
        <v>0</v>
      </c>
      <c r="AW28" s="102">
        <f t="shared" ca="1" si="10"/>
        <v>0</v>
      </c>
      <c r="AX28" s="102">
        <f t="shared" ca="1" si="10"/>
        <v>0</v>
      </c>
      <c r="AY28" s="102">
        <f t="shared" ca="1" si="10"/>
        <v>0</v>
      </c>
      <c r="AZ28" s="102">
        <f t="shared" ca="1" si="10"/>
        <v>0</v>
      </c>
      <c r="BA28" s="102">
        <f t="shared" ca="1" si="10"/>
        <v>0</v>
      </c>
      <c r="BB28" s="102">
        <f t="shared" ca="1" si="10"/>
        <v>0</v>
      </c>
      <c r="BC28" s="102">
        <f t="shared" ca="1" si="10"/>
        <v>0</v>
      </c>
      <c r="BD28" s="102">
        <f t="shared" ca="1" si="10"/>
        <v>0</v>
      </c>
      <c r="BE28" s="102">
        <f t="shared" ca="1" si="10"/>
        <v>0</v>
      </c>
      <c r="BF28" s="102">
        <f t="shared" ca="1" si="10"/>
        <v>0</v>
      </c>
      <c r="BG28" s="102">
        <f t="shared" ca="1" si="10"/>
        <v>0</v>
      </c>
      <c r="BH28" s="102">
        <f t="shared" ca="1" si="10"/>
        <v>0</v>
      </c>
      <c r="BI28" s="102">
        <f t="shared" ca="1" si="10"/>
        <v>0</v>
      </c>
      <c r="BJ28" s="102">
        <f t="shared" ca="1" si="7"/>
        <v>0</v>
      </c>
      <c r="BK28" s="102">
        <f t="shared" ca="1" si="7"/>
        <v>0</v>
      </c>
      <c r="BL28" s="102">
        <f t="shared" ca="1" si="7"/>
        <v>0</v>
      </c>
      <c r="BM28" s="102">
        <f t="shared" ca="1" si="7"/>
        <v>0</v>
      </c>
      <c r="BN28" s="102">
        <f t="shared" ca="1" si="7"/>
        <v>0</v>
      </c>
      <c r="BO28" s="102">
        <f t="shared" ca="1" si="7"/>
        <v>0</v>
      </c>
      <c r="BP28" s="102">
        <f t="shared" ca="1" si="7"/>
        <v>0</v>
      </c>
      <c r="BQ28" s="102">
        <f t="shared" ca="1" si="7"/>
        <v>0</v>
      </c>
      <c r="BR28" s="102">
        <f t="shared" ca="1" si="7"/>
        <v>0</v>
      </c>
      <c r="BS28" s="102">
        <f t="shared" ca="1" si="7"/>
        <v>0</v>
      </c>
      <c r="BT28" s="102">
        <f t="shared" ca="1" si="7"/>
        <v>0</v>
      </c>
      <c r="BU28" s="102">
        <f t="shared" ca="1" si="7"/>
        <v>0</v>
      </c>
      <c r="BV28" s="102">
        <f t="shared" ca="1" si="7"/>
        <v>0</v>
      </c>
      <c r="BW28" s="102">
        <f t="shared" ca="1" si="7"/>
        <v>0</v>
      </c>
      <c r="BX28" s="102">
        <f t="shared" ca="1" si="7"/>
        <v>0</v>
      </c>
      <c r="BY28" s="102">
        <f t="shared" ca="1" si="11"/>
        <v>0</v>
      </c>
      <c r="BZ28" s="98">
        <f t="shared" ca="1" si="5"/>
        <v>0</v>
      </c>
      <c r="CA28" s="102">
        <f t="shared" ca="1" si="5"/>
        <v>0</v>
      </c>
      <c r="CB28" s="102">
        <f t="shared" ca="1" si="5"/>
        <v>0</v>
      </c>
      <c r="CC28" s="102">
        <f t="shared" ca="1" si="5"/>
        <v>0</v>
      </c>
      <c r="CD28" s="102">
        <f t="shared" ca="1" si="5"/>
        <v>0</v>
      </c>
      <c r="CE28" s="102">
        <f t="shared" ca="1" si="5"/>
        <v>0</v>
      </c>
      <c r="CF28" s="102">
        <f t="shared" ca="1" si="5"/>
        <v>0</v>
      </c>
      <c r="CG28" s="102">
        <f t="shared" ca="1" si="5"/>
        <v>0</v>
      </c>
      <c r="CH28" s="101">
        <f ca="1">COUNTIF(BZ28:CG28,"&lt;"&amp;MAX(BZ28:CG28))+IF(Calcs[[#This Row],[RL1]]=0,0,1)</f>
        <v>0</v>
      </c>
      <c r="CI2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8" s="103">
        <f ca="1">IFERROR(OFFSET(CJ28,-1,0)+0,0)+IF(INDEX(INDIRECT(RangeContrQty),MATCH(Calcs[[#This Row],[Line]],OFFSET(Items[Line],0,0,ROW(Proposed[])-ROW(Items[])+ROWS(Proposed[]),1),0)),1,0)</f>
        <v>0</v>
      </c>
    </row>
    <row r="29" spans="1:88" x14ac:dyDescent="0.15">
      <c r="A29" s="6">
        <f ca="1">IFERROR(OFFSET(A29,-1,0)+0,0)+MAX(IF(LEN(Calcs[[#This Row],[Line]])&gt;0,1,0),Calcs[[#This Row],[DL]],Calcs[[#This Row],[RL]])</f>
        <v>10</v>
      </c>
      <c r="B29" s="94" t="str">
        <f ca="1">IFERROR(INDEX(OFFSET(Items[Line],0,0,ROW(Proposed[])-ROW(Items[])+ROWS(Proposed[]),1),MATCH(ROW(B29)-ROW(B$3),INDIRECT(RangeCount),0)),"")</f>
        <v/>
      </c>
      <c r="C29" s="94" t="str">
        <f ca="1">IF(LEN(Calcs[[#This Row],[Line]])&gt;0,TRIM(IFERROR(INDEX(Items[Description],MATCH(Calcs[[#This Row],[Line]],Items[Line],0))&amp;INDEX(Items[Description2],MATCH(Calcs[[#This Row],[Line]],Items[Line],0)),INDEX(Proposed[Description],MATCH(Calcs[[#This Row],[Line]],Proposed[Line],0)))),"")</f>
        <v/>
      </c>
      <c r="D29" s="96">
        <f t="shared" ca="1" si="8"/>
        <v>0</v>
      </c>
      <c r="E29" s="97">
        <f t="shared" ca="1" si="8"/>
        <v>0</v>
      </c>
      <c r="F29" s="97">
        <f t="shared" ca="1" si="8"/>
        <v>0</v>
      </c>
      <c r="G29" s="97">
        <f t="shared" ca="1" si="8"/>
        <v>0</v>
      </c>
      <c r="H29" s="97">
        <f t="shared" ca="1" si="8"/>
        <v>0</v>
      </c>
      <c r="I29" s="97">
        <f t="shared" ca="1" si="8"/>
        <v>0</v>
      </c>
      <c r="J29" s="97">
        <f t="shared" ca="1" si="8"/>
        <v>0</v>
      </c>
      <c r="K29" s="97">
        <f t="shared" ca="1" si="8"/>
        <v>0</v>
      </c>
      <c r="L29" s="97">
        <f t="shared" ca="1" si="8"/>
        <v>0</v>
      </c>
      <c r="M29" s="97">
        <f t="shared" ca="1" si="8"/>
        <v>0</v>
      </c>
      <c r="N29" s="97">
        <f t="shared" ca="1" si="8"/>
        <v>0</v>
      </c>
      <c r="O29" s="97">
        <f t="shared" ca="1" si="8"/>
        <v>0</v>
      </c>
      <c r="P29" s="97">
        <f t="shared" ca="1" si="8"/>
        <v>0</v>
      </c>
      <c r="Q29" s="97">
        <f t="shared" ca="1" si="8"/>
        <v>0</v>
      </c>
      <c r="R29" s="97">
        <f t="shared" ca="1" si="8"/>
        <v>0</v>
      </c>
      <c r="S29" s="97">
        <f t="shared" ca="1" si="8"/>
        <v>0</v>
      </c>
      <c r="T29" s="97">
        <f t="shared" ca="1" si="6"/>
        <v>0</v>
      </c>
      <c r="U29" s="97">
        <f t="shared" ca="1" si="6"/>
        <v>0</v>
      </c>
      <c r="V29" s="97">
        <f t="shared" ca="1" si="6"/>
        <v>0</v>
      </c>
      <c r="W29" s="97">
        <f t="shared" ca="1" si="6"/>
        <v>0</v>
      </c>
      <c r="X29" s="97">
        <f t="shared" ca="1" si="6"/>
        <v>0</v>
      </c>
      <c r="Y29" s="97">
        <f t="shared" ca="1" si="6"/>
        <v>0</v>
      </c>
      <c r="Z29" s="97">
        <f t="shared" ca="1" si="6"/>
        <v>0</v>
      </c>
      <c r="AA29" s="97">
        <f t="shared" ca="1" si="6"/>
        <v>0</v>
      </c>
      <c r="AB29" s="97">
        <f t="shared" ca="1" si="6"/>
        <v>0</v>
      </c>
      <c r="AC29" s="97">
        <f t="shared" ca="1" si="6"/>
        <v>0</v>
      </c>
      <c r="AD29" s="97">
        <f t="shared" ca="1" si="6"/>
        <v>0</v>
      </c>
      <c r="AE29" s="97">
        <f t="shared" ca="1" si="6"/>
        <v>0</v>
      </c>
      <c r="AF29" s="97">
        <f t="shared" ca="1" si="6"/>
        <v>0</v>
      </c>
      <c r="AG29" s="97">
        <f t="shared" ca="1" si="6"/>
        <v>0</v>
      </c>
      <c r="AH29" s="97">
        <f t="shared" ca="1" si="6"/>
        <v>0</v>
      </c>
      <c r="AI29" s="97">
        <f t="shared" ca="1" si="9"/>
        <v>0</v>
      </c>
      <c r="AJ29" s="98">
        <f t="shared" ca="1" si="2"/>
        <v>0</v>
      </c>
      <c r="AK29" s="97">
        <f t="shared" ca="1" si="2"/>
        <v>0</v>
      </c>
      <c r="AL29" s="97">
        <f t="shared" ca="1" si="2"/>
        <v>0</v>
      </c>
      <c r="AM29" s="97">
        <f t="shared" ca="1" si="2"/>
        <v>0</v>
      </c>
      <c r="AN29" s="97">
        <f t="shared" ca="1" si="2"/>
        <v>0</v>
      </c>
      <c r="AO29" s="97">
        <f t="shared" ca="1" si="2"/>
        <v>0</v>
      </c>
      <c r="AP29" s="97">
        <f t="shared" ca="1" si="2"/>
        <v>0</v>
      </c>
      <c r="AQ29" s="97">
        <f t="shared" ca="1" si="2"/>
        <v>0</v>
      </c>
      <c r="AR29" s="99">
        <f ca="1">COUNTIF(AJ29:AQ29,"&lt;"&amp;MAX(AJ29:AQ29))+IF(Calcs[[#This Row],[DL1]]=0,0,1)</f>
        <v>0</v>
      </c>
      <c r="AS29" s="100" t="str">
        <f ca="1">IF(LEN(Calcs[[#This Row],[Line]])&gt;0,IF(RIGHT(Calcs[[#This Row],[Remark]],3)=".  ",LEFT(Calcs[[#This Row],[Remark]],LEN(Calcs[[#This Row],[Remark]])-3),Calcs[[#This Row],[Remark]]),"")</f>
        <v/>
      </c>
      <c r="AT29" s="96">
        <f t="shared" ca="1" si="10"/>
        <v>0</v>
      </c>
      <c r="AU29" s="102">
        <f t="shared" ca="1" si="10"/>
        <v>0</v>
      </c>
      <c r="AV29" s="102">
        <f t="shared" ca="1" si="10"/>
        <v>0</v>
      </c>
      <c r="AW29" s="102">
        <f t="shared" ca="1" si="10"/>
        <v>0</v>
      </c>
      <c r="AX29" s="102">
        <f t="shared" ca="1" si="10"/>
        <v>0</v>
      </c>
      <c r="AY29" s="102">
        <f t="shared" ca="1" si="10"/>
        <v>0</v>
      </c>
      <c r="AZ29" s="102">
        <f t="shared" ca="1" si="10"/>
        <v>0</v>
      </c>
      <c r="BA29" s="102">
        <f t="shared" ca="1" si="10"/>
        <v>0</v>
      </c>
      <c r="BB29" s="102">
        <f t="shared" ca="1" si="10"/>
        <v>0</v>
      </c>
      <c r="BC29" s="102">
        <f t="shared" ca="1" si="10"/>
        <v>0</v>
      </c>
      <c r="BD29" s="102">
        <f t="shared" ca="1" si="10"/>
        <v>0</v>
      </c>
      <c r="BE29" s="102">
        <f t="shared" ca="1" si="10"/>
        <v>0</v>
      </c>
      <c r="BF29" s="102">
        <f t="shared" ca="1" si="10"/>
        <v>0</v>
      </c>
      <c r="BG29" s="102">
        <f t="shared" ca="1" si="10"/>
        <v>0</v>
      </c>
      <c r="BH29" s="102">
        <f t="shared" ca="1" si="10"/>
        <v>0</v>
      </c>
      <c r="BI29" s="102">
        <f t="shared" ca="1" si="10"/>
        <v>0</v>
      </c>
      <c r="BJ29" s="102">
        <f t="shared" ca="1" si="7"/>
        <v>0</v>
      </c>
      <c r="BK29" s="102">
        <f t="shared" ca="1" si="7"/>
        <v>0</v>
      </c>
      <c r="BL29" s="102">
        <f t="shared" ca="1" si="7"/>
        <v>0</v>
      </c>
      <c r="BM29" s="102">
        <f t="shared" ca="1" si="7"/>
        <v>0</v>
      </c>
      <c r="BN29" s="102">
        <f t="shared" ca="1" si="7"/>
        <v>0</v>
      </c>
      <c r="BO29" s="102">
        <f t="shared" ca="1" si="7"/>
        <v>0</v>
      </c>
      <c r="BP29" s="102">
        <f t="shared" ca="1" si="7"/>
        <v>0</v>
      </c>
      <c r="BQ29" s="102">
        <f t="shared" ca="1" si="7"/>
        <v>0</v>
      </c>
      <c r="BR29" s="102">
        <f t="shared" ca="1" si="7"/>
        <v>0</v>
      </c>
      <c r="BS29" s="102">
        <f t="shared" ca="1" si="7"/>
        <v>0</v>
      </c>
      <c r="BT29" s="102">
        <f t="shared" ca="1" si="7"/>
        <v>0</v>
      </c>
      <c r="BU29" s="102">
        <f t="shared" ca="1" si="7"/>
        <v>0</v>
      </c>
      <c r="BV29" s="102">
        <f t="shared" ca="1" si="7"/>
        <v>0</v>
      </c>
      <c r="BW29" s="102">
        <f t="shared" ca="1" si="7"/>
        <v>0</v>
      </c>
      <c r="BX29" s="102">
        <f t="shared" ca="1" si="7"/>
        <v>0</v>
      </c>
      <c r="BY29" s="102">
        <f t="shared" ca="1" si="11"/>
        <v>0</v>
      </c>
      <c r="BZ29" s="98">
        <f t="shared" ca="1" si="5"/>
        <v>0</v>
      </c>
      <c r="CA29" s="102">
        <f t="shared" ca="1" si="5"/>
        <v>0</v>
      </c>
      <c r="CB29" s="102">
        <f t="shared" ca="1" si="5"/>
        <v>0</v>
      </c>
      <c r="CC29" s="102">
        <f t="shared" ca="1" si="5"/>
        <v>0</v>
      </c>
      <c r="CD29" s="102">
        <f t="shared" ca="1" si="5"/>
        <v>0</v>
      </c>
      <c r="CE29" s="102">
        <f t="shared" ca="1" si="5"/>
        <v>0</v>
      </c>
      <c r="CF29" s="102">
        <f t="shared" ca="1" si="5"/>
        <v>0</v>
      </c>
      <c r="CG29" s="102">
        <f t="shared" ca="1" si="5"/>
        <v>0</v>
      </c>
      <c r="CH29" s="101">
        <f ca="1">COUNTIF(BZ29:CG29,"&lt;"&amp;MAX(BZ29:CG29))+IF(Calcs[[#This Row],[RL1]]=0,0,1)</f>
        <v>0</v>
      </c>
      <c r="CI2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9" s="103">
        <f ca="1">IFERROR(OFFSET(CJ29,-1,0)+0,0)+IF(INDEX(INDIRECT(RangeContrQty),MATCH(Calcs[[#This Row],[Line]],OFFSET(Items[Line],0,0,ROW(Proposed[])-ROW(Items[])+ROWS(Proposed[]),1),0)),1,0)</f>
        <v>0</v>
      </c>
    </row>
    <row r="30" spans="1:88" x14ac:dyDescent="0.15">
      <c r="A30" s="6">
        <f ca="1">IFERROR(OFFSET(A30,-1,0)+0,0)+MAX(IF(LEN(Calcs[[#This Row],[Line]])&gt;0,1,0),Calcs[[#This Row],[DL]],Calcs[[#This Row],[RL]])</f>
        <v>10</v>
      </c>
      <c r="B30" s="94" t="str">
        <f ca="1">IFERROR(INDEX(OFFSET(Items[Line],0,0,ROW(Proposed[])-ROW(Items[])+ROWS(Proposed[]),1),MATCH(ROW(B30)-ROW(B$3),INDIRECT(RangeCount),0)),"")</f>
        <v/>
      </c>
      <c r="C30" s="94" t="str">
        <f ca="1">IF(LEN(Calcs[[#This Row],[Line]])&gt;0,TRIM(IFERROR(INDEX(Items[Description],MATCH(Calcs[[#This Row],[Line]],Items[Line],0))&amp;INDEX(Items[Description2],MATCH(Calcs[[#This Row],[Line]],Items[Line],0)),INDEX(Proposed[Description],MATCH(Calcs[[#This Row],[Line]],Proposed[Line],0)))),"")</f>
        <v/>
      </c>
      <c r="D30" s="96">
        <f t="shared" ca="1" si="8"/>
        <v>0</v>
      </c>
      <c r="E30" s="97">
        <f t="shared" ca="1" si="8"/>
        <v>0</v>
      </c>
      <c r="F30" s="97">
        <f t="shared" ca="1" si="8"/>
        <v>0</v>
      </c>
      <c r="G30" s="97">
        <f t="shared" ca="1" si="8"/>
        <v>0</v>
      </c>
      <c r="H30" s="97">
        <f t="shared" ca="1" si="8"/>
        <v>0</v>
      </c>
      <c r="I30" s="97">
        <f t="shared" ca="1" si="8"/>
        <v>0</v>
      </c>
      <c r="J30" s="97">
        <f t="shared" ca="1" si="8"/>
        <v>0</v>
      </c>
      <c r="K30" s="97">
        <f t="shared" ca="1" si="8"/>
        <v>0</v>
      </c>
      <c r="L30" s="97">
        <f t="shared" ca="1" si="8"/>
        <v>0</v>
      </c>
      <c r="M30" s="97">
        <f t="shared" ca="1" si="8"/>
        <v>0</v>
      </c>
      <c r="N30" s="97">
        <f t="shared" ca="1" si="8"/>
        <v>0</v>
      </c>
      <c r="O30" s="97">
        <f t="shared" ca="1" si="8"/>
        <v>0</v>
      </c>
      <c r="P30" s="97">
        <f t="shared" ca="1" si="8"/>
        <v>0</v>
      </c>
      <c r="Q30" s="97">
        <f t="shared" ca="1" si="8"/>
        <v>0</v>
      </c>
      <c r="R30" s="97">
        <f t="shared" ca="1" si="8"/>
        <v>0</v>
      </c>
      <c r="S30" s="97">
        <f t="shared" ca="1" si="8"/>
        <v>0</v>
      </c>
      <c r="T30" s="97">
        <f t="shared" ca="1" si="6"/>
        <v>0</v>
      </c>
      <c r="U30" s="97">
        <f t="shared" ca="1" si="6"/>
        <v>0</v>
      </c>
      <c r="V30" s="97">
        <f t="shared" ca="1" si="6"/>
        <v>0</v>
      </c>
      <c r="W30" s="97">
        <f t="shared" ca="1" si="6"/>
        <v>0</v>
      </c>
      <c r="X30" s="97">
        <f t="shared" ca="1" si="6"/>
        <v>0</v>
      </c>
      <c r="Y30" s="97">
        <f t="shared" ca="1" si="6"/>
        <v>0</v>
      </c>
      <c r="Z30" s="97">
        <f t="shared" ca="1" si="6"/>
        <v>0</v>
      </c>
      <c r="AA30" s="97">
        <f t="shared" ca="1" si="6"/>
        <v>0</v>
      </c>
      <c r="AB30" s="97">
        <f t="shared" ca="1" si="6"/>
        <v>0</v>
      </c>
      <c r="AC30" s="97">
        <f t="shared" ca="1" si="6"/>
        <v>0</v>
      </c>
      <c r="AD30" s="97">
        <f t="shared" ca="1" si="6"/>
        <v>0</v>
      </c>
      <c r="AE30" s="97">
        <f t="shared" ca="1" si="6"/>
        <v>0</v>
      </c>
      <c r="AF30" s="97">
        <f t="shared" ca="1" si="6"/>
        <v>0</v>
      </c>
      <c r="AG30" s="97">
        <f t="shared" ca="1" si="6"/>
        <v>0</v>
      </c>
      <c r="AH30" s="97">
        <f t="shared" ca="1" si="6"/>
        <v>0</v>
      </c>
      <c r="AI30" s="97">
        <f t="shared" ca="1" si="9"/>
        <v>0</v>
      </c>
      <c r="AJ30" s="98">
        <f t="shared" ca="1" si="2"/>
        <v>0</v>
      </c>
      <c r="AK30" s="97">
        <f t="shared" ca="1" si="2"/>
        <v>0</v>
      </c>
      <c r="AL30" s="97">
        <f t="shared" ca="1" si="2"/>
        <v>0</v>
      </c>
      <c r="AM30" s="97">
        <f t="shared" ca="1" si="2"/>
        <v>0</v>
      </c>
      <c r="AN30" s="97">
        <f t="shared" ca="1" si="2"/>
        <v>0</v>
      </c>
      <c r="AO30" s="97">
        <f t="shared" ca="1" si="2"/>
        <v>0</v>
      </c>
      <c r="AP30" s="97">
        <f t="shared" ca="1" si="2"/>
        <v>0</v>
      </c>
      <c r="AQ30" s="97">
        <f t="shared" ca="1" si="2"/>
        <v>0</v>
      </c>
      <c r="AR30" s="99">
        <f ca="1">COUNTIF(AJ30:AQ30,"&lt;"&amp;MAX(AJ30:AQ30))+IF(Calcs[[#This Row],[DL1]]=0,0,1)</f>
        <v>0</v>
      </c>
      <c r="AS30" s="100" t="str">
        <f ca="1">IF(LEN(Calcs[[#This Row],[Line]])&gt;0,IF(RIGHT(Calcs[[#This Row],[Remark]],3)=".  ",LEFT(Calcs[[#This Row],[Remark]],LEN(Calcs[[#This Row],[Remark]])-3),Calcs[[#This Row],[Remark]]),"")</f>
        <v/>
      </c>
      <c r="AT30" s="96">
        <f t="shared" ca="1" si="10"/>
        <v>0</v>
      </c>
      <c r="AU30" s="102">
        <f t="shared" ca="1" si="10"/>
        <v>0</v>
      </c>
      <c r="AV30" s="102">
        <f t="shared" ca="1" si="10"/>
        <v>0</v>
      </c>
      <c r="AW30" s="102">
        <f t="shared" ca="1" si="10"/>
        <v>0</v>
      </c>
      <c r="AX30" s="102">
        <f t="shared" ca="1" si="10"/>
        <v>0</v>
      </c>
      <c r="AY30" s="102">
        <f t="shared" ca="1" si="10"/>
        <v>0</v>
      </c>
      <c r="AZ30" s="102">
        <f t="shared" ca="1" si="10"/>
        <v>0</v>
      </c>
      <c r="BA30" s="102">
        <f t="shared" ca="1" si="10"/>
        <v>0</v>
      </c>
      <c r="BB30" s="102">
        <f t="shared" ca="1" si="10"/>
        <v>0</v>
      </c>
      <c r="BC30" s="102">
        <f t="shared" ca="1" si="10"/>
        <v>0</v>
      </c>
      <c r="BD30" s="102">
        <f t="shared" ca="1" si="10"/>
        <v>0</v>
      </c>
      <c r="BE30" s="102">
        <f t="shared" ca="1" si="10"/>
        <v>0</v>
      </c>
      <c r="BF30" s="102">
        <f t="shared" ca="1" si="10"/>
        <v>0</v>
      </c>
      <c r="BG30" s="102">
        <f t="shared" ca="1" si="10"/>
        <v>0</v>
      </c>
      <c r="BH30" s="102">
        <f t="shared" ca="1" si="10"/>
        <v>0</v>
      </c>
      <c r="BI30" s="102">
        <f t="shared" ca="1" si="10"/>
        <v>0</v>
      </c>
      <c r="BJ30" s="102">
        <f t="shared" ca="1" si="7"/>
        <v>0</v>
      </c>
      <c r="BK30" s="102">
        <f t="shared" ca="1" si="7"/>
        <v>0</v>
      </c>
      <c r="BL30" s="102">
        <f t="shared" ca="1" si="7"/>
        <v>0</v>
      </c>
      <c r="BM30" s="102">
        <f t="shared" ca="1" si="7"/>
        <v>0</v>
      </c>
      <c r="BN30" s="102">
        <f t="shared" ca="1" si="7"/>
        <v>0</v>
      </c>
      <c r="BO30" s="102">
        <f t="shared" ca="1" si="7"/>
        <v>0</v>
      </c>
      <c r="BP30" s="102">
        <f t="shared" ca="1" si="7"/>
        <v>0</v>
      </c>
      <c r="BQ30" s="102">
        <f t="shared" ca="1" si="7"/>
        <v>0</v>
      </c>
      <c r="BR30" s="102">
        <f t="shared" ca="1" si="7"/>
        <v>0</v>
      </c>
      <c r="BS30" s="102">
        <f t="shared" ca="1" si="7"/>
        <v>0</v>
      </c>
      <c r="BT30" s="102">
        <f t="shared" ca="1" si="7"/>
        <v>0</v>
      </c>
      <c r="BU30" s="102">
        <f t="shared" ca="1" si="7"/>
        <v>0</v>
      </c>
      <c r="BV30" s="102">
        <f t="shared" ca="1" si="7"/>
        <v>0</v>
      </c>
      <c r="BW30" s="102">
        <f t="shared" ca="1" si="7"/>
        <v>0</v>
      </c>
      <c r="BX30" s="102">
        <f t="shared" ca="1" si="7"/>
        <v>0</v>
      </c>
      <c r="BY30" s="102">
        <f t="shared" ca="1" si="11"/>
        <v>0</v>
      </c>
      <c r="BZ30" s="98">
        <f t="shared" ca="1" si="5"/>
        <v>0</v>
      </c>
      <c r="CA30" s="102">
        <f t="shared" ca="1" si="5"/>
        <v>0</v>
      </c>
      <c r="CB30" s="102">
        <f t="shared" ca="1" si="5"/>
        <v>0</v>
      </c>
      <c r="CC30" s="102">
        <f t="shared" ca="1" si="5"/>
        <v>0</v>
      </c>
      <c r="CD30" s="102">
        <f t="shared" ca="1" si="5"/>
        <v>0</v>
      </c>
      <c r="CE30" s="102">
        <f t="shared" ca="1" si="5"/>
        <v>0</v>
      </c>
      <c r="CF30" s="102">
        <f t="shared" ca="1" si="5"/>
        <v>0</v>
      </c>
      <c r="CG30" s="102">
        <f t="shared" ca="1" si="5"/>
        <v>0</v>
      </c>
      <c r="CH30" s="101">
        <f ca="1">COUNTIF(BZ30:CG30,"&lt;"&amp;MAX(BZ30:CG30))+IF(Calcs[[#This Row],[RL1]]=0,0,1)</f>
        <v>0</v>
      </c>
      <c r="CI3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0" s="103">
        <f ca="1">IFERROR(OFFSET(CJ30,-1,0)+0,0)+IF(INDEX(INDIRECT(RangeContrQty),MATCH(Calcs[[#This Row],[Line]],OFFSET(Items[Line],0,0,ROW(Proposed[])-ROW(Items[])+ROWS(Proposed[]),1),0)),1,0)</f>
        <v>0</v>
      </c>
    </row>
    <row r="31" spans="1:88" x14ac:dyDescent="0.15">
      <c r="A31" s="6">
        <f ca="1">IFERROR(OFFSET(A31,-1,0)+0,0)+MAX(IF(LEN(Calcs[[#This Row],[Line]])&gt;0,1,0),Calcs[[#This Row],[DL]],Calcs[[#This Row],[RL]])</f>
        <v>10</v>
      </c>
      <c r="B31" s="94" t="str">
        <f ca="1">IFERROR(INDEX(OFFSET(Items[Line],0,0,ROW(Proposed[])-ROW(Items[])+ROWS(Proposed[]),1),MATCH(ROW(B31)-ROW(B$3),INDIRECT(RangeCount),0)),"")</f>
        <v/>
      </c>
      <c r="C31" s="94" t="str">
        <f ca="1">IF(LEN(Calcs[[#This Row],[Line]])&gt;0,TRIM(IFERROR(INDEX(Items[Description],MATCH(Calcs[[#This Row],[Line]],Items[Line],0))&amp;INDEX(Items[Description2],MATCH(Calcs[[#This Row],[Line]],Items[Line],0)),INDEX(Proposed[Description],MATCH(Calcs[[#This Row],[Line]],Proposed[Line],0)))),"")</f>
        <v/>
      </c>
      <c r="D31" s="96">
        <f t="shared" ca="1" si="8"/>
        <v>0</v>
      </c>
      <c r="E31" s="97">
        <f t="shared" ca="1" si="8"/>
        <v>0</v>
      </c>
      <c r="F31" s="97">
        <f t="shared" ca="1" si="8"/>
        <v>0</v>
      </c>
      <c r="G31" s="97">
        <f t="shared" ca="1" si="8"/>
        <v>0</v>
      </c>
      <c r="H31" s="97">
        <f t="shared" ca="1" si="8"/>
        <v>0</v>
      </c>
      <c r="I31" s="97">
        <f t="shared" ca="1" si="8"/>
        <v>0</v>
      </c>
      <c r="J31" s="97">
        <f t="shared" ca="1" si="8"/>
        <v>0</v>
      </c>
      <c r="K31" s="97">
        <f t="shared" ca="1" si="8"/>
        <v>0</v>
      </c>
      <c r="L31" s="97">
        <f t="shared" ca="1" si="8"/>
        <v>0</v>
      </c>
      <c r="M31" s="97">
        <f t="shared" ca="1" si="8"/>
        <v>0</v>
      </c>
      <c r="N31" s="97">
        <f t="shared" ca="1" si="8"/>
        <v>0</v>
      </c>
      <c r="O31" s="97">
        <f t="shared" ca="1" si="8"/>
        <v>0</v>
      </c>
      <c r="P31" s="97">
        <f t="shared" ca="1" si="8"/>
        <v>0</v>
      </c>
      <c r="Q31" s="97">
        <f t="shared" ca="1" si="8"/>
        <v>0</v>
      </c>
      <c r="R31" s="97">
        <f t="shared" ca="1" si="8"/>
        <v>0</v>
      </c>
      <c r="S31" s="97">
        <f t="shared" ca="1" si="8"/>
        <v>0</v>
      </c>
      <c r="T31" s="97">
        <f t="shared" ca="1" si="6"/>
        <v>0</v>
      </c>
      <c r="U31" s="97">
        <f t="shared" ca="1" si="6"/>
        <v>0</v>
      </c>
      <c r="V31" s="97">
        <f t="shared" ca="1" si="6"/>
        <v>0</v>
      </c>
      <c r="W31" s="97">
        <f t="shared" ca="1" si="6"/>
        <v>0</v>
      </c>
      <c r="X31" s="97">
        <f t="shared" ca="1" si="6"/>
        <v>0</v>
      </c>
      <c r="Y31" s="97">
        <f t="shared" ca="1" si="6"/>
        <v>0</v>
      </c>
      <c r="Z31" s="97">
        <f t="shared" ca="1" si="6"/>
        <v>0</v>
      </c>
      <c r="AA31" s="97">
        <f t="shared" ca="1" si="6"/>
        <v>0</v>
      </c>
      <c r="AB31" s="97">
        <f t="shared" ca="1" si="6"/>
        <v>0</v>
      </c>
      <c r="AC31" s="97">
        <f t="shared" ca="1" si="6"/>
        <v>0</v>
      </c>
      <c r="AD31" s="97">
        <f t="shared" ca="1" si="6"/>
        <v>0</v>
      </c>
      <c r="AE31" s="97">
        <f t="shared" ca="1" si="6"/>
        <v>0</v>
      </c>
      <c r="AF31" s="97">
        <f t="shared" ca="1" si="6"/>
        <v>0</v>
      </c>
      <c r="AG31" s="97">
        <f t="shared" ca="1" si="6"/>
        <v>0</v>
      </c>
      <c r="AH31" s="97">
        <f t="shared" ca="1" si="6"/>
        <v>0</v>
      </c>
      <c r="AI31" s="97">
        <f t="shared" ca="1" si="9"/>
        <v>0</v>
      </c>
      <c r="AJ31" s="98">
        <f t="shared" ca="1" si="2"/>
        <v>0</v>
      </c>
      <c r="AK31" s="97">
        <f t="shared" ca="1" si="2"/>
        <v>0</v>
      </c>
      <c r="AL31" s="97">
        <f t="shared" ca="1" si="2"/>
        <v>0</v>
      </c>
      <c r="AM31" s="97">
        <f t="shared" ca="1" si="2"/>
        <v>0</v>
      </c>
      <c r="AN31" s="97">
        <f t="shared" ca="1" si="2"/>
        <v>0</v>
      </c>
      <c r="AO31" s="97">
        <f t="shared" ca="1" si="2"/>
        <v>0</v>
      </c>
      <c r="AP31" s="97">
        <f t="shared" ca="1" si="2"/>
        <v>0</v>
      </c>
      <c r="AQ31" s="97">
        <f t="shared" ca="1" si="2"/>
        <v>0</v>
      </c>
      <c r="AR31" s="99">
        <f ca="1">COUNTIF(AJ31:AQ31,"&lt;"&amp;MAX(AJ31:AQ31))+IF(Calcs[[#This Row],[DL1]]=0,0,1)</f>
        <v>0</v>
      </c>
      <c r="AS31" s="100" t="str">
        <f ca="1">IF(LEN(Calcs[[#This Row],[Line]])&gt;0,IF(RIGHT(Calcs[[#This Row],[Remark]],3)=".  ",LEFT(Calcs[[#This Row],[Remark]],LEN(Calcs[[#This Row],[Remark]])-3),Calcs[[#This Row],[Remark]]),"")</f>
        <v/>
      </c>
      <c r="AT31" s="96">
        <f t="shared" ca="1" si="10"/>
        <v>0</v>
      </c>
      <c r="AU31" s="102">
        <f t="shared" ca="1" si="10"/>
        <v>0</v>
      </c>
      <c r="AV31" s="102">
        <f t="shared" ca="1" si="10"/>
        <v>0</v>
      </c>
      <c r="AW31" s="102">
        <f t="shared" ca="1" si="10"/>
        <v>0</v>
      </c>
      <c r="AX31" s="102">
        <f t="shared" ca="1" si="10"/>
        <v>0</v>
      </c>
      <c r="AY31" s="102">
        <f t="shared" ca="1" si="10"/>
        <v>0</v>
      </c>
      <c r="AZ31" s="102">
        <f t="shared" ca="1" si="10"/>
        <v>0</v>
      </c>
      <c r="BA31" s="102">
        <f t="shared" ca="1" si="10"/>
        <v>0</v>
      </c>
      <c r="BB31" s="102">
        <f t="shared" ca="1" si="10"/>
        <v>0</v>
      </c>
      <c r="BC31" s="102">
        <f t="shared" ca="1" si="10"/>
        <v>0</v>
      </c>
      <c r="BD31" s="102">
        <f t="shared" ca="1" si="10"/>
        <v>0</v>
      </c>
      <c r="BE31" s="102">
        <f t="shared" ca="1" si="10"/>
        <v>0</v>
      </c>
      <c r="BF31" s="102">
        <f t="shared" ca="1" si="10"/>
        <v>0</v>
      </c>
      <c r="BG31" s="102">
        <f t="shared" ca="1" si="10"/>
        <v>0</v>
      </c>
      <c r="BH31" s="102">
        <f t="shared" ca="1" si="10"/>
        <v>0</v>
      </c>
      <c r="BI31" s="102">
        <f t="shared" ca="1" si="10"/>
        <v>0</v>
      </c>
      <c r="BJ31" s="102">
        <f t="shared" ca="1" si="7"/>
        <v>0</v>
      </c>
      <c r="BK31" s="102">
        <f t="shared" ca="1" si="7"/>
        <v>0</v>
      </c>
      <c r="BL31" s="102">
        <f t="shared" ca="1" si="7"/>
        <v>0</v>
      </c>
      <c r="BM31" s="102">
        <f t="shared" ca="1" si="7"/>
        <v>0</v>
      </c>
      <c r="BN31" s="102">
        <f t="shared" ca="1" si="7"/>
        <v>0</v>
      </c>
      <c r="BO31" s="102">
        <f t="shared" ca="1" si="7"/>
        <v>0</v>
      </c>
      <c r="BP31" s="102">
        <f t="shared" ca="1" si="7"/>
        <v>0</v>
      </c>
      <c r="BQ31" s="102">
        <f t="shared" ca="1" si="7"/>
        <v>0</v>
      </c>
      <c r="BR31" s="102">
        <f t="shared" ca="1" si="7"/>
        <v>0</v>
      </c>
      <c r="BS31" s="102">
        <f t="shared" ca="1" si="7"/>
        <v>0</v>
      </c>
      <c r="BT31" s="102">
        <f t="shared" ca="1" si="7"/>
        <v>0</v>
      </c>
      <c r="BU31" s="102">
        <f t="shared" ca="1" si="7"/>
        <v>0</v>
      </c>
      <c r="BV31" s="102">
        <f t="shared" ca="1" si="7"/>
        <v>0</v>
      </c>
      <c r="BW31" s="102">
        <f t="shared" ca="1" si="7"/>
        <v>0</v>
      </c>
      <c r="BX31" s="102">
        <f t="shared" ca="1" si="7"/>
        <v>0</v>
      </c>
      <c r="BY31" s="102">
        <f t="shared" ca="1" si="11"/>
        <v>0</v>
      </c>
      <c r="BZ31" s="98">
        <f t="shared" ca="1" si="5"/>
        <v>0</v>
      </c>
      <c r="CA31" s="102">
        <f t="shared" ca="1" si="5"/>
        <v>0</v>
      </c>
      <c r="CB31" s="102">
        <f t="shared" ca="1" si="5"/>
        <v>0</v>
      </c>
      <c r="CC31" s="102">
        <f t="shared" ca="1" si="5"/>
        <v>0</v>
      </c>
      <c r="CD31" s="102">
        <f t="shared" ca="1" si="5"/>
        <v>0</v>
      </c>
      <c r="CE31" s="102">
        <f t="shared" ca="1" si="5"/>
        <v>0</v>
      </c>
      <c r="CF31" s="102">
        <f t="shared" ca="1" si="5"/>
        <v>0</v>
      </c>
      <c r="CG31" s="102">
        <f t="shared" ca="1" si="5"/>
        <v>0</v>
      </c>
      <c r="CH31" s="101">
        <f ca="1">COUNTIF(BZ31:CG31,"&lt;"&amp;MAX(BZ31:CG31))+IF(Calcs[[#This Row],[RL1]]=0,0,1)</f>
        <v>0</v>
      </c>
      <c r="CI3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1" s="103">
        <f ca="1">IFERROR(OFFSET(CJ31,-1,0)+0,0)+IF(INDEX(INDIRECT(RangeContrQty),MATCH(Calcs[[#This Row],[Line]],OFFSET(Items[Line],0,0,ROW(Proposed[])-ROW(Items[])+ROWS(Proposed[]),1),0)),1,0)</f>
        <v>0</v>
      </c>
    </row>
    <row r="32" spans="1:88" x14ac:dyDescent="0.15">
      <c r="A32" s="6">
        <f ca="1">IFERROR(OFFSET(A32,-1,0)+0,0)+MAX(IF(LEN(Calcs[[#This Row],[Line]])&gt;0,1,0),Calcs[[#This Row],[DL]],Calcs[[#This Row],[RL]])</f>
        <v>10</v>
      </c>
      <c r="B32" s="94" t="str">
        <f ca="1">IFERROR(INDEX(OFFSET(Items[Line],0,0,ROW(Proposed[])-ROW(Items[])+ROWS(Proposed[]),1),MATCH(ROW(B32)-ROW(B$3),INDIRECT(RangeCount),0)),"")</f>
        <v/>
      </c>
      <c r="C32" s="94" t="str">
        <f ca="1">IF(LEN(Calcs[[#This Row],[Line]])&gt;0,TRIM(IFERROR(INDEX(Items[Description],MATCH(Calcs[[#This Row],[Line]],Items[Line],0))&amp;INDEX(Items[Description2],MATCH(Calcs[[#This Row],[Line]],Items[Line],0)),INDEX(Proposed[Description],MATCH(Calcs[[#This Row],[Line]],Proposed[Line],0)))),"")</f>
        <v/>
      </c>
      <c r="D32" s="96">
        <f t="shared" ca="1" si="8"/>
        <v>0</v>
      </c>
      <c r="E32" s="97">
        <f t="shared" ca="1" si="8"/>
        <v>0</v>
      </c>
      <c r="F32" s="97">
        <f t="shared" ca="1" si="8"/>
        <v>0</v>
      </c>
      <c r="G32" s="97">
        <f t="shared" ca="1" si="8"/>
        <v>0</v>
      </c>
      <c r="H32" s="97">
        <f t="shared" ca="1" si="8"/>
        <v>0</v>
      </c>
      <c r="I32" s="97">
        <f t="shared" ca="1" si="8"/>
        <v>0</v>
      </c>
      <c r="J32" s="97">
        <f t="shared" ca="1" si="8"/>
        <v>0</v>
      </c>
      <c r="K32" s="97">
        <f t="shared" ca="1" si="8"/>
        <v>0</v>
      </c>
      <c r="L32" s="97">
        <f t="shared" ca="1" si="8"/>
        <v>0</v>
      </c>
      <c r="M32" s="97">
        <f t="shared" ca="1" si="8"/>
        <v>0</v>
      </c>
      <c r="N32" s="97">
        <f t="shared" ca="1" si="8"/>
        <v>0</v>
      </c>
      <c r="O32" s="97">
        <f t="shared" ca="1" si="8"/>
        <v>0</v>
      </c>
      <c r="P32" s="97">
        <f t="shared" ca="1" si="8"/>
        <v>0</v>
      </c>
      <c r="Q32" s="97">
        <f t="shared" ca="1" si="8"/>
        <v>0</v>
      </c>
      <c r="R32" s="97">
        <f t="shared" ca="1" si="8"/>
        <v>0</v>
      </c>
      <c r="S32" s="97">
        <f t="shared" ca="1" si="8"/>
        <v>0</v>
      </c>
      <c r="T32" s="97">
        <f t="shared" ca="1" si="6"/>
        <v>0</v>
      </c>
      <c r="U32" s="97">
        <f t="shared" ca="1" si="6"/>
        <v>0</v>
      </c>
      <c r="V32" s="97">
        <f t="shared" ca="1" si="6"/>
        <v>0</v>
      </c>
      <c r="W32" s="97">
        <f t="shared" ca="1" si="6"/>
        <v>0</v>
      </c>
      <c r="X32" s="97">
        <f t="shared" ca="1" si="6"/>
        <v>0</v>
      </c>
      <c r="Y32" s="97">
        <f t="shared" ca="1" si="6"/>
        <v>0</v>
      </c>
      <c r="Z32" s="97">
        <f t="shared" ca="1" si="6"/>
        <v>0</v>
      </c>
      <c r="AA32" s="97">
        <f t="shared" ca="1" si="6"/>
        <v>0</v>
      </c>
      <c r="AB32" s="97">
        <f t="shared" ca="1" si="6"/>
        <v>0</v>
      </c>
      <c r="AC32" s="97">
        <f t="shared" ca="1" si="6"/>
        <v>0</v>
      </c>
      <c r="AD32" s="97">
        <f t="shared" ca="1" si="6"/>
        <v>0</v>
      </c>
      <c r="AE32" s="97">
        <f t="shared" ca="1" si="6"/>
        <v>0</v>
      </c>
      <c r="AF32" s="97">
        <f t="shared" ca="1" si="6"/>
        <v>0</v>
      </c>
      <c r="AG32" s="97">
        <f t="shared" ca="1" si="6"/>
        <v>0</v>
      </c>
      <c r="AH32" s="97">
        <f t="shared" ca="1" si="6"/>
        <v>0</v>
      </c>
      <c r="AI32" s="97">
        <f t="shared" ca="1" si="9"/>
        <v>0</v>
      </c>
      <c r="AJ32" s="98">
        <f t="shared" ca="1" si="2"/>
        <v>0</v>
      </c>
      <c r="AK32" s="97">
        <f t="shared" ca="1" si="2"/>
        <v>0</v>
      </c>
      <c r="AL32" s="97">
        <f t="shared" ca="1" si="2"/>
        <v>0</v>
      </c>
      <c r="AM32" s="97">
        <f t="shared" ca="1" si="2"/>
        <v>0</v>
      </c>
      <c r="AN32" s="97">
        <f t="shared" ca="1" si="2"/>
        <v>0</v>
      </c>
      <c r="AO32" s="97">
        <f t="shared" ca="1" si="2"/>
        <v>0</v>
      </c>
      <c r="AP32" s="97">
        <f t="shared" ca="1" si="2"/>
        <v>0</v>
      </c>
      <c r="AQ32" s="97">
        <f t="shared" ca="1" si="2"/>
        <v>0</v>
      </c>
      <c r="AR32" s="99">
        <f ca="1">COUNTIF(AJ32:AQ32,"&lt;"&amp;MAX(AJ32:AQ32))+IF(Calcs[[#This Row],[DL1]]=0,0,1)</f>
        <v>0</v>
      </c>
      <c r="AS32" s="100" t="str">
        <f ca="1">IF(LEN(Calcs[[#This Row],[Line]])&gt;0,IF(RIGHT(Calcs[[#This Row],[Remark]],3)=".  ",LEFT(Calcs[[#This Row],[Remark]],LEN(Calcs[[#This Row],[Remark]])-3),Calcs[[#This Row],[Remark]]),"")</f>
        <v/>
      </c>
      <c r="AT32" s="96">
        <f t="shared" ca="1" si="10"/>
        <v>0</v>
      </c>
      <c r="AU32" s="102">
        <f t="shared" ca="1" si="10"/>
        <v>0</v>
      </c>
      <c r="AV32" s="102">
        <f t="shared" ca="1" si="10"/>
        <v>0</v>
      </c>
      <c r="AW32" s="102">
        <f t="shared" ca="1" si="10"/>
        <v>0</v>
      </c>
      <c r="AX32" s="102">
        <f t="shared" ca="1" si="10"/>
        <v>0</v>
      </c>
      <c r="AY32" s="102">
        <f t="shared" ca="1" si="10"/>
        <v>0</v>
      </c>
      <c r="AZ32" s="102">
        <f t="shared" ca="1" si="10"/>
        <v>0</v>
      </c>
      <c r="BA32" s="102">
        <f t="shared" ca="1" si="10"/>
        <v>0</v>
      </c>
      <c r="BB32" s="102">
        <f t="shared" ca="1" si="10"/>
        <v>0</v>
      </c>
      <c r="BC32" s="102">
        <f t="shared" ca="1" si="10"/>
        <v>0</v>
      </c>
      <c r="BD32" s="102">
        <f t="shared" ca="1" si="10"/>
        <v>0</v>
      </c>
      <c r="BE32" s="102">
        <f t="shared" ca="1" si="10"/>
        <v>0</v>
      </c>
      <c r="BF32" s="102">
        <f t="shared" ca="1" si="10"/>
        <v>0</v>
      </c>
      <c r="BG32" s="102">
        <f t="shared" ca="1" si="10"/>
        <v>0</v>
      </c>
      <c r="BH32" s="102">
        <f t="shared" ca="1" si="10"/>
        <v>0</v>
      </c>
      <c r="BI32" s="102">
        <f t="shared" ca="1" si="10"/>
        <v>0</v>
      </c>
      <c r="BJ32" s="102">
        <f t="shared" ca="1" si="7"/>
        <v>0</v>
      </c>
      <c r="BK32" s="102">
        <f t="shared" ca="1" si="7"/>
        <v>0</v>
      </c>
      <c r="BL32" s="102">
        <f t="shared" ca="1" si="7"/>
        <v>0</v>
      </c>
      <c r="BM32" s="102">
        <f t="shared" ca="1" si="7"/>
        <v>0</v>
      </c>
      <c r="BN32" s="102">
        <f t="shared" ca="1" si="7"/>
        <v>0</v>
      </c>
      <c r="BO32" s="102">
        <f t="shared" ca="1" si="7"/>
        <v>0</v>
      </c>
      <c r="BP32" s="102">
        <f t="shared" ca="1" si="7"/>
        <v>0</v>
      </c>
      <c r="BQ32" s="102">
        <f t="shared" ca="1" si="7"/>
        <v>0</v>
      </c>
      <c r="BR32" s="102">
        <f t="shared" ca="1" si="7"/>
        <v>0</v>
      </c>
      <c r="BS32" s="102">
        <f t="shared" ca="1" si="7"/>
        <v>0</v>
      </c>
      <c r="BT32" s="102">
        <f t="shared" ca="1" si="7"/>
        <v>0</v>
      </c>
      <c r="BU32" s="102">
        <f t="shared" ca="1" si="7"/>
        <v>0</v>
      </c>
      <c r="BV32" s="102">
        <f t="shared" ca="1" si="7"/>
        <v>0</v>
      </c>
      <c r="BW32" s="102">
        <f t="shared" ca="1" si="7"/>
        <v>0</v>
      </c>
      <c r="BX32" s="102">
        <f t="shared" ca="1" si="7"/>
        <v>0</v>
      </c>
      <c r="BY32" s="102">
        <f t="shared" ca="1" si="11"/>
        <v>0</v>
      </c>
      <c r="BZ32" s="98">
        <f t="shared" ca="1" si="5"/>
        <v>0</v>
      </c>
      <c r="CA32" s="102">
        <f t="shared" ca="1" si="5"/>
        <v>0</v>
      </c>
      <c r="CB32" s="102">
        <f t="shared" ca="1" si="5"/>
        <v>0</v>
      </c>
      <c r="CC32" s="102">
        <f t="shared" ca="1" si="5"/>
        <v>0</v>
      </c>
      <c r="CD32" s="102">
        <f t="shared" ca="1" si="5"/>
        <v>0</v>
      </c>
      <c r="CE32" s="102">
        <f t="shared" ca="1" si="5"/>
        <v>0</v>
      </c>
      <c r="CF32" s="102">
        <f t="shared" ca="1" si="5"/>
        <v>0</v>
      </c>
      <c r="CG32" s="102">
        <f t="shared" ca="1" si="5"/>
        <v>0</v>
      </c>
      <c r="CH32" s="101">
        <f ca="1">COUNTIF(BZ32:CG32,"&lt;"&amp;MAX(BZ32:CG32))+IF(Calcs[[#This Row],[RL1]]=0,0,1)</f>
        <v>0</v>
      </c>
      <c r="CI3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2" s="103">
        <f ca="1">IFERROR(OFFSET(CJ32,-1,0)+0,0)+IF(INDEX(INDIRECT(RangeContrQty),MATCH(Calcs[[#This Row],[Line]],OFFSET(Items[Line],0,0,ROW(Proposed[])-ROW(Items[])+ROWS(Proposed[]),1),0)),1,0)</f>
        <v>0</v>
      </c>
    </row>
    <row r="33" spans="1:88" x14ac:dyDescent="0.15">
      <c r="A33" s="6">
        <f ca="1">IFERROR(OFFSET(A33,-1,0)+0,0)+MAX(IF(LEN(Calcs[[#This Row],[Line]])&gt;0,1,0),Calcs[[#This Row],[DL]],Calcs[[#This Row],[RL]])</f>
        <v>10</v>
      </c>
      <c r="B33" s="94" t="str">
        <f ca="1">IFERROR(INDEX(OFFSET(Items[Line],0,0,ROW(Proposed[])-ROW(Items[])+ROWS(Proposed[]),1),MATCH(ROW(B33)-ROW(B$3),INDIRECT(RangeCount),0)),"")</f>
        <v/>
      </c>
      <c r="C33" s="94" t="str">
        <f ca="1">IF(LEN(Calcs[[#This Row],[Line]])&gt;0,TRIM(IFERROR(INDEX(Items[Description],MATCH(Calcs[[#This Row],[Line]],Items[Line],0))&amp;INDEX(Items[Description2],MATCH(Calcs[[#This Row],[Line]],Items[Line],0)),INDEX(Proposed[Description],MATCH(Calcs[[#This Row],[Line]],Proposed[Line],0)))),"")</f>
        <v/>
      </c>
      <c r="D33" s="96">
        <f t="shared" ca="1" si="8"/>
        <v>0</v>
      </c>
      <c r="E33" s="97">
        <f t="shared" ca="1" si="8"/>
        <v>0</v>
      </c>
      <c r="F33" s="97">
        <f t="shared" ca="1" si="8"/>
        <v>0</v>
      </c>
      <c r="G33" s="97">
        <f t="shared" ca="1" si="8"/>
        <v>0</v>
      </c>
      <c r="H33" s="97">
        <f t="shared" ca="1" si="8"/>
        <v>0</v>
      </c>
      <c r="I33" s="97">
        <f t="shared" ca="1" si="8"/>
        <v>0</v>
      </c>
      <c r="J33" s="97">
        <f t="shared" ca="1" si="8"/>
        <v>0</v>
      </c>
      <c r="K33" s="97">
        <f t="shared" ca="1" si="8"/>
        <v>0</v>
      </c>
      <c r="L33" s="97">
        <f t="shared" ca="1" si="8"/>
        <v>0</v>
      </c>
      <c r="M33" s="97">
        <f t="shared" ca="1" si="8"/>
        <v>0</v>
      </c>
      <c r="N33" s="97">
        <f t="shared" ca="1" si="8"/>
        <v>0</v>
      </c>
      <c r="O33" s="97">
        <f t="shared" ca="1" si="8"/>
        <v>0</v>
      </c>
      <c r="P33" s="97">
        <f t="shared" ca="1" si="8"/>
        <v>0</v>
      </c>
      <c r="Q33" s="97">
        <f t="shared" ca="1" si="8"/>
        <v>0</v>
      </c>
      <c r="R33" s="97">
        <f t="shared" ca="1" si="8"/>
        <v>0</v>
      </c>
      <c r="S33" s="97">
        <f t="shared" ca="1" si="8"/>
        <v>0</v>
      </c>
      <c r="T33" s="97">
        <f t="shared" ca="1" si="6"/>
        <v>0</v>
      </c>
      <c r="U33" s="97">
        <f t="shared" ca="1" si="6"/>
        <v>0</v>
      </c>
      <c r="V33" s="97">
        <f t="shared" ca="1" si="6"/>
        <v>0</v>
      </c>
      <c r="W33" s="97">
        <f t="shared" ca="1" si="6"/>
        <v>0</v>
      </c>
      <c r="X33" s="97">
        <f t="shared" ca="1" si="6"/>
        <v>0</v>
      </c>
      <c r="Y33" s="97">
        <f t="shared" ca="1" si="6"/>
        <v>0</v>
      </c>
      <c r="Z33" s="97">
        <f t="shared" ca="1" si="6"/>
        <v>0</v>
      </c>
      <c r="AA33" s="97">
        <f t="shared" ca="1" si="6"/>
        <v>0</v>
      </c>
      <c r="AB33" s="97">
        <f t="shared" ca="1" si="6"/>
        <v>0</v>
      </c>
      <c r="AC33" s="97">
        <f t="shared" ca="1" si="6"/>
        <v>0</v>
      </c>
      <c r="AD33" s="97">
        <f t="shared" ca="1" si="6"/>
        <v>0</v>
      </c>
      <c r="AE33" s="97">
        <f t="shared" ca="1" si="6"/>
        <v>0</v>
      </c>
      <c r="AF33" s="97">
        <f t="shared" ca="1" si="6"/>
        <v>0</v>
      </c>
      <c r="AG33" s="97">
        <f t="shared" ca="1" si="6"/>
        <v>0</v>
      </c>
      <c r="AH33" s="97">
        <f t="shared" ca="1" si="6"/>
        <v>0</v>
      </c>
      <c r="AI33" s="97">
        <f t="shared" ca="1" si="9"/>
        <v>0</v>
      </c>
      <c r="AJ33" s="98">
        <f t="shared" ca="1" si="2"/>
        <v>0</v>
      </c>
      <c r="AK33" s="97">
        <f t="shared" ca="1" si="2"/>
        <v>0</v>
      </c>
      <c r="AL33" s="97">
        <f t="shared" ca="1" si="2"/>
        <v>0</v>
      </c>
      <c r="AM33" s="97">
        <f t="shared" ca="1" si="2"/>
        <v>0</v>
      </c>
      <c r="AN33" s="97">
        <f t="shared" ca="1" si="2"/>
        <v>0</v>
      </c>
      <c r="AO33" s="97">
        <f t="shared" ca="1" si="2"/>
        <v>0</v>
      </c>
      <c r="AP33" s="97">
        <f t="shared" ca="1" si="2"/>
        <v>0</v>
      </c>
      <c r="AQ33" s="97">
        <f t="shared" ca="1" si="2"/>
        <v>0</v>
      </c>
      <c r="AR33" s="99">
        <f ca="1">COUNTIF(AJ33:AQ33,"&lt;"&amp;MAX(AJ33:AQ33))+IF(Calcs[[#This Row],[DL1]]=0,0,1)</f>
        <v>0</v>
      </c>
      <c r="AS33" s="100" t="str">
        <f ca="1">IF(LEN(Calcs[[#This Row],[Line]])&gt;0,IF(RIGHT(Calcs[[#This Row],[Remark]],3)=".  ",LEFT(Calcs[[#This Row],[Remark]],LEN(Calcs[[#This Row],[Remark]])-3),Calcs[[#This Row],[Remark]]),"")</f>
        <v/>
      </c>
      <c r="AT33" s="96">
        <f t="shared" ca="1" si="10"/>
        <v>0</v>
      </c>
      <c r="AU33" s="102">
        <f t="shared" ca="1" si="10"/>
        <v>0</v>
      </c>
      <c r="AV33" s="102">
        <f t="shared" ca="1" si="10"/>
        <v>0</v>
      </c>
      <c r="AW33" s="102">
        <f t="shared" ca="1" si="10"/>
        <v>0</v>
      </c>
      <c r="AX33" s="102">
        <f t="shared" ca="1" si="10"/>
        <v>0</v>
      </c>
      <c r="AY33" s="102">
        <f t="shared" ca="1" si="10"/>
        <v>0</v>
      </c>
      <c r="AZ33" s="102">
        <f t="shared" ca="1" si="10"/>
        <v>0</v>
      </c>
      <c r="BA33" s="102">
        <f t="shared" ca="1" si="10"/>
        <v>0</v>
      </c>
      <c r="BB33" s="102">
        <f t="shared" ca="1" si="10"/>
        <v>0</v>
      </c>
      <c r="BC33" s="102">
        <f t="shared" ca="1" si="10"/>
        <v>0</v>
      </c>
      <c r="BD33" s="102">
        <f t="shared" ca="1" si="10"/>
        <v>0</v>
      </c>
      <c r="BE33" s="102">
        <f t="shared" ca="1" si="10"/>
        <v>0</v>
      </c>
      <c r="BF33" s="102">
        <f t="shared" ca="1" si="10"/>
        <v>0</v>
      </c>
      <c r="BG33" s="102">
        <f t="shared" ca="1" si="10"/>
        <v>0</v>
      </c>
      <c r="BH33" s="102">
        <f t="shared" ca="1" si="10"/>
        <v>0</v>
      </c>
      <c r="BI33" s="102">
        <f t="shared" ca="1" si="10"/>
        <v>0</v>
      </c>
      <c r="BJ33" s="102">
        <f t="shared" ca="1" si="7"/>
        <v>0</v>
      </c>
      <c r="BK33" s="102">
        <f t="shared" ca="1" si="7"/>
        <v>0</v>
      </c>
      <c r="BL33" s="102">
        <f t="shared" ca="1" si="7"/>
        <v>0</v>
      </c>
      <c r="BM33" s="102">
        <f t="shared" ca="1" si="7"/>
        <v>0</v>
      </c>
      <c r="BN33" s="102">
        <f t="shared" ca="1" si="7"/>
        <v>0</v>
      </c>
      <c r="BO33" s="102">
        <f t="shared" ca="1" si="7"/>
        <v>0</v>
      </c>
      <c r="BP33" s="102">
        <f t="shared" ca="1" si="7"/>
        <v>0</v>
      </c>
      <c r="BQ33" s="102">
        <f t="shared" ca="1" si="7"/>
        <v>0</v>
      </c>
      <c r="BR33" s="102">
        <f t="shared" ca="1" si="7"/>
        <v>0</v>
      </c>
      <c r="BS33" s="102">
        <f t="shared" ca="1" si="7"/>
        <v>0</v>
      </c>
      <c r="BT33" s="102">
        <f t="shared" ca="1" si="7"/>
        <v>0</v>
      </c>
      <c r="BU33" s="102">
        <f t="shared" ca="1" si="7"/>
        <v>0</v>
      </c>
      <c r="BV33" s="102">
        <f t="shared" ca="1" si="7"/>
        <v>0</v>
      </c>
      <c r="BW33" s="102">
        <f t="shared" ca="1" si="7"/>
        <v>0</v>
      </c>
      <c r="BX33" s="102">
        <f t="shared" ca="1" si="7"/>
        <v>0</v>
      </c>
      <c r="BY33" s="102">
        <f t="shared" ca="1" si="11"/>
        <v>0</v>
      </c>
      <c r="BZ33" s="98">
        <f t="shared" ca="1" si="5"/>
        <v>0</v>
      </c>
      <c r="CA33" s="102">
        <f t="shared" ca="1" si="5"/>
        <v>0</v>
      </c>
      <c r="CB33" s="102">
        <f t="shared" ca="1" si="5"/>
        <v>0</v>
      </c>
      <c r="CC33" s="102">
        <f t="shared" ca="1" si="5"/>
        <v>0</v>
      </c>
      <c r="CD33" s="102">
        <f t="shared" ca="1" si="5"/>
        <v>0</v>
      </c>
      <c r="CE33" s="102">
        <f t="shared" ca="1" si="5"/>
        <v>0</v>
      </c>
      <c r="CF33" s="102">
        <f t="shared" ca="1" si="5"/>
        <v>0</v>
      </c>
      <c r="CG33" s="102">
        <f t="shared" ca="1" si="5"/>
        <v>0</v>
      </c>
      <c r="CH33" s="101">
        <f ca="1">COUNTIF(BZ33:CG33,"&lt;"&amp;MAX(BZ33:CG33))+IF(Calcs[[#This Row],[RL1]]=0,0,1)</f>
        <v>0</v>
      </c>
      <c r="CI3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3" s="103">
        <f ca="1">IFERROR(OFFSET(CJ33,-1,0)+0,0)+IF(INDEX(INDIRECT(RangeContrQty),MATCH(Calcs[[#This Row],[Line]],OFFSET(Items[Line],0,0,ROW(Proposed[])-ROW(Items[])+ROWS(Proposed[]),1),0)),1,0)</f>
        <v>0</v>
      </c>
    </row>
    <row r="34" spans="1:88" x14ac:dyDescent="0.15">
      <c r="A34" s="6">
        <f ca="1">IFERROR(OFFSET(A34,-1,0)+0,0)+MAX(IF(LEN(Calcs[[#This Row],[Line]])&gt;0,1,0),Calcs[[#This Row],[DL]],Calcs[[#This Row],[RL]])</f>
        <v>10</v>
      </c>
      <c r="B34" s="94" t="str">
        <f ca="1">IFERROR(INDEX(OFFSET(Items[Line],0,0,ROW(Proposed[])-ROW(Items[])+ROWS(Proposed[]),1),MATCH(ROW(B34)-ROW(B$3),INDIRECT(RangeCount),0)),"")</f>
        <v/>
      </c>
      <c r="C34" s="94" t="str">
        <f ca="1">IF(LEN(Calcs[[#This Row],[Line]])&gt;0,TRIM(IFERROR(INDEX(Items[Description],MATCH(Calcs[[#This Row],[Line]],Items[Line],0))&amp;INDEX(Items[Description2],MATCH(Calcs[[#This Row],[Line]],Items[Line],0)),INDEX(Proposed[Description],MATCH(Calcs[[#This Row],[Line]],Proposed[Line],0)))),"")</f>
        <v/>
      </c>
      <c r="D34" s="96">
        <f t="shared" ca="1" si="8"/>
        <v>0</v>
      </c>
      <c r="E34" s="97">
        <f t="shared" ca="1" si="8"/>
        <v>0</v>
      </c>
      <c r="F34" s="97">
        <f t="shared" ca="1" si="8"/>
        <v>0</v>
      </c>
      <c r="G34" s="97">
        <f t="shared" ca="1" si="8"/>
        <v>0</v>
      </c>
      <c r="H34" s="97">
        <f t="shared" ca="1" si="8"/>
        <v>0</v>
      </c>
      <c r="I34" s="97">
        <f t="shared" ca="1" si="8"/>
        <v>0</v>
      </c>
      <c r="J34" s="97">
        <f t="shared" ca="1" si="8"/>
        <v>0</v>
      </c>
      <c r="K34" s="97">
        <f t="shared" ca="1" si="8"/>
        <v>0</v>
      </c>
      <c r="L34" s="97">
        <f t="shared" ca="1" si="8"/>
        <v>0</v>
      </c>
      <c r="M34" s="97">
        <f t="shared" ca="1" si="8"/>
        <v>0</v>
      </c>
      <c r="N34" s="97">
        <f t="shared" ca="1" si="8"/>
        <v>0</v>
      </c>
      <c r="O34" s="97">
        <f t="shared" ca="1" si="8"/>
        <v>0</v>
      </c>
      <c r="P34" s="97">
        <f t="shared" ca="1" si="8"/>
        <v>0</v>
      </c>
      <c r="Q34" s="97">
        <f t="shared" ca="1" si="8"/>
        <v>0</v>
      </c>
      <c r="R34" s="97">
        <f t="shared" ca="1" si="8"/>
        <v>0</v>
      </c>
      <c r="S34" s="97">
        <f t="shared" ca="1" si="8"/>
        <v>0</v>
      </c>
      <c r="T34" s="97">
        <f t="shared" ca="1" si="6"/>
        <v>0</v>
      </c>
      <c r="U34" s="97">
        <f t="shared" ca="1" si="6"/>
        <v>0</v>
      </c>
      <c r="V34" s="97">
        <f t="shared" ca="1" si="6"/>
        <v>0</v>
      </c>
      <c r="W34" s="97">
        <f t="shared" ca="1" si="6"/>
        <v>0</v>
      </c>
      <c r="X34" s="97">
        <f t="shared" ca="1" si="6"/>
        <v>0</v>
      </c>
      <c r="Y34" s="97">
        <f t="shared" ca="1" si="6"/>
        <v>0</v>
      </c>
      <c r="Z34" s="97">
        <f t="shared" ca="1" si="6"/>
        <v>0</v>
      </c>
      <c r="AA34" s="97">
        <f t="shared" ca="1" si="6"/>
        <v>0</v>
      </c>
      <c r="AB34" s="97">
        <f t="shared" ca="1" si="6"/>
        <v>0</v>
      </c>
      <c r="AC34" s="97">
        <f t="shared" ca="1" si="6"/>
        <v>0</v>
      </c>
      <c r="AD34" s="97">
        <f t="shared" ca="1" si="6"/>
        <v>0</v>
      </c>
      <c r="AE34" s="97">
        <f t="shared" ca="1" si="6"/>
        <v>0</v>
      </c>
      <c r="AF34" s="97">
        <f t="shared" ca="1" si="6"/>
        <v>0</v>
      </c>
      <c r="AG34" s="97">
        <f t="shared" ca="1" si="6"/>
        <v>0</v>
      </c>
      <c r="AH34" s="97">
        <f t="shared" ca="1" si="6"/>
        <v>0</v>
      </c>
      <c r="AI34" s="97">
        <f t="shared" ca="1" si="9"/>
        <v>0</v>
      </c>
      <c r="AJ34" s="98">
        <f t="shared" ca="1" si="2"/>
        <v>0</v>
      </c>
      <c r="AK34" s="97">
        <f t="shared" ca="1" si="2"/>
        <v>0</v>
      </c>
      <c r="AL34" s="97">
        <f t="shared" ca="1" si="2"/>
        <v>0</v>
      </c>
      <c r="AM34" s="97">
        <f t="shared" ca="1" si="2"/>
        <v>0</v>
      </c>
      <c r="AN34" s="97">
        <f t="shared" ca="1" si="2"/>
        <v>0</v>
      </c>
      <c r="AO34" s="97">
        <f t="shared" ca="1" si="2"/>
        <v>0</v>
      </c>
      <c r="AP34" s="97">
        <f t="shared" ca="1" si="2"/>
        <v>0</v>
      </c>
      <c r="AQ34" s="97">
        <f t="shared" ca="1" si="2"/>
        <v>0</v>
      </c>
      <c r="AR34" s="99">
        <f ca="1">COUNTIF(AJ34:AQ34,"&lt;"&amp;MAX(AJ34:AQ34))+IF(Calcs[[#This Row],[DL1]]=0,0,1)</f>
        <v>0</v>
      </c>
      <c r="AS34" s="100" t="str">
        <f ca="1">IF(LEN(Calcs[[#This Row],[Line]])&gt;0,IF(RIGHT(Calcs[[#This Row],[Remark]],3)=".  ",LEFT(Calcs[[#This Row],[Remark]],LEN(Calcs[[#This Row],[Remark]])-3),Calcs[[#This Row],[Remark]]),"")</f>
        <v/>
      </c>
      <c r="AT34" s="96">
        <f t="shared" ca="1" si="10"/>
        <v>0</v>
      </c>
      <c r="AU34" s="102">
        <f t="shared" ca="1" si="10"/>
        <v>0</v>
      </c>
      <c r="AV34" s="102">
        <f t="shared" ca="1" si="10"/>
        <v>0</v>
      </c>
      <c r="AW34" s="102">
        <f t="shared" ca="1" si="10"/>
        <v>0</v>
      </c>
      <c r="AX34" s="102">
        <f t="shared" ca="1" si="10"/>
        <v>0</v>
      </c>
      <c r="AY34" s="102">
        <f t="shared" ca="1" si="10"/>
        <v>0</v>
      </c>
      <c r="AZ34" s="102">
        <f t="shared" ca="1" si="10"/>
        <v>0</v>
      </c>
      <c r="BA34" s="102">
        <f t="shared" ca="1" si="10"/>
        <v>0</v>
      </c>
      <c r="BB34" s="102">
        <f t="shared" ca="1" si="10"/>
        <v>0</v>
      </c>
      <c r="BC34" s="102">
        <f t="shared" ca="1" si="10"/>
        <v>0</v>
      </c>
      <c r="BD34" s="102">
        <f t="shared" ca="1" si="10"/>
        <v>0</v>
      </c>
      <c r="BE34" s="102">
        <f t="shared" ca="1" si="10"/>
        <v>0</v>
      </c>
      <c r="BF34" s="102">
        <f t="shared" ca="1" si="10"/>
        <v>0</v>
      </c>
      <c r="BG34" s="102">
        <f t="shared" ca="1" si="10"/>
        <v>0</v>
      </c>
      <c r="BH34" s="102">
        <f t="shared" ca="1" si="10"/>
        <v>0</v>
      </c>
      <c r="BI34" s="102">
        <f t="shared" ca="1" si="10"/>
        <v>0</v>
      </c>
      <c r="BJ34" s="102">
        <f t="shared" ca="1" si="7"/>
        <v>0</v>
      </c>
      <c r="BK34" s="102">
        <f t="shared" ca="1" si="7"/>
        <v>0</v>
      </c>
      <c r="BL34" s="102">
        <f t="shared" ca="1" si="7"/>
        <v>0</v>
      </c>
      <c r="BM34" s="102">
        <f t="shared" ca="1" si="7"/>
        <v>0</v>
      </c>
      <c r="BN34" s="102">
        <f t="shared" ca="1" si="7"/>
        <v>0</v>
      </c>
      <c r="BO34" s="102">
        <f t="shared" ca="1" si="7"/>
        <v>0</v>
      </c>
      <c r="BP34" s="102">
        <f t="shared" ca="1" si="7"/>
        <v>0</v>
      </c>
      <c r="BQ34" s="102">
        <f t="shared" ca="1" si="7"/>
        <v>0</v>
      </c>
      <c r="BR34" s="102">
        <f t="shared" ca="1" si="7"/>
        <v>0</v>
      </c>
      <c r="BS34" s="102">
        <f t="shared" ca="1" si="7"/>
        <v>0</v>
      </c>
      <c r="BT34" s="102">
        <f t="shared" ca="1" si="7"/>
        <v>0</v>
      </c>
      <c r="BU34" s="102">
        <f t="shared" ca="1" si="7"/>
        <v>0</v>
      </c>
      <c r="BV34" s="102">
        <f t="shared" ca="1" si="7"/>
        <v>0</v>
      </c>
      <c r="BW34" s="102">
        <f t="shared" ca="1" si="7"/>
        <v>0</v>
      </c>
      <c r="BX34" s="102">
        <f t="shared" ca="1" si="7"/>
        <v>0</v>
      </c>
      <c r="BY34" s="102">
        <f t="shared" ca="1" si="11"/>
        <v>0</v>
      </c>
      <c r="BZ34" s="98">
        <f t="shared" ca="1" si="5"/>
        <v>0</v>
      </c>
      <c r="CA34" s="102">
        <f t="shared" ca="1" si="5"/>
        <v>0</v>
      </c>
      <c r="CB34" s="102">
        <f t="shared" ca="1" si="5"/>
        <v>0</v>
      </c>
      <c r="CC34" s="102">
        <f t="shared" ca="1" si="5"/>
        <v>0</v>
      </c>
      <c r="CD34" s="102">
        <f t="shared" ca="1" si="5"/>
        <v>0</v>
      </c>
      <c r="CE34" s="102">
        <f t="shared" ca="1" si="5"/>
        <v>0</v>
      </c>
      <c r="CF34" s="102">
        <f t="shared" ca="1" si="5"/>
        <v>0</v>
      </c>
      <c r="CG34" s="102">
        <f t="shared" ca="1" si="5"/>
        <v>0</v>
      </c>
      <c r="CH34" s="101">
        <f ca="1">COUNTIF(BZ34:CG34,"&lt;"&amp;MAX(BZ34:CG34))+IF(Calcs[[#This Row],[RL1]]=0,0,1)</f>
        <v>0</v>
      </c>
      <c r="CI3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4" s="103">
        <f ca="1">IFERROR(OFFSET(CJ34,-1,0)+0,0)+IF(INDEX(INDIRECT(RangeContrQty),MATCH(Calcs[[#This Row],[Line]],OFFSET(Items[Line],0,0,ROW(Proposed[])-ROW(Items[])+ROWS(Proposed[]),1),0)),1,0)</f>
        <v>0</v>
      </c>
    </row>
    <row r="35" spans="1:88" x14ac:dyDescent="0.15">
      <c r="A35" s="6">
        <f ca="1">IFERROR(OFFSET(A35,-1,0)+0,0)+MAX(IF(LEN(Calcs[[#This Row],[Line]])&gt;0,1,0),Calcs[[#This Row],[DL]],Calcs[[#This Row],[RL]])</f>
        <v>10</v>
      </c>
      <c r="B35" s="94" t="str">
        <f ca="1">IFERROR(INDEX(OFFSET(Items[Line],0,0,ROW(Proposed[])-ROW(Items[])+ROWS(Proposed[]),1),MATCH(ROW(B35)-ROW(B$3),INDIRECT(RangeCount),0)),"")</f>
        <v/>
      </c>
      <c r="C35" s="94" t="str">
        <f ca="1">IF(LEN(Calcs[[#This Row],[Line]])&gt;0,TRIM(IFERROR(INDEX(Items[Description],MATCH(Calcs[[#This Row],[Line]],Items[Line],0))&amp;INDEX(Items[Description2],MATCH(Calcs[[#This Row],[Line]],Items[Line],0)),INDEX(Proposed[Description],MATCH(Calcs[[#This Row],[Line]],Proposed[Line],0)))),"")</f>
        <v/>
      </c>
      <c r="D35" s="96">
        <f t="shared" ca="1" si="8"/>
        <v>0</v>
      </c>
      <c r="E35" s="97">
        <f t="shared" ca="1" si="8"/>
        <v>0</v>
      </c>
      <c r="F35" s="97">
        <f t="shared" ca="1" si="8"/>
        <v>0</v>
      </c>
      <c r="G35" s="97">
        <f t="shared" ca="1" si="8"/>
        <v>0</v>
      </c>
      <c r="H35" s="97">
        <f t="shared" ca="1" si="8"/>
        <v>0</v>
      </c>
      <c r="I35" s="97">
        <f t="shared" ca="1" si="8"/>
        <v>0</v>
      </c>
      <c r="J35" s="97">
        <f t="shared" ca="1" si="8"/>
        <v>0</v>
      </c>
      <c r="K35" s="97">
        <f t="shared" ca="1" si="8"/>
        <v>0</v>
      </c>
      <c r="L35" s="97">
        <f t="shared" ca="1" si="8"/>
        <v>0</v>
      </c>
      <c r="M35" s="97">
        <f t="shared" ca="1" si="8"/>
        <v>0</v>
      </c>
      <c r="N35" s="97">
        <f t="shared" ca="1" si="8"/>
        <v>0</v>
      </c>
      <c r="O35" s="97">
        <f t="shared" ca="1" si="8"/>
        <v>0</v>
      </c>
      <c r="P35" s="97">
        <f t="shared" ca="1" si="8"/>
        <v>0</v>
      </c>
      <c r="Q35" s="97">
        <f t="shared" ca="1" si="8"/>
        <v>0</v>
      </c>
      <c r="R35" s="97">
        <f t="shared" ca="1" si="8"/>
        <v>0</v>
      </c>
      <c r="S35" s="97">
        <f t="shared" ref="S35:AH52" ca="1" si="12">IFERROR(FIND(" ",$C35,IFERROR(OFFSET(S35,0,-1)+1,1)),LEN($C35))</f>
        <v>0</v>
      </c>
      <c r="T35" s="97">
        <f t="shared" ca="1" si="12"/>
        <v>0</v>
      </c>
      <c r="U35" s="97">
        <f t="shared" ca="1" si="12"/>
        <v>0</v>
      </c>
      <c r="V35" s="97">
        <f t="shared" ca="1" si="12"/>
        <v>0</v>
      </c>
      <c r="W35" s="97">
        <f t="shared" ca="1" si="12"/>
        <v>0</v>
      </c>
      <c r="X35" s="97">
        <f t="shared" ca="1" si="12"/>
        <v>0</v>
      </c>
      <c r="Y35" s="97">
        <f t="shared" ca="1" si="12"/>
        <v>0</v>
      </c>
      <c r="Z35" s="97">
        <f t="shared" ca="1" si="12"/>
        <v>0</v>
      </c>
      <c r="AA35" s="97">
        <f t="shared" ca="1" si="12"/>
        <v>0</v>
      </c>
      <c r="AB35" s="97">
        <f t="shared" ca="1" si="12"/>
        <v>0</v>
      </c>
      <c r="AC35" s="97">
        <f t="shared" ca="1" si="12"/>
        <v>0</v>
      </c>
      <c r="AD35" s="97">
        <f t="shared" ca="1" si="12"/>
        <v>0</v>
      </c>
      <c r="AE35" s="97">
        <f t="shared" ca="1" si="12"/>
        <v>0</v>
      </c>
      <c r="AF35" s="97">
        <f t="shared" ca="1" si="12"/>
        <v>0</v>
      </c>
      <c r="AG35" s="97">
        <f t="shared" ca="1" si="12"/>
        <v>0</v>
      </c>
      <c r="AH35" s="97">
        <f t="shared" ca="1" si="12"/>
        <v>0</v>
      </c>
      <c r="AI35" s="97">
        <f t="shared" ca="1" si="9"/>
        <v>0</v>
      </c>
      <c r="AJ35" s="98">
        <f t="shared" ref="AJ35:AQ66" ca="1" si="13">HLOOKUP(IF(COLUMN(AJ35)-COLUMN($AJ$3)=0,0,OFFSET(AJ35,0,-1))+widthPayItem,$D35:$AI35,1)</f>
        <v>0</v>
      </c>
      <c r="AK35" s="97">
        <f t="shared" ca="1" si="13"/>
        <v>0</v>
      </c>
      <c r="AL35" s="97">
        <f t="shared" ca="1" si="13"/>
        <v>0</v>
      </c>
      <c r="AM35" s="97">
        <f t="shared" ca="1" si="13"/>
        <v>0</v>
      </c>
      <c r="AN35" s="97">
        <f t="shared" ca="1" si="13"/>
        <v>0</v>
      </c>
      <c r="AO35" s="97">
        <f t="shared" ca="1" si="13"/>
        <v>0</v>
      </c>
      <c r="AP35" s="97">
        <f t="shared" ca="1" si="13"/>
        <v>0</v>
      </c>
      <c r="AQ35" s="97">
        <f t="shared" ca="1" si="13"/>
        <v>0</v>
      </c>
      <c r="AR35" s="99">
        <f ca="1">COUNTIF(AJ35:AQ35,"&lt;"&amp;MAX(AJ35:AQ35))+IF(Calcs[[#This Row],[DL1]]=0,0,1)</f>
        <v>0</v>
      </c>
      <c r="AS35" s="100" t="str">
        <f ca="1">IF(LEN(Calcs[[#This Row],[Line]])&gt;0,IF(RIGHT(Calcs[[#This Row],[Remark]],3)=".  ",LEFT(Calcs[[#This Row],[Remark]],LEN(Calcs[[#This Row],[Remark]])-3),Calcs[[#This Row],[Remark]]),"")</f>
        <v/>
      </c>
      <c r="AT35" s="96">
        <f t="shared" ca="1" si="10"/>
        <v>0</v>
      </c>
      <c r="AU35" s="102">
        <f t="shared" ca="1" si="10"/>
        <v>0</v>
      </c>
      <c r="AV35" s="102">
        <f t="shared" ca="1" si="10"/>
        <v>0</v>
      </c>
      <c r="AW35" s="102">
        <f t="shared" ca="1" si="10"/>
        <v>0</v>
      </c>
      <c r="AX35" s="102">
        <f t="shared" ca="1" si="10"/>
        <v>0</v>
      </c>
      <c r="AY35" s="102">
        <f t="shared" ca="1" si="10"/>
        <v>0</v>
      </c>
      <c r="AZ35" s="102">
        <f t="shared" ca="1" si="10"/>
        <v>0</v>
      </c>
      <c r="BA35" s="102">
        <f t="shared" ca="1" si="10"/>
        <v>0</v>
      </c>
      <c r="BB35" s="102">
        <f t="shared" ca="1" si="10"/>
        <v>0</v>
      </c>
      <c r="BC35" s="102">
        <f t="shared" ca="1" si="10"/>
        <v>0</v>
      </c>
      <c r="BD35" s="102">
        <f t="shared" ca="1" si="10"/>
        <v>0</v>
      </c>
      <c r="BE35" s="102">
        <f t="shared" ca="1" si="10"/>
        <v>0</v>
      </c>
      <c r="BF35" s="102">
        <f t="shared" ca="1" si="10"/>
        <v>0</v>
      </c>
      <c r="BG35" s="102">
        <f t="shared" ca="1" si="10"/>
        <v>0</v>
      </c>
      <c r="BH35" s="102">
        <f t="shared" ca="1" si="10"/>
        <v>0</v>
      </c>
      <c r="BI35" s="102">
        <f t="shared" ref="BI35:BX52" ca="1" si="14">IFERROR(FIND(" ",$AS35,IFERROR(OFFSET(BI35,0,-1)+1,1)),LEN($AS35))</f>
        <v>0</v>
      </c>
      <c r="BJ35" s="102">
        <f t="shared" ca="1" si="14"/>
        <v>0</v>
      </c>
      <c r="BK35" s="102">
        <f t="shared" ca="1" si="14"/>
        <v>0</v>
      </c>
      <c r="BL35" s="102">
        <f t="shared" ca="1" si="14"/>
        <v>0</v>
      </c>
      <c r="BM35" s="102">
        <f t="shared" ca="1" si="14"/>
        <v>0</v>
      </c>
      <c r="BN35" s="102">
        <f t="shared" ca="1" si="14"/>
        <v>0</v>
      </c>
      <c r="BO35" s="102">
        <f t="shared" ca="1" si="14"/>
        <v>0</v>
      </c>
      <c r="BP35" s="102">
        <f t="shared" ca="1" si="14"/>
        <v>0</v>
      </c>
      <c r="BQ35" s="102">
        <f t="shared" ca="1" si="14"/>
        <v>0</v>
      </c>
      <c r="BR35" s="102">
        <f t="shared" ca="1" si="14"/>
        <v>0</v>
      </c>
      <c r="BS35" s="102">
        <f t="shared" ca="1" si="14"/>
        <v>0</v>
      </c>
      <c r="BT35" s="102">
        <f t="shared" ca="1" si="14"/>
        <v>0</v>
      </c>
      <c r="BU35" s="102">
        <f t="shared" ca="1" si="14"/>
        <v>0</v>
      </c>
      <c r="BV35" s="102">
        <f t="shared" ca="1" si="14"/>
        <v>0</v>
      </c>
      <c r="BW35" s="102">
        <f t="shared" ca="1" si="14"/>
        <v>0</v>
      </c>
      <c r="BX35" s="102">
        <f t="shared" ca="1" si="14"/>
        <v>0</v>
      </c>
      <c r="BY35" s="102">
        <f t="shared" ca="1" si="11"/>
        <v>0</v>
      </c>
      <c r="BZ35" s="98">
        <f t="shared" ref="BZ35:CG66" ca="1" si="15">HLOOKUP(IF(COLUMN(BZ35)-COLUMN($BZ$3)=0,0,OFFSET(BZ35,0,-1))+widthRemarks,$AT35:$BY35,1)</f>
        <v>0</v>
      </c>
      <c r="CA35" s="102">
        <f t="shared" ca="1" si="15"/>
        <v>0</v>
      </c>
      <c r="CB35" s="102">
        <f t="shared" ca="1" si="15"/>
        <v>0</v>
      </c>
      <c r="CC35" s="102">
        <f t="shared" ca="1" si="15"/>
        <v>0</v>
      </c>
      <c r="CD35" s="102">
        <f t="shared" ca="1" si="15"/>
        <v>0</v>
      </c>
      <c r="CE35" s="102">
        <f t="shared" ca="1" si="15"/>
        <v>0</v>
      </c>
      <c r="CF35" s="102">
        <f t="shared" ca="1" si="15"/>
        <v>0</v>
      </c>
      <c r="CG35" s="102">
        <f t="shared" ca="1" si="15"/>
        <v>0</v>
      </c>
      <c r="CH35" s="101">
        <f ca="1">COUNTIF(BZ35:CG35,"&lt;"&amp;MAX(BZ35:CG35))+IF(Calcs[[#This Row],[RL1]]=0,0,1)</f>
        <v>0</v>
      </c>
      <c r="CI3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5" s="103">
        <f ca="1">IFERROR(OFFSET(CJ35,-1,0)+0,0)+IF(INDEX(INDIRECT(RangeContrQty),MATCH(Calcs[[#This Row],[Line]],OFFSET(Items[Line],0,0,ROW(Proposed[])-ROW(Items[])+ROWS(Proposed[]),1),0)),1,0)</f>
        <v>0</v>
      </c>
    </row>
    <row r="36" spans="1:88" x14ac:dyDescent="0.15">
      <c r="A36" s="6">
        <f ca="1">IFERROR(OFFSET(A36,-1,0)+0,0)+MAX(IF(LEN(Calcs[[#This Row],[Line]])&gt;0,1,0),Calcs[[#This Row],[DL]],Calcs[[#This Row],[RL]])</f>
        <v>10</v>
      </c>
      <c r="B36" s="94" t="str">
        <f ca="1">IFERROR(INDEX(OFFSET(Items[Line],0,0,ROW(Proposed[])-ROW(Items[])+ROWS(Proposed[]),1),MATCH(ROW(B36)-ROW(B$3),INDIRECT(RangeCount),0)),"")</f>
        <v/>
      </c>
      <c r="C36" s="94" t="str">
        <f ca="1">IF(LEN(Calcs[[#This Row],[Line]])&gt;0,TRIM(IFERROR(INDEX(Items[Description],MATCH(Calcs[[#This Row],[Line]],Items[Line],0))&amp;INDEX(Items[Description2],MATCH(Calcs[[#This Row],[Line]],Items[Line],0)),INDEX(Proposed[Description],MATCH(Calcs[[#This Row],[Line]],Proposed[Line],0)))),"")</f>
        <v/>
      </c>
      <c r="D36" s="96">
        <f t="shared" ref="D36:S51" ca="1" si="16">IFERROR(FIND(" ",$C36,IFERROR(OFFSET(D36,0,-1)+1,1)),LEN($C36))</f>
        <v>0</v>
      </c>
      <c r="E36" s="97">
        <f t="shared" ca="1" si="16"/>
        <v>0</v>
      </c>
      <c r="F36" s="97">
        <f t="shared" ca="1" si="16"/>
        <v>0</v>
      </c>
      <c r="G36" s="97">
        <f t="shared" ca="1" si="16"/>
        <v>0</v>
      </c>
      <c r="H36" s="97">
        <f t="shared" ca="1" si="16"/>
        <v>0</v>
      </c>
      <c r="I36" s="97">
        <f t="shared" ca="1" si="16"/>
        <v>0</v>
      </c>
      <c r="J36" s="97">
        <f t="shared" ca="1" si="16"/>
        <v>0</v>
      </c>
      <c r="K36" s="97">
        <f t="shared" ca="1" si="16"/>
        <v>0</v>
      </c>
      <c r="L36" s="97">
        <f t="shared" ca="1" si="16"/>
        <v>0</v>
      </c>
      <c r="M36" s="97">
        <f t="shared" ca="1" si="16"/>
        <v>0</v>
      </c>
      <c r="N36" s="97">
        <f t="shared" ca="1" si="16"/>
        <v>0</v>
      </c>
      <c r="O36" s="97">
        <f t="shared" ca="1" si="16"/>
        <v>0</v>
      </c>
      <c r="P36" s="97">
        <f t="shared" ca="1" si="16"/>
        <v>0</v>
      </c>
      <c r="Q36" s="97">
        <f t="shared" ca="1" si="16"/>
        <v>0</v>
      </c>
      <c r="R36" s="97">
        <f t="shared" ca="1" si="16"/>
        <v>0</v>
      </c>
      <c r="S36" s="97">
        <f t="shared" ca="1" si="16"/>
        <v>0</v>
      </c>
      <c r="T36" s="97">
        <f t="shared" ca="1" si="12"/>
        <v>0</v>
      </c>
      <c r="U36" s="97">
        <f t="shared" ca="1" si="12"/>
        <v>0</v>
      </c>
      <c r="V36" s="97">
        <f t="shared" ca="1" si="12"/>
        <v>0</v>
      </c>
      <c r="W36" s="97">
        <f t="shared" ca="1" si="12"/>
        <v>0</v>
      </c>
      <c r="X36" s="97">
        <f t="shared" ca="1" si="12"/>
        <v>0</v>
      </c>
      <c r="Y36" s="97">
        <f t="shared" ca="1" si="12"/>
        <v>0</v>
      </c>
      <c r="Z36" s="97">
        <f t="shared" ca="1" si="12"/>
        <v>0</v>
      </c>
      <c r="AA36" s="97">
        <f t="shared" ca="1" si="12"/>
        <v>0</v>
      </c>
      <c r="AB36" s="97">
        <f t="shared" ca="1" si="12"/>
        <v>0</v>
      </c>
      <c r="AC36" s="97">
        <f t="shared" ca="1" si="12"/>
        <v>0</v>
      </c>
      <c r="AD36" s="97">
        <f t="shared" ca="1" si="12"/>
        <v>0</v>
      </c>
      <c r="AE36" s="97">
        <f t="shared" ca="1" si="12"/>
        <v>0</v>
      </c>
      <c r="AF36" s="97">
        <f t="shared" ca="1" si="12"/>
        <v>0</v>
      </c>
      <c r="AG36" s="97">
        <f t="shared" ca="1" si="12"/>
        <v>0</v>
      </c>
      <c r="AH36" s="97">
        <f t="shared" ca="1" si="12"/>
        <v>0</v>
      </c>
      <c r="AI36" s="97">
        <f t="shared" ca="1" si="9"/>
        <v>0</v>
      </c>
      <c r="AJ36" s="98">
        <f t="shared" ca="1" si="13"/>
        <v>0</v>
      </c>
      <c r="AK36" s="97">
        <f t="shared" ca="1" si="13"/>
        <v>0</v>
      </c>
      <c r="AL36" s="97">
        <f t="shared" ca="1" si="13"/>
        <v>0</v>
      </c>
      <c r="AM36" s="97">
        <f t="shared" ca="1" si="13"/>
        <v>0</v>
      </c>
      <c r="AN36" s="97">
        <f t="shared" ca="1" si="13"/>
        <v>0</v>
      </c>
      <c r="AO36" s="97">
        <f t="shared" ca="1" si="13"/>
        <v>0</v>
      </c>
      <c r="AP36" s="97">
        <f t="shared" ca="1" si="13"/>
        <v>0</v>
      </c>
      <c r="AQ36" s="97">
        <f t="shared" ca="1" si="13"/>
        <v>0</v>
      </c>
      <c r="AR36" s="99">
        <f ca="1">COUNTIF(AJ36:AQ36,"&lt;"&amp;MAX(AJ36:AQ36))+IF(Calcs[[#This Row],[DL1]]=0,0,1)</f>
        <v>0</v>
      </c>
      <c r="AS36" s="100" t="str">
        <f ca="1">IF(LEN(Calcs[[#This Row],[Line]])&gt;0,IF(RIGHT(Calcs[[#This Row],[Remark]],3)=".  ",LEFT(Calcs[[#This Row],[Remark]],LEN(Calcs[[#This Row],[Remark]])-3),Calcs[[#This Row],[Remark]]),"")</f>
        <v/>
      </c>
      <c r="AT36" s="96">
        <f t="shared" ref="AT36:BI51" ca="1" si="17">IFERROR(FIND(" ",$AS36,IFERROR(OFFSET(AT36,0,-1)+1,1)),LEN($AS36))</f>
        <v>0</v>
      </c>
      <c r="AU36" s="102">
        <f t="shared" ca="1" si="17"/>
        <v>0</v>
      </c>
      <c r="AV36" s="102">
        <f t="shared" ca="1" si="17"/>
        <v>0</v>
      </c>
      <c r="AW36" s="102">
        <f t="shared" ca="1" si="17"/>
        <v>0</v>
      </c>
      <c r="AX36" s="102">
        <f t="shared" ca="1" si="17"/>
        <v>0</v>
      </c>
      <c r="AY36" s="102">
        <f t="shared" ca="1" si="17"/>
        <v>0</v>
      </c>
      <c r="AZ36" s="102">
        <f t="shared" ca="1" si="17"/>
        <v>0</v>
      </c>
      <c r="BA36" s="102">
        <f t="shared" ca="1" si="17"/>
        <v>0</v>
      </c>
      <c r="BB36" s="102">
        <f t="shared" ca="1" si="17"/>
        <v>0</v>
      </c>
      <c r="BC36" s="102">
        <f t="shared" ca="1" si="17"/>
        <v>0</v>
      </c>
      <c r="BD36" s="102">
        <f t="shared" ca="1" si="17"/>
        <v>0</v>
      </c>
      <c r="BE36" s="102">
        <f t="shared" ca="1" si="17"/>
        <v>0</v>
      </c>
      <c r="BF36" s="102">
        <f t="shared" ca="1" si="17"/>
        <v>0</v>
      </c>
      <c r="BG36" s="102">
        <f t="shared" ca="1" si="17"/>
        <v>0</v>
      </c>
      <c r="BH36" s="102">
        <f t="shared" ca="1" si="17"/>
        <v>0</v>
      </c>
      <c r="BI36" s="102">
        <f t="shared" ca="1" si="17"/>
        <v>0</v>
      </c>
      <c r="BJ36" s="102">
        <f t="shared" ca="1" si="14"/>
        <v>0</v>
      </c>
      <c r="BK36" s="102">
        <f t="shared" ca="1" si="14"/>
        <v>0</v>
      </c>
      <c r="BL36" s="102">
        <f t="shared" ca="1" si="14"/>
        <v>0</v>
      </c>
      <c r="BM36" s="102">
        <f t="shared" ca="1" si="14"/>
        <v>0</v>
      </c>
      <c r="BN36" s="102">
        <f t="shared" ca="1" si="14"/>
        <v>0</v>
      </c>
      <c r="BO36" s="102">
        <f t="shared" ca="1" si="14"/>
        <v>0</v>
      </c>
      <c r="BP36" s="102">
        <f t="shared" ca="1" si="14"/>
        <v>0</v>
      </c>
      <c r="BQ36" s="102">
        <f t="shared" ca="1" si="14"/>
        <v>0</v>
      </c>
      <c r="BR36" s="102">
        <f t="shared" ca="1" si="14"/>
        <v>0</v>
      </c>
      <c r="BS36" s="102">
        <f t="shared" ca="1" si="14"/>
        <v>0</v>
      </c>
      <c r="BT36" s="102">
        <f t="shared" ca="1" si="14"/>
        <v>0</v>
      </c>
      <c r="BU36" s="102">
        <f t="shared" ca="1" si="14"/>
        <v>0</v>
      </c>
      <c r="BV36" s="102">
        <f t="shared" ca="1" si="14"/>
        <v>0</v>
      </c>
      <c r="BW36" s="102">
        <f t="shared" ca="1" si="14"/>
        <v>0</v>
      </c>
      <c r="BX36" s="102">
        <f t="shared" ca="1" si="14"/>
        <v>0</v>
      </c>
      <c r="BY36" s="102">
        <f t="shared" ca="1" si="11"/>
        <v>0</v>
      </c>
      <c r="BZ36" s="98">
        <f t="shared" ca="1" si="15"/>
        <v>0</v>
      </c>
      <c r="CA36" s="102">
        <f t="shared" ca="1" si="15"/>
        <v>0</v>
      </c>
      <c r="CB36" s="102">
        <f t="shared" ca="1" si="15"/>
        <v>0</v>
      </c>
      <c r="CC36" s="102">
        <f t="shared" ca="1" si="15"/>
        <v>0</v>
      </c>
      <c r="CD36" s="102">
        <f t="shared" ca="1" si="15"/>
        <v>0</v>
      </c>
      <c r="CE36" s="102">
        <f t="shared" ca="1" si="15"/>
        <v>0</v>
      </c>
      <c r="CF36" s="102">
        <f t="shared" ca="1" si="15"/>
        <v>0</v>
      </c>
      <c r="CG36" s="102">
        <f t="shared" ca="1" si="15"/>
        <v>0</v>
      </c>
      <c r="CH36" s="101">
        <f ca="1">COUNTIF(BZ36:CG36,"&lt;"&amp;MAX(BZ36:CG36))+IF(Calcs[[#This Row],[RL1]]=0,0,1)</f>
        <v>0</v>
      </c>
      <c r="CI3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6" s="103">
        <f ca="1">IFERROR(OFFSET(CJ36,-1,0)+0,0)+IF(INDEX(INDIRECT(RangeContrQty),MATCH(Calcs[[#This Row],[Line]],OFFSET(Items[Line],0,0,ROW(Proposed[])-ROW(Items[])+ROWS(Proposed[]),1),0)),1,0)</f>
        <v>0</v>
      </c>
    </row>
    <row r="37" spans="1:88" x14ac:dyDescent="0.15">
      <c r="A37" s="6">
        <f ca="1">IFERROR(OFFSET(A37,-1,0)+0,0)+MAX(IF(LEN(Calcs[[#This Row],[Line]])&gt;0,1,0),Calcs[[#This Row],[DL]],Calcs[[#This Row],[RL]])</f>
        <v>10</v>
      </c>
      <c r="B37" s="94" t="str">
        <f ca="1">IFERROR(INDEX(OFFSET(Items[Line],0,0,ROW(Proposed[])-ROW(Items[])+ROWS(Proposed[]),1),MATCH(ROW(B37)-ROW(B$3),INDIRECT(RangeCount),0)),"")</f>
        <v/>
      </c>
      <c r="C37" s="94" t="str">
        <f ca="1">IF(LEN(Calcs[[#This Row],[Line]])&gt;0,TRIM(IFERROR(INDEX(Items[Description],MATCH(Calcs[[#This Row],[Line]],Items[Line],0))&amp;INDEX(Items[Description2],MATCH(Calcs[[#This Row],[Line]],Items[Line],0)),INDEX(Proposed[Description],MATCH(Calcs[[#This Row],[Line]],Proposed[Line],0)))),"")</f>
        <v/>
      </c>
      <c r="D37" s="96">
        <f t="shared" ca="1" si="16"/>
        <v>0</v>
      </c>
      <c r="E37" s="97">
        <f t="shared" ca="1" si="16"/>
        <v>0</v>
      </c>
      <c r="F37" s="97">
        <f t="shared" ca="1" si="16"/>
        <v>0</v>
      </c>
      <c r="G37" s="97">
        <f t="shared" ca="1" si="16"/>
        <v>0</v>
      </c>
      <c r="H37" s="97">
        <f t="shared" ca="1" si="16"/>
        <v>0</v>
      </c>
      <c r="I37" s="97">
        <f t="shared" ca="1" si="16"/>
        <v>0</v>
      </c>
      <c r="J37" s="97">
        <f t="shared" ca="1" si="16"/>
        <v>0</v>
      </c>
      <c r="K37" s="97">
        <f t="shared" ca="1" si="16"/>
        <v>0</v>
      </c>
      <c r="L37" s="97">
        <f t="shared" ca="1" si="16"/>
        <v>0</v>
      </c>
      <c r="M37" s="97">
        <f t="shared" ca="1" si="16"/>
        <v>0</v>
      </c>
      <c r="N37" s="97">
        <f t="shared" ca="1" si="16"/>
        <v>0</v>
      </c>
      <c r="O37" s="97">
        <f t="shared" ca="1" si="16"/>
        <v>0</v>
      </c>
      <c r="P37" s="97">
        <f t="shared" ca="1" si="16"/>
        <v>0</v>
      </c>
      <c r="Q37" s="97">
        <f t="shared" ca="1" si="16"/>
        <v>0</v>
      </c>
      <c r="R37" s="97">
        <f t="shared" ca="1" si="16"/>
        <v>0</v>
      </c>
      <c r="S37" s="97">
        <f t="shared" ca="1" si="16"/>
        <v>0</v>
      </c>
      <c r="T37" s="97">
        <f t="shared" ca="1" si="12"/>
        <v>0</v>
      </c>
      <c r="U37" s="97">
        <f t="shared" ca="1" si="12"/>
        <v>0</v>
      </c>
      <c r="V37" s="97">
        <f t="shared" ca="1" si="12"/>
        <v>0</v>
      </c>
      <c r="W37" s="97">
        <f t="shared" ca="1" si="12"/>
        <v>0</v>
      </c>
      <c r="X37" s="97">
        <f t="shared" ca="1" si="12"/>
        <v>0</v>
      </c>
      <c r="Y37" s="97">
        <f t="shared" ca="1" si="12"/>
        <v>0</v>
      </c>
      <c r="Z37" s="97">
        <f t="shared" ca="1" si="12"/>
        <v>0</v>
      </c>
      <c r="AA37" s="97">
        <f t="shared" ca="1" si="12"/>
        <v>0</v>
      </c>
      <c r="AB37" s="97">
        <f t="shared" ca="1" si="12"/>
        <v>0</v>
      </c>
      <c r="AC37" s="97">
        <f t="shared" ca="1" si="12"/>
        <v>0</v>
      </c>
      <c r="AD37" s="97">
        <f t="shared" ca="1" si="12"/>
        <v>0</v>
      </c>
      <c r="AE37" s="97">
        <f t="shared" ca="1" si="12"/>
        <v>0</v>
      </c>
      <c r="AF37" s="97">
        <f t="shared" ca="1" si="12"/>
        <v>0</v>
      </c>
      <c r="AG37" s="97">
        <f t="shared" ca="1" si="12"/>
        <v>0</v>
      </c>
      <c r="AH37" s="97">
        <f t="shared" ca="1" si="12"/>
        <v>0</v>
      </c>
      <c r="AI37" s="97">
        <f t="shared" ca="1" si="9"/>
        <v>0</v>
      </c>
      <c r="AJ37" s="98">
        <f t="shared" ca="1" si="13"/>
        <v>0</v>
      </c>
      <c r="AK37" s="97">
        <f t="shared" ca="1" si="13"/>
        <v>0</v>
      </c>
      <c r="AL37" s="97">
        <f t="shared" ca="1" si="13"/>
        <v>0</v>
      </c>
      <c r="AM37" s="97">
        <f t="shared" ca="1" si="13"/>
        <v>0</v>
      </c>
      <c r="AN37" s="97">
        <f t="shared" ca="1" si="13"/>
        <v>0</v>
      </c>
      <c r="AO37" s="97">
        <f t="shared" ca="1" si="13"/>
        <v>0</v>
      </c>
      <c r="AP37" s="97">
        <f t="shared" ca="1" si="13"/>
        <v>0</v>
      </c>
      <c r="AQ37" s="97">
        <f t="shared" ca="1" si="13"/>
        <v>0</v>
      </c>
      <c r="AR37" s="99">
        <f ca="1">COUNTIF(AJ37:AQ37,"&lt;"&amp;MAX(AJ37:AQ37))+IF(Calcs[[#This Row],[DL1]]=0,0,1)</f>
        <v>0</v>
      </c>
      <c r="AS37" s="100" t="str">
        <f ca="1">IF(LEN(Calcs[[#This Row],[Line]])&gt;0,IF(RIGHT(Calcs[[#This Row],[Remark]],3)=".  ",LEFT(Calcs[[#This Row],[Remark]],LEN(Calcs[[#This Row],[Remark]])-3),Calcs[[#This Row],[Remark]]),"")</f>
        <v/>
      </c>
      <c r="AT37" s="96">
        <f t="shared" ca="1" si="17"/>
        <v>0</v>
      </c>
      <c r="AU37" s="102">
        <f t="shared" ca="1" si="17"/>
        <v>0</v>
      </c>
      <c r="AV37" s="102">
        <f t="shared" ca="1" si="17"/>
        <v>0</v>
      </c>
      <c r="AW37" s="102">
        <f t="shared" ca="1" si="17"/>
        <v>0</v>
      </c>
      <c r="AX37" s="102">
        <f t="shared" ca="1" si="17"/>
        <v>0</v>
      </c>
      <c r="AY37" s="102">
        <f t="shared" ca="1" si="17"/>
        <v>0</v>
      </c>
      <c r="AZ37" s="102">
        <f t="shared" ca="1" si="17"/>
        <v>0</v>
      </c>
      <c r="BA37" s="102">
        <f t="shared" ca="1" si="17"/>
        <v>0</v>
      </c>
      <c r="BB37" s="102">
        <f t="shared" ca="1" si="17"/>
        <v>0</v>
      </c>
      <c r="BC37" s="102">
        <f t="shared" ca="1" si="17"/>
        <v>0</v>
      </c>
      <c r="BD37" s="102">
        <f t="shared" ca="1" si="17"/>
        <v>0</v>
      </c>
      <c r="BE37" s="102">
        <f t="shared" ca="1" si="17"/>
        <v>0</v>
      </c>
      <c r="BF37" s="102">
        <f t="shared" ca="1" si="17"/>
        <v>0</v>
      </c>
      <c r="BG37" s="102">
        <f t="shared" ca="1" si="17"/>
        <v>0</v>
      </c>
      <c r="BH37" s="102">
        <f t="shared" ca="1" si="17"/>
        <v>0</v>
      </c>
      <c r="BI37" s="102">
        <f t="shared" ca="1" si="17"/>
        <v>0</v>
      </c>
      <c r="BJ37" s="102">
        <f t="shared" ca="1" si="14"/>
        <v>0</v>
      </c>
      <c r="BK37" s="102">
        <f t="shared" ca="1" si="14"/>
        <v>0</v>
      </c>
      <c r="BL37" s="102">
        <f t="shared" ca="1" si="14"/>
        <v>0</v>
      </c>
      <c r="BM37" s="102">
        <f t="shared" ca="1" si="14"/>
        <v>0</v>
      </c>
      <c r="BN37" s="102">
        <f t="shared" ca="1" si="14"/>
        <v>0</v>
      </c>
      <c r="BO37" s="102">
        <f t="shared" ca="1" si="14"/>
        <v>0</v>
      </c>
      <c r="BP37" s="102">
        <f t="shared" ca="1" si="14"/>
        <v>0</v>
      </c>
      <c r="BQ37" s="102">
        <f t="shared" ca="1" si="14"/>
        <v>0</v>
      </c>
      <c r="BR37" s="102">
        <f t="shared" ca="1" si="14"/>
        <v>0</v>
      </c>
      <c r="BS37" s="102">
        <f t="shared" ca="1" si="14"/>
        <v>0</v>
      </c>
      <c r="BT37" s="102">
        <f t="shared" ca="1" si="14"/>
        <v>0</v>
      </c>
      <c r="BU37" s="102">
        <f t="shared" ca="1" si="14"/>
        <v>0</v>
      </c>
      <c r="BV37" s="102">
        <f t="shared" ca="1" si="14"/>
        <v>0</v>
      </c>
      <c r="BW37" s="102">
        <f t="shared" ca="1" si="14"/>
        <v>0</v>
      </c>
      <c r="BX37" s="102">
        <f t="shared" ca="1" si="14"/>
        <v>0</v>
      </c>
      <c r="BY37" s="102">
        <f t="shared" ca="1" si="11"/>
        <v>0</v>
      </c>
      <c r="BZ37" s="98">
        <f t="shared" ca="1" si="15"/>
        <v>0</v>
      </c>
      <c r="CA37" s="102">
        <f t="shared" ca="1" si="15"/>
        <v>0</v>
      </c>
      <c r="CB37" s="102">
        <f t="shared" ca="1" si="15"/>
        <v>0</v>
      </c>
      <c r="CC37" s="102">
        <f t="shared" ca="1" si="15"/>
        <v>0</v>
      </c>
      <c r="CD37" s="102">
        <f t="shared" ca="1" si="15"/>
        <v>0</v>
      </c>
      <c r="CE37" s="102">
        <f t="shared" ca="1" si="15"/>
        <v>0</v>
      </c>
      <c r="CF37" s="102">
        <f t="shared" ca="1" si="15"/>
        <v>0</v>
      </c>
      <c r="CG37" s="102">
        <f t="shared" ca="1" si="15"/>
        <v>0</v>
      </c>
      <c r="CH37" s="101">
        <f ca="1">COUNTIF(BZ37:CG37,"&lt;"&amp;MAX(BZ37:CG37))+IF(Calcs[[#This Row],[RL1]]=0,0,1)</f>
        <v>0</v>
      </c>
      <c r="CI3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7" s="103">
        <f ca="1">IFERROR(OFFSET(CJ37,-1,0)+0,0)+IF(INDEX(INDIRECT(RangeContrQty),MATCH(Calcs[[#This Row],[Line]],OFFSET(Items[Line],0,0,ROW(Proposed[])-ROW(Items[])+ROWS(Proposed[]),1),0)),1,0)</f>
        <v>0</v>
      </c>
    </row>
    <row r="38" spans="1:88" x14ac:dyDescent="0.15">
      <c r="A38" s="6">
        <f ca="1">IFERROR(OFFSET(A38,-1,0)+0,0)+MAX(IF(LEN(Calcs[[#This Row],[Line]])&gt;0,1,0),Calcs[[#This Row],[DL]],Calcs[[#This Row],[RL]])</f>
        <v>10</v>
      </c>
      <c r="B38" s="94" t="str">
        <f ca="1">IFERROR(INDEX(OFFSET(Items[Line],0,0,ROW(Proposed[])-ROW(Items[])+ROWS(Proposed[]),1),MATCH(ROW(B38)-ROW(B$3),INDIRECT(RangeCount),0)),"")</f>
        <v/>
      </c>
      <c r="C38" s="94" t="str">
        <f ca="1">IF(LEN(Calcs[[#This Row],[Line]])&gt;0,TRIM(IFERROR(INDEX(Items[Description],MATCH(Calcs[[#This Row],[Line]],Items[Line],0))&amp;INDEX(Items[Description2],MATCH(Calcs[[#This Row],[Line]],Items[Line],0)),INDEX(Proposed[Description],MATCH(Calcs[[#This Row],[Line]],Proposed[Line],0)))),"")</f>
        <v/>
      </c>
      <c r="D38" s="96">
        <f t="shared" ca="1" si="16"/>
        <v>0</v>
      </c>
      <c r="E38" s="97">
        <f t="shared" ca="1" si="16"/>
        <v>0</v>
      </c>
      <c r="F38" s="97">
        <f t="shared" ca="1" si="16"/>
        <v>0</v>
      </c>
      <c r="G38" s="97">
        <f t="shared" ca="1" si="16"/>
        <v>0</v>
      </c>
      <c r="H38" s="97">
        <f t="shared" ca="1" si="16"/>
        <v>0</v>
      </c>
      <c r="I38" s="97">
        <f t="shared" ca="1" si="16"/>
        <v>0</v>
      </c>
      <c r="J38" s="97">
        <f t="shared" ca="1" si="16"/>
        <v>0</v>
      </c>
      <c r="K38" s="97">
        <f t="shared" ca="1" si="16"/>
        <v>0</v>
      </c>
      <c r="L38" s="97">
        <f t="shared" ca="1" si="16"/>
        <v>0</v>
      </c>
      <c r="M38" s="97">
        <f t="shared" ca="1" si="16"/>
        <v>0</v>
      </c>
      <c r="N38" s="97">
        <f t="shared" ca="1" si="16"/>
        <v>0</v>
      </c>
      <c r="O38" s="97">
        <f t="shared" ca="1" si="16"/>
        <v>0</v>
      </c>
      <c r="P38" s="97">
        <f t="shared" ca="1" si="16"/>
        <v>0</v>
      </c>
      <c r="Q38" s="97">
        <f t="shared" ca="1" si="16"/>
        <v>0</v>
      </c>
      <c r="R38" s="97">
        <f t="shared" ca="1" si="16"/>
        <v>0</v>
      </c>
      <c r="S38" s="97">
        <f t="shared" ca="1" si="16"/>
        <v>0</v>
      </c>
      <c r="T38" s="97">
        <f t="shared" ca="1" si="12"/>
        <v>0</v>
      </c>
      <c r="U38" s="97">
        <f t="shared" ca="1" si="12"/>
        <v>0</v>
      </c>
      <c r="V38" s="97">
        <f t="shared" ca="1" si="12"/>
        <v>0</v>
      </c>
      <c r="W38" s="97">
        <f t="shared" ca="1" si="12"/>
        <v>0</v>
      </c>
      <c r="X38" s="97">
        <f t="shared" ca="1" si="12"/>
        <v>0</v>
      </c>
      <c r="Y38" s="97">
        <f t="shared" ca="1" si="12"/>
        <v>0</v>
      </c>
      <c r="Z38" s="97">
        <f t="shared" ca="1" si="12"/>
        <v>0</v>
      </c>
      <c r="AA38" s="97">
        <f t="shared" ca="1" si="12"/>
        <v>0</v>
      </c>
      <c r="AB38" s="97">
        <f t="shared" ca="1" si="12"/>
        <v>0</v>
      </c>
      <c r="AC38" s="97">
        <f t="shared" ca="1" si="12"/>
        <v>0</v>
      </c>
      <c r="AD38" s="97">
        <f t="shared" ca="1" si="12"/>
        <v>0</v>
      </c>
      <c r="AE38" s="97">
        <f t="shared" ca="1" si="12"/>
        <v>0</v>
      </c>
      <c r="AF38" s="97">
        <f t="shared" ca="1" si="12"/>
        <v>0</v>
      </c>
      <c r="AG38" s="97">
        <f t="shared" ca="1" si="12"/>
        <v>0</v>
      </c>
      <c r="AH38" s="97">
        <f t="shared" ca="1" si="12"/>
        <v>0</v>
      </c>
      <c r="AI38" s="97">
        <f t="shared" ca="1" si="9"/>
        <v>0</v>
      </c>
      <c r="AJ38" s="98">
        <f t="shared" ca="1" si="13"/>
        <v>0</v>
      </c>
      <c r="AK38" s="97">
        <f t="shared" ca="1" si="13"/>
        <v>0</v>
      </c>
      <c r="AL38" s="97">
        <f t="shared" ca="1" si="13"/>
        <v>0</v>
      </c>
      <c r="AM38" s="97">
        <f t="shared" ca="1" si="13"/>
        <v>0</v>
      </c>
      <c r="AN38" s="97">
        <f t="shared" ca="1" si="13"/>
        <v>0</v>
      </c>
      <c r="AO38" s="97">
        <f t="shared" ca="1" si="13"/>
        <v>0</v>
      </c>
      <c r="AP38" s="97">
        <f t="shared" ca="1" si="13"/>
        <v>0</v>
      </c>
      <c r="AQ38" s="97">
        <f t="shared" ca="1" si="13"/>
        <v>0</v>
      </c>
      <c r="AR38" s="99">
        <f ca="1">COUNTIF(AJ38:AQ38,"&lt;"&amp;MAX(AJ38:AQ38))+IF(Calcs[[#This Row],[DL1]]=0,0,1)</f>
        <v>0</v>
      </c>
      <c r="AS38" s="100" t="str">
        <f ca="1">IF(LEN(Calcs[[#This Row],[Line]])&gt;0,IF(RIGHT(Calcs[[#This Row],[Remark]],3)=".  ",LEFT(Calcs[[#This Row],[Remark]],LEN(Calcs[[#This Row],[Remark]])-3),Calcs[[#This Row],[Remark]]),"")</f>
        <v/>
      </c>
      <c r="AT38" s="96">
        <f t="shared" ca="1" si="17"/>
        <v>0</v>
      </c>
      <c r="AU38" s="102">
        <f t="shared" ca="1" si="17"/>
        <v>0</v>
      </c>
      <c r="AV38" s="102">
        <f t="shared" ca="1" si="17"/>
        <v>0</v>
      </c>
      <c r="AW38" s="102">
        <f t="shared" ca="1" si="17"/>
        <v>0</v>
      </c>
      <c r="AX38" s="102">
        <f t="shared" ca="1" si="17"/>
        <v>0</v>
      </c>
      <c r="AY38" s="102">
        <f t="shared" ca="1" si="17"/>
        <v>0</v>
      </c>
      <c r="AZ38" s="102">
        <f t="shared" ca="1" si="17"/>
        <v>0</v>
      </c>
      <c r="BA38" s="102">
        <f t="shared" ca="1" si="17"/>
        <v>0</v>
      </c>
      <c r="BB38" s="102">
        <f t="shared" ca="1" si="17"/>
        <v>0</v>
      </c>
      <c r="BC38" s="102">
        <f t="shared" ca="1" si="17"/>
        <v>0</v>
      </c>
      <c r="BD38" s="102">
        <f t="shared" ca="1" si="17"/>
        <v>0</v>
      </c>
      <c r="BE38" s="102">
        <f t="shared" ca="1" si="17"/>
        <v>0</v>
      </c>
      <c r="BF38" s="102">
        <f t="shared" ca="1" si="17"/>
        <v>0</v>
      </c>
      <c r="BG38" s="102">
        <f t="shared" ca="1" si="17"/>
        <v>0</v>
      </c>
      <c r="BH38" s="102">
        <f t="shared" ca="1" si="17"/>
        <v>0</v>
      </c>
      <c r="BI38" s="102">
        <f t="shared" ca="1" si="17"/>
        <v>0</v>
      </c>
      <c r="BJ38" s="102">
        <f t="shared" ca="1" si="14"/>
        <v>0</v>
      </c>
      <c r="BK38" s="102">
        <f t="shared" ca="1" si="14"/>
        <v>0</v>
      </c>
      <c r="BL38" s="102">
        <f t="shared" ca="1" si="14"/>
        <v>0</v>
      </c>
      <c r="BM38" s="102">
        <f t="shared" ca="1" si="14"/>
        <v>0</v>
      </c>
      <c r="BN38" s="102">
        <f t="shared" ca="1" si="14"/>
        <v>0</v>
      </c>
      <c r="BO38" s="102">
        <f t="shared" ca="1" si="14"/>
        <v>0</v>
      </c>
      <c r="BP38" s="102">
        <f t="shared" ca="1" si="14"/>
        <v>0</v>
      </c>
      <c r="BQ38" s="102">
        <f t="shared" ca="1" si="14"/>
        <v>0</v>
      </c>
      <c r="BR38" s="102">
        <f t="shared" ca="1" si="14"/>
        <v>0</v>
      </c>
      <c r="BS38" s="102">
        <f t="shared" ca="1" si="14"/>
        <v>0</v>
      </c>
      <c r="BT38" s="102">
        <f t="shared" ca="1" si="14"/>
        <v>0</v>
      </c>
      <c r="BU38" s="102">
        <f t="shared" ca="1" si="14"/>
        <v>0</v>
      </c>
      <c r="BV38" s="102">
        <f t="shared" ca="1" si="14"/>
        <v>0</v>
      </c>
      <c r="BW38" s="102">
        <f t="shared" ca="1" si="14"/>
        <v>0</v>
      </c>
      <c r="BX38" s="102">
        <f t="shared" ca="1" si="14"/>
        <v>0</v>
      </c>
      <c r="BY38" s="102">
        <f t="shared" ca="1" si="11"/>
        <v>0</v>
      </c>
      <c r="BZ38" s="98">
        <f t="shared" ca="1" si="15"/>
        <v>0</v>
      </c>
      <c r="CA38" s="102">
        <f t="shared" ca="1" si="15"/>
        <v>0</v>
      </c>
      <c r="CB38" s="102">
        <f t="shared" ca="1" si="15"/>
        <v>0</v>
      </c>
      <c r="CC38" s="102">
        <f t="shared" ca="1" si="15"/>
        <v>0</v>
      </c>
      <c r="CD38" s="102">
        <f t="shared" ca="1" si="15"/>
        <v>0</v>
      </c>
      <c r="CE38" s="102">
        <f t="shared" ca="1" si="15"/>
        <v>0</v>
      </c>
      <c r="CF38" s="102">
        <f t="shared" ca="1" si="15"/>
        <v>0</v>
      </c>
      <c r="CG38" s="102">
        <f t="shared" ca="1" si="15"/>
        <v>0</v>
      </c>
      <c r="CH38" s="101">
        <f ca="1">COUNTIF(BZ38:CG38,"&lt;"&amp;MAX(BZ38:CG38))+IF(Calcs[[#This Row],[RL1]]=0,0,1)</f>
        <v>0</v>
      </c>
      <c r="CI3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8" s="103">
        <f ca="1">IFERROR(OFFSET(CJ38,-1,0)+0,0)+IF(INDEX(INDIRECT(RangeContrQty),MATCH(Calcs[[#This Row],[Line]],OFFSET(Items[Line],0,0,ROW(Proposed[])-ROW(Items[])+ROWS(Proposed[]),1),0)),1,0)</f>
        <v>0</v>
      </c>
    </row>
    <row r="39" spans="1:88" x14ac:dyDescent="0.15">
      <c r="A39" s="6">
        <f ca="1">IFERROR(OFFSET(A39,-1,0)+0,0)+MAX(IF(LEN(Calcs[[#This Row],[Line]])&gt;0,1,0),Calcs[[#This Row],[DL]],Calcs[[#This Row],[RL]])</f>
        <v>10</v>
      </c>
      <c r="B39" s="94" t="str">
        <f ca="1">IFERROR(INDEX(OFFSET(Items[Line],0,0,ROW(Proposed[])-ROW(Items[])+ROWS(Proposed[]),1),MATCH(ROW(B39)-ROW(B$3),INDIRECT(RangeCount),0)),"")</f>
        <v/>
      </c>
      <c r="C39" s="94" t="str">
        <f ca="1">IF(LEN(Calcs[[#This Row],[Line]])&gt;0,TRIM(IFERROR(INDEX(Items[Description],MATCH(Calcs[[#This Row],[Line]],Items[Line],0))&amp;INDEX(Items[Description2],MATCH(Calcs[[#This Row],[Line]],Items[Line],0)),INDEX(Proposed[Description],MATCH(Calcs[[#This Row],[Line]],Proposed[Line],0)))),"")</f>
        <v/>
      </c>
      <c r="D39" s="96">
        <f t="shared" ca="1" si="16"/>
        <v>0</v>
      </c>
      <c r="E39" s="97">
        <f t="shared" ca="1" si="16"/>
        <v>0</v>
      </c>
      <c r="F39" s="97">
        <f t="shared" ca="1" si="16"/>
        <v>0</v>
      </c>
      <c r="G39" s="97">
        <f t="shared" ca="1" si="16"/>
        <v>0</v>
      </c>
      <c r="H39" s="97">
        <f t="shared" ca="1" si="16"/>
        <v>0</v>
      </c>
      <c r="I39" s="97">
        <f t="shared" ca="1" si="16"/>
        <v>0</v>
      </c>
      <c r="J39" s="97">
        <f t="shared" ca="1" si="16"/>
        <v>0</v>
      </c>
      <c r="K39" s="97">
        <f t="shared" ca="1" si="16"/>
        <v>0</v>
      </c>
      <c r="L39" s="97">
        <f t="shared" ca="1" si="16"/>
        <v>0</v>
      </c>
      <c r="M39" s="97">
        <f t="shared" ca="1" si="16"/>
        <v>0</v>
      </c>
      <c r="N39" s="97">
        <f t="shared" ca="1" si="16"/>
        <v>0</v>
      </c>
      <c r="O39" s="97">
        <f t="shared" ca="1" si="16"/>
        <v>0</v>
      </c>
      <c r="P39" s="97">
        <f t="shared" ca="1" si="16"/>
        <v>0</v>
      </c>
      <c r="Q39" s="97">
        <f t="shared" ca="1" si="16"/>
        <v>0</v>
      </c>
      <c r="R39" s="97">
        <f t="shared" ca="1" si="16"/>
        <v>0</v>
      </c>
      <c r="S39" s="97">
        <f t="shared" ca="1" si="16"/>
        <v>0</v>
      </c>
      <c r="T39" s="97">
        <f t="shared" ca="1" si="12"/>
        <v>0</v>
      </c>
      <c r="U39" s="97">
        <f t="shared" ca="1" si="12"/>
        <v>0</v>
      </c>
      <c r="V39" s="97">
        <f t="shared" ca="1" si="12"/>
        <v>0</v>
      </c>
      <c r="W39" s="97">
        <f t="shared" ca="1" si="12"/>
        <v>0</v>
      </c>
      <c r="X39" s="97">
        <f t="shared" ca="1" si="12"/>
        <v>0</v>
      </c>
      <c r="Y39" s="97">
        <f t="shared" ca="1" si="12"/>
        <v>0</v>
      </c>
      <c r="Z39" s="97">
        <f t="shared" ca="1" si="12"/>
        <v>0</v>
      </c>
      <c r="AA39" s="97">
        <f t="shared" ca="1" si="12"/>
        <v>0</v>
      </c>
      <c r="AB39" s="97">
        <f t="shared" ca="1" si="12"/>
        <v>0</v>
      </c>
      <c r="AC39" s="97">
        <f t="shared" ca="1" si="12"/>
        <v>0</v>
      </c>
      <c r="AD39" s="97">
        <f t="shared" ca="1" si="12"/>
        <v>0</v>
      </c>
      <c r="AE39" s="97">
        <f t="shared" ca="1" si="12"/>
        <v>0</v>
      </c>
      <c r="AF39" s="97">
        <f t="shared" ca="1" si="12"/>
        <v>0</v>
      </c>
      <c r="AG39" s="97">
        <f t="shared" ca="1" si="12"/>
        <v>0</v>
      </c>
      <c r="AH39" s="97">
        <f t="shared" ca="1" si="12"/>
        <v>0</v>
      </c>
      <c r="AI39" s="97">
        <f t="shared" ca="1" si="9"/>
        <v>0</v>
      </c>
      <c r="AJ39" s="98">
        <f t="shared" ca="1" si="13"/>
        <v>0</v>
      </c>
      <c r="AK39" s="97">
        <f t="shared" ca="1" si="13"/>
        <v>0</v>
      </c>
      <c r="AL39" s="97">
        <f t="shared" ca="1" si="13"/>
        <v>0</v>
      </c>
      <c r="AM39" s="97">
        <f t="shared" ca="1" si="13"/>
        <v>0</v>
      </c>
      <c r="AN39" s="97">
        <f t="shared" ca="1" si="13"/>
        <v>0</v>
      </c>
      <c r="AO39" s="97">
        <f t="shared" ca="1" si="13"/>
        <v>0</v>
      </c>
      <c r="AP39" s="97">
        <f t="shared" ca="1" si="13"/>
        <v>0</v>
      </c>
      <c r="AQ39" s="97">
        <f t="shared" ca="1" si="13"/>
        <v>0</v>
      </c>
      <c r="AR39" s="99">
        <f ca="1">COUNTIF(AJ39:AQ39,"&lt;"&amp;MAX(AJ39:AQ39))+IF(Calcs[[#This Row],[DL1]]=0,0,1)</f>
        <v>0</v>
      </c>
      <c r="AS39" s="100" t="str">
        <f ca="1">IF(LEN(Calcs[[#This Row],[Line]])&gt;0,IF(RIGHT(Calcs[[#This Row],[Remark]],3)=".  ",LEFT(Calcs[[#This Row],[Remark]],LEN(Calcs[[#This Row],[Remark]])-3),Calcs[[#This Row],[Remark]]),"")</f>
        <v/>
      </c>
      <c r="AT39" s="96">
        <f t="shared" ca="1" si="17"/>
        <v>0</v>
      </c>
      <c r="AU39" s="102">
        <f t="shared" ca="1" si="17"/>
        <v>0</v>
      </c>
      <c r="AV39" s="102">
        <f t="shared" ca="1" si="17"/>
        <v>0</v>
      </c>
      <c r="AW39" s="102">
        <f t="shared" ca="1" si="17"/>
        <v>0</v>
      </c>
      <c r="AX39" s="102">
        <f t="shared" ca="1" si="17"/>
        <v>0</v>
      </c>
      <c r="AY39" s="102">
        <f t="shared" ca="1" si="17"/>
        <v>0</v>
      </c>
      <c r="AZ39" s="102">
        <f t="shared" ca="1" si="17"/>
        <v>0</v>
      </c>
      <c r="BA39" s="102">
        <f t="shared" ca="1" si="17"/>
        <v>0</v>
      </c>
      <c r="BB39" s="102">
        <f t="shared" ca="1" si="17"/>
        <v>0</v>
      </c>
      <c r="BC39" s="102">
        <f t="shared" ca="1" si="17"/>
        <v>0</v>
      </c>
      <c r="BD39" s="102">
        <f t="shared" ca="1" si="17"/>
        <v>0</v>
      </c>
      <c r="BE39" s="102">
        <f t="shared" ca="1" si="17"/>
        <v>0</v>
      </c>
      <c r="BF39" s="102">
        <f t="shared" ca="1" si="17"/>
        <v>0</v>
      </c>
      <c r="BG39" s="102">
        <f t="shared" ca="1" si="17"/>
        <v>0</v>
      </c>
      <c r="BH39" s="102">
        <f t="shared" ca="1" si="17"/>
        <v>0</v>
      </c>
      <c r="BI39" s="102">
        <f t="shared" ca="1" si="17"/>
        <v>0</v>
      </c>
      <c r="BJ39" s="102">
        <f t="shared" ca="1" si="14"/>
        <v>0</v>
      </c>
      <c r="BK39" s="102">
        <f t="shared" ca="1" si="14"/>
        <v>0</v>
      </c>
      <c r="BL39" s="102">
        <f t="shared" ca="1" si="14"/>
        <v>0</v>
      </c>
      <c r="BM39" s="102">
        <f t="shared" ca="1" si="14"/>
        <v>0</v>
      </c>
      <c r="BN39" s="102">
        <f t="shared" ca="1" si="14"/>
        <v>0</v>
      </c>
      <c r="BO39" s="102">
        <f t="shared" ca="1" si="14"/>
        <v>0</v>
      </c>
      <c r="BP39" s="102">
        <f t="shared" ca="1" si="14"/>
        <v>0</v>
      </c>
      <c r="BQ39" s="102">
        <f t="shared" ca="1" si="14"/>
        <v>0</v>
      </c>
      <c r="BR39" s="102">
        <f t="shared" ca="1" si="14"/>
        <v>0</v>
      </c>
      <c r="BS39" s="102">
        <f t="shared" ca="1" si="14"/>
        <v>0</v>
      </c>
      <c r="BT39" s="102">
        <f t="shared" ca="1" si="14"/>
        <v>0</v>
      </c>
      <c r="BU39" s="102">
        <f t="shared" ca="1" si="14"/>
        <v>0</v>
      </c>
      <c r="BV39" s="102">
        <f t="shared" ca="1" si="14"/>
        <v>0</v>
      </c>
      <c r="BW39" s="102">
        <f t="shared" ca="1" si="14"/>
        <v>0</v>
      </c>
      <c r="BX39" s="102">
        <f t="shared" ca="1" si="14"/>
        <v>0</v>
      </c>
      <c r="BY39" s="102">
        <f t="shared" ca="1" si="11"/>
        <v>0</v>
      </c>
      <c r="BZ39" s="98">
        <f t="shared" ca="1" si="15"/>
        <v>0</v>
      </c>
      <c r="CA39" s="102">
        <f t="shared" ca="1" si="15"/>
        <v>0</v>
      </c>
      <c r="CB39" s="102">
        <f t="shared" ca="1" si="15"/>
        <v>0</v>
      </c>
      <c r="CC39" s="102">
        <f t="shared" ca="1" si="15"/>
        <v>0</v>
      </c>
      <c r="CD39" s="102">
        <f t="shared" ca="1" si="15"/>
        <v>0</v>
      </c>
      <c r="CE39" s="102">
        <f t="shared" ca="1" si="15"/>
        <v>0</v>
      </c>
      <c r="CF39" s="102">
        <f t="shared" ca="1" si="15"/>
        <v>0</v>
      </c>
      <c r="CG39" s="102">
        <f t="shared" ca="1" si="15"/>
        <v>0</v>
      </c>
      <c r="CH39" s="101">
        <f ca="1">COUNTIF(BZ39:CG39,"&lt;"&amp;MAX(BZ39:CG39))+IF(Calcs[[#This Row],[RL1]]=0,0,1)</f>
        <v>0</v>
      </c>
      <c r="CI3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9" s="103">
        <f ca="1">IFERROR(OFFSET(CJ39,-1,0)+0,0)+IF(INDEX(INDIRECT(RangeContrQty),MATCH(Calcs[[#This Row],[Line]],OFFSET(Items[Line],0,0,ROW(Proposed[])-ROW(Items[])+ROWS(Proposed[]),1),0)),1,0)</f>
        <v>0</v>
      </c>
    </row>
    <row r="40" spans="1:88" x14ac:dyDescent="0.15">
      <c r="A40" s="6">
        <f ca="1">IFERROR(OFFSET(A40,-1,0)+0,0)+MAX(IF(LEN(Calcs[[#This Row],[Line]])&gt;0,1,0),Calcs[[#This Row],[DL]],Calcs[[#This Row],[RL]])</f>
        <v>10</v>
      </c>
      <c r="B40" s="94" t="str">
        <f ca="1">IFERROR(INDEX(OFFSET(Items[Line],0,0,ROW(Proposed[])-ROW(Items[])+ROWS(Proposed[]),1),MATCH(ROW(B40)-ROW(B$3),INDIRECT(RangeCount),0)),"")</f>
        <v/>
      </c>
      <c r="C40" s="94" t="str">
        <f ca="1">IF(LEN(Calcs[[#This Row],[Line]])&gt;0,TRIM(IFERROR(INDEX(Items[Description],MATCH(Calcs[[#This Row],[Line]],Items[Line],0))&amp;INDEX(Items[Description2],MATCH(Calcs[[#This Row],[Line]],Items[Line],0)),INDEX(Proposed[Description],MATCH(Calcs[[#This Row],[Line]],Proposed[Line],0)))),"")</f>
        <v/>
      </c>
      <c r="D40" s="96">
        <f t="shared" ca="1" si="16"/>
        <v>0</v>
      </c>
      <c r="E40" s="97">
        <f t="shared" ca="1" si="16"/>
        <v>0</v>
      </c>
      <c r="F40" s="97">
        <f t="shared" ca="1" si="16"/>
        <v>0</v>
      </c>
      <c r="G40" s="97">
        <f t="shared" ca="1" si="16"/>
        <v>0</v>
      </c>
      <c r="H40" s="97">
        <f t="shared" ca="1" si="16"/>
        <v>0</v>
      </c>
      <c r="I40" s="97">
        <f t="shared" ca="1" si="16"/>
        <v>0</v>
      </c>
      <c r="J40" s="97">
        <f t="shared" ca="1" si="16"/>
        <v>0</v>
      </c>
      <c r="K40" s="97">
        <f t="shared" ca="1" si="16"/>
        <v>0</v>
      </c>
      <c r="L40" s="97">
        <f t="shared" ca="1" si="16"/>
        <v>0</v>
      </c>
      <c r="M40" s="97">
        <f t="shared" ca="1" si="16"/>
        <v>0</v>
      </c>
      <c r="N40" s="97">
        <f t="shared" ca="1" si="16"/>
        <v>0</v>
      </c>
      <c r="O40" s="97">
        <f t="shared" ca="1" si="16"/>
        <v>0</v>
      </c>
      <c r="P40" s="97">
        <f t="shared" ca="1" si="16"/>
        <v>0</v>
      </c>
      <c r="Q40" s="97">
        <f t="shared" ca="1" si="16"/>
        <v>0</v>
      </c>
      <c r="R40" s="97">
        <f t="shared" ca="1" si="16"/>
        <v>0</v>
      </c>
      <c r="S40" s="97">
        <f t="shared" ca="1" si="16"/>
        <v>0</v>
      </c>
      <c r="T40" s="97">
        <f t="shared" ca="1" si="12"/>
        <v>0</v>
      </c>
      <c r="U40" s="97">
        <f t="shared" ca="1" si="12"/>
        <v>0</v>
      </c>
      <c r="V40" s="97">
        <f t="shared" ca="1" si="12"/>
        <v>0</v>
      </c>
      <c r="W40" s="97">
        <f t="shared" ca="1" si="12"/>
        <v>0</v>
      </c>
      <c r="X40" s="97">
        <f t="shared" ca="1" si="12"/>
        <v>0</v>
      </c>
      <c r="Y40" s="97">
        <f t="shared" ca="1" si="12"/>
        <v>0</v>
      </c>
      <c r="Z40" s="97">
        <f t="shared" ca="1" si="12"/>
        <v>0</v>
      </c>
      <c r="AA40" s="97">
        <f t="shared" ca="1" si="12"/>
        <v>0</v>
      </c>
      <c r="AB40" s="97">
        <f t="shared" ca="1" si="12"/>
        <v>0</v>
      </c>
      <c r="AC40" s="97">
        <f t="shared" ca="1" si="12"/>
        <v>0</v>
      </c>
      <c r="AD40" s="97">
        <f t="shared" ca="1" si="12"/>
        <v>0</v>
      </c>
      <c r="AE40" s="97">
        <f t="shared" ca="1" si="12"/>
        <v>0</v>
      </c>
      <c r="AF40" s="97">
        <f t="shared" ca="1" si="12"/>
        <v>0</v>
      </c>
      <c r="AG40" s="97">
        <f t="shared" ca="1" si="12"/>
        <v>0</v>
      </c>
      <c r="AH40" s="97">
        <f t="shared" ca="1" si="12"/>
        <v>0</v>
      </c>
      <c r="AI40" s="97">
        <f t="shared" ca="1" si="9"/>
        <v>0</v>
      </c>
      <c r="AJ40" s="98">
        <f t="shared" ca="1" si="13"/>
        <v>0</v>
      </c>
      <c r="AK40" s="97">
        <f t="shared" ca="1" si="13"/>
        <v>0</v>
      </c>
      <c r="AL40" s="97">
        <f t="shared" ca="1" si="13"/>
        <v>0</v>
      </c>
      <c r="AM40" s="97">
        <f t="shared" ca="1" si="13"/>
        <v>0</v>
      </c>
      <c r="AN40" s="97">
        <f t="shared" ca="1" si="13"/>
        <v>0</v>
      </c>
      <c r="AO40" s="97">
        <f t="shared" ca="1" si="13"/>
        <v>0</v>
      </c>
      <c r="AP40" s="97">
        <f t="shared" ca="1" si="13"/>
        <v>0</v>
      </c>
      <c r="AQ40" s="97">
        <f t="shared" ca="1" si="13"/>
        <v>0</v>
      </c>
      <c r="AR40" s="99">
        <f ca="1">COUNTIF(AJ40:AQ40,"&lt;"&amp;MAX(AJ40:AQ40))+IF(Calcs[[#This Row],[DL1]]=0,0,1)</f>
        <v>0</v>
      </c>
      <c r="AS40" s="100" t="str">
        <f ca="1">IF(LEN(Calcs[[#This Row],[Line]])&gt;0,IF(RIGHT(Calcs[[#This Row],[Remark]],3)=".  ",LEFT(Calcs[[#This Row],[Remark]],LEN(Calcs[[#This Row],[Remark]])-3),Calcs[[#This Row],[Remark]]),"")</f>
        <v/>
      </c>
      <c r="AT40" s="96">
        <f t="shared" ca="1" si="17"/>
        <v>0</v>
      </c>
      <c r="AU40" s="102">
        <f t="shared" ca="1" si="17"/>
        <v>0</v>
      </c>
      <c r="AV40" s="102">
        <f t="shared" ca="1" si="17"/>
        <v>0</v>
      </c>
      <c r="AW40" s="102">
        <f t="shared" ca="1" si="17"/>
        <v>0</v>
      </c>
      <c r="AX40" s="102">
        <f t="shared" ca="1" si="17"/>
        <v>0</v>
      </c>
      <c r="AY40" s="102">
        <f t="shared" ca="1" si="17"/>
        <v>0</v>
      </c>
      <c r="AZ40" s="102">
        <f t="shared" ca="1" si="17"/>
        <v>0</v>
      </c>
      <c r="BA40" s="102">
        <f t="shared" ca="1" si="17"/>
        <v>0</v>
      </c>
      <c r="BB40" s="102">
        <f t="shared" ca="1" si="17"/>
        <v>0</v>
      </c>
      <c r="BC40" s="102">
        <f t="shared" ca="1" si="17"/>
        <v>0</v>
      </c>
      <c r="BD40" s="102">
        <f t="shared" ca="1" si="17"/>
        <v>0</v>
      </c>
      <c r="BE40" s="102">
        <f t="shared" ca="1" si="17"/>
        <v>0</v>
      </c>
      <c r="BF40" s="102">
        <f t="shared" ca="1" si="17"/>
        <v>0</v>
      </c>
      <c r="BG40" s="102">
        <f t="shared" ca="1" si="17"/>
        <v>0</v>
      </c>
      <c r="BH40" s="102">
        <f t="shared" ca="1" si="17"/>
        <v>0</v>
      </c>
      <c r="BI40" s="102">
        <f t="shared" ca="1" si="17"/>
        <v>0</v>
      </c>
      <c r="BJ40" s="102">
        <f t="shared" ca="1" si="14"/>
        <v>0</v>
      </c>
      <c r="BK40" s="102">
        <f t="shared" ca="1" si="14"/>
        <v>0</v>
      </c>
      <c r="BL40" s="102">
        <f t="shared" ca="1" si="14"/>
        <v>0</v>
      </c>
      <c r="BM40" s="102">
        <f t="shared" ca="1" si="14"/>
        <v>0</v>
      </c>
      <c r="BN40" s="102">
        <f t="shared" ca="1" si="14"/>
        <v>0</v>
      </c>
      <c r="BO40" s="102">
        <f t="shared" ca="1" si="14"/>
        <v>0</v>
      </c>
      <c r="BP40" s="102">
        <f t="shared" ca="1" si="14"/>
        <v>0</v>
      </c>
      <c r="BQ40" s="102">
        <f t="shared" ca="1" si="14"/>
        <v>0</v>
      </c>
      <c r="BR40" s="102">
        <f t="shared" ca="1" si="14"/>
        <v>0</v>
      </c>
      <c r="BS40" s="102">
        <f t="shared" ca="1" si="14"/>
        <v>0</v>
      </c>
      <c r="BT40" s="102">
        <f t="shared" ca="1" si="14"/>
        <v>0</v>
      </c>
      <c r="BU40" s="102">
        <f t="shared" ca="1" si="14"/>
        <v>0</v>
      </c>
      <c r="BV40" s="102">
        <f t="shared" ca="1" si="14"/>
        <v>0</v>
      </c>
      <c r="BW40" s="102">
        <f t="shared" ca="1" si="14"/>
        <v>0</v>
      </c>
      <c r="BX40" s="102">
        <f t="shared" ca="1" si="14"/>
        <v>0</v>
      </c>
      <c r="BY40" s="102">
        <f t="shared" ca="1" si="11"/>
        <v>0</v>
      </c>
      <c r="BZ40" s="98">
        <f t="shared" ca="1" si="15"/>
        <v>0</v>
      </c>
      <c r="CA40" s="102">
        <f t="shared" ca="1" si="15"/>
        <v>0</v>
      </c>
      <c r="CB40" s="102">
        <f t="shared" ca="1" si="15"/>
        <v>0</v>
      </c>
      <c r="CC40" s="102">
        <f t="shared" ca="1" si="15"/>
        <v>0</v>
      </c>
      <c r="CD40" s="102">
        <f t="shared" ca="1" si="15"/>
        <v>0</v>
      </c>
      <c r="CE40" s="102">
        <f t="shared" ca="1" si="15"/>
        <v>0</v>
      </c>
      <c r="CF40" s="102">
        <f t="shared" ca="1" si="15"/>
        <v>0</v>
      </c>
      <c r="CG40" s="102">
        <f t="shared" ca="1" si="15"/>
        <v>0</v>
      </c>
      <c r="CH40" s="101">
        <f ca="1">COUNTIF(BZ40:CG40,"&lt;"&amp;MAX(BZ40:CG40))+IF(Calcs[[#This Row],[RL1]]=0,0,1)</f>
        <v>0</v>
      </c>
      <c r="CI4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0" s="103">
        <f ca="1">IFERROR(OFFSET(CJ40,-1,0)+0,0)+IF(INDEX(INDIRECT(RangeContrQty),MATCH(Calcs[[#This Row],[Line]],OFFSET(Items[Line],0,0,ROW(Proposed[])-ROW(Items[])+ROWS(Proposed[]),1),0)),1,0)</f>
        <v>0</v>
      </c>
    </row>
    <row r="41" spans="1:88" x14ac:dyDescent="0.15">
      <c r="A41" s="6">
        <f ca="1">IFERROR(OFFSET(A41,-1,0)+0,0)+MAX(IF(LEN(Calcs[[#This Row],[Line]])&gt;0,1,0),Calcs[[#This Row],[DL]],Calcs[[#This Row],[RL]])</f>
        <v>10</v>
      </c>
      <c r="B41" s="94" t="str">
        <f ca="1">IFERROR(INDEX(OFFSET(Items[Line],0,0,ROW(Proposed[])-ROW(Items[])+ROWS(Proposed[]),1),MATCH(ROW(B41)-ROW(B$3),INDIRECT(RangeCount),0)),"")</f>
        <v/>
      </c>
      <c r="C41" s="94" t="str">
        <f ca="1">IF(LEN(Calcs[[#This Row],[Line]])&gt;0,TRIM(IFERROR(INDEX(Items[Description],MATCH(Calcs[[#This Row],[Line]],Items[Line],0))&amp;INDEX(Items[Description2],MATCH(Calcs[[#This Row],[Line]],Items[Line],0)),INDEX(Proposed[Description],MATCH(Calcs[[#This Row],[Line]],Proposed[Line],0)))),"")</f>
        <v/>
      </c>
      <c r="D41" s="96">
        <f t="shared" ca="1" si="16"/>
        <v>0</v>
      </c>
      <c r="E41" s="97">
        <f t="shared" ca="1" si="16"/>
        <v>0</v>
      </c>
      <c r="F41" s="97">
        <f t="shared" ca="1" si="16"/>
        <v>0</v>
      </c>
      <c r="G41" s="97">
        <f t="shared" ca="1" si="16"/>
        <v>0</v>
      </c>
      <c r="H41" s="97">
        <f t="shared" ca="1" si="16"/>
        <v>0</v>
      </c>
      <c r="I41" s="97">
        <f t="shared" ca="1" si="16"/>
        <v>0</v>
      </c>
      <c r="J41" s="97">
        <f t="shared" ca="1" si="16"/>
        <v>0</v>
      </c>
      <c r="K41" s="97">
        <f t="shared" ca="1" si="16"/>
        <v>0</v>
      </c>
      <c r="L41" s="97">
        <f t="shared" ca="1" si="16"/>
        <v>0</v>
      </c>
      <c r="M41" s="97">
        <f t="shared" ca="1" si="16"/>
        <v>0</v>
      </c>
      <c r="N41" s="97">
        <f t="shared" ca="1" si="16"/>
        <v>0</v>
      </c>
      <c r="O41" s="97">
        <f t="shared" ca="1" si="16"/>
        <v>0</v>
      </c>
      <c r="P41" s="97">
        <f t="shared" ca="1" si="16"/>
        <v>0</v>
      </c>
      <c r="Q41" s="97">
        <f t="shared" ca="1" si="16"/>
        <v>0</v>
      </c>
      <c r="R41" s="97">
        <f t="shared" ca="1" si="16"/>
        <v>0</v>
      </c>
      <c r="S41" s="97">
        <f t="shared" ca="1" si="16"/>
        <v>0</v>
      </c>
      <c r="T41" s="97">
        <f t="shared" ca="1" si="12"/>
        <v>0</v>
      </c>
      <c r="U41" s="97">
        <f t="shared" ca="1" si="12"/>
        <v>0</v>
      </c>
      <c r="V41" s="97">
        <f t="shared" ca="1" si="12"/>
        <v>0</v>
      </c>
      <c r="W41" s="97">
        <f t="shared" ca="1" si="12"/>
        <v>0</v>
      </c>
      <c r="X41" s="97">
        <f t="shared" ca="1" si="12"/>
        <v>0</v>
      </c>
      <c r="Y41" s="97">
        <f t="shared" ca="1" si="12"/>
        <v>0</v>
      </c>
      <c r="Z41" s="97">
        <f t="shared" ca="1" si="12"/>
        <v>0</v>
      </c>
      <c r="AA41" s="97">
        <f t="shared" ca="1" si="12"/>
        <v>0</v>
      </c>
      <c r="AB41" s="97">
        <f t="shared" ca="1" si="12"/>
        <v>0</v>
      </c>
      <c r="AC41" s="97">
        <f t="shared" ca="1" si="12"/>
        <v>0</v>
      </c>
      <c r="AD41" s="97">
        <f t="shared" ca="1" si="12"/>
        <v>0</v>
      </c>
      <c r="AE41" s="97">
        <f t="shared" ca="1" si="12"/>
        <v>0</v>
      </c>
      <c r="AF41" s="97">
        <f t="shared" ca="1" si="12"/>
        <v>0</v>
      </c>
      <c r="AG41" s="97">
        <f t="shared" ca="1" si="12"/>
        <v>0</v>
      </c>
      <c r="AH41" s="97">
        <f t="shared" ca="1" si="12"/>
        <v>0</v>
      </c>
      <c r="AI41" s="97">
        <f t="shared" ref="AI41:AI51" ca="1" si="18">IFERROR(FIND(" ",$C41,IFERROR(OFFSET(AI41,0,-1)+1,1)),LEN($C41))</f>
        <v>0</v>
      </c>
      <c r="AJ41" s="98">
        <f t="shared" ca="1" si="13"/>
        <v>0</v>
      </c>
      <c r="AK41" s="97">
        <f t="shared" ca="1" si="13"/>
        <v>0</v>
      </c>
      <c r="AL41" s="97">
        <f t="shared" ca="1" si="13"/>
        <v>0</v>
      </c>
      <c r="AM41" s="97">
        <f t="shared" ca="1" si="13"/>
        <v>0</v>
      </c>
      <c r="AN41" s="97">
        <f t="shared" ca="1" si="13"/>
        <v>0</v>
      </c>
      <c r="AO41" s="97">
        <f t="shared" ca="1" si="13"/>
        <v>0</v>
      </c>
      <c r="AP41" s="97">
        <f t="shared" ca="1" si="13"/>
        <v>0</v>
      </c>
      <c r="AQ41" s="97">
        <f t="shared" ca="1" si="13"/>
        <v>0</v>
      </c>
      <c r="AR41" s="99">
        <f ca="1">COUNTIF(AJ41:AQ41,"&lt;"&amp;MAX(AJ41:AQ41))+IF(Calcs[[#This Row],[DL1]]=0,0,1)</f>
        <v>0</v>
      </c>
      <c r="AS41" s="100" t="str">
        <f ca="1">IF(LEN(Calcs[[#This Row],[Line]])&gt;0,IF(RIGHT(Calcs[[#This Row],[Remark]],3)=".  ",LEFT(Calcs[[#This Row],[Remark]],LEN(Calcs[[#This Row],[Remark]])-3),Calcs[[#This Row],[Remark]]),"")</f>
        <v/>
      </c>
      <c r="AT41" s="96">
        <f t="shared" ca="1" si="17"/>
        <v>0</v>
      </c>
      <c r="AU41" s="102">
        <f t="shared" ca="1" si="17"/>
        <v>0</v>
      </c>
      <c r="AV41" s="102">
        <f t="shared" ca="1" si="17"/>
        <v>0</v>
      </c>
      <c r="AW41" s="102">
        <f t="shared" ca="1" si="17"/>
        <v>0</v>
      </c>
      <c r="AX41" s="102">
        <f t="shared" ca="1" si="17"/>
        <v>0</v>
      </c>
      <c r="AY41" s="102">
        <f t="shared" ca="1" si="17"/>
        <v>0</v>
      </c>
      <c r="AZ41" s="102">
        <f t="shared" ca="1" si="17"/>
        <v>0</v>
      </c>
      <c r="BA41" s="102">
        <f t="shared" ca="1" si="17"/>
        <v>0</v>
      </c>
      <c r="BB41" s="102">
        <f t="shared" ca="1" si="17"/>
        <v>0</v>
      </c>
      <c r="BC41" s="102">
        <f t="shared" ca="1" si="17"/>
        <v>0</v>
      </c>
      <c r="BD41" s="102">
        <f t="shared" ca="1" si="17"/>
        <v>0</v>
      </c>
      <c r="BE41" s="102">
        <f t="shared" ca="1" si="17"/>
        <v>0</v>
      </c>
      <c r="BF41" s="102">
        <f t="shared" ca="1" si="17"/>
        <v>0</v>
      </c>
      <c r="BG41" s="102">
        <f t="shared" ca="1" si="17"/>
        <v>0</v>
      </c>
      <c r="BH41" s="102">
        <f t="shared" ca="1" si="17"/>
        <v>0</v>
      </c>
      <c r="BI41" s="102">
        <f t="shared" ca="1" si="17"/>
        <v>0</v>
      </c>
      <c r="BJ41" s="102">
        <f t="shared" ca="1" si="14"/>
        <v>0</v>
      </c>
      <c r="BK41" s="102">
        <f t="shared" ca="1" si="14"/>
        <v>0</v>
      </c>
      <c r="BL41" s="102">
        <f t="shared" ca="1" si="14"/>
        <v>0</v>
      </c>
      <c r="BM41" s="102">
        <f t="shared" ca="1" si="14"/>
        <v>0</v>
      </c>
      <c r="BN41" s="102">
        <f t="shared" ca="1" si="14"/>
        <v>0</v>
      </c>
      <c r="BO41" s="102">
        <f t="shared" ca="1" si="14"/>
        <v>0</v>
      </c>
      <c r="BP41" s="102">
        <f t="shared" ca="1" si="14"/>
        <v>0</v>
      </c>
      <c r="BQ41" s="102">
        <f t="shared" ca="1" si="14"/>
        <v>0</v>
      </c>
      <c r="BR41" s="102">
        <f t="shared" ca="1" si="14"/>
        <v>0</v>
      </c>
      <c r="BS41" s="102">
        <f t="shared" ca="1" si="14"/>
        <v>0</v>
      </c>
      <c r="BT41" s="102">
        <f t="shared" ca="1" si="14"/>
        <v>0</v>
      </c>
      <c r="BU41" s="102">
        <f t="shared" ca="1" si="14"/>
        <v>0</v>
      </c>
      <c r="BV41" s="102">
        <f t="shared" ca="1" si="14"/>
        <v>0</v>
      </c>
      <c r="BW41" s="102">
        <f t="shared" ca="1" si="14"/>
        <v>0</v>
      </c>
      <c r="BX41" s="102">
        <f t="shared" ca="1" si="14"/>
        <v>0</v>
      </c>
      <c r="BY41" s="102">
        <f t="shared" ref="BY41:BY51" ca="1" si="19">IFERROR(FIND(" ",$AS41,IFERROR(OFFSET(BY41,0,-1)+1,1)),LEN($AS41))</f>
        <v>0</v>
      </c>
      <c r="BZ41" s="98">
        <f t="shared" ca="1" si="15"/>
        <v>0</v>
      </c>
      <c r="CA41" s="102">
        <f t="shared" ca="1" si="15"/>
        <v>0</v>
      </c>
      <c r="CB41" s="102">
        <f t="shared" ca="1" si="15"/>
        <v>0</v>
      </c>
      <c r="CC41" s="102">
        <f t="shared" ca="1" si="15"/>
        <v>0</v>
      </c>
      <c r="CD41" s="102">
        <f t="shared" ca="1" si="15"/>
        <v>0</v>
      </c>
      <c r="CE41" s="102">
        <f t="shared" ca="1" si="15"/>
        <v>0</v>
      </c>
      <c r="CF41" s="102">
        <f t="shared" ca="1" si="15"/>
        <v>0</v>
      </c>
      <c r="CG41" s="102">
        <f t="shared" ca="1" si="15"/>
        <v>0</v>
      </c>
      <c r="CH41" s="101">
        <f ca="1">COUNTIF(BZ41:CG41,"&lt;"&amp;MAX(BZ41:CG41))+IF(Calcs[[#This Row],[RL1]]=0,0,1)</f>
        <v>0</v>
      </c>
      <c r="CI4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1" s="103">
        <f ca="1">IFERROR(OFFSET(CJ41,-1,0)+0,0)+IF(INDEX(INDIRECT(RangeContrQty),MATCH(Calcs[[#This Row],[Line]],OFFSET(Items[Line],0,0,ROW(Proposed[])-ROW(Items[])+ROWS(Proposed[]),1),0)),1,0)</f>
        <v>0</v>
      </c>
    </row>
    <row r="42" spans="1:88" x14ac:dyDescent="0.15">
      <c r="A42" s="6">
        <f ca="1">IFERROR(OFFSET(A42,-1,0)+0,0)+MAX(IF(LEN(Calcs[[#This Row],[Line]])&gt;0,1,0),Calcs[[#This Row],[DL]],Calcs[[#This Row],[RL]])</f>
        <v>10</v>
      </c>
      <c r="B42" s="94" t="str">
        <f ca="1">IFERROR(INDEX(OFFSET(Items[Line],0,0,ROW(Proposed[])-ROW(Items[])+ROWS(Proposed[]),1),MATCH(ROW(B42)-ROW(B$3),INDIRECT(RangeCount),0)),"")</f>
        <v/>
      </c>
      <c r="C42" s="94" t="str">
        <f ca="1">IF(LEN(Calcs[[#This Row],[Line]])&gt;0,TRIM(IFERROR(INDEX(Items[Description],MATCH(Calcs[[#This Row],[Line]],Items[Line],0))&amp;INDEX(Items[Description2],MATCH(Calcs[[#This Row],[Line]],Items[Line],0)),INDEX(Proposed[Description],MATCH(Calcs[[#This Row],[Line]],Proposed[Line],0)))),"")</f>
        <v/>
      </c>
      <c r="D42" s="96">
        <f t="shared" ca="1" si="16"/>
        <v>0</v>
      </c>
      <c r="E42" s="97">
        <f t="shared" ca="1" si="16"/>
        <v>0</v>
      </c>
      <c r="F42" s="97">
        <f t="shared" ca="1" si="16"/>
        <v>0</v>
      </c>
      <c r="G42" s="97">
        <f t="shared" ca="1" si="16"/>
        <v>0</v>
      </c>
      <c r="H42" s="97">
        <f t="shared" ca="1" si="16"/>
        <v>0</v>
      </c>
      <c r="I42" s="97">
        <f t="shared" ca="1" si="16"/>
        <v>0</v>
      </c>
      <c r="J42" s="97">
        <f t="shared" ca="1" si="16"/>
        <v>0</v>
      </c>
      <c r="K42" s="97">
        <f t="shared" ca="1" si="16"/>
        <v>0</v>
      </c>
      <c r="L42" s="97">
        <f t="shared" ca="1" si="16"/>
        <v>0</v>
      </c>
      <c r="M42" s="97">
        <f t="shared" ca="1" si="16"/>
        <v>0</v>
      </c>
      <c r="N42" s="97">
        <f t="shared" ca="1" si="16"/>
        <v>0</v>
      </c>
      <c r="O42" s="97">
        <f t="shared" ca="1" si="16"/>
        <v>0</v>
      </c>
      <c r="P42" s="97">
        <f t="shared" ca="1" si="16"/>
        <v>0</v>
      </c>
      <c r="Q42" s="97">
        <f t="shared" ca="1" si="16"/>
        <v>0</v>
      </c>
      <c r="R42" s="97">
        <f t="shared" ca="1" si="16"/>
        <v>0</v>
      </c>
      <c r="S42" s="97">
        <f t="shared" ca="1" si="16"/>
        <v>0</v>
      </c>
      <c r="T42" s="97">
        <f t="shared" ca="1" si="12"/>
        <v>0</v>
      </c>
      <c r="U42" s="97">
        <f t="shared" ca="1" si="12"/>
        <v>0</v>
      </c>
      <c r="V42" s="97">
        <f t="shared" ca="1" si="12"/>
        <v>0</v>
      </c>
      <c r="W42" s="97">
        <f t="shared" ca="1" si="12"/>
        <v>0</v>
      </c>
      <c r="X42" s="97">
        <f t="shared" ca="1" si="12"/>
        <v>0</v>
      </c>
      <c r="Y42" s="97">
        <f t="shared" ca="1" si="12"/>
        <v>0</v>
      </c>
      <c r="Z42" s="97">
        <f t="shared" ca="1" si="12"/>
        <v>0</v>
      </c>
      <c r="AA42" s="97">
        <f t="shared" ca="1" si="12"/>
        <v>0</v>
      </c>
      <c r="AB42" s="97">
        <f t="shared" ca="1" si="12"/>
        <v>0</v>
      </c>
      <c r="AC42" s="97">
        <f t="shared" ca="1" si="12"/>
        <v>0</v>
      </c>
      <c r="AD42" s="97">
        <f t="shared" ca="1" si="12"/>
        <v>0</v>
      </c>
      <c r="AE42" s="97">
        <f t="shared" ca="1" si="12"/>
        <v>0</v>
      </c>
      <c r="AF42" s="97">
        <f t="shared" ca="1" si="12"/>
        <v>0</v>
      </c>
      <c r="AG42" s="97">
        <f t="shared" ca="1" si="12"/>
        <v>0</v>
      </c>
      <c r="AH42" s="97">
        <f t="shared" ca="1" si="12"/>
        <v>0</v>
      </c>
      <c r="AI42" s="97">
        <f t="shared" ca="1" si="18"/>
        <v>0</v>
      </c>
      <c r="AJ42" s="98">
        <f t="shared" ca="1" si="13"/>
        <v>0</v>
      </c>
      <c r="AK42" s="97">
        <f t="shared" ca="1" si="13"/>
        <v>0</v>
      </c>
      <c r="AL42" s="97">
        <f t="shared" ca="1" si="13"/>
        <v>0</v>
      </c>
      <c r="AM42" s="97">
        <f t="shared" ca="1" si="13"/>
        <v>0</v>
      </c>
      <c r="AN42" s="97">
        <f t="shared" ca="1" si="13"/>
        <v>0</v>
      </c>
      <c r="AO42" s="97">
        <f t="shared" ca="1" si="13"/>
        <v>0</v>
      </c>
      <c r="AP42" s="97">
        <f t="shared" ca="1" si="13"/>
        <v>0</v>
      </c>
      <c r="AQ42" s="97">
        <f t="shared" ca="1" si="13"/>
        <v>0</v>
      </c>
      <c r="AR42" s="99">
        <f ca="1">COUNTIF(AJ42:AQ42,"&lt;"&amp;MAX(AJ42:AQ42))+IF(Calcs[[#This Row],[DL1]]=0,0,1)</f>
        <v>0</v>
      </c>
      <c r="AS42" s="100" t="str">
        <f ca="1">IF(LEN(Calcs[[#This Row],[Line]])&gt;0,IF(RIGHT(Calcs[[#This Row],[Remark]],3)=".  ",LEFT(Calcs[[#This Row],[Remark]],LEN(Calcs[[#This Row],[Remark]])-3),Calcs[[#This Row],[Remark]]),"")</f>
        <v/>
      </c>
      <c r="AT42" s="96">
        <f t="shared" ca="1" si="17"/>
        <v>0</v>
      </c>
      <c r="AU42" s="102">
        <f t="shared" ca="1" si="17"/>
        <v>0</v>
      </c>
      <c r="AV42" s="102">
        <f t="shared" ca="1" si="17"/>
        <v>0</v>
      </c>
      <c r="AW42" s="102">
        <f t="shared" ca="1" si="17"/>
        <v>0</v>
      </c>
      <c r="AX42" s="102">
        <f t="shared" ca="1" si="17"/>
        <v>0</v>
      </c>
      <c r="AY42" s="102">
        <f t="shared" ca="1" si="17"/>
        <v>0</v>
      </c>
      <c r="AZ42" s="102">
        <f t="shared" ca="1" si="17"/>
        <v>0</v>
      </c>
      <c r="BA42" s="102">
        <f t="shared" ca="1" si="17"/>
        <v>0</v>
      </c>
      <c r="BB42" s="102">
        <f t="shared" ca="1" si="17"/>
        <v>0</v>
      </c>
      <c r="BC42" s="102">
        <f t="shared" ca="1" si="17"/>
        <v>0</v>
      </c>
      <c r="BD42" s="102">
        <f t="shared" ca="1" si="17"/>
        <v>0</v>
      </c>
      <c r="BE42" s="102">
        <f t="shared" ca="1" si="17"/>
        <v>0</v>
      </c>
      <c r="BF42" s="102">
        <f t="shared" ca="1" si="17"/>
        <v>0</v>
      </c>
      <c r="BG42" s="102">
        <f t="shared" ca="1" si="17"/>
        <v>0</v>
      </c>
      <c r="BH42" s="102">
        <f t="shared" ca="1" si="17"/>
        <v>0</v>
      </c>
      <c r="BI42" s="102">
        <f t="shared" ca="1" si="17"/>
        <v>0</v>
      </c>
      <c r="BJ42" s="102">
        <f t="shared" ca="1" si="14"/>
        <v>0</v>
      </c>
      <c r="BK42" s="102">
        <f t="shared" ca="1" si="14"/>
        <v>0</v>
      </c>
      <c r="BL42" s="102">
        <f t="shared" ca="1" si="14"/>
        <v>0</v>
      </c>
      <c r="BM42" s="102">
        <f t="shared" ca="1" si="14"/>
        <v>0</v>
      </c>
      <c r="BN42" s="102">
        <f t="shared" ca="1" si="14"/>
        <v>0</v>
      </c>
      <c r="BO42" s="102">
        <f t="shared" ca="1" si="14"/>
        <v>0</v>
      </c>
      <c r="BP42" s="102">
        <f t="shared" ca="1" si="14"/>
        <v>0</v>
      </c>
      <c r="BQ42" s="102">
        <f t="shared" ca="1" si="14"/>
        <v>0</v>
      </c>
      <c r="BR42" s="102">
        <f t="shared" ca="1" si="14"/>
        <v>0</v>
      </c>
      <c r="BS42" s="102">
        <f t="shared" ca="1" si="14"/>
        <v>0</v>
      </c>
      <c r="BT42" s="102">
        <f t="shared" ca="1" si="14"/>
        <v>0</v>
      </c>
      <c r="BU42" s="102">
        <f t="shared" ca="1" si="14"/>
        <v>0</v>
      </c>
      <c r="BV42" s="102">
        <f t="shared" ca="1" si="14"/>
        <v>0</v>
      </c>
      <c r="BW42" s="102">
        <f t="shared" ca="1" si="14"/>
        <v>0</v>
      </c>
      <c r="BX42" s="102">
        <f t="shared" ca="1" si="14"/>
        <v>0</v>
      </c>
      <c r="BY42" s="102">
        <f t="shared" ca="1" si="19"/>
        <v>0</v>
      </c>
      <c r="BZ42" s="98">
        <f t="shared" ca="1" si="15"/>
        <v>0</v>
      </c>
      <c r="CA42" s="102">
        <f t="shared" ca="1" si="15"/>
        <v>0</v>
      </c>
      <c r="CB42" s="102">
        <f t="shared" ca="1" si="15"/>
        <v>0</v>
      </c>
      <c r="CC42" s="102">
        <f t="shared" ca="1" si="15"/>
        <v>0</v>
      </c>
      <c r="CD42" s="102">
        <f t="shared" ca="1" si="15"/>
        <v>0</v>
      </c>
      <c r="CE42" s="102">
        <f t="shared" ca="1" si="15"/>
        <v>0</v>
      </c>
      <c r="CF42" s="102">
        <f t="shared" ca="1" si="15"/>
        <v>0</v>
      </c>
      <c r="CG42" s="102">
        <f t="shared" ca="1" si="15"/>
        <v>0</v>
      </c>
      <c r="CH42" s="101">
        <f ca="1">COUNTIF(BZ42:CG42,"&lt;"&amp;MAX(BZ42:CG42))+IF(Calcs[[#This Row],[RL1]]=0,0,1)</f>
        <v>0</v>
      </c>
      <c r="CI4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2" s="103">
        <f ca="1">IFERROR(OFFSET(CJ42,-1,0)+0,0)+IF(INDEX(INDIRECT(RangeContrQty),MATCH(Calcs[[#This Row],[Line]],OFFSET(Items[Line],0,0,ROW(Proposed[])-ROW(Items[])+ROWS(Proposed[]),1),0)),1,0)</f>
        <v>0</v>
      </c>
    </row>
    <row r="43" spans="1:88" x14ac:dyDescent="0.15">
      <c r="A43" s="6">
        <f ca="1">IFERROR(OFFSET(A43,-1,0)+0,0)+MAX(IF(LEN(Calcs[[#This Row],[Line]])&gt;0,1,0),Calcs[[#This Row],[DL]],Calcs[[#This Row],[RL]])</f>
        <v>10</v>
      </c>
      <c r="B43" s="94" t="str">
        <f ca="1">IFERROR(INDEX(OFFSET(Items[Line],0,0,ROW(Proposed[])-ROW(Items[])+ROWS(Proposed[]),1),MATCH(ROW(B43)-ROW(B$3),INDIRECT(RangeCount),0)),"")</f>
        <v/>
      </c>
      <c r="C43" s="94" t="str">
        <f ca="1">IF(LEN(Calcs[[#This Row],[Line]])&gt;0,TRIM(IFERROR(INDEX(Items[Description],MATCH(Calcs[[#This Row],[Line]],Items[Line],0))&amp;INDEX(Items[Description2],MATCH(Calcs[[#This Row],[Line]],Items[Line],0)),INDEX(Proposed[Description],MATCH(Calcs[[#This Row],[Line]],Proposed[Line],0)))),"")</f>
        <v/>
      </c>
      <c r="D43" s="96">
        <f t="shared" ca="1" si="16"/>
        <v>0</v>
      </c>
      <c r="E43" s="97">
        <f t="shared" ca="1" si="16"/>
        <v>0</v>
      </c>
      <c r="F43" s="97">
        <f t="shared" ca="1" si="16"/>
        <v>0</v>
      </c>
      <c r="G43" s="97">
        <f t="shared" ca="1" si="16"/>
        <v>0</v>
      </c>
      <c r="H43" s="97">
        <f t="shared" ca="1" si="16"/>
        <v>0</v>
      </c>
      <c r="I43" s="97">
        <f t="shared" ca="1" si="16"/>
        <v>0</v>
      </c>
      <c r="J43" s="97">
        <f t="shared" ca="1" si="16"/>
        <v>0</v>
      </c>
      <c r="K43" s="97">
        <f t="shared" ca="1" si="16"/>
        <v>0</v>
      </c>
      <c r="L43" s="97">
        <f t="shared" ca="1" si="16"/>
        <v>0</v>
      </c>
      <c r="M43" s="97">
        <f t="shared" ca="1" si="16"/>
        <v>0</v>
      </c>
      <c r="N43" s="97">
        <f t="shared" ca="1" si="16"/>
        <v>0</v>
      </c>
      <c r="O43" s="97">
        <f t="shared" ca="1" si="16"/>
        <v>0</v>
      </c>
      <c r="P43" s="97">
        <f t="shared" ca="1" si="16"/>
        <v>0</v>
      </c>
      <c r="Q43" s="97">
        <f t="shared" ca="1" si="16"/>
        <v>0</v>
      </c>
      <c r="R43" s="97">
        <f t="shared" ca="1" si="16"/>
        <v>0</v>
      </c>
      <c r="S43" s="97">
        <f t="shared" ca="1" si="16"/>
        <v>0</v>
      </c>
      <c r="T43" s="97">
        <f t="shared" ca="1" si="12"/>
        <v>0</v>
      </c>
      <c r="U43" s="97">
        <f t="shared" ca="1" si="12"/>
        <v>0</v>
      </c>
      <c r="V43" s="97">
        <f t="shared" ca="1" si="12"/>
        <v>0</v>
      </c>
      <c r="W43" s="97">
        <f t="shared" ca="1" si="12"/>
        <v>0</v>
      </c>
      <c r="X43" s="97">
        <f t="shared" ca="1" si="12"/>
        <v>0</v>
      </c>
      <c r="Y43" s="97">
        <f t="shared" ca="1" si="12"/>
        <v>0</v>
      </c>
      <c r="Z43" s="97">
        <f t="shared" ca="1" si="12"/>
        <v>0</v>
      </c>
      <c r="AA43" s="97">
        <f t="shared" ca="1" si="12"/>
        <v>0</v>
      </c>
      <c r="AB43" s="97">
        <f t="shared" ca="1" si="12"/>
        <v>0</v>
      </c>
      <c r="AC43" s="97">
        <f t="shared" ca="1" si="12"/>
        <v>0</v>
      </c>
      <c r="AD43" s="97">
        <f t="shared" ca="1" si="12"/>
        <v>0</v>
      </c>
      <c r="AE43" s="97">
        <f t="shared" ca="1" si="12"/>
        <v>0</v>
      </c>
      <c r="AF43" s="97">
        <f t="shared" ca="1" si="12"/>
        <v>0</v>
      </c>
      <c r="AG43" s="97">
        <f t="shared" ca="1" si="12"/>
        <v>0</v>
      </c>
      <c r="AH43" s="97">
        <f t="shared" ca="1" si="12"/>
        <v>0</v>
      </c>
      <c r="AI43" s="97">
        <f t="shared" ca="1" si="18"/>
        <v>0</v>
      </c>
      <c r="AJ43" s="98">
        <f t="shared" ca="1" si="13"/>
        <v>0</v>
      </c>
      <c r="AK43" s="97">
        <f t="shared" ca="1" si="13"/>
        <v>0</v>
      </c>
      <c r="AL43" s="97">
        <f t="shared" ca="1" si="13"/>
        <v>0</v>
      </c>
      <c r="AM43" s="97">
        <f t="shared" ca="1" si="13"/>
        <v>0</v>
      </c>
      <c r="AN43" s="97">
        <f t="shared" ca="1" si="13"/>
        <v>0</v>
      </c>
      <c r="AO43" s="97">
        <f t="shared" ca="1" si="13"/>
        <v>0</v>
      </c>
      <c r="AP43" s="97">
        <f t="shared" ca="1" si="13"/>
        <v>0</v>
      </c>
      <c r="AQ43" s="97">
        <f t="shared" ca="1" si="13"/>
        <v>0</v>
      </c>
      <c r="AR43" s="99">
        <f ca="1">COUNTIF(AJ43:AQ43,"&lt;"&amp;MAX(AJ43:AQ43))+IF(Calcs[[#This Row],[DL1]]=0,0,1)</f>
        <v>0</v>
      </c>
      <c r="AS43" s="100" t="str">
        <f ca="1">IF(LEN(Calcs[[#This Row],[Line]])&gt;0,IF(RIGHT(Calcs[[#This Row],[Remark]],3)=".  ",LEFT(Calcs[[#This Row],[Remark]],LEN(Calcs[[#This Row],[Remark]])-3),Calcs[[#This Row],[Remark]]),"")</f>
        <v/>
      </c>
      <c r="AT43" s="96">
        <f t="shared" ca="1" si="17"/>
        <v>0</v>
      </c>
      <c r="AU43" s="102">
        <f t="shared" ca="1" si="17"/>
        <v>0</v>
      </c>
      <c r="AV43" s="102">
        <f t="shared" ca="1" si="17"/>
        <v>0</v>
      </c>
      <c r="AW43" s="102">
        <f t="shared" ca="1" si="17"/>
        <v>0</v>
      </c>
      <c r="AX43" s="102">
        <f t="shared" ca="1" si="17"/>
        <v>0</v>
      </c>
      <c r="AY43" s="102">
        <f t="shared" ca="1" si="17"/>
        <v>0</v>
      </c>
      <c r="AZ43" s="102">
        <f t="shared" ca="1" si="17"/>
        <v>0</v>
      </c>
      <c r="BA43" s="102">
        <f t="shared" ca="1" si="17"/>
        <v>0</v>
      </c>
      <c r="BB43" s="102">
        <f t="shared" ca="1" si="17"/>
        <v>0</v>
      </c>
      <c r="BC43" s="102">
        <f t="shared" ca="1" si="17"/>
        <v>0</v>
      </c>
      <c r="BD43" s="102">
        <f t="shared" ca="1" si="17"/>
        <v>0</v>
      </c>
      <c r="BE43" s="102">
        <f t="shared" ca="1" si="17"/>
        <v>0</v>
      </c>
      <c r="BF43" s="102">
        <f t="shared" ca="1" si="17"/>
        <v>0</v>
      </c>
      <c r="BG43" s="102">
        <f t="shared" ca="1" si="17"/>
        <v>0</v>
      </c>
      <c r="BH43" s="102">
        <f t="shared" ca="1" si="17"/>
        <v>0</v>
      </c>
      <c r="BI43" s="102">
        <f t="shared" ca="1" si="17"/>
        <v>0</v>
      </c>
      <c r="BJ43" s="102">
        <f t="shared" ca="1" si="14"/>
        <v>0</v>
      </c>
      <c r="BK43" s="102">
        <f t="shared" ca="1" si="14"/>
        <v>0</v>
      </c>
      <c r="BL43" s="102">
        <f t="shared" ca="1" si="14"/>
        <v>0</v>
      </c>
      <c r="BM43" s="102">
        <f t="shared" ca="1" si="14"/>
        <v>0</v>
      </c>
      <c r="BN43" s="102">
        <f t="shared" ca="1" si="14"/>
        <v>0</v>
      </c>
      <c r="BO43" s="102">
        <f t="shared" ca="1" si="14"/>
        <v>0</v>
      </c>
      <c r="BP43" s="102">
        <f t="shared" ca="1" si="14"/>
        <v>0</v>
      </c>
      <c r="BQ43" s="102">
        <f t="shared" ca="1" si="14"/>
        <v>0</v>
      </c>
      <c r="BR43" s="102">
        <f t="shared" ca="1" si="14"/>
        <v>0</v>
      </c>
      <c r="BS43" s="102">
        <f t="shared" ca="1" si="14"/>
        <v>0</v>
      </c>
      <c r="BT43" s="102">
        <f t="shared" ca="1" si="14"/>
        <v>0</v>
      </c>
      <c r="BU43" s="102">
        <f t="shared" ca="1" si="14"/>
        <v>0</v>
      </c>
      <c r="BV43" s="102">
        <f t="shared" ca="1" si="14"/>
        <v>0</v>
      </c>
      <c r="BW43" s="102">
        <f t="shared" ca="1" si="14"/>
        <v>0</v>
      </c>
      <c r="BX43" s="102">
        <f t="shared" ca="1" si="14"/>
        <v>0</v>
      </c>
      <c r="BY43" s="102">
        <f t="shared" ca="1" si="19"/>
        <v>0</v>
      </c>
      <c r="BZ43" s="98">
        <f t="shared" ca="1" si="15"/>
        <v>0</v>
      </c>
      <c r="CA43" s="102">
        <f t="shared" ca="1" si="15"/>
        <v>0</v>
      </c>
      <c r="CB43" s="102">
        <f t="shared" ca="1" si="15"/>
        <v>0</v>
      </c>
      <c r="CC43" s="102">
        <f t="shared" ca="1" si="15"/>
        <v>0</v>
      </c>
      <c r="CD43" s="102">
        <f t="shared" ca="1" si="15"/>
        <v>0</v>
      </c>
      <c r="CE43" s="102">
        <f t="shared" ca="1" si="15"/>
        <v>0</v>
      </c>
      <c r="CF43" s="102">
        <f t="shared" ca="1" si="15"/>
        <v>0</v>
      </c>
      <c r="CG43" s="102">
        <f t="shared" ca="1" si="15"/>
        <v>0</v>
      </c>
      <c r="CH43" s="101">
        <f ca="1">COUNTIF(BZ43:CG43,"&lt;"&amp;MAX(BZ43:CG43))+IF(Calcs[[#This Row],[RL1]]=0,0,1)</f>
        <v>0</v>
      </c>
      <c r="CI4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3" s="103">
        <f ca="1">IFERROR(OFFSET(CJ43,-1,0)+0,0)+IF(INDEX(INDIRECT(RangeContrQty),MATCH(Calcs[[#This Row],[Line]],OFFSET(Items[Line],0,0,ROW(Proposed[])-ROW(Items[])+ROWS(Proposed[]),1),0)),1,0)</f>
        <v>0</v>
      </c>
    </row>
    <row r="44" spans="1:88" x14ac:dyDescent="0.15">
      <c r="A44" s="6">
        <f ca="1">IFERROR(OFFSET(A44,-1,0)+0,0)+MAX(IF(LEN(Calcs[[#This Row],[Line]])&gt;0,1,0),Calcs[[#This Row],[DL]],Calcs[[#This Row],[RL]])</f>
        <v>10</v>
      </c>
      <c r="B44" s="94" t="str">
        <f ca="1">IFERROR(INDEX(OFFSET(Items[Line],0,0,ROW(Proposed[])-ROW(Items[])+ROWS(Proposed[]),1),MATCH(ROW(B44)-ROW(B$3),INDIRECT(RangeCount),0)),"")</f>
        <v/>
      </c>
      <c r="C44" s="94" t="str">
        <f ca="1">IF(LEN(Calcs[[#This Row],[Line]])&gt;0,TRIM(IFERROR(INDEX(Items[Description],MATCH(Calcs[[#This Row],[Line]],Items[Line],0))&amp;INDEX(Items[Description2],MATCH(Calcs[[#This Row],[Line]],Items[Line],0)),INDEX(Proposed[Description],MATCH(Calcs[[#This Row],[Line]],Proposed[Line],0)))),"")</f>
        <v/>
      </c>
      <c r="D44" s="96">
        <f t="shared" ca="1" si="16"/>
        <v>0</v>
      </c>
      <c r="E44" s="97">
        <f t="shared" ca="1" si="16"/>
        <v>0</v>
      </c>
      <c r="F44" s="97">
        <f t="shared" ca="1" si="16"/>
        <v>0</v>
      </c>
      <c r="G44" s="97">
        <f t="shared" ca="1" si="16"/>
        <v>0</v>
      </c>
      <c r="H44" s="97">
        <f t="shared" ca="1" si="16"/>
        <v>0</v>
      </c>
      <c r="I44" s="97">
        <f t="shared" ca="1" si="16"/>
        <v>0</v>
      </c>
      <c r="J44" s="97">
        <f t="shared" ca="1" si="16"/>
        <v>0</v>
      </c>
      <c r="K44" s="97">
        <f t="shared" ca="1" si="16"/>
        <v>0</v>
      </c>
      <c r="L44" s="97">
        <f t="shared" ca="1" si="16"/>
        <v>0</v>
      </c>
      <c r="M44" s="97">
        <f t="shared" ca="1" si="16"/>
        <v>0</v>
      </c>
      <c r="N44" s="97">
        <f t="shared" ca="1" si="16"/>
        <v>0</v>
      </c>
      <c r="O44" s="97">
        <f t="shared" ca="1" si="16"/>
        <v>0</v>
      </c>
      <c r="P44" s="97">
        <f t="shared" ca="1" si="16"/>
        <v>0</v>
      </c>
      <c r="Q44" s="97">
        <f t="shared" ca="1" si="16"/>
        <v>0</v>
      </c>
      <c r="R44" s="97">
        <f t="shared" ca="1" si="16"/>
        <v>0</v>
      </c>
      <c r="S44" s="97">
        <f t="shared" ca="1" si="16"/>
        <v>0</v>
      </c>
      <c r="T44" s="97">
        <f t="shared" ca="1" si="12"/>
        <v>0</v>
      </c>
      <c r="U44" s="97">
        <f t="shared" ca="1" si="12"/>
        <v>0</v>
      </c>
      <c r="V44" s="97">
        <f t="shared" ca="1" si="12"/>
        <v>0</v>
      </c>
      <c r="W44" s="97">
        <f t="shared" ca="1" si="12"/>
        <v>0</v>
      </c>
      <c r="X44" s="97">
        <f t="shared" ca="1" si="12"/>
        <v>0</v>
      </c>
      <c r="Y44" s="97">
        <f t="shared" ca="1" si="12"/>
        <v>0</v>
      </c>
      <c r="Z44" s="97">
        <f t="shared" ca="1" si="12"/>
        <v>0</v>
      </c>
      <c r="AA44" s="97">
        <f t="shared" ca="1" si="12"/>
        <v>0</v>
      </c>
      <c r="AB44" s="97">
        <f t="shared" ca="1" si="12"/>
        <v>0</v>
      </c>
      <c r="AC44" s="97">
        <f t="shared" ca="1" si="12"/>
        <v>0</v>
      </c>
      <c r="AD44" s="97">
        <f t="shared" ca="1" si="12"/>
        <v>0</v>
      </c>
      <c r="AE44" s="97">
        <f t="shared" ca="1" si="12"/>
        <v>0</v>
      </c>
      <c r="AF44" s="97">
        <f t="shared" ca="1" si="12"/>
        <v>0</v>
      </c>
      <c r="AG44" s="97">
        <f t="shared" ca="1" si="12"/>
        <v>0</v>
      </c>
      <c r="AH44" s="97">
        <f t="shared" ca="1" si="12"/>
        <v>0</v>
      </c>
      <c r="AI44" s="97">
        <f t="shared" ca="1" si="18"/>
        <v>0</v>
      </c>
      <c r="AJ44" s="98">
        <f t="shared" ca="1" si="13"/>
        <v>0</v>
      </c>
      <c r="AK44" s="97">
        <f t="shared" ca="1" si="13"/>
        <v>0</v>
      </c>
      <c r="AL44" s="97">
        <f t="shared" ca="1" si="13"/>
        <v>0</v>
      </c>
      <c r="AM44" s="97">
        <f t="shared" ca="1" si="13"/>
        <v>0</v>
      </c>
      <c r="AN44" s="97">
        <f t="shared" ca="1" si="13"/>
        <v>0</v>
      </c>
      <c r="AO44" s="97">
        <f t="shared" ca="1" si="13"/>
        <v>0</v>
      </c>
      <c r="AP44" s="97">
        <f t="shared" ca="1" si="13"/>
        <v>0</v>
      </c>
      <c r="AQ44" s="97">
        <f t="shared" ca="1" si="13"/>
        <v>0</v>
      </c>
      <c r="AR44" s="99">
        <f ca="1">COUNTIF(AJ44:AQ44,"&lt;"&amp;MAX(AJ44:AQ44))+IF(Calcs[[#This Row],[DL1]]=0,0,1)</f>
        <v>0</v>
      </c>
      <c r="AS44" s="100" t="str">
        <f ca="1">IF(LEN(Calcs[[#This Row],[Line]])&gt;0,IF(RIGHT(Calcs[[#This Row],[Remark]],3)=".  ",LEFT(Calcs[[#This Row],[Remark]],LEN(Calcs[[#This Row],[Remark]])-3),Calcs[[#This Row],[Remark]]),"")</f>
        <v/>
      </c>
      <c r="AT44" s="96">
        <f t="shared" ca="1" si="17"/>
        <v>0</v>
      </c>
      <c r="AU44" s="102">
        <f t="shared" ca="1" si="17"/>
        <v>0</v>
      </c>
      <c r="AV44" s="102">
        <f t="shared" ca="1" si="17"/>
        <v>0</v>
      </c>
      <c r="AW44" s="102">
        <f t="shared" ca="1" si="17"/>
        <v>0</v>
      </c>
      <c r="AX44" s="102">
        <f t="shared" ca="1" si="17"/>
        <v>0</v>
      </c>
      <c r="AY44" s="102">
        <f t="shared" ca="1" si="17"/>
        <v>0</v>
      </c>
      <c r="AZ44" s="102">
        <f t="shared" ca="1" si="17"/>
        <v>0</v>
      </c>
      <c r="BA44" s="102">
        <f t="shared" ca="1" si="17"/>
        <v>0</v>
      </c>
      <c r="BB44" s="102">
        <f t="shared" ca="1" si="17"/>
        <v>0</v>
      </c>
      <c r="BC44" s="102">
        <f t="shared" ca="1" si="17"/>
        <v>0</v>
      </c>
      <c r="BD44" s="102">
        <f t="shared" ca="1" si="17"/>
        <v>0</v>
      </c>
      <c r="BE44" s="102">
        <f t="shared" ca="1" si="17"/>
        <v>0</v>
      </c>
      <c r="BF44" s="102">
        <f t="shared" ca="1" si="17"/>
        <v>0</v>
      </c>
      <c r="BG44" s="102">
        <f t="shared" ca="1" si="17"/>
        <v>0</v>
      </c>
      <c r="BH44" s="102">
        <f t="shared" ca="1" si="17"/>
        <v>0</v>
      </c>
      <c r="BI44" s="102">
        <f t="shared" ca="1" si="17"/>
        <v>0</v>
      </c>
      <c r="BJ44" s="102">
        <f t="shared" ca="1" si="14"/>
        <v>0</v>
      </c>
      <c r="BK44" s="102">
        <f t="shared" ca="1" si="14"/>
        <v>0</v>
      </c>
      <c r="BL44" s="102">
        <f t="shared" ca="1" si="14"/>
        <v>0</v>
      </c>
      <c r="BM44" s="102">
        <f t="shared" ca="1" si="14"/>
        <v>0</v>
      </c>
      <c r="BN44" s="102">
        <f t="shared" ca="1" si="14"/>
        <v>0</v>
      </c>
      <c r="BO44" s="102">
        <f t="shared" ca="1" si="14"/>
        <v>0</v>
      </c>
      <c r="BP44" s="102">
        <f t="shared" ca="1" si="14"/>
        <v>0</v>
      </c>
      <c r="BQ44" s="102">
        <f t="shared" ca="1" si="14"/>
        <v>0</v>
      </c>
      <c r="BR44" s="102">
        <f t="shared" ca="1" si="14"/>
        <v>0</v>
      </c>
      <c r="BS44" s="102">
        <f t="shared" ca="1" si="14"/>
        <v>0</v>
      </c>
      <c r="BT44" s="102">
        <f t="shared" ca="1" si="14"/>
        <v>0</v>
      </c>
      <c r="BU44" s="102">
        <f t="shared" ca="1" si="14"/>
        <v>0</v>
      </c>
      <c r="BV44" s="102">
        <f t="shared" ca="1" si="14"/>
        <v>0</v>
      </c>
      <c r="BW44" s="102">
        <f t="shared" ca="1" si="14"/>
        <v>0</v>
      </c>
      <c r="BX44" s="102">
        <f t="shared" ca="1" si="14"/>
        <v>0</v>
      </c>
      <c r="BY44" s="102">
        <f t="shared" ca="1" si="19"/>
        <v>0</v>
      </c>
      <c r="BZ44" s="98">
        <f t="shared" ca="1" si="15"/>
        <v>0</v>
      </c>
      <c r="CA44" s="102">
        <f t="shared" ca="1" si="15"/>
        <v>0</v>
      </c>
      <c r="CB44" s="102">
        <f t="shared" ca="1" si="15"/>
        <v>0</v>
      </c>
      <c r="CC44" s="102">
        <f t="shared" ca="1" si="15"/>
        <v>0</v>
      </c>
      <c r="CD44" s="102">
        <f t="shared" ca="1" si="15"/>
        <v>0</v>
      </c>
      <c r="CE44" s="102">
        <f t="shared" ca="1" si="15"/>
        <v>0</v>
      </c>
      <c r="CF44" s="102">
        <f t="shared" ca="1" si="15"/>
        <v>0</v>
      </c>
      <c r="CG44" s="102">
        <f t="shared" ca="1" si="15"/>
        <v>0</v>
      </c>
      <c r="CH44" s="101">
        <f ca="1">COUNTIF(BZ44:CG44,"&lt;"&amp;MAX(BZ44:CG44))+IF(Calcs[[#This Row],[RL1]]=0,0,1)</f>
        <v>0</v>
      </c>
      <c r="CI4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4" s="103">
        <f ca="1">IFERROR(OFFSET(CJ44,-1,0)+0,0)+IF(INDEX(INDIRECT(RangeContrQty),MATCH(Calcs[[#This Row],[Line]],OFFSET(Items[Line],0,0,ROW(Proposed[])-ROW(Items[])+ROWS(Proposed[]),1),0)),1,0)</f>
        <v>0</v>
      </c>
    </row>
    <row r="45" spans="1:88" x14ac:dyDescent="0.15">
      <c r="A45" s="6">
        <f ca="1">IFERROR(OFFSET(A45,-1,0)+0,0)+MAX(IF(LEN(Calcs[[#This Row],[Line]])&gt;0,1,0),Calcs[[#This Row],[DL]],Calcs[[#This Row],[RL]])</f>
        <v>10</v>
      </c>
      <c r="B45" s="94" t="str">
        <f ca="1">IFERROR(INDEX(OFFSET(Items[Line],0,0,ROW(Proposed[])-ROW(Items[])+ROWS(Proposed[]),1),MATCH(ROW(B45)-ROW(B$3),INDIRECT(RangeCount),0)),"")</f>
        <v/>
      </c>
      <c r="C45" s="94" t="str">
        <f ca="1">IF(LEN(Calcs[[#This Row],[Line]])&gt;0,TRIM(IFERROR(INDEX(Items[Description],MATCH(Calcs[[#This Row],[Line]],Items[Line],0))&amp;INDEX(Items[Description2],MATCH(Calcs[[#This Row],[Line]],Items[Line],0)),INDEX(Proposed[Description],MATCH(Calcs[[#This Row],[Line]],Proposed[Line],0)))),"")</f>
        <v/>
      </c>
      <c r="D45" s="96">
        <f t="shared" ca="1" si="16"/>
        <v>0</v>
      </c>
      <c r="E45" s="97">
        <f t="shared" ca="1" si="16"/>
        <v>0</v>
      </c>
      <c r="F45" s="97">
        <f t="shared" ca="1" si="16"/>
        <v>0</v>
      </c>
      <c r="G45" s="97">
        <f t="shared" ca="1" si="16"/>
        <v>0</v>
      </c>
      <c r="H45" s="97">
        <f t="shared" ca="1" si="16"/>
        <v>0</v>
      </c>
      <c r="I45" s="97">
        <f t="shared" ca="1" si="16"/>
        <v>0</v>
      </c>
      <c r="J45" s="97">
        <f t="shared" ca="1" si="16"/>
        <v>0</v>
      </c>
      <c r="K45" s="97">
        <f t="shared" ca="1" si="16"/>
        <v>0</v>
      </c>
      <c r="L45" s="97">
        <f t="shared" ca="1" si="16"/>
        <v>0</v>
      </c>
      <c r="M45" s="97">
        <f t="shared" ca="1" si="16"/>
        <v>0</v>
      </c>
      <c r="N45" s="97">
        <f t="shared" ca="1" si="16"/>
        <v>0</v>
      </c>
      <c r="O45" s="97">
        <f t="shared" ca="1" si="16"/>
        <v>0</v>
      </c>
      <c r="P45" s="97">
        <f t="shared" ca="1" si="16"/>
        <v>0</v>
      </c>
      <c r="Q45" s="97">
        <f t="shared" ca="1" si="16"/>
        <v>0</v>
      </c>
      <c r="R45" s="97">
        <f t="shared" ca="1" si="16"/>
        <v>0</v>
      </c>
      <c r="S45" s="97">
        <f t="shared" ca="1" si="16"/>
        <v>0</v>
      </c>
      <c r="T45" s="97">
        <f t="shared" ca="1" si="12"/>
        <v>0</v>
      </c>
      <c r="U45" s="97">
        <f t="shared" ca="1" si="12"/>
        <v>0</v>
      </c>
      <c r="V45" s="97">
        <f t="shared" ca="1" si="12"/>
        <v>0</v>
      </c>
      <c r="W45" s="97">
        <f t="shared" ca="1" si="12"/>
        <v>0</v>
      </c>
      <c r="X45" s="97">
        <f t="shared" ca="1" si="12"/>
        <v>0</v>
      </c>
      <c r="Y45" s="97">
        <f t="shared" ca="1" si="12"/>
        <v>0</v>
      </c>
      <c r="Z45" s="97">
        <f t="shared" ca="1" si="12"/>
        <v>0</v>
      </c>
      <c r="AA45" s="97">
        <f t="shared" ca="1" si="12"/>
        <v>0</v>
      </c>
      <c r="AB45" s="97">
        <f t="shared" ca="1" si="12"/>
        <v>0</v>
      </c>
      <c r="AC45" s="97">
        <f t="shared" ca="1" si="12"/>
        <v>0</v>
      </c>
      <c r="AD45" s="97">
        <f t="shared" ca="1" si="12"/>
        <v>0</v>
      </c>
      <c r="AE45" s="97">
        <f t="shared" ca="1" si="12"/>
        <v>0</v>
      </c>
      <c r="AF45" s="97">
        <f t="shared" ca="1" si="12"/>
        <v>0</v>
      </c>
      <c r="AG45" s="97">
        <f t="shared" ca="1" si="12"/>
        <v>0</v>
      </c>
      <c r="AH45" s="97">
        <f t="shared" ca="1" si="12"/>
        <v>0</v>
      </c>
      <c r="AI45" s="97">
        <f t="shared" ca="1" si="18"/>
        <v>0</v>
      </c>
      <c r="AJ45" s="98">
        <f t="shared" ca="1" si="13"/>
        <v>0</v>
      </c>
      <c r="AK45" s="97">
        <f t="shared" ca="1" si="13"/>
        <v>0</v>
      </c>
      <c r="AL45" s="97">
        <f t="shared" ca="1" si="13"/>
        <v>0</v>
      </c>
      <c r="AM45" s="97">
        <f t="shared" ca="1" si="13"/>
        <v>0</v>
      </c>
      <c r="AN45" s="97">
        <f t="shared" ca="1" si="13"/>
        <v>0</v>
      </c>
      <c r="AO45" s="97">
        <f t="shared" ca="1" si="13"/>
        <v>0</v>
      </c>
      <c r="AP45" s="97">
        <f t="shared" ca="1" si="13"/>
        <v>0</v>
      </c>
      <c r="AQ45" s="97">
        <f t="shared" ca="1" si="13"/>
        <v>0</v>
      </c>
      <c r="AR45" s="99">
        <f ca="1">COUNTIF(AJ45:AQ45,"&lt;"&amp;MAX(AJ45:AQ45))+IF(Calcs[[#This Row],[DL1]]=0,0,1)</f>
        <v>0</v>
      </c>
      <c r="AS45" s="100" t="str">
        <f ca="1">IF(LEN(Calcs[[#This Row],[Line]])&gt;0,IF(RIGHT(Calcs[[#This Row],[Remark]],3)=".  ",LEFT(Calcs[[#This Row],[Remark]],LEN(Calcs[[#This Row],[Remark]])-3),Calcs[[#This Row],[Remark]]),"")</f>
        <v/>
      </c>
      <c r="AT45" s="96">
        <f t="shared" ca="1" si="17"/>
        <v>0</v>
      </c>
      <c r="AU45" s="102">
        <f t="shared" ca="1" si="17"/>
        <v>0</v>
      </c>
      <c r="AV45" s="102">
        <f t="shared" ca="1" si="17"/>
        <v>0</v>
      </c>
      <c r="AW45" s="102">
        <f t="shared" ca="1" si="17"/>
        <v>0</v>
      </c>
      <c r="AX45" s="102">
        <f t="shared" ca="1" si="17"/>
        <v>0</v>
      </c>
      <c r="AY45" s="102">
        <f t="shared" ca="1" si="17"/>
        <v>0</v>
      </c>
      <c r="AZ45" s="102">
        <f t="shared" ca="1" si="17"/>
        <v>0</v>
      </c>
      <c r="BA45" s="102">
        <f t="shared" ca="1" si="17"/>
        <v>0</v>
      </c>
      <c r="BB45" s="102">
        <f t="shared" ca="1" si="17"/>
        <v>0</v>
      </c>
      <c r="BC45" s="102">
        <f t="shared" ca="1" si="17"/>
        <v>0</v>
      </c>
      <c r="BD45" s="102">
        <f t="shared" ca="1" si="17"/>
        <v>0</v>
      </c>
      <c r="BE45" s="102">
        <f t="shared" ca="1" si="17"/>
        <v>0</v>
      </c>
      <c r="BF45" s="102">
        <f t="shared" ca="1" si="17"/>
        <v>0</v>
      </c>
      <c r="BG45" s="102">
        <f t="shared" ca="1" si="17"/>
        <v>0</v>
      </c>
      <c r="BH45" s="102">
        <f t="shared" ca="1" si="17"/>
        <v>0</v>
      </c>
      <c r="BI45" s="102">
        <f t="shared" ca="1" si="17"/>
        <v>0</v>
      </c>
      <c r="BJ45" s="102">
        <f t="shared" ca="1" si="14"/>
        <v>0</v>
      </c>
      <c r="BK45" s="102">
        <f t="shared" ca="1" si="14"/>
        <v>0</v>
      </c>
      <c r="BL45" s="102">
        <f t="shared" ca="1" si="14"/>
        <v>0</v>
      </c>
      <c r="BM45" s="102">
        <f t="shared" ca="1" si="14"/>
        <v>0</v>
      </c>
      <c r="BN45" s="102">
        <f t="shared" ca="1" si="14"/>
        <v>0</v>
      </c>
      <c r="BO45" s="102">
        <f t="shared" ca="1" si="14"/>
        <v>0</v>
      </c>
      <c r="BP45" s="102">
        <f t="shared" ca="1" si="14"/>
        <v>0</v>
      </c>
      <c r="BQ45" s="102">
        <f t="shared" ca="1" si="14"/>
        <v>0</v>
      </c>
      <c r="BR45" s="102">
        <f t="shared" ca="1" si="14"/>
        <v>0</v>
      </c>
      <c r="BS45" s="102">
        <f t="shared" ca="1" si="14"/>
        <v>0</v>
      </c>
      <c r="BT45" s="102">
        <f t="shared" ca="1" si="14"/>
        <v>0</v>
      </c>
      <c r="BU45" s="102">
        <f t="shared" ca="1" si="14"/>
        <v>0</v>
      </c>
      <c r="BV45" s="102">
        <f t="shared" ca="1" si="14"/>
        <v>0</v>
      </c>
      <c r="BW45" s="102">
        <f t="shared" ca="1" si="14"/>
        <v>0</v>
      </c>
      <c r="BX45" s="102">
        <f t="shared" ca="1" si="14"/>
        <v>0</v>
      </c>
      <c r="BY45" s="102">
        <f t="shared" ca="1" si="19"/>
        <v>0</v>
      </c>
      <c r="BZ45" s="98">
        <f t="shared" ca="1" si="15"/>
        <v>0</v>
      </c>
      <c r="CA45" s="102">
        <f t="shared" ca="1" si="15"/>
        <v>0</v>
      </c>
      <c r="CB45" s="102">
        <f t="shared" ca="1" si="15"/>
        <v>0</v>
      </c>
      <c r="CC45" s="102">
        <f t="shared" ca="1" si="15"/>
        <v>0</v>
      </c>
      <c r="CD45" s="102">
        <f t="shared" ca="1" si="15"/>
        <v>0</v>
      </c>
      <c r="CE45" s="102">
        <f t="shared" ca="1" si="15"/>
        <v>0</v>
      </c>
      <c r="CF45" s="102">
        <f t="shared" ca="1" si="15"/>
        <v>0</v>
      </c>
      <c r="CG45" s="102">
        <f t="shared" ca="1" si="15"/>
        <v>0</v>
      </c>
      <c r="CH45" s="101">
        <f ca="1">COUNTIF(BZ45:CG45,"&lt;"&amp;MAX(BZ45:CG45))+IF(Calcs[[#This Row],[RL1]]=0,0,1)</f>
        <v>0</v>
      </c>
      <c r="CI4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5" s="103">
        <f ca="1">IFERROR(OFFSET(CJ45,-1,0)+0,0)+IF(INDEX(INDIRECT(RangeContrQty),MATCH(Calcs[[#This Row],[Line]],OFFSET(Items[Line],0,0,ROW(Proposed[])-ROW(Items[])+ROWS(Proposed[]),1),0)),1,0)</f>
        <v>0</v>
      </c>
    </row>
    <row r="46" spans="1:88" x14ac:dyDescent="0.15">
      <c r="A46" s="6">
        <f ca="1">IFERROR(OFFSET(A46,-1,0)+0,0)+MAX(IF(LEN(Calcs[[#This Row],[Line]])&gt;0,1,0),Calcs[[#This Row],[DL]],Calcs[[#This Row],[RL]])</f>
        <v>10</v>
      </c>
      <c r="B46" s="94" t="str">
        <f ca="1">IFERROR(INDEX(OFFSET(Items[Line],0,0,ROW(Proposed[])-ROW(Items[])+ROWS(Proposed[]),1),MATCH(ROW(B46)-ROW(B$3),INDIRECT(RangeCount),0)),"")</f>
        <v/>
      </c>
      <c r="C46" s="94" t="str">
        <f ca="1">IF(LEN(Calcs[[#This Row],[Line]])&gt;0,TRIM(IFERROR(INDEX(Items[Description],MATCH(Calcs[[#This Row],[Line]],Items[Line],0))&amp;INDEX(Items[Description2],MATCH(Calcs[[#This Row],[Line]],Items[Line],0)),INDEX(Proposed[Description],MATCH(Calcs[[#This Row],[Line]],Proposed[Line],0)))),"")</f>
        <v/>
      </c>
      <c r="D46" s="96">
        <f t="shared" ca="1" si="16"/>
        <v>0</v>
      </c>
      <c r="E46" s="97">
        <f t="shared" ca="1" si="16"/>
        <v>0</v>
      </c>
      <c r="F46" s="97">
        <f t="shared" ca="1" si="16"/>
        <v>0</v>
      </c>
      <c r="G46" s="97">
        <f t="shared" ca="1" si="16"/>
        <v>0</v>
      </c>
      <c r="H46" s="97">
        <f t="shared" ca="1" si="16"/>
        <v>0</v>
      </c>
      <c r="I46" s="97">
        <f t="shared" ca="1" si="16"/>
        <v>0</v>
      </c>
      <c r="J46" s="97">
        <f t="shared" ca="1" si="16"/>
        <v>0</v>
      </c>
      <c r="K46" s="97">
        <f t="shared" ca="1" si="16"/>
        <v>0</v>
      </c>
      <c r="L46" s="97">
        <f t="shared" ca="1" si="16"/>
        <v>0</v>
      </c>
      <c r="M46" s="97">
        <f t="shared" ca="1" si="16"/>
        <v>0</v>
      </c>
      <c r="N46" s="97">
        <f t="shared" ca="1" si="16"/>
        <v>0</v>
      </c>
      <c r="O46" s="97">
        <f t="shared" ca="1" si="16"/>
        <v>0</v>
      </c>
      <c r="P46" s="97">
        <f t="shared" ca="1" si="16"/>
        <v>0</v>
      </c>
      <c r="Q46" s="97">
        <f t="shared" ca="1" si="16"/>
        <v>0</v>
      </c>
      <c r="R46" s="97">
        <f t="shared" ca="1" si="16"/>
        <v>0</v>
      </c>
      <c r="S46" s="97">
        <f t="shared" ca="1" si="16"/>
        <v>0</v>
      </c>
      <c r="T46" s="97">
        <f t="shared" ca="1" si="12"/>
        <v>0</v>
      </c>
      <c r="U46" s="97">
        <f t="shared" ca="1" si="12"/>
        <v>0</v>
      </c>
      <c r="V46" s="97">
        <f t="shared" ca="1" si="12"/>
        <v>0</v>
      </c>
      <c r="W46" s="97">
        <f t="shared" ca="1" si="12"/>
        <v>0</v>
      </c>
      <c r="X46" s="97">
        <f t="shared" ca="1" si="12"/>
        <v>0</v>
      </c>
      <c r="Y46" s="97">
        <f t="shared" ca="1" si="12"/>
        <v>0</v>
      </c>
      <c r="Z46" s="97">
        <f t="shared" ca="1" si="12"/>
        <v>0</v>
      </c>
      <c r="AA46" s="97">
        <f t="shared" ca="1" si="12"/>
        <v>0</v>
      </c>
      <c r="AB46" s="97">
        <f t="shared" ca="1" si="12"/>
        <v>0</v>
      </c>
      <c r="AC46" s="97">
        <f t="shared" ca="1" si="12"/>
        <v>0</v>
      </c>
      <c r="AD46" s="97">
        <f t="shared" ca="1" si="12"/>
        <v>0</v>
      </c>
      <c r="AE46" s="97">
        <f t="shared" ca="1" si="12"/>
        <v>0</v>
      </c>
      <c r="AF46" s="97">
        <f t="shared" ca="1" si="12"/>
        <v>0</v>
      </c>
      <c r="AG46" s="97">
        <f t="shared" ca="1" si="12"/>
        <v>0</v>
      </c>
      <c r="AH46" s="97">
        <f t="shared" ca="1" si="12"/>
        <v>0</v>
      </c>
      <c r="AI46" s="97">
        <f t="shared" ca="1" si="18"/>
        <v>0</v>
      </c>
      <c r="AJ46" s="98">
        <f t="shared" ca="1" si="13"/>
        <v>0</v>
      </c>
      <c r="AK46" s="97">
        <f t="shared" ca="1" si="13"/>
        <v>0</v>
      </c>
      <c r="AL46" s="97">
        <f t="shared" ca="1" si="13"/>
        <v>0</v>
      </c>
      <c r="AM46" s="97">
        <f t="shared" ca="1" si="13"/>
        <v>0</v>
      </c>
      <c r="AN46" s="97">
        <f t="shared" ca="1" si="13"/>
        <v>0</v>
      </c>
      <c r="AO46" s="97">
        <f t="shared" ca="1" si="13"/>
        <v>0</v>
      </c>
      <c r="AP46" s="97">
        <f t="shared" ca="1" si="13"/>
        <v>0</v>
      </c>
      <c r="AQ46" s="97">
        <f t="shared" ca="1" si="13"/>
        <v>0</v>
      </c>
      <c r="AR46" s="99">
        <f ca="1">COUNTIF(AJ46:AQ46,"&lt;"&amp;MAX(AJ46:AQ46))+IF(Calcs[[#This Row],[DL1]]=0,0,1)</f>
        <v>0</v>
      </c>
      <c r="AS46" s="100" t="str">
        <f ca="1">IF(LEN(Calcs[[#This Row],[Line]])&gt;0,IF(RIGHT(Calcs[[#This Row],[Remark]],3)=".  ",LEFT(Calcs[[#This Row],[Remark]],LEN(Calcs[[#This Row],[Remark]])-3),Calcs[[#This Row],[Remark]]),"")</f>
        <v/>
      </c>
      <c r="AT46" s="96">
        <f t="shared" ca="1" si="17"/>
        <v>0</v>
      </c>
      <c r="AU46" s="102">
        <f t="shared" ca="1" si="17"/>
        <v>0</v>
      </c>
      <c r="AV46" s="102">
        <f t="shared" ca="1" si="17"/>
        <v>0</v>
      </c>
      <c r="AW46" s="102">
        <f t="shared" ca="1" si="17"/>
        <v>0</v>
      </c>
      <c r="AX46" s="102">
        <f t="shared" ca="1" si="17"/>
        <v>0</v>
      </c>
      <c r="AY46" s="102">
        <f t="shared" ca="1" si="17"/>
        <v>0</v>
      </c>
      <c r="AZ46" s="102">
        <f t="shared" ca="1" si="17"/>
        <v>0</v>
      </c>
      <c r="BA46" s="102">
        <f t="shared" ca="1" si="17"/>
        <v>0</v>
      </c>
      <c r="BB46" s="102">
        <f t="shared" ca="1" si="17"/>
        <v>0</v>
      </c>
      <c r="BC46" s="102">
        <f t="shared" ca="1" si="17"/>
        <v>0</v>
      </c>
      <c r="BD46" s="102">
        <f t="shared" ca="1" si="17"/>
        <v>0</v>
      </c>
      <c r="BE46" s="102">
        <f t="shared" ca="1" si="17"/>
        <v>0</v>
      </c>
      <c r="BF46" s="102">
        <f t="shared" ca="1" si="17"/>
        <v>0</v>
      </c>
      <c r="BG46" s="102">
        <f t="shared" ca="1" si="17"/>
        <v>0</v>
      </c>
      <c r="BH46" s="102">
        <f t="shared" ca="1" si="17"/>
        <v>0</v>
      </c>
      <c r="BI46" s="102">
        <f t="shared" ca="1" si="17"/>
        <v>0</v>
      </c>
      <c r="BJ46" s="102">
        <f t="shared" ca="1" si="14"/>
        <v>0</v>
      </c>
      <c r="BK46" s="102">
        <f t="shared" ca="1" si="14"/>
        <v>0</v>
      </c>
      <c r="BL46" s="102">
        <f t="shared" ca="1" si="14"/>
        <v>0</v>
      </c>
      <c r="BM46" s="102">
        <f t="shared" ca="1" si="14"/>
        <v>0</v>
      </c>
      <c r="BN46" s="102">
        <f t="shared" ca="1" si="14"/>
        <v>0</v>
      </c>
      <c r="BO46" s="102">
        <f t="shared" ca="1" si="14"/>
        <v>0</v>
      </c>
      <c r="BP46" s="102">
        <f t="shared" ca="1" si="14"/>
        <v>0</v>
      </c>
      <c r="BQ46" s="102">
        <f t="shared" ca="1" si="14"/>
        <v>0</v>
      </c>
      <c r="BR46" s="102">
        <f t="shared" ca="1" si="14"/>
        <v>0</v>
      </c>
      <c r="BS46" s="102">
        <f t="shared" ca="1" si="14"/>
        <v>0</v>
      </c>
      <c r="BT46" s="102">
        <f t="shared" ca="1" si="14"/>
        <v>0</v>
      </c>
      <c r="BU46" s="102">
        <f t="shared" ca="1" si="14"/>
        <v>0</v>
      </c>
      <c r="BV46" s="102">
        <f t="shared" ca="1" si="14"/>
        <v>0</v>
      </c>
      <c r="BW46" s="102">
        <f t="shared" ca="1" si="14"/>
        <v>0</v>
      </c>
      <c r="BX46" s="102">
        <f t="shared" ca="1" si="14"/>
        <v>0</v>
      </c>
      <c r="BY46" s="102">
        <f t="shared" ca="1" si="19"/>
        <v>0</v>
      </c>
      <c r="BZ46" s="98">
        <f t="shared" ca="1" si="15"/>
        <v>0</v>
      </c>
      <c r="CA46" s="102">
        <f t="shared" ca="1" si="15"/>
        <v>0</v>
      </c>
      <c r="CB46" s="102">
        <f t="shared" ca="1" si="15"/>
        <v>0</v>
      </c>
      <c r="CC46" s="102">
        <f t="shared" ca="1" si="15"/>
        <v>0</v>
      </c>
      <c r="CD46" s="102">
        <f t="shared" ca="1" si="15"/>
        <v>0</v>
      </c>
      <c r="CE46" s="102">
        <f t="shared" ca="1" si="15"/>
        <v>0</v>
      </c>
      <c r="CF46" s="102">
        <f t="shared" ca="1" si="15"/>
        <v>0</v>
      </c>
      <c r="CG46" s="102">
        <f t="shared" ca="1" si="15"/>
        <v>0</v>
      </c>
      <c r="CH46" s="101">
        <f ca="1">COUNTIF(BZ46:CG46,"&lt;"&amp;MAX(BZ46:CG46))+IF(Calcs[[#This Row],[RL1]]=0,0,1)</f>
        <v>0</v>
      </c>
      <c r="CI4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6" s="103">
        <f ca="1">IFERROR(OFFSET(CJ46,-1,0)+0,0)+IF(INDEX(INDIRECT(RangeContrQty),MATCH(Calcs[[#This Row],[Line]],OFFSET(Items[Line],0,0,ROW(Proposed[])-ROW(Items[])+ROWS(Proposed[]),1),0)),1,0)</f>
        <v>0</v>
      </c>
    </row>
    <row r="47" spans="1:88" x14ac:dyDescent="0.15">
      <c r="A47" s="6">
        <f ca="1">IFERROR(OFFSET(A47,-1,0)+0,0)+MAX(IF(LEN(Calcs[[#This Row],[Line]])&gt;0,1,0),Calcs[[#This Row],[DL]],Calcs[[#This Row],[RL]])</f>
        <v>10</v>
      </c>
      <c r="B47" s="94" t="str">
        <f ca="1">IFERROR(INDEX(OFFSET(Items[Line],0,0,ROW(Proposed[])-ROW(Items[])+ROWS(Proposed[]),1),MATCH(ROW(B47)-ROW(B$3),INDIRECT(RangeCount),0)),"")</f>
        <v/>
      </c>
      <c r="C47" s="94" t="str">
        <f ca="1">IF(LEN(Calcs[[#This Row],[Line]])&gt;0,TRIM(IFERROR(INDEX(Items[Description],MATCH(Calcs[[#This Row],[Line]],Items[Line],0))&amp;INDEX(Items[Description2],MATCH(Calcs[[#This Row],[Line]],Items[Line],0)),INDEX(Proposed[Description],MATCH(Calcs[[#This Row],[Line]],Proposed[Line],0)))),"")</f>
        <v/>
      </c>
      <c r="D47" s="96">
        <f t="shared" ca="1" si="16"/>
        <v>0</v>
      </c>
      <c r="E47" s="97">
        <f t="shared" ca="1" si="16"/>
        <v>0</v>
      </c>
      <c r="F47" s="97">
        <f t="shared" ca="1" si="16"/>
        <v>0</v>
      </c>
      <c r="G47" s="97">
        <f t="shared" ca="1" si="16"/>
        <v>0</v>
      </c>
      <c r="H47" s="97">
        <f t="shared" ca="1" si="16"/>
        <v>0</v>
      </c>
      <c r="I47" s="97">
        <f t="shared" ca="1" si="16"/>
        <v>0</v>
      </c>
      <c r="J47" s="97">
        <f t="shared" ca="1" si="16"/>
        <v>0</v>
      </c>
      <c r="K47" s="97">
        <f t="shared" ca="1" si="16"/>
        <v>0</v>
      </c>
      <c r="L47" s="97">
        <f t="shared" ca="1" si="16"/>
        <v>0</v>
      </c>
      <c r="M47" s="97">
        <f t="shared" ca="1" si="16"/>
        <v>0</v>
      </c>
      <c r="N47" s="97">
        <f t="shared" ca="1" si="16"/>
        <v>0</v>
      </c>
      <c r="O47" s="97">
        <f t="shared" ca="1" si="16"/>
        <v>0</v>
      </c>
      <c r="P47" s="97">
        <f t="shared" ca="1" si="16"/>
        <v>0</v>
      </c>
      <c r="Q47" s="97">
        <f t="shared" ca="1" si="16"/>
        <v>0</v>
      </c>
      <c r="R47" s="97">
        <f t="shared" ca="1" si="16"/>
        <v>0</v>
      </c>
      <c r="S47" s="97">
        <f t="shared" ca="1" si="16"/>
        <v>0</v>
      </c>
      <c r="T47" s="97">
        <f t="shared" ca="1" si="12"/>
        <v>0</v>
      </c>
      <c r="U47" s="97">
        <f t="shared" ca="1" si="12"/>
        <v>0</v>
      </c>
      <c r="V47" s="97">
        <f t="shared" ca="1" si="12"/>
        <v>0</v>
      </c>
      <c r="W47" s="97">
        <f t="shared" ca="1" si="12"/>
        <v>0</v>
      </c>
      <c r="X47" s="97">
        <f t="shared" ca="1" si="12"/>
        <v>0</v>
      </c>
      <c r="Y47" s="97">
        <f t="shared" ca="1" si="12"/>
        <v>0</v>
      </c>
      <c r="Z47" s="97">
        <f t="shared" ca="1" si="12"/>
        <v>0</v>
      </c>
      <c r="AA47" s="97">
        <f t="shared" ca="1" si="12"/>
        <v>0</v>
      </c>
      <c r="AB47" s="97">
        <f t="shared" ca="1" si="12"/>
        <v>0</v>
      </c>
      <c r="AC47" s="97">
        <f t="shared" ca="1" si="12"/>
        <v>0</v>
      </c>
      <c r="AD47" s="97">
        <f t="shared" ca="1" si="12"/>
        <v>0</v>
      </c>
      <c r="AE47" s="97">
        <f t="shared" ca="1" si="12"/>
        <v>0</v>
      </c>
      <c r="AF47" s="97">
        <f t="shared" ca="1" si="12"/>
        <v>0</v>
      </c>
      <c r="AG47" s="97">
        <f t="shared" ca="1" si="12"/>
        <v>0</v>
      </c>
      <c r="AH47" s="97">
        <f t="shared" ca="1" si="12"/>
        <v>0</v>
      </c>
      <c r="AI47" s="97">
        <f t="shared" ca="1" si="18"/>
        <v>0</v>
      </c>
      <c r="AJ47" s="98">
        <f t="shared" ca="1" si="13"/>
        <v>0</v>
      </c>
      <c r="AK47" s="97">
        <f t="shared" ca="1" si="13"/>
        <v>0</v>
      </c>
      <c r="AL47" s="97">
        <f t="shared" ca="1" si="13"/>
        <v>0</v>
      </c>
      <c r="AM47" s="97">
        <f t="shared" ca="1" si="13"/>
        <v>0</v>
      </c>
      <c r="AN47" s="97">
        <f t="shared" ca="1" si="13"/>
        <v>0</v>
      </c>
      <c r="AO47" s="97">
        <f t="shared" ca="1" si="13"/>
        <v>0</v>
      </c>
      <c r="AP47" s="97">
        <f t="shared" ca="1" si="13"/>
        <v>0</v>
      </c>
      <c r="AQ47" s="97">
        <f t="shared" ca="1" si="13"/>
        <v>0</v>
      </c>
      <c r="AR47" s="99">
        <f ca="1">COUNTIF(AJ47:AQ47,"&lt;"&amp;MAX(AJ47:AQ47))+IF(Calcs[[#This Row],[DL1]]=0,0,1)</f>
        <v>0</v>
      </c>
      <c r="AS47" s="100" t="str">
        <f ca="1">IF(LEN(Calcs[[#This Row],[Line]])&gt;0,IF(RIGHT(Calcs[[#This Row],[Remark]],3)=".  ",LEFT(Calcs[[#This Row],[Remark]],LEN(Calcs[[#This Row],[Remark]])-3),Calcs[[#This Row],[Remark]]),"")</f>
        <v/>
      </c>
      <c r="AT47" s="96">
        <f t="shared" ca="1" si="17"/>
        <v>0</v>
      </c>
      <c r="AU47" s="102">
        <f t="shared" ca="1" si="17"/>
        <v>0</v>
      </c>
      <c r="AV47" s="102">
        <f t="shared" ca="1" si="17"/>
        <v>0</v>
      </c>
      <c r="AW47" s="102">
        <f t="shared" ca="1" si="17"/>
        <v>0</v>
      </c>
      <c r="AX47" s="102">
        <f t="shared" ca="1" si="17"/>
        <v>0</v>
      </c>
      <c r="AY47" s="102">
        <f t="shared" ca="1" si="17"/>
        <v>0</v>
      </c>
      <c r="AZ47" s="102">
        <f t="shared" ca="1" si="17"/>
        <v>0</v>
      </c>
      <c r="BA47" s="102">
        <f t="shared" ca="1" si="17"/>
        <v>0</v>
      </c>
      <c r="BB47" s="102">
        <f t="shared" ca="1" si="17"/>
        <v>0</v>
      </c>
      <c r="BC47" s="102">
        <f t="shared" ca="1" si="17"/>
        <v>0</v>
      </c>
      <c r="BD47" s="102">
        <f t="shared" ca="1" si="17"/>
        <v>0</v>
      </c>
      <c r="BE47" s="102">
        <f t="shared" ca="1" si="17"/>
        <v>0</v>
      </c>
      <c r="BF47" s="102">
        <f t="shared" ca="1" si="17"/>
        <v>0</v>
      </c>
      <c r="BG47" s="102">
        <f t="shared" ca="1" si="17"/>
        <v>0</v>
      </c>
      <c r="BH47" s="102">
        <f t="shared" ca="1" si="17"/>
        <v>0</v>
      </c>
      <c r="BI47" s="102">
        <f t="shared" ca="1" si="17"/>
        <v>0</v>
      </c>
      <c r="BJ47" s="102">
        <f t="shared" ca="1" si="14"/>
        <v>0</v>
      </c>
      <c r="BK47" s="102">
        <f t="shared" ca="1" si="14"/>
        <v>0</v>
      </c>
      <c r="BL47" s="102">
        <f t="shared" ca="1" si="14"/>
        <v>0</v>
      </c>
      <c r="BM47" s="102">
        <f t="shared" ca="1" si="14"/>
        <v>0</v>
      </c>
      <c r="BN47" s="102">
        <f t="shared" ca="1" si="14"/>
        <v>0</v>
      </c>
      <c r="BO47" s="102">
        <f t="shared" ca="1" si="14"/>
        <v>0</v>
      </c>
      <c r="BP47" s="102">
        <f t="shared" ca="1" si="14"/>
        <v>0</v>
      </c>
      <c r="BQ47" s="102">
        <f t="shared" ca="1" si="14"/>
        <v>0</v>
      </c>
      <c r="BR47" s="102">
        <f t="shared" ca="1" si="14"/>
        <v>0</v>
      </c>
      <c r="BS47" s="102">
        <f t="shared" ca="1" si="14"/>
        <v>0</v>
      </c>
      <c r="BT47" s="102">
        <f t="shared" ca="1" si="14"/>
        <v>0</v>
      </c>
      <c r="BU47" s="102">
        <f t="shared" ca="1" si="14"/>
        <v>0</v>
      </c>
      <c r="BV47" s="102">
        <f t="shared" ca="1" si="14"/>
        <v>0</v>
      </c>
      <c r="BW47" s="102">
        <f t="shared" ca="1" si="14"/>
        <v>0</v>
      </c>
      <c r="BX47" s="102">
        <f t="shared" ca="1" si="14"/>
        <v>0</v>
      </c>
      <c r="BY47" s="102">
        <f t="shared" ca="1" si="19"/>
        <v>0</v>
      </c>
      <c r="BZ47" s="98">
        <f t="shared" ca="1" si="15"/>
        <v>0</v>
      </c>
      <c r="CA47" s="102">
        <f t="shared" ca="1" si="15"/>
        <v>0</v>
      </c>
      <c r="CB47" s="102">
        <f t="shared" ca="1" si="15"/>
        <v>0</v>
      </c>
      <c r="CC47" s="102">
        <f t="shared" ca="1" si="15"/>
        <v>0</v>
      </c>
      <c r="CD47" s="102">
        <f t="shared" ca="1" si="15"/>
        <v>0</v>
      </c>
      <c r="CE47" s="102">
        <f t="shared" ca="1" si="15"/>
        <v>0</v>
      </c>
      <c r="CF47" s="102">
        <f t="shared" ca="1" si="15"/>
        <v>0</v>
      </c>
      <c r="CG47" s="102">
        <f t="shared" ca="1" si="15"/>
        <v>0</v>
      </c>
      <c r="CH47" s="101">
        <f ca="1">COUNTIF(BZ47:CG47,"&lt;"&amp;MAX(BZ47:CG47))+IF(Calcs[[#This Row],[RL1]]=0,0,1)</f>
        <v>0</v>
      </c>
      <c r="CI4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7" s="103">
        <f ca="1">IFERROR(OFFSET(CJ47,-1,0)+0,0)+IF(INDEX(INDIRECT(RangeContrQty),MATCH(Calcs[[#This Row],[Line]],OFFSET(Items[Line],0,0,ROW(Proposed[])-ROW(Items[])+ROWS(Proposed[]),1),0)),1,0)</f>
        <v>0</v>
      </c>
    </row>
    <row r="48" spans="1:88" x14ac:dyDescent="0.15">
      <c r="A48" s="6">
        <f ca="1">IFERROR(OFFSET(A48,-1,0)+0,0)+MAX(IF(LEN(Calcs[[#This Row],[Line]])&gt;0,1,0),Calcs[[#This Row],[DL]],Calcs[[#This Row],[RL]])</f>
        <v>10</v>
      </c>
      <c r="B48" s="94" t="str">
        <f ca="1">IFERROR(INDEX(OFFSET(Items[Line],0,0,ROW(Proposed[])-ROW(Items[])+ROWS(Proposed[]),1),MATCH(ROW(B48)-ROW(B$3),INDIRECT(RangeCount),0)),"")</f>
        <v/>
      </c>
      <c r="C48" s="94" t="str">
        <f ca="1">IF(LEN(Calcs[[#This Row],[Line]])&gt;0,TRIM(IFERROR(INDEX(Items[Description],MATCH(Calcs[[#This Row],[Line]],Items[Line],0))&amp;INDEX(Items[Description2],MATCH(Calcs[[#This Row],[Line]],Items[Line],0)),INDEX(Proposed[Description],MATCH(Calcs[[#This Row],[Line]],Proposed[Line],0)))),"")</f>
        <v/>
      </c>
      <c r="D48" s="96">
        <f t="shared" ca="1" si="16"/>
        <v>0</v>
      </c>
      <c r="E48" s="97">
        <f t="shared" ca="1" si="16"/>
        <v>0</v>
      </c>
      <c r="F48" s="97">
        <f t="shared" ca="1" si="16"/>
        <v>0</v>
      </c>
      <c r="G48" s="97">
        <f t="shared" ca="1" si="16"/>
        <v>0</v>
      </c>
      <c r="H48" s="97">
        <f t="shared" ca="1" si="16"/>
        <v>0</v>
      </c>
      <c r="I48" s="97">
        <f t="shared" ca="1" si="16"/>
        <v>0</v>
      </c>
      <c r="J48" s="97">
        <f t="shared" ca="1" si="16"/>
        <v>0</v>
      </c>
      <c r="K48" s="97">
        <f t="shared" ca="1" si="16"/>
        <v>0</v>
      </c>
      <c r="L48" s="97">
        <f t="shared" ca="1" si="16"/>
        <v>0</v>
      </c>
      <c r="M48" s="97">
        <f t="shared" ca="1" si="16"/>
        <v>0</v>
      </c>
      <c r="N48" s="97">
        <f t="shared" ca="1" si="16"/>
        <v>0</v>
      </c>
      <c r="O48" s="97">
        <f t="shared" ca="1" si="16"/>
        <v>0</v>
      </c>
      <c r="P48" s="97">
        <f t="shared" ca="1" si="16"/>
        <v>0</v>
      </c>
      <c r="Q48" s="97">
        <f t="shared" ca="1" si="16"/>
        <v>0</v>
      </c>
      <c r="R48" s="97">
        <f t="shared" ca="1" si="16"/>
        <v>0</v>
      </c>
      <c r="S48" s="97">
        <f t="shared" ca="1" si="16"/>
        <v>0</v>
      </c>
      <c r="T48" s="97">
        <f t="shared" ca="1" si="12"/>
        <v>0</v>
      </c>
      <c r="U48" s="97">
        <f t="shared" ca="1" si="12"/>
        <v>0</v>
      </c>
      <c r="V48" s="97">
        <f t="shared" ca="1" si="12"/>
        <v>0</v>
      </c>
      <c r="W48" s="97">
        <f t="shared" ca="1" si="12"/>
        <v>0</v>
      </c>
      <c r="X48" s="97">
        <f t="shared" ca="1" si="12"/>
        <v>0</v>
      </c>
      <c r="Y48" s="97">
        <f t="shared" ca="1" si="12"/>
        <v>0</v>
      </c>
      <c r="Z48" s="97">
        <f t="shared" ca="1" si="12"/>
        <v>0</v>
      </c>
      <c r="AA48" s="97">
        <f t="shared" ca="1" si="12"/>
        <v>0</v>
      </c>
      <c r="AB48" s="97">
        <f t="shared" ca="1" si="12"/>
        <v>0</v>
      </c>
      <c r="AC48" s="97">
        <f t="shared" ca="1" si="12"/>
        <v>0</v>
      </c>
      <c r="AD48" s="97">
        <f t="shared" ca="1" si="12"/>
        <v>0</v>
      </c>
      <c r="AE48" s="97">
        <f t="shared" ca="1" si="12"/>
        <v>0</v>
      </c>
      <c r="AF48" s="97">
        <f t="shared" ca="1" si="12"/>
        <v>0</v>
      </c>
      <c r="AG48" s="97">
        <f t="shared" ca="1" si="12"/>
        <v>0</v>
      </c>
      <c r="AH48" s="97">
        <f t="shared" ca="1" si="12"/>
        <v>0</v>
      </c>
      <c r="AI48" s="97">
        <f t="shared" ca="1" si="18"/>
        <v>0</v>
      </c>
      <c r="AJ48" s="98">
        <f t="shared" ca="1" si="13"/>
        <v>0</v>
      </c>
      <c r="AK48" s="97">
        <f t="shared" ca="1" si="13"/>
        <v>0</v>
      </c>
      <c r="AL48" s="97">
        <f t="shared" ca="1" si="13"/>
        <v>0</v>
      </c>
      <c r="AM48" s="97">
        <f t="shared" ca="1" si="13"/>
        <v>0</v>
      </c>
      <c r="AN48" s="97">
        <f t="shared" ca="1" si="13"/>
        <v>0</v>
      </c>
      <c r="AO48" s="97">
        <f t="shared" ca="1" si="13"/>
        <v>0</v>
      </c>
      <c r="AP48" s="97">
        <f t="shared" ca="1" si="13"/>
        <v>0</v>
      </c>
      <c r="AQ48" s="97">
        <f t="shared" ca="1" si="13"/>
        <v>0</v>
      </c>
      <c r="AR48" s="99">
        <f ca="1">COUNTIF(AJ48:AQ48,"&lt;"&amp;MAX(AJ48:AQ48))+IF(Calcs[[#This Row],[DL1]]=0,0,1)</f>
        <v>0</v>
      </c>
      <c r="AS48" s="100" t="str">
        <f ca="1">IF(LEN(Calcs[[#This Row],[Line]])&gt;0,IF(RIGHT(Calcs[[#This Row],[Remark]],3)=".  ",LEFT(Calcs[[#This Row],[Remark]],LEN(Calcs[[#This Row],[Remark]])-3),Calcs[[#This Row],[Remark]]),"")</f>
        <v/>
      </c>
      <c r="AT48" s="96">
        <f t="shared" ca="1" si="17"/>
        <v>0</v>
      </c>
      <c r="AU48" s="102">
        <f t="shared" ca="1" si="17"/>
        <v>0</v>
      </c>
      <c r="AV48" s="102">
        <f t="shared" ca="1" si="17"/>
        <v>0</v>
      </c>
      <c r="AW48" s="102">
        <f t="shared" ca="1" si="17"/>
        <v>0</v>
      </c>
      <c r="AX48" s="102">
        <f t="shared" ca="1" si="17"/>
        <v>0</v>
      </c>
      <c r="AY48" s="102">
        <f t="shared" ca="1" si="17"/>
        <v>0</v>
      </c>
      <c r="AZ48" s="102">
        <f t="shared" ca="1" si="17"/>
        <v>0</v>
      </c>
      <c r="BA48" s="102">
        <f t="shared" ca="1" si="17"/>
        <v>0</v>
      </c>
      <c r="BB48" s="102">
        <f t="shared" ca="1" si="17"/>
        <v>0</v>
      </c>
      <c r="BC48" s="102">
        <f t="shared" ca="1" si="17"/>
        <v>0</v>
      </c>
      <c r="BD48" s="102">
        <f t="shared" ca="1" si="17"/>
        <v>0</v>
      </c>
      <c r="BE48" s="102">
        <f t="shared" ca="1" si="17"/>
        <v>0</v>
      </c>
      <c r="BF48" s="102">
        <f t="shared" ca="1" si="17"/>
        <v>0</v>
      </c>
      <c r="BG48" s="102">
        <f t="shared" ca="1" si="17"/>
        <v>0</v>
      </c>
      <c r="BH48" s="102">
        <f t="shared" ca="1" si="17"/>
        <v>0</v>
      </c>
      <c r="BI48" s="102">
        <f t="shared" ca="1" si="17"/>
        <v>0</v>
      </c>
      <c r="BJ48" s="102">
        <f t="shared" ca="1" si="14"/>
        <v>0</v>
      </c>
      <c r="BK48" s="102">
        <f t="shared" ca="1" si="14"/>
        <v>0</v>
      </c>
      <c r="BL48" s="102">
        <f t="shared" ca="1" si="14"/>
        <v>0</v>
      </c>
      <c r="BM48" s="102">
        <f t="shared" ca="1" si="14"/>
        <v>0</v>
      </c>
      <c r="BN48" s="102">
        <f t="shared" ca="1" si="14"/>
        <v>0</v>
      </c>
      <c r="BO48" s="102">
        <f t="shared" ca="1" si="14"/>
        <v>0</v>
      </c>
      <c r="BP48" s="102">
        <f t="shared" ca="1" si="14"/>
        <v>0</v>
      </c>
      <c r="BQ48" s="102">
        <f t="shared" ca="1" si="14"/>
        <v>0</v>
      </c>
      <c r="BR48" s="102">
        <f t="shared" ca="1" si="14"/>
        <v>0</v>
      </c>
      <c r="BS48" s="102">
        <f t="shared" ca="1" si="14"/>
        <v>0</v>
      </c>
      <c r="BT48" s="102">
        <f t="shared" ca="1" si="14"/>
        <v>0</v>
      </c>
      <c r="BU48" s="102">
        <f t="shared" ca="1" si="14"/>
        <v>0</v>
      </c>
      <c r="BV48" s="102">
        <f t="shared" ca="1" si="14"/>
        <v>0</v>
      </c>
      <c r="BW48" s="102">
        <f t="shared" ca="1" si="14"/>
        <v>0</v>
      </c>
      <c r="BX48" s="102">
        <f t="shared" ca="1" si="14"/>
        <v>0</v>
      </c>
      <c r="BY48" s="102">
        <f t="shared" ca="1" si="19"/>
        <v>0</v>
      </c>
      <c r="BZ48" s="98">
        <f t="shared" ca="1" si="15"/>
        <v>0</v>
      </c>
      <c r="CA48" s="102">
        <f t="shared" ca="1" si="15"/>
        <v>0</v>
      </c>
      <c r="CB48" s="102">
        <f t="shared" ca="1" si="15"/>
        <v>0</v>
      </c>
      <c r="CC48" s="102">
        <f t="shared" ca="1" si="15"/>
        <v>0</v>
      </c>
      <c r="CD48" s="102">
        <f t="shared" ca="1" si="15"/>
        <v>0</v>
      </c>
      <c r="CE48" s="102">
        <f t="shared" ca="1" si="15"/>
        <v>0</v>
      </c>
      <c r="CF48" s="102">
        <f t="shared" ca="1" si="15"/>
        <v>0</v>
      </c>
      <c r="CG48" s="102">
        <f t="shared" ca="1" si="15"/>
        <v>0</v>
      </c>
      <c r="CH48" s="101">
        <f ca="1">COUNTIF(BZ48:CG48,"&lt;"&amp;MAX(BZ48:CG48))+IF(Calcs[[#This Row],[RL1]]=0,0,1)</f>
        <v>0</v>
      </c>
      <c r="CI4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8" s="103">
        <f ca="1">IFERROR(OFFSET(CJ48,-1,0)+0,0)+IF(INDEX(INDIRECT(RangeContrQty),MATCH(Calcs[[#This Row],[Line]],OFFSET(Items[Line],0,0,ROW(Proposed[])-ROW(Items[])+ROWS(Proposed[]),1),0)),1,0)</f>
        <v>0</v>
      </c>
    </row>
    <row r="49" spans="1:94" x14ac:dyDescent="0.15">
      <c r="A49" s="6">
        <f ca="1">IFERROR(OFFSET(A49,-1,0)+0,0)+MAX(IF(LEN(Calcs[[#This Row],[Line]])&gt;0,1,0),Calcs[[#This Row],[DL]],Calcs[[#This Row],[RL]])</f>
        <v>10</v>
      </c>
      <c r="B49" s="94" t="str">
        <f ca="1">IFERROR(INDEX(OFFSET(Items[Line],0,0,ROW(Proposed[])-ROW(Items[])+ROWS(Proposed[]),1),MATCH(ROW(B49)-ROW(B$3),INDIRECT(RangeCount),0)),"")</f>
        <v/>
      </c>
      <c r="C49" s="94" t="str">
        <f ca="1">IF(LEN(Calcs[[#This Row],[Line]])&gt;0,TRIM(IFERROR(INDEX(Items[Description],MATCH(Calcs[[#This Row],[Line]],Items[Line],0))&amp;INDEX(Items[Description2],MATCH(Calcs[[#This Row],[Line]],Items[Line],0)),INDEX(Proposed[Description],MATCH(Calcs[[#This Row],[Line]],Proposed[Line],0)))),"")</f>
        <v/>
      </c>
      <c r="D49" s="96">
        <f t="shared" ca="1" si="16"/>
        <v>0</v>
      </c>
      <c r="E49" s="97">
        <f t="shared" ca="1" si="16"/>
        <v>0</v>
      </c>
      <c r="F49" s="97">
        <f t="shared" ca="1" si="16"/>
        <v>0</v>
      </c>
      <c r="G49" s="97">
        <f t="shared" ca="1" si="16"/>
        <v>0</v>
      </c>
      <c r="H49" s="97">
        <f t="shared" ca="1" si="16"/>
        <v>0</v>
      </c>
      <c r="I49" s="97">
        <f t="shared" ca="1" si="16"/>
        <v>0</v>
      </c>
      <c r="J49" s="97">
        <f t="shared" ca="1" si="16"/>
        <v>0</v>
      </c>
      <c r="K49" s="97">
        <f t="shared" ca="1" si="16"/>
        <v>0</v>
      </c>
      <c r="L49" s="97">
        <f t="shared" ca="1" si="16"/>
        <v>0</v>
      </c>
      <c r="M49" s="97">
        <f t="shared" ca="1" si="16"/>
        <v>0</v>
      </c>
      <c r="N49" s="97">
        <f t="shared" ca="1" si="16"/>
        <v>0</v>
      </c>
      <c r="O49" s="97">
        <f t="shared" ca="1" si="16"/>
        <v>0</v>
      </c>
      <c r="P49" s="97">
        <f t="shared" ca="1" si="16"/>
        <v>0</v>
      </c>
      <c r="Q49" s="97">
        <f t="shared" ca="1" si="16"/>
        <v>0</v>
      </c>
      <c r="R49" s="97">
        <f t="shared" ca="1" si="16"/>
        <v>0</v>
      </c>
      <c r="S49" s="97">
        <f t="shared" ca="1" si="16"/>
        <v>0</v>
      </c>
      <c r="T49" s="97">
        <f t="shared" ca="1" si="12"/>
        <v>0</v>
      </c>
      <c r="U49" s="97">
        <f t="shared" ca="1" si="12"/>
        <v>0</v>
      </c>
      <c r="V49" s="97">
        <f t="shared" ca="1" si="12"/>
        <v>0</v>
      </c>
      <c r="W49" s="97">
        <f t="shared" ca="1" si="12"/>
        <v>0</v>
      </c>
      <c r="X49" s="97">
        <f t="shared" ca="1" si="12"/>
        <v>0</v>
      </c>
      <c r="Y49" s="97">
        <f t="shared" ca="1" si="12"/>
        <v>0</v>
      </c>
      <c r="Z49" s="97">
        <f t="shared" ca="1" si="12"/>
        <v>0</v>
      </c>
      <c r="AA49" s="97">
        <f t="shared" ca="1" si="12"/>
        <v>0</v>
      </c>
      <c r="AB49" s="97">
        <f t="shared" ca="1" si="12"/>
        <v>0</v>
      </c>
      <c r="AC49" s="97">
        <f t="shared" ca="1" si="12"/>
        <v>0</v>
      </c>
      <c r="AD49" s="97">
        <f t="shared" ca="1" si="12"/>
        <v>0</v>
      </c>
      <c r="AE49" s="97">
        <f t="shared" ca="1" si="12"/>
        <v>0</v>
      </c>
      <c r="AF49" s="97">
        <f t="shared" ca="1" si="12"/>
        <v>0</v>
      </c>
      <c r="AG49" s="97">
        <f t="shared" ca="1" si="12"/>
        <v>0</v>
      </c>
      <c r="AH49" s="97">
        <f t="shared" ca="1" si="12"/>
        <v>0</v>
      </c>
      <c r="AI49" s="97">
        <f t="shared" ca="1" si="18"/>
        <v>0</v>
      </c>
      <c r="AJ49" s="98">
        <f t="shared" ca="1" si="13"/>
        <v>0</v>
      </c>
      <c r="AK49" s="97">
        <f t="shared" ca="1" si="13"/>
        <v>0</v>
      </c>
      <c r="AL49" s="97">
        <f t="shared" ca="1" si="13"/>
        <v>0</v>
      </c>
      <c r="AM49" s="97">
        <f t="shared" ca="1" si="13"/>
        <v>0</v>
      </c>
      <c r="AN49" s="97">
        <f t="shared" ca="1" si="13"/>
        <v>0</v>
      </c>
      <c r="AO49" s="97">
        <f t="shared" ca="1" si="13"/>
        <v>0</v>
      </c>
      <c r="AP49" s="97">
        <f t="shared" ca="1" si="13"/>
        <v>0</v>
      </c>
      <c r="AQ49" s="97">
        <f t="shared" ca="1" si="13"/>
        <v>0</v>
      </c>
      <c r="AR49" s="99">
        <f ca="1">COUNTIF(AJ49:AQ49,"&lt;"&amp;MAX(AJ49:AQ49))+IF(Calcs[[#This Row],[DL1]]=0,0,1)</f>
        <v>0</v>
      </c>
      <c r="AS49" s="100" t="str">
        <f ca="1">IF(LEN(Calcs[[#This Row],[Line]])&gt;0,IF(RIGHT(Calcs[[#This Row],[Remark]],3)=".  ",LEFT(Calcs[[#This Row],[Remark]],LEN(Calcs[[#This Row],[Remark]])-3),Calcs[[#This Row],[Remark]]),"")</f>
        <v/>
      </c>
      <c r="AT49" s="96">
        <f t="shared" ca="1" si="17"/>
        <v>0</v>
      </c>
      <c r="AU49" s="102">
        <f t="shared" ca="1" si="17"/>
        <v>0</v>
      </c>
      <c r="AV49" s="102">
        <f t="shared" ca="1" si="17"/>
        <v>0</v>
      </c>
      <c r="AW49" s="102">
        <f t="shared" ca="1" si="17"/>
        <v>0</v>
      </c>
      <c r="AX49" s="102">
        <f t="shared" ca="1" si="17"/>
        <v>0</v>
      </c>
      <c r="AY49" s="102">
        <f t="shared" ca="1" si="17"/>
        <v>0</v>
      </c>
      <c r="AZ49" s="102">
        <f t="shared" ca="1" si="17"/>
        <v>0</v>
      </c>
      <c r="BA49" s="102">
        <f t="shared" ca="1" si="17"/>
        <v>0</v>
      </c>
      <c r="BB49" s="102">
        <f t="shared" ca="1" si="17"/>
        <v>0</v>
      </c>
      <c r="BC49" s="102">
        <f t="shared" ca="1" si="17"/>
        <v>0</v>
      </c>
      <c r="BD49" s="102">
        <f t="shared" ca="1" si="17"/>
        <v>0</v>
      </c>
      <c r="BE49" s="102">
        <f t="shared" ca="1" si="17"/>
        <v>0</v>
      </c>
      <c r="BF49" s="102">
        <f t="shared" ca="1" si="17"/>
        <v>0</v>
      </c>
      <c r="BG49" s="102">
        <f t="shared" ca="1" si="17"/>
        <v>0</v>
      </c>
      <c r="BH49" s="102">
        <f t="shared" ca="1" si="17"/>
        <v>0</v>
      </c>
      <c r="BI49" s="102">
        <f t="shared" ca="1" si="17"/>
        <v>0</v>
      </c>
      <c r="BJ49" s="102">
        <f t="shared" ca="1" si="14"/>
        <v>0</v>
      </c>
      <c r="BK49" s="102">
        <f t="shared" ca="1" si="14"/>
        <v>0</v>
      </c>
      <c r="BL49" s="102">
        <f t="shared" ca="1" si="14"/>
        <v>0</v>
      </c>
      <c r="BM49" s="102">
        <f t="shared" ca="1" si="14"/>
        <v>0</v>
      </c>
      <c r="BN49" s="102">
        <f t="shared" ca="1" si="14"/>
        <v>0</v>
      </c>
      <c r="BO49" s="102">
        <f t="shared" ca="1" si="14"/>
        <v>0</v>
      </c>
      <c r="BP49" s="102">
        <f t="shared" ca="1" si="14"/>
        <v>0</v>
      </c>
      <c r="BQ49" s="102">
        <f t="shared" ca="1" si="14"/>
        <v>0</v>
      </c>
      <c r="BR49" s="102">
        <f t="shared" ca="1" si="14"/>
        <v>0</v>
      </c>
      <c r="BS49" s="102">
        <f t="shared" ca="1" si="14"/>
        <v>0</v>
      </c>
      <c r="BT49" s="102">
        <f t="shared" ca="1" si="14"/>
        <v>0</v>
      </c>
      <c r="BU49" s="102">
        <f t="shared" ca="1" si="14"/>
        <v>0</v>
      </c>
      <c r="BV49" s="102">
        <f t="shared" ca="1" si="14"/>
        <v>0</v>
      </c>
      <c r="BW49" s="102">
        <f t="shared" ca="1" si="14"/>
        <v>0</v>
      </c>
      <c r="BX49" s="102">
        <f t="shared" ca="1" si="14"/>
        <v>0</v>
      </c>
      <c r="BY49" s="102">
        <f t="shared" ca="1" si="19"/>
        <v>0</v>
      </c>
      <c r="BZ49" s="98">
        <f t="shared" ca="1" si="15"/>
        <v>0</v>
      </c>
      <c r="CA49" s="102">
        <f t="shared" ca="1" si="15"/>
        <v>0</v>
      </c>
      <c r="CB49" s="102">
        <f t="shared" ca="1" si="15"/>
        <v>0</v>
      </c>
      <c r="CC49" s="102">
        <f t="shared" ca="1" si="15"/>
        <v>0</v>
      </c>
      <c r="CD49" s="102">
        <f t="shared" ca="1" si="15"/>
        <v>0</v>
      </c>
      <c r="CE49" s="102">
        <f t="shared" ca="1" si="15"/>
        <v>0</v>
      </c>
      <c r="CF49" s="102">
        <f t="shared" ca="1" si="15"/>
        <v>0</v>
      </c>
      <c r="CG49" s="102">
        <f t="shared" ca="1" si="15"/>
        <v>0</v>
      </c>
      <c r="CH49" s="101">
        <f ca="1">COUNTIF(BZ49:CG49,"&lt;"&amp;MAX(BZ49:CG49))+IF(Calcs[[#This Row],[RL1]]=0,0,1)</f>
        <v>0</v>
      </c>
      <c r="CI4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9" s="103">
        <f ca="1">IFERROR(OFFSET(CJ49,-1,0)+0,0)+IF(INDEX(INDIRECT(RangeContrQty),MATCH(Calcs[[#This Row],[Line]],OFFSET(Items[Line],0,0,ROW(Proposed[])-ROW(Items[])+ROWS(Proposed[]),1),0)),1,0)</f>
        <v>0</v>
      </c>
    </row>
    <row r="50" spans="1:94" x14ac:dyDescent="0.15">
      <c r="A50" s="6">
        <f ca="1">IFERROR(OFFSET(A50,-1,0)+0,0)+MAX(IF(LEN(Calcs[[#This Row],[Line]])&gt;0,1,0),Calcs[[#This Row],[DL]],Calcs[[#This Row],[RL]])</f>
        <v>10</v>
      </c>
      <c r="B50" s="94" t="str">
        <f ca="1">IFERROR(INDEX(OFFSET(Items[Line],0,0,ROW(Proposed[])-ROW(Items[])+ROWS(Proposed[]),1),MATCH(ROW(B50)-ROW(B$3),INDIRECT(RangeCount),0)),"")</f>
        <v/>
      </c>
      <c r="C50" s="94" t="str">
        <f ca="1">IF(LEN(Calcs[[#This Row],[Line]])&gt;0,TRIM(IFERROR(INDEX(Items[Description],MATCH(Calcs[[#This Row],[Line]],Items[Line],0))&amp;INDEX(Items[Description2],MATCH(Calcs[[#This Row],[Line]],Items[Line],0)),INDEX(Proposed[Description],MATCH(Calcs[[#This Row],[Line]],Proposed[Line],0)))),"")</f>
        <v/>
      </c>
      <c r="D50" s="96">
        <f t="shared" ca="1" si="16"/>
        <v>0</v>
      </c>
      <c r="E50" s="97">
        <f t="shared" ca="1" si="16"/>
        <v>0</v>
      </c>
      <c r="F50" s="97">
        <f t="shared" ca="1" si="16"/>
        <v>0</v>
      </c>
      <c r="G50" s="97">
        <f t="shared" ca="1" si="16"/>
        <v>0</v>
      </c>
      <c r="H50" s="97">
        <f t="shared" ca="1" si="16"/>
        <v>0</v>
      </c>
      <c r="I50" s="97">
        <f t="shared" ca="1" si="16"/>
        <v>0</v>
      </c>
      <c r="J50" s="97">
        <f t="shared" ca="1" si="16"/>
        <v>0</v>
      </c>
      <c r="K50" s="97">
        <f t="shared" ca="1" si="16"/>
        <v>0</v>
      </c>
      <c r="L50" s="97">
        <f t="shared" ca="1" si="16"/>
        <v>0</v>
      </c>
      <c r="M50" s="97">
        <f t="shared" ca="1" si="16"/>
        <v>0</v>
      </c>
      <c r="N50" s="97">
        <f t="shared" ca="1" si="16"/>
        <v>0</v>
      </c>
      <c r="O50" s="97">
        <f t="shared" ca="1" si="16"/>
        <v>0</v>
      </c>
      <c r="P50" s="97">
        <f t="shared" ca="1" si="16"/>
        <v>0</v>
      </c>
      <c r="Q50" s="97">
        <f t="shared" ca="1" si="16"/>
        <v>0</v>
      </c>
      <c r="R50" s="97">
        <f t="shared" ca="1" si="16"/>
        <v>0</v>
      </c>
      <c r="S50" s="97">
        <f t="shared" ca="1" si="16"/>
        <v>0</v>
      </c>
      <c r="T50" s="97">
        <f t="shared" ca="1" si="12"/>
        <v>0</v>
      </c>
      <c r="U50" s="97">
        <f t="shared" ca="1" si="12"/>
        <v>0</v>
      </c>
      <c r="V50" s="97">
        <f t="shared" ca="1" si="12"/>
        <v>0</v>
      </c>
      <c r="W50" s="97">
        <f t="shared" ca="1" si="12"/>
        <v>0</v>
      </c>
      <c r="X50" s="97">
        <f t="shared" ca="1" si="12"/>
        <v>0</v>
      </c>
      <c r="Y50" s="97">
        <f t="shared" ca="1" si="12"/>
        <v>0</v>
      </c>
      <c r="Z50" s="97">
        <f t="shared" ca="1" si="12"/>
        <v>0</v>
      </c>
      <c r="AA50" s="97">
        <f t="shared" ca="1" si="12"/>
        <v>0</v>
      </c>
      <c r="AB50" s="97">
        <f t="shared" ca="1" si="12"/>
        <v>0</v>
      </c>
      <c r="AC50" s="97">
        <f t="shared" ca="1" si="12"/>
        <v>0</v>
      </c>
      <c r="AD50" s="97">
        <f t="shared" ca="1" si="12"/>
        <v>0</v>
      </c>
      <c r="AE50" s="97">
        <f t="shared" ca="1" si="12"/>
        <v>0</v>
      </c>
      <c r="AF50" s="97">
        <f t="shared" ca="1" si="12"/>
        <v>0</v>
      </c>
      <c r="AG50" s="97">
        <f t="shared" ca="1" si="12"/>
        <v>0</v>
      </c>
      <c r="AH50" s="97">
        <f t="shared" ca="1" si="12"/>
        <v>0</v>
      </c>
      <c r="AI50" s="97">
        <f t="shared" ca="1" si="18"/>
        <v>0</v>
      </c>
      <c r="AJ50" s="98">
        <f t="shared" ca="1" si="13"/>
        <v>0</v>
      </c>
      <c r="AK50" s="97">
        <f t="shared" ca="1" si="13"/>
        <v>0</v>
      </c>
      <c r="AL50" s="97">
        <f t="shared" ca="1" si="13"/>
        <v>0</v>
      </c>
      <c r="AM50" s="97">
        <f t="shared" ca="1" si="13"/>
        <v>0</v>
      </c>
      <c r="AN50" s="97">
        <f t="shared" ca="1" si="13"/>
        <v>0</v>
      </c>
      <c r="AO50" s="97">
        <f t="shared" ca="1" si="13"/>
        <v>0</v>
      </c>
      <c r="AP50" s="97">
        <f t="shared" ca="1" si="13"/>
        <v>0</v>
      </c>
      <c r="AQ50" s="97">
        <f t="shared" ca="1" si="13"/>
        <v>0</v>
      </c>
      <c r="AR50" s="99">
        <f ca="1">COUNTIF(AJ50:AQ50,"&lt;"&amp;MAX(AJ50:AQ50))+IF(Calcs[[#This Row],[DL1]]=0,0,1)</f>
        <v>0</v>
      </c>
      <c r="AS50" s="100" t="str">
        <f ca="1">IF(LEN(Calcs[[#This Row],[Line]])&gt;0,IF(RIGHT(Calcs[[#This Row],[Remark]],3)=".  ",LEFT(Calcs[[#This Row],[Remark]],LEN(Calcs[[#This Row],[Remark]])-3),Calcs[[#This Row],[Remark]]),"")</f>
        <v/>
      </c>
      <c r="AT50" s="96">
        <f t="shared" ca="1" si="17"/>
        <v>0</v>
      </c>
      <c r="AU50" s="102">
        <f t="shared" ca="1" si="17"/>
        <v>0</v>
      </c>
      <c r="AV50" s="102">
        <f t="shared" ca="1" si="17"/>
        <v>0</v>
      </c>
      <c r="AW50" s="102">
        <f t="shared" ca="1" si="17"/>
        <v>0</v>
      </c>
      <c r="AX50" s="102">
        <f t="shared" ca="1" si="17"/>
        <v>0</v>
      </c>
      <c r="AY50" s="102">
        <f t="shared" ca="1" si="17"/>
        <v>0</v>
      </c>
      <c r="AZ50" s="102">
        <f t="shared" ca="1" si="17"/>
        <v>0</v>
      </c>
      <c r="BA50" s="102">
        <f t="shared" ca="1" si="17"/>
        <v>0</v>
      </c>
      <c r="BB50" s="102">
        <f t="shared" ca="1" si="17"/>
        <v>0</v>
      </c>
      <c r="BC50" s="102">
        <f t="shared" ca="1" si="17"/>
        <v>0</v>
      </c>
      <c r="BD50" s="102">
        <f t="shared" ca="1" si="17"/>
        <v>0</v>
      </c>
      <c r="BE50" s="102">
        <f t="shared" ca="1" si="17"/>
        <v>0</v>
      </c>
      <c r="BF50" s="102">
        <f t="shared" ca="1" si="17"/>
        <v>0</v>
      </c>
      <c r="BG50" s="102">
        <f t="shared" ca="1" si="17"/>
        <v>0</v>
      </c>
      <c r="BH50" s="102">
        <f t="shared" ca="1" si="17"/>
        <v>0</v>
      </c>
      <c r="BI50" s="102">
        <f t="shared" ca="1" si="17"/>
        <v>0</v>
      </c>
      <c r="BJ50" s="102">
        <f t="shared" ca="1" si="14"/>
        <v>0</v>
      </c>
      <c r="BK50" s="102">
        <f t="shared" ca="1" si="14"/>
        <v>0</v>
      </c>
      <c r="BL50" s="102">
        <f t="shared" ca="1" si="14"/>
        <v>0</v>
      </c>
      <c r="BM50" s="102">
        <f t="shared" ca="1" si="14"/>
        <v>0</v>
      </c>
      <c r="BN50" s="102">
        <f t="shared" ca="1" si="14"/>
        <v>0</v>
      </c>
      <c r="BO50" s="102">
        <f t="shared" ca="1" si="14"/>
        <v>0</v>
      </c>
      <c r="BP50" s="102">
        <f t="shared" ca="1" si="14"/>
        <v>0</v>
      </c>
      <c r="BQ50" s="102">
        <f t="shared" ca="1" si="14"/>
        <v>0</v>
      </c>
      <c r="BR50" s="102">
        <f t="shared" ca="1" si="14"/>
        <v>0</v>
      </c>
      <c r="BS50" s="102">
        <f t="shared" ca="1" si="14"/>
        <v>0</v>
      </c>
      <c r="BT50" s="102">
        <f t="shared" ca="1" si="14"/>
        <v>0</v>
      </c>
      <c r="BU50" s="102">
        <f t="shared" ca="1" si="14"/>
        <v>0</v>
      </c>
      <c r="BV50" s="102">
        <f t="shared" ca="1" si="14"/>
        <v>0</v>
      </c>
      <c r="BW50" s="102">
        <f t="shared" ca="1" si="14"/>
        <v>0</v>
      </c>
      <c r="BX50" s="102">
        <f t="shared" ca="1" si="14"/>
        <v>0</v>
      </c>
      <c r="BY50" s="102">
        <f t="shared" ca="1" si="19"/>
        <v>0</v>
      </c>
      <c r="BZ50" s="98">
        <f t="shared" ca="1" si="15"/>
        <v>0</v>
      </c>
      <c r="CA50" s="102">
        <f t="shared" ca="1" si="15"/>
        <v>0</v>
      </c>
      <c r="CB50" s="102">
        <f t="shared" ca="1" si="15"/>
        <v>0</v>
      </c>
      <c r="CC50" s="102">
        <f t="shared" ca="1" si="15"/>
        <v>0</v>
      </c>
      <c r="CD50" s="102">
        <f t="shared" ca="1" si="15"/>
        <v>0</v>
      </c>
      <c r="CE50" s="102">
        <f t="shared" ca="1" si="15"/>
        <v>0</v>
      </c>
      <c r="CF50" s="102">
        <f t="shared" ca="1" si="15"/>
        <v>0</v>
      </c>
      <c r="CG50" s="102">
        <f t="shared" ca="1" si="15"/>
        <v>0</v>
      </c>
      <c r="CH50" s="101">
        <f ca="1">COUNTIF(BZ50:CG50,"&lt;"&amp;MAX(BZ50:CG50))+IF(Calcs[[#This Row],[RL1]]=0,0,1)</f>
        <v>0</v>
      </c>
      <c r="CI5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0" s="103">
        <f ca="1">IFERROR(OFFSET(CJ50,-1,0)+0,0)+IF(INDEX(INDIRECT(RangeContrQty),MATCH(Calcs[[#This Row],[Line]],OFFSET(Items[Line],0,0,ROW(Proposed[])-ROW(Items[])+ROWS(Proposed[]),1),0)),1,0)</f>
        <v>0</v>
      </c>
    </row>
    <row r="51" spans="1:94" x14ac:dyDescent="0.15">
      <c r="A51" s="6">
        <f ca="1">IFERROR(OFFSET(A51,-1,0)+0,0)+MAX(IF(LEN(Calcs[[#This Row],[Line]])&gt;0,1,0),Calcs[[#This Row],[DL]],Calcs[[#This Row],[RL]])</f>
        <v>10</v>
      </c>
      <c r="B51" s="94" t="str">
        <f ca="1">IFERROR(INDEX(OFFSET(Items[Line],0,0,ROW(Proposed[])-ROW(Items[])+ROWS(Proposed[]),1),MATCH(ROW(B51)-ROW(B$3),INDIRECT(RangeCount),0)),"")</f>
        <v/>
      </c>
      <c r="C51" s="94" t="str">
        <f ca="1">IF(LEN(Calcs[[#This Row],[Line]])&gt;0,TRIM(IFERROR(INDEX(Items[Description],MATCH(Calcs[[#This Row],[Line]],Items[Line],0))&amp;INDEX(Items[Description2],MATCH(Calcs[[#This Row],[Line]],Items[Line],0)),INDEX(Proposed[Description],MATCH(Calcs[[#This Row],[Line]],Proposed[Line],0)))),"")</f>
        <v/>
      </c>
      <c r="D51" s="96">
        <f t="shared" ca="1" si="16"/>
        <v>0</v>
      </c>
      <c r="E51" s="97">
        <f t="shared" ca="1" si="16"/>
        <v>0</v>
      </c>
      <c r="F51" s="97">
        <f t="shared" ca="1" si="16"/>
        <v>0</v>
      </c>
      <c r="G51" s="97">
        <f t="shared" ca="1" si="16"/>
        <v>0</v>
      </c>
      <c r="H51" s="97">
        <f t="shared" ca="1" si="16"/>
        <v>0</v>
      </c>
      <c r="I51" s="97">
        <f t="shared" ca="1" si="16"/>
        <v>0</v>
      </c>
      <c r="J51" s="97">
        <f t="shared" ca="1" si="16"/>
        <v>0</v>
      </c>
      <c r="K51" s="97">
        <f t="shared" ca="1" si="16"/>
        <v>0</v>
      </c>
      <c r="L51" s="97">
        <f t="shared" ca="1" si="16"/>
        <v>0</v>
      </c>
      <c r="M51" s="97">
        <f t="shared" ca="1" si="16"/>
        <v>0</v>
      </c>
      <c r="N51" s="97">
        <f t="shared" ca="1" si="16"/>
        <v>0</v>
      </c>
      <c r="O51" s="97">
        <f t="shared" ca="1" si="16"/>
        <v>0</v>
      </c>
      <c r="P51" s="97">
        <f t="shared" ca="1" si="16"/>
        <v>0</v>
      </c>
      <c r="Q51" s="97">
        <f t="shared" ca="1" si="16"/>
        <v>0</v>
      </c>
      <c r="R51" s="97">
        <f t="shared" ca="1" si="16"/>
        <v>0</v>
      </c>
      <c r="S51" s="97">
        <f t="shared" ref="S51:W66" ca="1" si="20">IFERROR(FIND(" ",$C51,IFERROR(OFFSET(S51,0,-1)+1,1)),LEN($C51))</f>
        <v>0</v>
      </c>
      <c r="T51" s="97">
        <f t="shared" ca="1" si="20"/>
        <v>0</v>
      </c>
      <c r="U51" s="97">
        <f t="shared" ca="1" si="20"/>
        <v>0</v>
      </c>
      <c r="V51" s="97">
        <f t="shared" ca="1" si="20"/>
        <v>0</v>
      </c>
      <c r="W51" s="97">
        <f t="shared" ca="1" si="20"/>
        <v>0</v>
      </c>
      <c r="X51" s="97">
        <f t="shared" ca="1" si="12"/>
        <v>0</v>
      </c>
      <c r="Y51" s="97">
        <f t="shared" ca="1" si="12"/>
        <v>0</v>
      </c>
      <c r="Z51" s="97">
        <f t="shared" ca="1" si="12"/>
        <v>0</v>
      </c>
      <c r="AA51" s="97">
        <f t="shared" ca="1" si="12"/>
        <v>0</v>
      </c>
      <c r="AB51" s="97">
        <f t="shared" ca="1" si="12"/>
        <v>0</v>
      </c>
      <c r="AC51" s="97">
        <f t="shared" ca="1" si="12"/>
        <v>0</v>
      </c>
      <c r="AD51" s="97">
        <f t="shared" ca="1" si="12"/>
        <v>0</v>
      </c>
      <c r="AE51" s="97">
        <f t="shared" ca="1" si="12"/>
        <v>0</v>
      </c>
      <c r="AF51" s="97">
        <f t="shared" ca="1" si="12"/>
        <v>0</v>
      </c>
      <c r="AG51" s="97">
        <f t="shared" ca="1" si="12"/>
        <v>0</v>
      </c>
      <c r="AH51" s="97">
        <f t="shared" ca="1" si="12"/>
        <v>0</v>
      </c>
      <c r="AI51" s="97">
        <f t="shared" ca="1" si="18"/>
        <v>0</v>
      </c>
      <c r="AJ51" s="98">
        <f t="shared" ca="1" si="13"/>
        <v>0</v>
      </c>
      <c r="AK51" s="97">
        <f t="shared" ca="1" si="13"/>
        <v>0</v>
      </c>
      <c r="AL51" s="97">
        <f t="shared" ca="1" si="13"/>
        <v>0</v>
      </c>
      <c r="AM51" s="97">
        <f t="shared" ca="1" si="13"/>
        <v>0</v>
      </c>
      <c r="AN51" s="97">
        <f t="shared" ca="1" si="13"/>
        <v>0</v>
      </c>
      <c r="AO51" s="97">
        <f t="shared" ca="1" si="13"/>
        <v>0</v>
      </c>
      <c r="AP51" s="97">
        <f t="shared" ca="1" si="13"/>
        <v>0</v>
      </c>
      <c r="AQ51" s="97">
        <f t="shared" ca="1" si="13"/>
        <v>0</v>
      </c>
      <c r="AR51" s="99">
        <f ca="1">COUNTIF(AJ51:AQ51,"&lt;"&amp;MAX(AJ51:AQ51))+IF(Calcs[[#This Row],[DL1]]=0,0,1)</f>
        <v>0</v>
      </c>
      <c r="AS51" s="100" t="str">
        <f ca="1">IF(LEN(Calcs[[#This Row],[Line]])&gt;0,IF(RIGHT(Calcs[[#This Row],[Remark]],3)=".  ",LEFT(Calcs[[#This Row],[Remark]],LEN(Calcs[[#This Row],[Remark]])-3),Calcs[[#This Row],[Remark]]),"")</f>
        <v/>
      </c>
      <c r="AT51" s="96">
        <f t="shared" ca="1" si="17"/>
        <v>0</v>
      </c>
      <c r="AU51" s="102">
        <f t="shared" ca="1" si="17"/>
        <v>0</v>
      </c>
      <c r="AV51" s="102">
        <f t="shared" ca="1" si="17"/>
        <v>0</v>
      </c>
      <c r="AW51" s="102">
        <f t="shared" ca="1" si="17"/>
        <v>0</v>
      </c>
      <c r="AX51" s="102">
        <f t="shared" ca="1" si="17"/>
        <v>0</v>
      </c>
      <c r="AY51" s="102">
        <f t="shared" ca="1" si="17"/>
        <v>0</v>
      </c>
      <c r="AZ51" s="102">
        <f t="shared" ca="1" si="17"/>
        <v>0</v>
      </c>
      <c r="BA51" s="102">
        <f t="shared" ca="1" si="17"/>
        <v>0</v>
      </c>
      <c r="BB51" s="102">
        <f t="shared" ca="1" si="17"/>
        <v>0</v>
      </c>
      <c r="BC51" s="102">
        <f t="shared" ca="1" si="17"/>
        <v>0</v>
      </c>
      <c r="BD51" s="102">
        <f t="shared" ca="1" si="17"/>
        <v>0</v>
      </c>
      <c r="BE51" s="102">
        <f t="shared" ca="1" si="17"/>
        <v>0</v>
      </c>
      <c r="BF51" s="102">
        <f t="shared" ca="1" si="17"/>
        <v>0</v>
      </c>
      <c r="BG51" s="102">
        <f t="shared" ca="1" si="17"/>
        <v>0</v>
      </c>
      <c r="BH51" s="102">
        <f t="shared" ca="1" si="17"/>
        <v>0</v>
      </c>
      <c r="BI51" s="102">
        <f t="shared" ref="BI51:BM66" ca="1" si="21">IFERROR(FIND(" ",$AS51,IFERROR(OFFSET(BI51,0,-1)+1,1)),LEN($AS51))</f>
        <v>0</v>
      </c>
      <c r="BJ51" s="102">
        <f t="shared" ca="1" si="21"/>
        <v>0</v>
      </c>
      <c r="BK51" s="102">
        <f t="shared" ca="1" si="21"/>
        <v>0</v>
      </c>
      <c r="BL51" s="102">
        <f t="shared" ca="1" si="21"/>
        <v>0</v>
      </c>
      <c r="BM51" s="102">
        <f t="shared" ca="1" si="21"/>
        <v>0</v>
      </c>
      <c r="BN51" s="102">
        <f t="shared" ca="1" si="14"/>
        <v>0</v>
      </c>
      <c r="BO51" s="102">
        <f t="shared" ca="1" si="14"/>
        <v>0</v>
      </c>
      <c r="BP51" s="102">
        <f t="shared" ca="1" si="14"/>
        <v>0</v>
      </c>
      <c r="BQ51" s="102">
        <f t="shared" ca="1" si="14"/>
        <v>0</v>
      </c>
      <c r="BR51" s="102">
        <f t="shared" ca="1" si="14"/>
        <v>0</v>
      </c>
      <c r="BS51" s="102">
        <f t="shared" ca="1" si="14"/>
        <v>0</v>
      </c>
      <c r="BT51" s="102">
        <f t="shared" ca="1" si="14"/>
        <v>0</v>
      </c>
      <c r="BU51" s="102">
        <f t="shared" ca="1" si="14"/>
        <v>0</v>
      </c>
      <c r="BV51" s="102">
        <f t="shared" ca="1" si="14"/>
        <v>0</v>
      </c>
      <c r="BW51" s="102">
        <f t="shared" ca="1" si="14"/>
        <v>0</v>
      </c>
      <c r="BX51" s="102">
        <f t="shared" ca="1" si="14"/>
        <v>0</v>
      </c>
      <c r="BY51" s="102">
        <f t="shared" ca="1" si="19"/>
        <v>0</v>
      </c>
      <c r="BZ51" s="98">
        <f t="shared" ca="1" si="15"/>
        <v>0</v>
      </c>
      <c r="CA51" s="102">
        <f t="shared" ca="1" si="15"/>
        <v>0</v>
      </c>
      <c r="CB51" s="102">
        <f t="shared" ca="1" si="15"/>
        <v>0</v>
      </c>
      <c r="CC51" s="102">
        <f t="shared" ca="1" si="15"/>
        <v>0</v>
      </c>
      <c r="CD51" s="102">
        <f t="shared" ca="1" si="15"/>
        <v>0</v>
      </c>
      <c r="CE51" s="102">
        <f t="shared" ca="1" si="15"/>
        <v>0</v>
      </c>
      <c r="CF51" s="102">
        <f t="shared" ca="1" si="15"/>
        <v>0</v>
      </c>
      <c r="CG51" s="102">
        <f t="shared" ca="1" si="15"/>
        <v>0</v>
      </c>
      <c r="CH51" s="101">
        <f ca="1">COUNTIF(BZ51:CG51,"&lt;"&amp;MAX(BZ51:CG51))+IF(Calcs[[#This Row],[RL1]]=0,0,1)</f>
        <v>0</v>
      </c>
      <c r="CI5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1" s="103">
        <f ca="1">IFERROR(OFFSET(CJ51,-1,0)+0,0)+IF(INDEX(INDIRECT(RangeContrQty),MATCH(Calcs[[#This Row],[Line]],OFFSET(Items[Line],0,0,ROW(Proposed[])-ROW(Items[])+ROWS(Proposed[]),1),0)),1,0)</f>
        <v>0</v>
      </c>
    </row>
    <row r="52" spans="1:94" x14ac:dyDescent="0.15">
      <c r="A52" s="6">
        <f ca="1">IFERROR(OFFSET(A52,-1,0)+0,0)+MAX(IF(LEN(Calcs[[#This Row],[Line]])&gt;0,1,0),Calcs[[#This Row],[DL]],Calcs[[#This Row],[RL]])</f>
        <v>10</v>
      </c>
      <c r="B52" s="94" t="str">
        <f ca="1">IFERROR(INDEX(OFFSET(Items[Line],0,0,ROW(Proposed[])-ROW(Items[])+ROWS(Proposed[]),1),MATCH(ROW(B52)-ROW(B$3),INDIRECT(RangeCount),0)),"")</f>
        <v/>
      </c>
      <c r="C52" s="94" t="str">
        <f ca="1">IF(LEN(Calcs[[#This Row],[Line]])&gt;0,TRIM(IFERROR(INDEX(Items[Description],MATCH(Calcs[[#This Row],[Line]],Items[Line],0))&amp;INDEX(Items[Description2],MATCH(Calcs[[#This Row],[Line]],Items[Line],0)),INDEX(Proposed[Description],MATCH(Calcs[[#This Row],[Line]],Proposed[Line],0)))),"")</f>
        <v/>
      </c>
      <c r="D52" s="96">
        <f t="shared" ref="D52:S67" ca="1" si="22">IFERROR(FIND(" ",$C52,IFERROR(OFFSET(D52,0,-1)+1,1)),LEN($C52))</f>
        <v>0</v>
      </c>
      <c r="E52" s="97">
        <f t="shared" ca="1" si="22"/>
        <v>0</v>
      </c>
      <c r="F52" s="97">
        <f t="shared" ca="1" si="22"/>
        <v>0</v>
      </c>
      <c r="G52" s="97">
        <f t="shared" ca="1" si="22"/>
        <v>0</v>
      </c>
      <c r="H52" s="97">
        <f t="shared" ca="1" si="22"/>
        <v>0</v>
      </c>
      <c r="I52" s="97">
        <f t="shared" ca="1" si="22"/>
        <v>0</v>
      </c>
      <c r="J52" s="97">
        <f t="shared" ca="1" si="22"/>
        <v>0</v>
      </c>
      <c r="K52" s="97">
        <f t="shared" ca="1" si="22"/>
        <v>0</v>
      </c>
      <c r="L52" s="97">
        <f t="shared" ca="1" si="22"/>
        <v>0</v>
      </c>
      <c r="M52" s="97">
        <f t="shared" ca="1" si="22"/>
        <v>0</v>
      </c>
      <c r="N52" s="97">
        <f t="shared" ca="1" si="22"/>
        <v>0</v>
      </c>
      <c r="O52" s="97">
        <f t="shared" ca="1" si="22"/>
        <v>0</v>
      </c>
      <c r="P52" s="97">
        <f t="shared" ca="1" si="22"/>
        <v>0</v>
      </c>
      <c r="Q52" s="97">
        <f t="shared" ca="1" si="22"/>
        <v>0</v>
      </c>
      <c r="R52" s="97">
        <f t="shared" ca="1" si="22"/>
        <v>0</v>
      </c>
      <c r="S52" s="97">
        <f t="shared" ca="1" si="22"/>
        <v>0</v>
      </c>
      <c r="T52" s="97">
        <f t="shared" ca="1" si="20"/>
        <v>0</v>
      </c>
      <c r="U52" s="97">
        <f t="shared" ca="1" si="20"/>
        <v>0</v>
      </c>
      <c r="V52" s="97">
        <f t="shared" ca="1" si="20"/>
        <v>0</v>
      </c>
      <c r="W52" s="97">
        <f t="shared" ca="1" si="20"/>
        <v>0</v>
      </c>
      <c r="X52" s="97">
        <f t="shared" ca="1" si="12"/>
        <v>0</v>
      </c>
      <c r="Y52" s="97">
        <f t="shared" ca="1" si="12"/>
        <v>0</v>
      </c>
      <c r="Z52" s="97">
        <f t="shared" ca="1" si="12"/>
        <v>0</v>
      </c>
      <c r="AA52" s="97">
        <f t="shared" ref="X52:AI73" ca="1" si="23">IFERROR(FIND(" ",$C52,IFERROR(OFFSET(AA52,0,-1)+1,1)),LEN($C52))</f>
        <v>0</v>
      </c>
      <c r="AB52" s="97">
        <f t="shared" ca="1" si="23"/>
        <v>0</v>
      </c>
      <c r="AC52" s="97">
        <f t="shared" ca="1" si="23"/>
        <v>0</v>
      </c>
      <c r="AD52" s="97">
        <f t="shared" ca="1" si="23"/>
        <v>0</v>
      </c>
      <c r="AE52" s="97">
        <f t="shared" ca="1" si="23"/>
        <v>0</v>
      </c>
      <c r="AF52" s="97">
        <f t="shared" ca="1" si="23"/>
        <v>0</v>
      </c>
      <c r="AG52" s="97">
        <f t="shared" ca="1" si="23"/>
        <v>0</v>
      </c>
      <c r="AH52" s="97">
        <f t="shared" ca="1" si="23"/>
        <v>0</v>
      </c>
      <c r="AI52" s="97">
        <f t="shared" ca="1" si="23"/>
        <v>0</v>
      </c>
      <c r="AJ52" s="98">
        <f t="shared" ca="1" si="13"/>
        <v>0</v>
      </c>
      <c r="AK52" s="97">
        <f t="shared" ca="1" si="13"/>
        <v>0</v>
      </c>
      <c r="AL52" s="97">
        <f t="shared" ca="1" si="13"/>
        <v>0</v>
      </c>
      <c r="AM52" s="97">
        <f t="shared" ca="1" si="13"/>
        <v>0</v>
      </c>
      <c r="AN52" s="97">
        <f t="shared" ca="1" si="13"/>
        <v>0</v>
      </c>
      <c r="AO52" s="97">
        <f t="shared" ca="1" si="13"/>
        <v>0</v>
      </c>
      <c r="AP52" s="97">
        <f t="shared" ca="1" si="13"/>
        <v>0</v>
      </c>
      <c r="AQ52" s="97">
        <f t="shared" ca="1" si="13"/>
        <v>0</v>
      </c>
      <c r="AR52" s="99">
        <f ca="1">COUNTIF(AJ52:AQ52,"&lt;"&amp;MAX(AJ52:AQ52))+IF(Calcs[[#This Row],[DL1]]=0,0,1)</f>
        <v>0</v>
      </c>
      <c r="AS52" s="100" t="str">
        <f ca="1">IF(LEN(Calcs[[#This Row],[Line]])&gt;0,IF(RIGHT(Calcs[[#This Row],[Remark]],3)=".  ",LEFT(Calcs[[#This Row],[Remark]],LEN(Calcs[[#This Row],[Remark]])-3),Calcs[[#This Row],[Remark]]),"")</f>
        <v/>
      </c>
      <c r="AT52" s="96">
        <f t="shared" ref="AT52:BI67" ca="1" si="24">IFERROR(FIND(" ",$AS52,IFERROR(OFFSET(AT52,0,-1)+1,1)),LEN($AS52))</f>
        <v>0</v>
      </c>
      <c r="AU52" s="102">
        <f t="shared" ca="1" si="24"/>
        <v>0</v>
      </c>
      <c r="AV52" s="102">
        <f t="shared" ca="1" si="24"/>
        <v>0</v>
      </c>
      <c r="AW52" s="102">
        <f t="shared" ca="1" si="24"/>
        <v>0</v>
      </c>
      <c r="AX52" s="102">
        <f t="shared" ca="1" si="24"/>
        <v>0</v>
      </c>
      <c r="AY52" s="102">
        <f t="shared" ca="1" si="24"/>
        <v>0</v>
      </c>
      <c r="AZ52" s="102">
        <f t="shared" ca="1" si="24"/>
        <v>0</v>
      </c>
      <c r="BA52" s="102">
        <f t="shared" ca="1" si="24"/>
        <v>0</v>
      </c>
      <c r="BB52" s="102">
        <f t="shared" ca="1" si="24"/>
        <v>0</v>
      </c>
      <c r="BC52" s="102">
        <f t="shared" ca="1" si="24"/>
        <v>0</v>
      </c>
      <c r="BD52" s="102">
        <f t="shared" ca="1" si="24"/>
        <v>0</v>
      </c>
      <c r="BE52" s="102">
        <f t="shared" ca="1" si="24"/>
        <v>0</v>
      </c>
      <c r="BF52" s="102">
        <f t="shared" ca="1" si="24"/>
        <v>0</v>
      </c>
      <c r="BG52" s="102">
        <f t="shared" ca="1" si="24"/>
        <v>0</v>
      </c>
      <c r="BH52" s="102">
        <f t="shared" ca="1" si="24"/>
        <v>0</v>
      </c>
      <c r="BI52" s="102">
        <f t="shared" ca="1" si="24"/>
        <v>0</v>
      </c>
      <c r="BJ52" s="102">
        <f t="shared" ca="1" si="21"/>
        <v>0</v>
      </c>
      <c r="BK52" s="102">
        <f t="shared" ca="1" si="21"/>
        <v>0</v>
      </c>
      <c r="BL52" s="102">
        <f t="shared" ca="1" si="21"/>
        <v>0</v>
      </c>
      <c r="BM52" s="102">
        <f t="shared" ca="1" si="21"/>
        <v>0</v>
      </c>
      <c r="BN52" s="102">
        <f t="shared" ca="1" si="14"/>
        <v>0</v>
      </c>
      <c r="BO52" s="102">
        <f t="shared" ca="1" si="14"/>
        <v>0</v>
      </c>
      <c r="BP52" s="102">
        <f t="shared" ca="1" si="14"/>
        <v>0</v>
      </c>
      <c r="BQ52" s="102">
        <f t="shared" ref="BN52:BY73" ca="1" si="25">IFERROR(FIND(" ",$AS52,IFERROR(OFFSET(BQ52,0,-1)+1,1)),LEN($AS52))</f>
        <v>0</v>
      </c>
      <c r="BR52" s="102">
        <f t="shared" ca="1" si="25"/>
        <v>0</v>
      </c>
      <c r="BS52" s="102">
        <f t="shared" ca="1" si="25"/>
        <v>0</v>
      </c>
      <c r="BT52" s="102">
        <f t="shared" ca="1" si="25"/>
        <v>0</v>
      </c>
      <c r="BU52" s="102">
        <f t="shared" ca="1" si="25"/>
        <v>0</v>
      </c>
      <c r="BV52" s="102">
        <f t="shared" ca="1" si="25"/>
        <v>0</v>
      </c>
      <c r="BW52" s="102">
        <f t="shared" ca="1" si="25"/>
        <v>0</v>
      </c>
      <c r="BX52" s="102">
        <f t="shared" ca="1" si="25"/>
        <v>0</v>
      </c>
      <c r="BY52" s="102">
        <f t="shared" ca="1" si="25"/>
        <v>0</v>
      </c>
      <c r="BZ52" s="98">
        <f t="shared" ca="1" si="15"/>
        <v>0</v>
      </c>
      <c r="CA52" s="102">
        <f t="shared" ca="1" si="15"/>
        <v>0</v>
      </c>
      <c r="CB52" s="102">
        <f t="shared" ca="1" si="15"/>
        <v>0</v>
      </c>
      <c r="CC52" s="102">
        <f t="shared" ca="1" si="15"/>
        <v>0</v>
      </c>
      <c r="CD52" s="102">
        <f t="shared" ca="1" si="15"/>
        <v>0</v>
      </c>
      <c r="CE52" s="102">
        <f t="shared" ca="1" si="15"/>
        <v>0</v>
      </c>
      <c r="CF52" s="102">
        <f t="shared" ca="1" si="15"/>
        <v>0</v>
      </c>
      <c r="CG52" s="102">
        <f t="shared" ca="1" si="15"/>
        <v>0</v>
      </c>
      <c r="CH52" s="101">
        <f ca="1">COUNTIF(BZ52:CG52,"&lt;"&amp;MAX(BZ52:CG52))+IF(Calcs[[#This Row],[RL1]]=0,0,1)</f>
        <v>0</v>
      </c>
      <c r="CI5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2" s="103">
        <f ca="1">IFERROR(OFFSET(CJ52,-1,0)+0,0)+IF(INDEX(INDIRECT(RangeContrQty),MATCH(Calcs[[#This Row],[Line]],OFFSET(Items[Line],0,0,ROW(Proposed[])-ROW(Items[])+ROWS(Proposed[]),1),0)),1,0)</f>
        <v>0</v>
      </c>
    </row>
    <row r="53" spans="1:94" x14ac:dyDescent="0.15">
      <c r="A53" s="6">
        <f ca="1">IFERROR(OFFSET(A53,-1,0)+0,0)+MAX(IF(LEN(Calcs[[#This Row],[Line]])&gt;0,1,0),Calcs[[#This Row],[DL]],Calcs[[#This Row],[RL]])</f>
        <v>10</v>
      </c>
      <c r="B53" s="94" t="str">
        <f ca="1">IFERROR(INDEX(OFFSET(Items[Line],0,0,ROW(Proposed[])-ROW(Items[])+ROWS(Proposed[]),1),MATCH(ROW(B53)-ROW(B$3),INDIRECT(RangeCount),0)),"")</f>
        <v/>
      </c>
      <c r="C53" s="94" t="str">
        <f ca="1">IF(LEN(Calcs[[#This Row],[Line]])&gt;0,TRIM(IFERROR(INDEX(Items[Description],MATCH(Calcs[[#This Row],[Line]],Items[Line],0))&amp;INDEX(Items[Description2],MATCH(Calcs[[#This Row],[Line]],Items[Line],0)),INDEX(Proposed[Description],MATCH(Calcs[[#This Row],[Line]],Proposed[Line],0)))),"")</f>
        <v/>
      </c>
      <c r="D53" s="96">
        <f t="shared" ca="1" si="22"/>
        <v>0</v>
      </c>
      <c r="E53" s="97">
        <f t="shared" ca="1" si="22"/>
        <v>0</v>
      </c>
      <c r="F53" s="97">
        <f t="shared" ca="1" si="22"/>
        <v>0</v>
      </c>
      <c r="G53" s="97">
        <f t="shared" ca="1" si="22"/>
        <v>0</v>
      </c>
      <c r="H53" s="97">
        <f t="shared" ca="1" si="22"/>
        <v>0</v>
      </c>
      <c r="I53" s="97">
        <f t="shared" ca="1" si="22"/>
        <v>0</v>
      </c>
      <c r="J53" s="97">
        <f t="shared" ca="1" si="22"/>
        <v>0</v>
      </c>
      <c r="K53" s="97">
        <f t="shared" ca="1" si="22"/>
        <v>0</v>
      </c>
      <c r="L53" s="97">
        <f t="shared" ca="1" si="22"/>
        <v>0</v>
      </c>
      <c r="M53" s="97">
        <f t="shared" ca="1" si="22"/>
        <v>0</v>
      </c>
      <c r="N53" s="97">
        <f t="shared" ca="1" si="22"/>
        <v>0</v>
      </c>
      <c r="O53" s="97">
        <f t="shared" ca="1" si="22"/>
        <v>0</v>
      </c>
      <c r="P53" s="97">
        <f t="shared" ca="1" si="22"/>
        <v>0</v>
      </c>
      <c r="Q53" s="97">
        <f t="shared" ca="1" si="22"/>
        <v>0</v>
      </c>
      <c r="R53" s="97">
        <f t="shared" ca="1" si="22"/>
        <v>0</v>
      </c>
      <c r="S53" s="97">
        <f t="shared" ca="1" si="22"/>
        <v>0</v>
      </c>
      <c r="T53" s="97">
        <f t="shared" ca="1" si="20"/>
        <v>0</v>
      </c>
      <c r="U53" s="97">
        <f t="shared" ca="1" si="20"/>
        <v>0</v>
      </c>
      <c r="V53" s="97">
        <f t="shared" ca="1" si="20"/>
        <v>0</v>
      </c>
      <c r="W53" s="97">
        <f t="shared" ca="1" si="20"/>
        <v>0</v>
      </c>
      <c r="X53" s="97">
        <f t="shared" ca="1" si="23"/>
        <v>0</v>
      </c>
      <c r="Y53" s="97">
        <f t="shared" ca="1" si="23"/>
        <v>0</v>
      </c>
      <c r="Z53" s="97">
        <f t="shared" ca="1" si="23"/>
        <v>0</v>
      </c>
      <c r="AA53" s="97">
        <f t="shared" ca="1" si="23"/>
        <v>0</v>
      </c>
      <c r="AB53" s="97">
        <f t="shared" ca="1" si="23"/>
        <v>0</v>
      </c>
      <c r="AC53" s="97">
        <f t="shared" ca="1" si="23"/>
        <v>0</v>
      </c>
      <c r="AD53" s="97">
        <f t="shared" ca="1" si="23"/>
        <v>0</v>
      </c>
      <c r="AE53" s="97">
        <f t="shared" ca="1" si="23"/>
        <v>0</v>
      </c>
      <c r="AF53" s="97">
        <f t="shared" ca="1" si="23"/>
        <v>0</v>
      </c>
      <c r="AG53" s="97">
        <f t="shared" ca="1" si="23"/>
        <v>0</v>
      </c>
      <c r="AH53" s="97">
        <f t="shared" ca="1" si="23"/>
        <v>0</v>
      </c>
      <c r="AI53" s="97">
        <f t="shared" ca="1" si="23"/>
        <v>0</v>
      </c>
      <c r="AJ53" s="98">
        <f t="shared" ca="1" si="13"/>
        <v>0</v>
      </c>
      <c r="AK53" s="97">
        <f t="shared" ca="1" si="13"/>
        <v>0</v>
      </c>
      <c r="AL53" s="97">
        <f t="shared" ca="1" si="13"/>
        <v>0</v>
      </c>
      <c r="AM53" s="97">
        <f t="shared" ca="1" si="13"/>
        <v>0</v>
      </c>
      <c r="AN53" s="97">
        <f t="shared" ca="1" si="13"/>
        <v>0</v>
      </c>
      <c r="AO53" s="97">
        <f t="shared" ca="1" si="13"/>
        <v>0</v>
      </c>
      <c r="AP53" s="97">
        <f t="shared" ca="1" si="13"/>
        <v>0</v>
      </c>
      <c r="AQ53" s="97">
        <f t="shared" ca="1" si="13"/>
        <v>0</v>
      </c>
      <c r="AR53" s="99">
        <f ca="1">COUNTIF(AJ53:AQ53,"&lt;"&amp;MAX(AJ53:AQ53))+IF(Calcs[[#This Row],[DL1]]=0,0,1)</f>
        <v>0</v>
      </c>
      <c r="AS53" s="100" t="str">
        <f ca="1">IF(LEN(Calcs[[#This Row],[Line]])&gt;0,IF(RIGHT(Calcs[[#This Row],[Remark]],3)=".  ",LEFT(Calcs[[#This Row],[Remark]],LEN(Calcs[[#This Row],[Remark]])-3),Calcs[[#This Row],[Remark]]),"")</f>
        <v/>
      </c>
      <c r="AT53" s="96">
        <f t="shared" ca="1" si="24"/>
        <v>0</v>
      </c>
      <c r="AU53" s="102">
        <f t="shared" ca="1" si="24"/>
        <v>0</v>
      </c>
      <c r="AV53" s="102">
        <f t="shared" ca="1" si="24"/>
        <v>0</v>
      </c>
      <c r="AW53" s="102">
        <f t="shared" ca="1" si="24"/>
        <v>0</v>
      </c>
      <c r="AX53" s="102">
        <f t="shared" ca="1" si="24"/>
        <v>0</v>
      </c>
      <c r="AY53" s="102">
        <f t="shared" ca="1" si="24"/>
        <v>0</v>
      </c>
      <c r="AZ53" s="102">
        <f t="shared" ca="1" si="24"/>
        <v>0</v>
      </c>
      <c r="BA53" s="102">
        <f t="shared" ca="1" si="24"/>
        <v>0</v>
      </c>
      <c r="BB53" s="102">
        <f t="shared" ca="1" si="24"/>
        <v>0</v>
      </c>
      <c r="BC53" s="102">
        <f t="shared" ca="1" si="24"/>
        <v>0</v>
      </c>
      <c r="BD53" s="102">
        <f t="shared" ca="1" si="24"/>
        <v>0</v>
      </c>
      <c r="BE53" s="102">
        <f t="shared" ca="1" si="24"/>
        <v>0</v>
      </c>
      <c r="BF53" s="102">
        <f t="shared" ca="1" si="24"/>
        <v>0</v>
      </c>
      <c r="BG53" s="102">
        <f t="shared" ca="1" si="24"/>
        <v>0</v>
      </c>
      <c r="BH53" s="102">
        <f t="shared" ca="1" si="24"/>
        <v>0</v>
      </c>
      <c r="BI53" s="102">
        <f t="shared" ca="1" si="24"/>
        <v>0</v>
      </c>
      <c r="BJ53" s="102">
        <f t="shared" ca="1" si="21"/>
        <v>0</v>
      </c>
      <c r="BK53" s="102">
        <f t="shared" ca="1" si="21"/>
        <v>0</v>
      </c>
      <c r="BL53" s="102">
        <f t="shared" ca="1" si="21"/>
        <v>0</v>
      </c>
      <c r="BM53" s="102">
        <f t="shared" ca="1" si="21"/>
        <v>0</v>
      </c>
      <c r="BN53" s="102">
        <f t="shared" ca="1" si="25"/>
        <v>0</v>
      </c>
      <c r="BO53" s="102">
        <f t="shared" ca="1" si="25"/>
        <v>0</v>
      </c>
      <c r="BP53" s="102">
        <f t="shared" ca="1" si="25"/>
        <v>0</v>
      </c>
      <c r="BQ53" s="102">
        <f t="shared" ca="1" si="25"/>
        <v>0</v>
      </c>
      <c r="BR53" s="102">
        <f t="shared" ca="1" si="25"/>
        <v>0</v>
      </c>
      <c r="BS53" s="102">
        <f t="shared" ca="1" si="25"/>
        <v>0</v>
      </c>
      <c r="BT53" s="102">
        <f t="shared" ca="1" si="25"/>
        <v>0</v>
      </c>
      <c r="BU53" s="102">
        <f t="shared" ca="1" si="25"/>
        <v>0</v>
      </c>
      <c r="BV53" s="102">
        <f t="shared" ca="1" si="25"/>
        <v>0</v>
      </c>
      <c r="BW53" s="102">
        <f t="shared" ca="1" si="25"/>
        <v>0</v>
      </c>
      <c r="BX53" s="102">
        <f t="shared" ca="1" si="25"/>
        <v>0</v>
      </c>
      <c r="BY53" s="102">
        <f t="shared" ca="1" si="25"/>
        <v>0</v>
      </c>
      <c r="BZ53" s="98">
        <f t="shared" ca="1" si="15"/>
        <v>0</v>
      </c>
      <c r="CA53" s="102">
        <f t="shared" ca="1" si="15"/>
        <v>0</v>
      </c>
      <c r="CB53" s="102">
        <f t="shared" ca="1" si="15"/>
        <v>0</v>
      </c>
      <c r="CC53" s="102">
        <f t="shared" ca="1" si="15"/>
        <v>0</v>
      </c>
      <c r="CD53" s="102">
        <f t="shared" ca="1" si="15"/>
        <v>0</v>
      </c>
      <c r="CE53" s="102">
        <f t="shared" ca="1" si="15"/>
        <v>0</v>
      </c>
      <c r="CF53" s="102">
        <f t="shared" ca="1" si="15"/>
        <v>0</v>
      </c>
      <c r="CG53" s="102">
        <f t="shared" ca="1" si="15"/>
        <v>0</v>
      </c>
      <c r="CH53" s="101">
        <f ca="1">COUNTIF(BZ53:CG53,"&lt;"&amp;MAX(BZ53:CG53))+IF(Calcs[[#This Row],[RL1]]=0,0,1)</f>
        <v>0</v>
      </c>
      <c r="CI5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3" s="103">
        <f ca="1">IFERROR(OFFSET(CJ53,-1,0)+0,0)+IF(INDEX(INDIRECT(RangeContrQty),MATCH(Calcs[[#This Row],[Line]],OFFSET(Items[Line],0,0,ROW(Proposed[])-ROW(Items[])+ROWS(Proposed[]),1),0)),1,0)</f>
        <v>0</v>
      </c>
    </row>
    <row r="54" spans="1:94" x14ac:dyDescent="0.15">
      <c r="A54" s="6">
        <f ca="1">IFERROR(OFFSET(A54,-1,0)+0,0)+MAX(IF(LEN(Calcs[[#This Row],[Line]])&gt;0,1,0),Calcs[[#This Row],[DL]],Calcs[[#This Row],[RL]])</f>
        <v>10</v>
      </c>
      <c r="B54" s="94" t="str">
        <f ca="1">IFERROR(INDEX(OFFSET(Items[Line],0,0,ROW(Proposed[])-ROW(Items[])+ROWS(Proposed[]),1),MATCH(ROW(B54)-ROW(B$3),INDIRECT(RangeCount),0)),"")</f>
        <v/>
      </c>
      <c r="C54" s="94" t="str">
        <f ca="1">IF(LEN(Calcs[[#This Row],[Line]])&gt;0,TRIM(IFERROR(INDEX(Items[Description],MATCH(Calcs[[#This Row],[Line]],Items[Line],0))&amp;INDEX(Items[Description2],MATCH(Calcs[[#This Row],[Line]],Items[Line],0)),INDEX(Proposed[Description],MATCH(Calcs[[#This Row],[Line]],Proposed[Line],0)))),"")</f>
        <v/>
      </c>
      <c r="D54" s="96">
        <f t="shared" ca="1" si="22"/>
        <v>0</v>
      </c>
      <c r="E54" s="97">
        <f t="shared" ca="1" si="22"/>
        <v>0</v>
      </c>
      <c r="F54" s="97">
        <f t="shared" ca="1" si="22"/>
        <v>0</v>
      </c>
      <c r="G54" s="97">
        <f t="shared" ca="1" si="22"/>
        <v>0</v>
      </c>
      <c r="H54" s="97">
        <f t="shared" ca="1" si="22"/>
        <v>0</v>
      </c>
      <c r="I54" s="97">
        <f t="shared" ca="1" si="22"/>
        <v>0</v>
      </c>
      <c r="J54" s="97">
        <f t="shared" ca="1" si="22"/>
        <v>0</v>
      </c>
      <c r="K54" s="97">
        <f t="shared" ca="1" si="22"/>
        <v>0</v>
      </c>
      <c r="L54" s="97">
        <f t="shared" ca="1" si="22"/>
        <v>0</v>
      </c>
      <c r="M54" s="97">
        <f t="shared" ca="1" si="22"/>
        <v>0</v>
      </c>
      <c r="N54" s="97">
        <f t="shared" ca="1" si="22"/>
        <v>0</v>
      </c>
      <c r="O54" s="97">
        <f t="shared" ca="1" si="22"/>
        <v>0</v>
      </c>
      <c r="P54" s="97">
        <f t="shared" ca="1" si="22"/>
        <v>0</v>
      </c>
      <c r="Q54" s="97">
        <f t="shared" ca="1" si="22"/>
        <v>0</v>
      </c>
      <c r="R54" s="97">
        <f t="shared" ca="1" si="22"/>
        <v>0</v>
      </c>
      <c r="S54" s="97">
        <f t="shared" ca="1" si="22"/>
        <v>0</v>
      </c>
      <c r="T54" s="97">
        <f t="shared" ca="1" si="20"/>
        <v>0</v>
      </c>
      <c r="U54" s="97">
        <f t="shared" ca="1" si="20"/>
        <v>0</v>
      </c>
      <c r="V54" s="97">
        <f t="shared" ca="1" si="20"/>
        <v>0</v>
      </c>
      <c r="W54" s="97">
        <f t="shared" ca="1" si="20"/>
        <v>0</v>
      </c>
      <c r="X54" s="97">
        <f t="shared" ca="1" si="23"/>
        <v>0</v>
      </c>
      <c r="Y54" s="97">
        <f t="shared" ca="1" si="23"/>
        <v>0</v>
      </c>
      <c r="Z54" s="97">
        <f t="shared" ca="1" si="23"/>
        <v>0</v>
      </c>
      <c r="AA54" s="97">
        <f t="shared" ca="1" si="23"/>
        <v>0</v>
      </c>
      <c r="AB54" s="97">
        <f t="shared" ca="1" si="23"/>
        <v>0</v>
      </c>
      <c r="AC54" s="97">
        <f t="shared" ca="1" si="23"/>
        <v>0</v>
      </c>
      <c r="AD54" s="97">
        <f t="shared" ca="1" si="23"/>
        <v>0</v>
      </c>
      <c r="AE54" s="97">
        <f t="shared" ca="1" si="23"/>
        <v>0</v>
      </c>
      <c r="AF54" s="97">
        <f t="shared" ca="1" si="23"/>
        <v>0</v>
      </c>
      <c r="AG54" s="97">
        <f t="shared" ca="1" si="23"/>
        <v>0</v>
      </c>
      <c r="AH54" s="97">
        <f t="shared" ca="1" si="23"/>
        <v>0</v>
      </c>
      <c r="AI54" s="97">
        <f t="shared" ca="1" si="23"/>
        <v>0</v>
      </c>
      <c r="AJ54" s="98">
        <f t="shared" ca="1" si="13"/>
        <v>0</v>
      </c>
      <c r="AK54" s="97">
        <f t="shared" ca="1" si="13"/>
        <v>0</v>
      </c>
      <c r="AL54" s="97">
        <f t="shared" ca="1" si="13"/>
        <v>0</v>
      </c>
      <c r="AM54" s="97">
        <f t="shared" ca="1" si="13"/>
        <v>0</v>
      </c>
      <c r="AN54" s="97">
        <f t="shared" ca="1" si="13"/>
        <v>0</v>
      </c>
      <c r="AO54" s="97">
        <f t="shared" ca="1" si="13"/>
        <v>0</v>
      </c>
      <c r="AP54" s="97">
        <f t="shared" ca="1" si="13"/>
        <v>0</v>
      </c>
      <c r="AQ54" s="97">
        <f t="shared" ca="1" si="13"/>
        <v>0</v>
      </c>
      <c r="AR54" s="99">
        <f ca="1">COUNTIF(AJ54:AQ54,"&lt;"&amp;MAX(AJ54:AQ54))+IF(Calcs[[#This Row],[DL1]]=0,0,1)</f>
        <v>0</v>
      </c>
      <c r="AS54" s="100" t="str">
        <f ca="1">IF(LEN(Calcs[[#This Row],[Line]])&gt;0,IF(RIGHT(Calcs[[#This Row],[Remark]],3)=".  ",LEFT(Calcs[[#This Row],[Remark]],LEN(Calcs[[#This Row],[Remark]])-3),Calcs[[#This Row],[Remark]]),"")</f>
        <v/>
      </c>
      <c r="AT54" s="96">
        <f t="shared" ca="1" si="24"/>
        <v>0</v>
      </c>
      <c r="AU54" s="102">
        <f t="shared" ca="1" si="24"/>
        <v>0</v>
      </c>
      <c r="AV54" s="102">
        <f t="shared" ca="1" si="24"/>
        <v>0</v>
      </c>
      <c r="AW54" s="102">
        <f t="shared" ca="1" si="24"/>
        <v>0</v>
      </c>
      <c r="AX54" s="102">
        <f t="shared" ca="1" si="24"/>
        <v>0</v>
      </c>
      <c r="AY54" s="102">
        <f t="shared" ca="1" si="24"/>
        <v>0</v>
      </c>
      <c r="AZ54" s="102">
        <f t="shared" ca="1" si="24"/>
        <v>0</v>
      </c>
      <c r="BA54" s="102">
        <f t="shared" ca="1" si="24"/>
        <v>0</v>
      </c>
      <c r="BB54" s="102">
        <f t="shared" ca="1" si="24"/>
        <v>0</v>
      </c>
      <c r="BC54" s="102">
        <f t="shared" ca="1" si="24"/>
        <v>0</v>
      </c>
      <c r="BD54" s="102">
        <f t="shared" ca="1" si="24"/>
        <v>0</v>
      </c>
      <c r="BE54" s="102">
        <f t="shared" ca="1" si="24"/>
        <v>0</v>
      </c>
      <c r="BF54" s="102">
        <f t="shared" ca="1" si="24"/>
        <v>0</v>
      </c>
      <c r="BG54" s="102">
        <f t="shared" ca="1" si="24"/>
        <v>0</v>
      </c>
      <c r="BH54" s="102">
        <f t="shared" ca="1" si="24"/>
        <v>0</v>
      </c>
      <c r="BI54" s="102">
        <f t="shared" ca="1" si="24"/>
        <v>0</v>
      </c>
      <c r="BJ54" s="102">
        <f t="shared" ca="1" si="21"/>
        <v>0</v>
      </c>
      <c r="BK54" s="102">
        <f t="shared" ca="1" si="21"/>
        <v>0</v>
      </c>
      <c r="BL54" s="102">
        <f t="shared" ca="1" si="21"/>
        <v>0</v>
      </c>
      <c r="BM54" s="102">
        <f t="shared" ca="1" si="21"/>
        <v>0</v>
      </c>
      <c r="BN54" s="102">
        <f t="shared" ca="1" si="25"/>
        <v>0</v>
      </c>
      <c r="BO54" s="102">
        <f t="shared" ca="1" si="25"/>
        <v>0</v>
      </c>
      <c r="BP54" s="102">
        <f t="shared" ca="1" si="25"/>
        <v>0</v>
      </c>
      <c r="BQ54" s="102">
        <f t="shared" ca="1" si="25"/>
        <v>0</v>
      </c>
      <c r="BR54" s="102">
        <f t="shared" ca="1" si="25"/>
        <v>0</v>
      </c>
      <c r="BS54" s="102">
        <f t="shared" ca="1" si="25"/>
        <v>0</v>
      </c>
      <c r="BT54" s="102">
        <f t="shared" ca="1" si="25"/>
        <v>0</v>
      </c>
      <c r="BU54" s="102">
        <f t="shared" ca="1" si="25"/>
        <v>0</v>
      </c>
      <c r="BV54" s="102">
        <f t="shared" ca="1" si="25"/>
        <v>0</v>
      </c>
      <c r="BW54" s="102">
        <f t="shared" ca="1" si="25"/>
        <v>0</v>
      </c>
      <c r="BX54" s="102">
        <f t="shared" ca="1" si="25"/>
        <v>0</v>
      </c>
      <c r="BY54" s="102">
        <f t="shared" ca="1" si="25"/>
        <v>0</v>
      </c>
      <c r="BZ54" s="98">
        <f t="shared" ca="1" si="15"/>
        <v>0</v>
      </c>
      <c r="CA54" s="102">
        <f t="shared" ca="1" si="15"/>
        <v>0</v>
      </c>
      <c r="CB54" s="102">
        <f t="shared" ca="1" si="15"/>
        <v>0</v>
      </c>
      <c r="CC54" s="102">
        <f t="shared" ca="1" si="15"/>
        <v>0</v>
      </c>
      <c r="CD54" s="102">
        <f t="shared" ca="1" si="15"/>
        <v>0</v>
      </c>
      <c r="CE54" s="102">
        <f t="shared" ca="1" si="15"/>
        <v>0</v>
      </c>
      <c r="CF54" s="102">
        <f t="shared" ca="1" si="15"/>
        <v>0</v>
      </c>
      <c r="CG54" s="102">
        <f t="shared" ca="1" si="15"/>
        <v>0</v>
      </c>
      <c r="CH54" s="101">
        <f ca="1">COUNTIF(BZ54:CG54,"&lt;"&amp;MAX(BZ54:CG54))+IF(Calcs[[#This Row],[RL1]]=0,0,1)</f>
        <v>0</v>
      </c>
      <c r="CI5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4" s="103">
        <f ca="1">IFERROR(OFFSET(CJ54,-1,0)+0,0)+IF(INDEX(INDIRECT(RangeContrQty),MATCH(Calcs[[#This Row],[Line]],OFFSET(Items[Line],0,0,ROW(Proposed[])-ROW(Items[])+ROWS(Proposed[]),1),0)),1,0)</f>
        <v>0</v>
      </c>
      <c r="CM54"/>
      <c r="CN54"/>
      <c r="CO54"/>
      <c r="CP54"/>
    </row>
    <row r="55" spans="1:94" x14ac:dyDescent="0.15">
      <c r="A55" s="6">
        <f ca="1">IFERROR(OFFSET(A55,-1,0)+0,0)+MAX(IF(LEN(Calcs[[#This Row],[Line]])&gt;0,1,0),Calcs[[#This Row],[DL]],Calcs[[#This Row],[RL]])</f>
        <v>10</v>
      </c>
      <c r="B55" s="94" t="str">
        <f ca="1">IFERROR(INDEX(OFFSET(Items[Line],0,0,ROW(Proposed[])-ROW(Items[])+ROWS(Proposed[]),1),MATCH(ROW(B55)-ROW(B$3),INDIRECT(RangeCount),0)),"")</f>
        <v/>
      </c>
      <c r="C55" s="94" t="str">
        <f ca="1">IF(LEN(Calcs[[#This Row],[Line]])&gt;0,TRIM(IFERROR(INDEX(Items[Description],MATCH(Calcs[[#This Row],[Line]],Items[Line],0))&amp;INDEX(Items[Description2],MATCH(Calcs[[#This Row],[Line]],Items[Line],0)),INDEX(Proposed[Description],MATCH(Calcs[[#This Row],[Line]],Proposed[Line],0)))),"")</f>
        <v/>
      </c>
      <c r="D55" s="96">
        <f t="shared" ca="1" si="22"/>
        <v>0</v>
      </c>
      <c r="E55" s="97">
        <f t="shared" ca="1" si="22"/>
        <v>0</v>
      </c>
      <c r="F55" s="97">
        <f t="shared" ca="1" si="22"/>
        <v>0</v>
      </c>
      <c r="G55" s="97">
        <f t="shared" ca="1" si="22"/>
        <v>0</v>
      </c>
      <c r="H55" s="97">
        <f t="shared" ca="1" si="22"/>
        <v>0</v>
      </c>
      <c r="I55" s="97">
        <f t="shared" ca="1" si="22"/>
        <v>0</v>
      </c>
      <c r="J55" s="97">
        <f t="shared" ca="1" si="22"/>
        <v>0</v>
      </c>
      <c r="K55" s="97">
        <f t="shared" ca="1" si="22"/>
        <v>0</v>
      </c>
      <c r="L55" s="97">
        <f t="shared" ca="1" si="22"/>
        <v>0</v>
      </c>
      <c r="M55" s="97">
        <f t="shared" ca="1" si="22"/>
        <v>0</v>
      </c>
      <c r="N55" s="97">
        <f t="shared" ca="1" si="22"/>
        <v>0</v>
      </c>
      <c r="O55" s="97">
        <f t="shared" ca="1" si="22"/>
        <v>0</v>
      </c>
      <c r="P55" s="97">
        <f t="shared" ca="1" si="22"/>
        <v>0</v>
      </c>
      <c r="Q55" s="97">
        <f t="shared" ca="1" si="22"/>
        <v>0</v>
      </c>
      <c r="R55" s="97">
        <f t="shared" ca="1" si="22"/>
        <v>0</v>
      </c>
      <c r="S55" s="97">
        <f t="shared" ca="1" si="22"/>
        <v>0</v>
      </c>
      <c r="T55" s="97">
        <f t="shared" ca="1" si="20"/>
        <v>0</v>
      </c>
      <c r="U55" s="97">
        <f t="shared" ca="1" si="20"/>
        <v>0</v>
      </c>
      <c r="V55" s="97">
        <f t="shared" ca="1" si="20"/>
        <v>0</v>
      </c>
      <c r="W55" s="97">
        <f t="shared" ca="1" si="20"/>
        <v>0</v>
      </c>
      <c r="X55" s="97">
        <f t="shared" ca="1" si="23"/>
        <v>0</v>
      </c>
      <c r="Y55" s="97">
        <f t="shared" ca="1" si="23"/>
        <v>0</v>
      </c>
      <c r="Z55" s="97">
        <f t="shared" ca="1" si="23"/>
        <v>0</v>
      </c>
      <c r="AA55" s="97">
        <f t="shared" ca="1" si="23"/>
        <v>0</v>
      </c>
      <c r="AB55" s="97">
        <f t="shared" ca="1" si="23"/>
        <v>0</v>
      </c>
      <c r="AC55" s="97">
        <f t="shared" ca="1" si="23"/>
        <v>0</v>
      </c>
      <c r="AD55" s="97">
        <f t="shared" ca="1" si="23"/>
        <v>0</v>
      </c>
      <c r="AE55" s="97">
        <f t="shared" ca="1" si="23"/>
        <v>0</v>
      </c>
      <c r="AF55" s="97">
        <f t="shared" ca="1" si="23"/>
        <v>0</v>
      </c>
      <c r="AG55" s="97">
        <f t="shared" ca="1" si="23"/>
        <v>0</v>
      </c>
      <c r="AH55" s="97">
        <f t="shared" ca="1" si="23"/>
        <v>0</v>
      </c>
      <c r="AI55" s="97">
        <f t="shared" ca="1" si="23"/>
        <v>0</v>
      </c>
      <c r="AJ55" s="98">
        <f t="shared" ca="1" si="13"/>
        <v>0</v>
      </c>
      <c r="AK55" s="97">
        <f t="shared" ca="1" si="13"/>
        <v>0</v>
      </c>
      <c r="AL55" s="97">
        <f t="shared" ca="1" si="13"/>
        <v>0</v>
      </c>
      <c r="AM55" s="97">
        <f t="shared" ca="1" si="13"/>
        <v>0</v>
      </c>
      <c r="AN55" s="97">
        <f t="shared" ca="1" si="13"/>
        <v>0</v>
      </c>
      <c r="AO55" s="97">
        <f t="shared" ca="1" si="13"/>
        <v>0</v>
      </c>
      <c r="AP55" s="97">
        <f t="shared" ca="1" si="13"/>
        <v>0</v>
      </c>
      <c r="AQ55" s="97">
        <f t="shared" ca="1" si="13"/>
        <v>0</v>
      </c>
      <c r="AR55" s="99">
        <f ca="1">COUNTIF(AJ55:AQ55,"&lt;"&amp;MAX(AJ55:AQ55))+IF(Calcs[[#This Row],[DL1]]=0,0,1)</f>
        <v>0</v>
      </c>
      <c r="AS55" s="100" t="str">
        <f ca="1">IF(LEN(Calcs[[#This Row],[Line]])&gt;0,IF(RIGHT(Calcs[[#This Row],[Remark]],3)=".  ",LEFT(Calcs[[#This Row],[Remark]],LEN(Calcs[[#This Row],[Remark]])-3),Calcs[[#This Row],[Remark]]),"")</f>
        <v/>
      </c>
      <c r="AT55" s="96">
        <f t="shared" ca="1" si="24"/>
        <v>0</v>
      </c>
      <c r="AU55" s="102">
        <f t="shared" ca="1" si="24"/>
        <v>0</v>
      </c>
      <c r="AV55" s="102">
        <f t="shared" ca="1" si="24"/>
        <v>0</v>
      </c>
      <c r="AW55" s="102">
        <f t="shared" ca="1" si="24"/>
        <v>0</v>
      </c>
      <c r="AX55" s="102">
        <f t="shared" ca="1" si="24"/>
        <v>0</v>
      </c>
      <c r="AY55" s="102">
        <f t="shared" ca="1" si="24"/>
        <v>0</v>
      </c>
      <c r="AZ55" s="102">
        <f t="shared" ca="1" si="24"/>
        <v>0</v>
      </c>
      <c r="BA55" s="102">
        <f t="shared" ca="1" si="24"/>
        <v>0</v>
      </c>
      <c r="BB55" s="102">
        <f t="shared" ca="1" si="24"/>
        <v>0</v>
      </c>
      <c r="BC55" s="102">
        <f t="shared" ca="1" si="24"/>
        <v>0</v>
      </c>
      <c r="BD55" s="102">
        <f t="shared" ca="1" si="24"/>
        <v>0</v>
      </c>
      <c r="BE55" s="102">
        <f t="shared" ca="1" si="24"/>
        <v>0</v>
      </c>
      <c r="BF55" s="102">
        <f t="shared" ca="1" si="24"/>
        <v>0</v>
      </c>
      <c r="BG55" s="102">
        <f t="shared" ca="1" si="24"/>
        <v>0</v>
      </c>
      <c r="BH55" s="102">
        <f t="shared" ca="1" si="24"/>
        <v>0</v>
      </c>
      <c r="BI55" s="102">
        <f t="shared" ca="1" si="24"/>
        <v>0</v>
      </c>
      <c r="BJ55" s="102">
        <f t="shared" ca="1" si="21"/>
        <v>0</v>
      </c>
      <c r="BK55" s="102">
        <f t="shared" ca="1" si="21"/>
        <v>0</v>
      </c>
      <c r="BL55" s="102">
        <f t="shared" ca="1" si="21"/>
        <v>0</v>
      </c>
      <c r="BM55" s="102">
        <f t="shared" ca="1" si="21"/>
        <v>0</v>
      </c>
      <c r="BN55" s="102">
        <f t="shared" ca="1" si="25"/>
        <v>0</v>
      </c>
      <c r="BO55" s="102">
        <f t="shared" ca="1" si="25"/>
        <v>0</v>
      </c>
      <c r="BP55" s="102">
        <f t="shared" ca="1" si="25"/>
        <v>0</v>
      </c>
      <c r="BQ55" s="102">
        <f t="shared" ca="1" si="25"/>
        <v>0</v>
      </c>
      <c r="BR55" s="102">
        <f t="shared" ca="1" si="25"/>
        <v>0</v>
      </c>
      <c r="BS55" s="102">
        <f t="shared" ca="1" si="25"/>
        <v>0</v>
      </c>
      <c r="BT55" s="102">
        <f t="shared" ca="1" si="25"/>
        <v>0</v>
      </c>
      <c r="BU55" s="102">
        <f t="shared" ca="1" si="25"/>
        <v>0</v>
      </c>
      <c r="BV55" s="102">
        <f t="shared" ca="1" si="25"/>
        <v>0</v>
      </c>
      <c r="BW55" s="102">
        <f t="shared" ca="1" si="25"/>
        <v>0</v>
      </c>
      <c r="BX55" s="102">
        <f t="shared" ca="1" si="25"/>
        <v>0</v>
      </c>
      <c r="BY55" s="102">
        <f t="shared" ca="1" si="25"/>
        <v>0</v>
      </c>
      <c r="BZ55" s="98">
        <f t="shared" ca="1" si="15"/>
        <v>0</v>
      </c>
      <c r="CA55" s="102">
        <f t="shared" ca="1" si="15"/>
        <v>0</v>
      </c>
      <c r="CB55" s="102">
        <f t="shared" ca="1" si="15"/>
        <v>0</v>
      </c>
      <c r="CC55" s="102">
        <f t="shared" ca="1" si="15"/>
        <v>0</v>
      </c>
      <c r="CD55" s="102">
        <f t="shared" ca="1" si="15"/>
        <v>0</v>
      </c>
      <c r="CE55" s="102">
        <f t="shared" ca="1" si="15"/>
        <v>0</v>
      </c>
      <c r="CF55" s="102">
        <f t="shared" ca="1" si="15"/>
        <v>0</v>
      </c>
      <c r="CG55" s="102">
        <f t="shared" ca="1" si="15"/>
        <v>0</v>
      </c>
      <c r="CH55" s="101">
        <f ca="1">COUNTIF(BZ55:CG55,"&lt;"&amp;MAX(BZ55:CG55))+IF(Calcs[[#This Row],[RL1]]=0,0,1)</f>
        <v>0</v>
      </c>
      <c r="CI5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5" s="103">
        <f ca="1">IFERROR(OFFSET(CJ55,-1,0)+0,0)+IF(INDEX(INDIRECT(RangeContrQty),MATCH(Calcs[[#This Row],[Line]],OFFSET(Items[Line],0,0,ROW(Proposed[])-ROW(Items[])+ROWS(Proposed[]),1),0)),1,0)</f>
        <v>0</v>
      </c>
      <c r="CM55"/>
      <c r="CN55"/>
      <c r="CO55"/>
      <c r="CP55"/>
    </row>
    <row r="56" spans="1:94" x14ac:dyDescent="0.15">
      <c r="A56" s="6">
        <f ca="1">IFERROR(OFFSET(A56,-1,0)+0,0)+MAX(IF(LEN(Calcs[[#This Row],[Line]])&gt;0,1,0),Calcs[[#This Row],[DL]],Calcs[[#This Row],[RL]])</f>
        <v>10</v>
      </c>
      <c r="B56" s="94" t="str">
        <f ca="1">IFERROR(INDEX(OFFSET(Items[Line],0,0,ROW(Proposed[])-ROW(Items[])+ROWS(Proposed[]),1),MATCH(ROW(B56)-ROW(B$3),INDIRECT(RangeCount),0)),"")</f>
        <v/>
      </c>
      <c r="C56" s="94" t="str">
        <f ca="1">IF(LEN(Calcs[[#This Row],[Line]])&gt;0,TRIM(IFERROR(INDEX(Items[Description],MATCH(Calcs[[#This Row],[Line]],Items[Line],0))&amp;INDEX(Items[Description2],MATCH(Calcs[[#This Row],[Line]],Items[Line],0)),INDEX(Proposed[Description],MATCH(Calcs[[#This Row],[Line]],Proposed[Line],0)))),"")</f>
        <v/>
      </c>
      <c r="D56" s="96">
        <f t="shared" ca="1" si="22"/>
        <v>0</v>
      </c>
      <c r="E56" s="97">
        <f t="shared" ca="1" si="22"/>
        <v>0</v>
      </c>
      <c r="F56" s="97">
        <f t="shared" ca="1" si="22"/>
        <v>0</v>
      </c>
      <c r="G56" s="97">
        <f t="shared" ca="1" si="22"/>
        <v>0</v>
      </c>
      <c r="H56" s="97">
        <f t="shared" ca="1" si="22"/>
        <v>0</v>
      </c>
      <c r="I56" s="97">
        <f t="shared" ca="1" si="22"/>
        <v>0</v>
      </c>
      <c r="J56" s="97">
        <f t="shared" ca="1" si="22"/>
        <v>0</v>
      </c>
      <c r="K56" s="97">
        <f t="shared" ca="1" si="22"/>
        <v>0</v>
      </c>
      <c r="L56" s="97">
        <f t="shared" ca="1" si="22"/>
        <v>0</v>
      </c>
      <c r="M56" s="97">
        <f t="shared" ca="1" si="22"/>
        <v>0</v>
      </c>
      <c r="N56" s="97">
        <f t="shared" ca="1" si="22"/>
        <v>0</v>
      </c>
      <c r="O56" s="97">
        <f t="shared" ca="1" si="22"/>
        <v>0</v>
      </c>
      <c r="P56" s="97">
        <f t="shared" ca="1" si="22"/>
        <v>0</v>
      </c>
      <c r="Q56" s="97">
        <f t="shared" ca="1" si="22"/>
        <v>0</v>
      </c>
      <c r="R56" s="97">
        <f t="shared" ca="1" si="22"/>
        <v>0</v>
      </c>
      <c r="S56" s="97">
        <f t="shared" ca="1" si="22"/>
        <v>0</v>
      </c>
      <c r="T56" s="97">
        <f t="shared" ca="1" si="20"/>
        <v>0</v>
      </c>
      <c r="U56" s="97">
        <f t="shared" ca="1" si="20"/>
        <v>0</v>
      </c>
      <c r="V56" s="97">
        <f t="shared" ca="1" si="20"/>
        <v>0</v>
      </c>
      <c r="W56" s="97">
        <f t="shared" ca="1" si="20"/>
        <v>0</v>
      </c>
      <c r="X56" s="97">
        <f t="shared" ca="1" si="23"/>
        <v>0</v>
      </c>
      <c r="Y56" s="97">
        <f t="shared" ca="1" si="23"/>
        <v>0</v>
      </c>
      <c r="Z56" s="97">
        <f t="shared" ca="1" si="23"/>
        <v>0</v>
      </c>
      <c r="AA56" s="97">
        <f t="shared" ca="1" si="23"/>
        <v>0</v>
      </c>
      <c r="AB56" s="97">
        <f t="shared" ca="1" si="23"/>
        <v>0</v>
      </c>
      <c r="AC56" s="97">
        <f t="shared" ca="1" si="23"/>
        <v>0</v>
      </c>
      <c r="AD56" s="97">
        <f t="shared" ca="1" si="23"/>
        <v>0</v>
      </c>
      <c r="AE56" s="97">
        <f t="shared" ca="1" si="23"/>
        <v>0</v>
      </c>
      <c r="AF56" s="97">
        <f t="shared" ca="1" si="23"/>
        <v>0</v>
      </c>
      <c r="AG56" s="97">
        <f t="shared" ca="1" si="23"/>
        <v>0</v>
      </c>
      <c r="AH56" s="97">
        <f t="shared" ca="1" si="23"/>
        <v>0</v>
      </c>
      <c r="AI56" s="97">
        <f t="shared" ca="1" si="23"/>
        <v>0</v>
      </c>
      <c r="AJ56" s="98">
        <f t="shared" ca="1" si="13"/>
        <v>0</v>
      </c>
      <c r="AK56" s="97">
        <f t="shared" ca="1" si="13"/>
        <v>0</v>
      </c>
      <c r="AL56" s="97">
        <f t="shared" ca="1" si="13"/>
        <v>0</v>
      </c>
      <c r="AM56" s="97">
        <f t="shared" ca="1" si="13"/>
        <v>0</v>
      </c>
      <c r="AN56" s="97">
        <f t="shared" ca="1" si="13"/>
        <v>0</v>
      </c>
      <c r="AO56" s="97">
        <f t="shared" ca="1" si="13"/>
        <v>0</v>
      </c>
      <c r="AP56" s="97">
        <f t="shared" ca="1" si="13"/>
        <v>0</v>
      </c>
      <c r="AQ56" s="97">
        <f t="shared" ca="1" si="13"/>
        <v>0</v>
      </c>
      <c r="AR56" s="99">
        <f ca="1">COUNTIF(AJ56:AQ56,"&lt;"&amp;MAX(AJ56:AQ56))+IF(Calcs[[#This Row],[DL1]]=0,0,1)</f>
        <v>0</v>
      </c>
      <c r="AS56" s="100" t="str">
        <f ca="1">IF(LEN(Calcs[[#This Row],[Line]])&gt;0,IF(RIGHT(Calcs[[#This Row],[Remark]],3)=".  ",LEFT(Calcs[[#This Row],[Remark]],LEN(Calcs[[#This Row],[Remark]])-3),Calcs[[#This Row],[Remark]]),"")</f>
        <v/>
      </c>
      <c r="AT56" s="96">
        <f t="shared" ca="1" si="24"/>
        <v>0</v>
      </c>
      <c r="AU56" s="102">
        <f t="shared" ca="1" si="24"/>
        <v>0</v>
      </c>
      <c r="AV56" s="102">
        <f t="shared" ca="1" si="24"/>
        <v>0</v>
      </c>
      <c r="AW56" s="102">
        <f t="shared" ca="1" si="24"/>
        <v>0</v>
      </c>
      <c r="AX56" s="102">
        <f t="shared" ca="1" si="24"/>
        <v>0</v>
      </c>
      <c r="AY56" s="102">
        <f t="shared" ca="1" si="24"/>
        <v>0</v>
      </c>
      <c r="AZ56" s="102">
        <f t="shared" ca="1" si="24"/>
        <v>0</v>
      </c>
      <c r="BA56" s="102">
        <f t="shared" ca="1" si="24"/>
        <v>0</v>
      </c>
      <c r="BB56" s="102">
        <f t="shared" ca="1" si="24"/>
        <v>0</v>
      </c>
      <c r="BC56" s="102">
        <f t="shared" ca="1" si="24"/>
        <v>0</v>
      </c>
      <c r="BD56" s="102">
        <f t="shared" ca="1" si="24"/>
        <v>0</v>
      </c>
      <c r="BE56" s="102">
        <f t="shared" ca="1" si="24"/>
        <v>0</v>
      </c>
      <c r="BF56" s="102">
        <f t="shared" ca="1" si="24"/>
        <v>0</v>
      </c>
      <c r="BG56" s="102">
        <f t="shared" ca="1" si="24"/>
        <v>0</v>
      </c>
      <c r="BH56" s="102">
        <f t="shared" ca="1" si="24"/>
        <v>0</v>
      </c>
      <c r="BI56" s="102">
        <f t="shared" ca="1" si="24"/>
        <v>0</v>
      </c>
      <c r="BJ56" s="102">
        <f t="shared" ca="1" si="21"/>
        <v>0</v>
      </c>
      <c r="BK56" s="102">
        <f t="shared" ca="1" si="21"/>
        <v>0</v>
      </c>
      <c r="BL56" s="102">
        <f t="shared" ca="1" si="21"/>
        <v>0</v>
      </c>
      <c r="BM56" s="102">
        <f t="shared" ca="1" si="21"/>
        <v>0</v>
      </c>
      <c r="BN56" s="102">
        <f t="shared" ca="1" si="25"/>
        <v>0</v>
      </c>
      <c r="BO56" s="102">
        <f t="shared" ca="1" si="25"/>
        <v>0</v>
      </c>
      <c r="BP56" s="102">
        <f t="shared" ca="1" si="25"/>
        <v>0</v>
      </c>
      <c r="BQ56" s="102">
        <f t="shared" ca="1" si="25"/>
        <v>0</v>
      </c>
      <c r="BR56" s="102">
        <f t="shared" ca="1" si="25"/>
        <v>0</v>
      </c>
      <c r="BS56" s="102">
        <f t="shared" ca="1" si="25"/>
        <v>0</v>
      </c>
      <c r="BT56" s="102">
        <f t="shared" ca="1" si="25"/>
        <v>0</v>
      </c>
      <c r="BU56" s="102">
        <f t="shared" ca="1" si="25"/>
        <v>0</v>
      </c>
      <c r="BV56" s="102">
        <f t="shared" ca="1" si="25"/>
        <v>0</v>
      </c>
      <c r="BW56" s="102">
        <f t="shared" ca="1" si="25"/>
        <v>0</v>
      </c>
      <c r="BX56" s="102">
        <f t="shared" ca="1" si="25"/>
        <v>0</v>
      </c>
      <c r="BY56" s="102">
        <f t="shared" ca="1" si="25"/>
        <v>0</v>
      </c>
      <c r="BZ56" s="98">
        <f t="shared" ca="1" si="15"/>
        <v>0</v>
      </c>
      <c r="CA56" s="102">
        <f t="shared" ca="1" si="15"/>
        <v>0</v>
      </c>
      <c r="CB56" s="102">
        <f t="shared" ca="1" si="15"/>
        <v>0</v>
      </c>
      <c r="CC56" s="102">
        <f t="shared" ca="1" si="15"/>
        <v>0</v>
      </c>
      <c r="CD56" s="102">
        <f t="shared" ca="1" si="15"/>
        <v>0</v>
      </c>
      <c r="CE56" s="102">
        <f t="shared" ca="1" si="15"/>
        <v>0</v>
      </c>
      <c r="CF56" s="102">
        <f t="shared" ca="1" si="15"/>
        <v>0</v>
      </c>
      <c r="CG56" s="102">
        <f t="shared" ca="1" si="15"/>
        <v>0</v>
      </c>
      <c r="CH56" s="101">
        <f ca="1">COUNTIF(BZ56:CG56,"&lt;"&amp;MAX(BZ56:CG56))+IF(Calcs[[#This Row],[RL1]]=0,0,1)</f>
        <v>0</v>
      </c>
      <c r="CI5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6" s="103">
        <f ca="1">IFERROR(OFFSET(CJ56,-1,0)+0,0)+IF(INDEX(INDIRECT(RangeContrQty),MATCH(Calcs[[#This Row],[Line]],OFFSET(Items[Line],0,0,ROW(Proposed[])-ROW(Items[])+ROWS(Proposed[]),1),0)),1,0)</f>
        <v>0</v>
      </c>
      <c r="CM56"/>
      <c r="CN56"/>
      <c r="CO56"/>
      <c r="CP56"/>
    </row>
    <row r="57" spans="1:94" x14ac:dyDescent="0.15">
      <c r="A57" s="6">
        <f ca="1">IFERROR(OFFSET(A57,-1,0)+0,0)+MAX(IF(LEN(Calcs[[#This Row],[Line]])&gt;0,1,0),Calcs[[#This Row],[DL]],Calcs[[#This Row],[RL]])</f>
        <v>10</v>
      </c>
      <c r="B57" s="94" t="str">
        <f ca="1">IFERROR(INDEX(OFFSET(Items[Line],0,0,ROW(Proposed[])-ROW(Items[])+ROWS(Proposed[]),1),MATCH(ROW(B57)-ROW(B$3),INDIRECT(RangeCount),0)),"")</f>
        <v/>
      </c>
      <c r="C57" s="94" t="str">
        <f ca="1">IF(LEN(Calcs[[#This Row],[Line]])&gt;0,TRIM(IFERROR(INDEX(Items[Description],MATCH(Calcs[[#This Row],[Line]],Items[Line],0))&amp;INDEX(Items[Description2],MATCH(Calcs[[#This Row],[Line]],Items[Line],0)),INDEX(Proposed[Description],MATCH(Calcs[[#This Row],[Line]],Proposed[Line],0)))),"")</f>
        <v/>
      </c>
      <c r="D57" s="96">
        <f t="shared" ca="1" si="22"/>
        <v>0</v>
      </c>
      <c r="E57" s="97">
        <f t="shared" ca="1" si="22"/>
        <v>0</v>
      </c>
      <c r="F57" s="97">
        <f t="shared" ca="1" si="22"/>
        <v>0</v>
      </c>
      <c r="G57" s="97">
        <f t="shared" ca="1" si="22"/>
        <v>0</v>
      </c>
      <c r="H57" s="97">
        <f t="shared" ca="1" si="22"/>
        <v>0</v>
      </c>
      <c r="I57" s="97">
        <f t="shared" ca="1" si="22"/>
        <v>0</v>
      </c>
      <c r="J57" s="97">
        <f t="shared" ca="1" si="22"/>
        <v>0</v>
      </c>
      <c r="K57" s="97">
        <f t="shared" ca="1" si="22"/>
        <v>0</v>
      </c>
      <c r="L57" s="97">
        <f t="shared" ca="1" si="22"/>
        <v>0</v>
      </c>
      <c r="M57" s="97">
        <f t="shared" ca="1" si="22"/>
        <v>0</v>
      </c>
      <c r="N57" s="97">
        <f t="shared" ca="1" si="22"/>
        <v>0</v>
      </c>
      <c r="O57" s="97">
        <f t="shared" ca="1" si="22"/>
        <v>0</v>
      </c>
      <c r="P57" s="97">
        <f t="shared" ca="1" si="22"/>
        <v>0</v>
      </c>
      <c r="Q57" s="97">
        <f t="shared" ca="1" si="22"/>
        <v>0</v>
      </c>
      <c r="R57" s="97">
        <f t="shared" ca="1" si="22"/>
        <v>0</v>
      </c>
      <c r="S57" s="97">
        <f t="shared" ca="1" si="22"/>
        <v>0</v>
      </c>
      <c r="T57" s="97">
        <f t="shared" ca="1" si="20"/>
        <v>0</v>
      </c>
      <c r="U57" s="97">
        <f t="shared" ca="1" si="20"/>
        <v>0</v>
      </c>
      <c r="V57" s="97">
        <f t="shared" ca="1" si="20"/>
        <v>0</v>
      </c>
      <c r="W57" s="97">
        <f t="shared" ca="1" si="20"/>
        <v>0</v>
      </c>
      <c r="X57" s="97">
        <f t="shared" ca="1" si="23"/>
        <v>0</v>
      </c>
      <c r="Y57" s="97">
        <f t="shared" ca="1" si="23"/>
        <v>0</v>
      </c>
      <c r="Z57" s="97">
        <f t="shared" ca="1" si="23"/>
        <v>0</v>
      </c>
      <c r="AA57" s="97">
        <f t="shared" ca="1" si="23"/>
        <v>0</v>
      </c>
      <c r="AB57" s="97">
        <f t="shared" ca="1" si="23"/>
        <v>0</v>
      </c>
      <c r="AC57" s="97">
        <f t="shared" ca="1" si="23"/>
        <v>0</v>
      </c>
      <c r="AD57" s="97">
        <f t="shared" ca="1" si="23"/>
        <v>0</v>
      </c>
      <c r="AE57" s="97">
        <f t="shared" ca="1" si="23"/>
        <v>0</v>
      </c>
      <c r="AF57" s="97">
        <f t="shared" ca="1" si="23"/>
        <v>0</v>
      </c>
      <c r="AG57" s="97">
        <f t="shared" ca="1" si="23"/>
        <v>0</v>
      </c>
      <c r="AH57" s="97">
        <f t="shared" ca="1" si="23"/>
        <v>0</v>
      </c>
      <c r="AI57" s="97">
        <f t="shared" ca="1" si="23"/>
        <v>0</v>
      </c>
      <c r="AJ57" s="98">
        <f t="shared" ca="1" si="13"/>
        <v>0</v>
      </c>
      <c r="AK57" s="97">
        <f t="shared" ca="1" si="13"/>
        <v>0</v>
      </c>
      <c r="AL57" s="97">
        <f t="shared" ca="1" si="13"/>
        <v>0</v>
      </c>
      <c r="AM57" s="97">
        <f t="shared" ca="1" si="13"/>
        <v>0</v>
      </c>
      <c r="AN57" s="97">
        <f t="shared" ca="1" si="13"/>
        <v>0</v>
      </c>
      <c r="AO57" s="97">
        <f t="shared" ca="1" si="13"/>
        <v>0</v>
      </c>
      <c r="AP57" s="97">
        <f t="shared" ca="1" si="13"/>
        <v>0</v>
      </c>
      <c r="AQ57" s="97">
        <f t="shared" ca="1" si="13"/>
        <v>0</v>
      </c>
      <c r="AR57" s="99">
        <f ca="1">COUNTIF(AJ57:AQ57,"&lt;"&amp;MAX(AJ57:AQ57))+IF(Calcs[[#This Row],[DL1]]=0,0,1)</f>
        <v>0</v>
      </c>
      <c r="AS57" s="100" t="str">
        <f ca="1">IF(LEN(Calcs[[#This Row],[Line]])&gt;0,IF(RIGHT(Calcs[[#This Row],[Remark]],3)=".  ",LEFT(Calcs[[#This Row],[Remark]],LEN(Calcs[[#This Row],[Remark]])-3),Calcs[[#This Row],[Remark]]),"")</f>
        <v/>
      </c>
      <c r="AT57" s="96">
        <f t="shared" ca="1" si="24"/>
        <v>0</v>
      </c>
      <c r="AU57" s="102">
        <f t="shared" ca="1" si="24"/>
        <v>0</v>
      </c>
      <c r="AV57" s="102">
        <f t="shared" ca="1" si="24"/>
        <v>0</v>
      </c>
      <c r="AW57" s="102">
        <f t="shared" ca="1" si="24"/>
        <v>0</v>
      </c>
      <c r="AX57" s="102">
        <f t="shared" ca="1" si="24"/>
        <v>0</v>
      </c>
      <c r="AY57" s="102">
        <f t="shared" ca="1" si="24"/>
        <v>0</v>
      </c>
      <c r="AZ57" s="102">
        <f t="shared" ca="1" si="24"/>
        <v>0</v>
      </c>
      <c r="BA57" s="102">
        <f t="shared" ca="1" si="24"/>
        <v>0</v>
      </c>
      <c r="BB57" s="102">
        <f t="shared" ca="1" si="24"/>
        <v>0</v>
      </c>
      <c r="BC57" s="102">
        <f t="shared" ca="1" si="24"/>
        <v>0</v>
      </c>
      <c r="BD57" s="102">
        <f t="shared" ca="1" si="24"/>
        <v>0</v>
      </c>
      <c r="BE57" s="102">
        <f t="shared" ca="1" si="24"/>
        <v>0</v>
      </c>
      <c r="BF57" s="102">
        <f t="shared" ca="1" si="24"/>
        <v>0</v>
      </c>
      <c r="BG57" s="102">
        <f t="shared" ca="1" si="24"/>
        <v>0</v>
      </c>
      <c r="BH57" s="102">
        <f t="shared" ca="1" si="24"/>
        <v>0</v>
      </c>
      <c r="BI57" s="102">
        <f t="shared" ca="1" si="24"/>
        <v>0</v>
      </c>
      <c r="BJ57" s="102">
        <f t="shared" ca="1" si="21"/>
        <v>0</v>
      </c>
      <c r="BK57" s="102">
        <f t="shared" ca="1" si="21"/>
        <v>0</v>
      </c>
      <c r="BL57" s="102">
        <f t="shared" ca="1" si="21"/>
        <v>0</v>
      </c>
      <c r="BM57" s="102">
        <f t="shared" ca="1" si="21"/>
        <v>0</v>
      </c>
      <c r="BN57" s="102">
        <f t="shared" ca="1" si="25"/>
        <v>0</v>
      </c>
      <c r="BO57" s="102">
        <f t="shared" ca="1" si="25"/>
        <v>0</v>
      </c>
      <c r="BP57" s="102">
        <f t="shared" ca="1" si="25"/>
        <v>0</v>
      </c>
      <c r="BQ57" s="102">
        <f t="shared" ca="1" si="25"/>
        <v>0</v>
      </c>
      <c r="BR57" s="102">
        <f t="shared" ca="1" si="25"/>
        <v>0</v>
      </c>
      <c r="BS57" s="102">
        <f t="shared" ca="1" si="25"/>
        <v>0</v>
      </c>
      <c r="BT57" s="102">
        <f t="shared" ca="1" si="25"/>
        <v>0</v>
      </c>
      <c r="BU57" s="102">
        <f t="shared" ca="1" si="25"/>
        <v>0</v>
      </c>
      <c r="BV57" s="102">
        <f t="shared" ca="1" si="25"/>
        <v>0</v>
      </c>
      <c r="BW57" s="102">
        <f t="shared" ca="1" si="25"/>
        <v>0</v>
      </c>
      <c r="BX57" s="102">
        <f t="shared" ca="1" si="25"/>
        <v>0</v>
      </c>
      <c r="BY57" s="102">
        <f t="shared" ca="1" si="25"/>
        <v>0</v>
      </c>
      <c r="BZ57" s="98">
        <f t="shared" ca="1" si="15"/>
        <v>0</v>
      </c>
      <c r="CA57" s="102">
        <f t="shared" ca="1" si="15"/>
        <v>0</v>
      </c>
      <c r="CB57" s="102">
        <f t="shared" ca="1" si="15"/>
        <v>0</v>
      </c>
      <c r="CC57" s="102">
        <f t="shared" ca="1" si="15"/>
        <v>0</v>
      </c>
      <c r="CD57" s="102">
        <f t="shared" ca="1" si="15"/>
        <v>0</v>
      </c>
      <c r="CE57" s="102">
        <f t="shared" ca="1" si="15"/>
        <v>0</v>
      </c>
      <c r="CF57" s="102">
        <f t="shared" ca="1" si="15"/>
        <v>0</v>
      </c>
      <c r="CG57" s="102">
        <f t="shared" ca="1" si="15"/>
        <v>0</v>
      </c>
      <c r="CH57" s="101">
        <f ca="1">COUNTIF(BZ57:CG57,"&lt;"&amp;MAX(BZ57:CG57))+IF(Calcs[[#This Row],[RL1]]=0,0,1)</f>
        <v>0</v>
      </c>
      <c r="CI5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7" s="103">
        <f ca="1">IFERROR(OFFSET(CJ57,-1,0)+0,0)+IF(INDEX(INDIRECT(RangeContrQty),MATCH(Calcs[[#This Row],[Line]],OFFSET(Items[Line],0,0,ROW(Proposed[])-ROW(Items[])+ROWS(Proposed[]),1),0)),1,0)</f>
        <v>0</v>
      </c>
      <c r="CM57"/>
      <c r="CN57"/>
      <c r="CO57"/>
      <c r="CP57"/>
    </row>
    <row r="58" spans="1:94" x14ac:dyDescent="0.15">
      <c r="A58" s="6">
        <f ca="1">IFERROR(OFFSET(A58,-1,0)+0,0)+MAX(IF(LEN(Calcs[[#This Row],[Line]])&gt;0,1,0),Calcs[[#This Row],[DL]],Calcs[[#This Row],[RL]])</f>
        <v>10</v>
      </c>
      <c r="B58" s="94" t="str">
        <f ca="1">IFERROR(INDEX(OFFSET(Items[Line],0,0,ROW(Proposed[])-ROW(Items[])+ROWS(Proposed[]),1),MATCH(ROW(B58)-ROW(B$3),INDIRECT(RangeCount),0)),"")</f>
        <v/>
      </c>
      <c r="C58" s="94" t="str">
        <f ca="1">IF(LEN(Calcs[[#This Row],[Line]])&gt;0,TRIM(IFERROR(INDEX(Items[Description],MATCH(Calcs[[#This Row],[Line]],Items[Line],0))&amp;INDEX(Items[Description2],MATCH(Calcs[[#This Row],[Line]],Items[Line],0)),INDEX(Proposed[Description],MATCH(Calcs[[#This Row],[Line]],Proposed[Line],0)))),"")</f>
        <v/>
      </c>
      <c r="D58" s="96">
        <f t="shared" ca="1" si="22"/>
        <v>0</v>
      </c>
      <c r="E58" s="97">
        <f t="shared" ca="1" si="22"/>
        <v>0</v>
      </c>
      <c r="F58" s="97">
        <f t="shared" ca="1" si="22"/>
        <v>0</v>
      </c>
      <c r="G58" s="97">
        <f t="shared" ca="1" si="22"/>
        <v>0</v>
      </c>
      <c r="H58" s="97">
        <f t="shared" ca="1" si="22"/>
        <v>0</v>
      </c>
      <c r="I58" s="97">
        <f t="shared" ca="1" si="22"/>
        <v>0</v>
      </c>
      <c r="J58" s="97">
        <f t="shared" ca="1" si="22"/>
        <v>0</v>
      </c>
      <c r="K58" s="97">
        <f t="shared" ca="1" si="22"/>
        <v>0</v>
      </c>
      <c r="L58" s="97">
        <f t="shared" ca="1" si="22"/>
        <v>0</v>
      </c>
      <c r="M58" s="97">
        <f t="shared" ca="1" si="22"/>
        <v>0</v>
      </c>
      <c r="N58" s="97">
        <f t="shared" ca="1" si="22"/>
        <v>0</v>
      </c>
      <c r="O58" s="97">
        <f t="shared" ca="1" si="22"/>
        <v>0</v>
      </c>
      <c r="P58" s="97">
        <f t="shared" ca="1" si="22"/>
        <v>0</v>
      </c>
      <c r="Q58" s="97">
        <f t="shared" ca="1" si="22"/>
        <v>0</v>
      </c>
      <c r="R58" s="97">
        <f t="shared" ca="1" si="22"/>
        <v>0</v>
      </c>
      <c r="S58" s="97">
        <f t="shared" ca="1" si="22"/>
        <v>0</v>
      </c>
      <c r="T58" s="97">
        <f t="shared" ca="1" si="20"/>
        <v>0</v>
      </c>
      <c r="U58" s="97">
        <f t="shared" ca="1" si="20"/>
        <v>0</v>
      </c>
      <c r="V58" s="97">
        <f t="shared" ca="1" si="20"/>
        <v>0</v>
      </c>
      <c r="W58" s="97">
        <f t="shared" ca="1" si="20"/>
        <v>0</v>
      </c>
      <c r="X58" s="97">
        <f t="shared" ca="1" si="23"/>
        <v>0</v>
      </c>
      <c r="Y58" s="97">
        <f t="shared" ca="1" si="23"/>
        <v>0</v>
      </c>
      <c r="Z58" s="97">
        <f t="shared" ca="1" si="23"/>
        <v>0</v>
      </c>
      <c r="AA58" s="97">
        <f t="shared" ca="1" si="23"/>
        <v>0</v>
      </c>
      <c r="AB58" s="97">
        <f t="shared" ca="1" si="23"/>
        <v>0</v>
      </c>
      <c r="AC58" s="97">
        <f t="shared" ca="1" si="23"/>
        <v>0</v>
      </c>
      <c r="AD58" s="97">
        <f t="shared" ca="1" si="23"/>
        <v>0</v>
      </c>
      <c r="AE58" s="97">
        <f t="shared" ca="1" si="23"/>
        <v>0</v>
      </c>
      <c r="AF58" s="97">
        <f t="shared" ca="1" si="23"/>
        <v>0</v>
      </c>
      <c r="AG58" s="97">
        <f t="shared" ca="1" si="23"/>
        <v>0</v>
      </c>
      <c r="AH58" s="97">
        <f t="shared" ca="1" si="23"/>
        <v>0</v>
      </c>
      <c r="AI58" s="97">
        <f t="shared" ca="1" si="23"/>
        <v>0</v>
      </c>
      <c r="AJ58" s="98">
        <f t="shared" ca="1" si="13"/>
        <v>0</v>
      </c>
      <c r="AK58" s="97">
        <f t="shared" ca="1" si="13"/>
        <v>0</v>
      </c>
      <c r="AL58" s="97">
        <f t="shared" ca="1" si="13"/>
        <v>0</v>
      </c>
      <c r="AM58" s="97">
        <f t="shared" ca="1" si="13"/>
        <v>0</v>
      </c>
      <c r="AN58" s="97">
        <f t="shared" ca="1" si="13"/>
        <v>0</v>
      </c>
      <c r="AO58" s="97">
        <f t="shared" ca="1" si="13"/>
        <v>0</v>
      </c>
      <c r="AP58" s="97">
        <f t="shared" ca="1" si="13"/>
        <v>0</v>
      </c>
      <c r="AQ58" s="97">
        <f t="shared" ca="1" si="13"/>
        <v>0</v>
      </c>
      <c r="AR58" s="99">
        <f ca="1">COUNTIF(AJ58:AQ58,"&lt;"&amp;MAX(AJ58:AQ58))+IF(Calcs[[#This Row],[DL1]]=0,0,1)</f>
        <v>0</v>
      </c>
      <c r="AS58" s="100" t="str">
        <f ca="1">IF(LEN(Calcs[[#This Row],[Line]])&gt;0,IF(RIGHT(Calcs[[#This Row],[Remark]],3)=".  ",LEFT(Calcs[[#This Row],[Remark]],LEN(Calcs[[#This Row],[Remark]])-3),Calcs[[#This Row],[Remark]]),"")</f>
        <v/>
      </c>
      <c r="AT58" s="96">
        <f t="shared" ca="1" si="24"/>
        <v>0</v>
      </c>
      <c r="AU58" s="102">
        <f t="shared" ca="1" si="24"/>
        <v>0</v>
      </c>
      <c r="AV58" s="102">
        <f t="shared" ca="1" si="24"/>
        <v>0</v>
      </c>
      <c r="AW58" s="102">
        <f t="shared" ca="1" si="24"/>
        <v>0</v>
      </c>
      <c r="AX58" s="102">
        <f t="shared" ca="1" si="24"/>
        <v>0</v>
      </c>
      <c r="AY58" s="102">
        <f t="shared" ca="1" si="24"/>
        <v>0</v>
      </c>
      <c r="AZ58" s="102">
        <f t="shared" ca="1" si="24"/>
        <v>0</v>
      </c>
      <c r="BA58" s="102">
        <f t="shared" ca="1" si="24"/>
        <v>0</v>
      </c>
      <c r="BB58" s="102">
        <f t="shared" ca="1" si="24"/>
        <v>0</v>
      </c>
      <c r="BC58" s="102">
        <f t="shared" ca="1" si="24"/>
        <v>0</v>
      </c>
      <c r="BD58" s="102">
        <f t="shared" ca="1" si="24"/>
        <v>0</v>
      </c>
      <c r="BE58" s="102">
        <f t="shared" ca="1" si="24"/>
        <v>0</v>
      </c>
      <c r="BF58" s="102">
        <f t="shared" ca="1" si="24"/>
        <v>0</v>
      </c>
      <c r="BG58" s="102">
        <f t="shared" ca="1" si="24"/>
        <v>0</v>
      </c>
      <c r="BH58" s="102">
        <f t="shared" ca="1" si="24"/>
        <v>0</v>
      </c>
      <c r="BI58" s="102">
        <f t="shared" ca="1" si="24"/>
        <v>0</v>
      </c>
      <c r="BJ58" s="102">
        <f t="shared" ca="1" si="21"/>
        <v>0</v>
      </c>
      <c r="BK58" s="102">
        <f t="shared" ca="1" si="21"/>
        <v>0</v>
      </c>
      <c r="BL58" s="102">
        <f t="shared" ca="1" si="21"/>
        <v>0</v>
      </c>
      <c r="BM58" s="102">
        <f t="shared" ca="1" si="21"/>
        <v>0</v>
      </c>
      <c r="BN58" s="102">
        <f t="shared" ca="1" si="25"/>
        <v>0</v>
      </c>
      <c r="BO58" s="102">
        <f t="shared" ca="1" si="25"/>
        <v>0</v>
      </c>
      <c r="BP58" s="102">
        <f t="shared" ca="1" si="25"/>
        <v>0</v>
      </c>
      <c r="BQ58" s="102">
        <f t="shared" ca="1" si="25"/>
        <v>0</v>
      </c>
      <c r="BR58" s="102">
        <f t="shared" ca="1" si="25"/>
        <v>0</v>
      </c>
      <c r="BS58" s="102">
        <f t="shared" ca="1" si="25"/>
        <v>0</v>
      </c>
      <c r="BT58" s="102">
        <f t="shared" ca="1" si="25"/>
        <v>0</v>
      </c>
      <c r="BU58" s="102">
        <f t="shared" ca="1" si="25"/>
        <v>0</v>
      </c>
      <c r="BV58" s="102">
        <f t="shared" ca="1" si="25"/>
        <v>0</v>
      </c>
      <c r="BW58" s="102">
        <f t="shared" ca="1" si="25"/>
        <v>0</v>
      </c>
      <c r="BX58" s="102">
        <f t="shared" ca="1" si="25"/>
        <v>0</v>
      </c>
      <c r="BY58" s="102">
        <f t="shared" ca="1" si="25"/>
        <v>0</v>
      </c>
      <c r="BZ58" s="98">
        <f t="shared" ca="1" si="15"/>
        <v>0</v>
      </c>
      <c r="CA58" s="102">
        <f t="shared" ca="1" si="15"/>
        <v>0</v>
      </c>
      <c r="CB58" s="102">
        <f t="shared" ca="1" si="15"/>
        <v>0</v>
      </c>
      <c r="CC58" s="102">
        <f t="shared" ca="1" si="15"/>
        <v>0</v>
      </c>
      <c r="CD58" s="102">
        <f t="shared" ca="1" si="15"/>
        <v>0</v>
      </c>
      <c r="CE58" s="102">
        <f t="shared" ca="1" si="15"/>
        <v>0</v>
      </c>
      <c r="CF58" s="102">
        <f t="shared" ca="1" si="15"/>
        <v>0</v>
      </c>
      <c r="CG58" s="102">
        <f t="shared" ca="1" si="15"/>
        <v>0</v>
      </c>
      <c r="CH58" s="101">
        <f ca="1">COUNTIF(BZ58:CG58,"&lt;"&amp;MAX(BZ58:CG58))+IF(Calcs[[#This Row],[RL1]]=0,0,1)</f>
        <v>0</v>
      </c>
      <c r="CI5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8" s="103">
        <f ca="1">IFERROR(OFFSET(CJ58,-1,0)+0,0)+IF(INDEX(INDIRECT(RangeContrQty),MATCH(Calcs[[#This Row],[Line]],OFFSET(Items[Line],0,0,ROW(Proposed[])-ROW(Items[])+ROWS(Proposed[]),1),0)),1,0)</f>
        <v>0</v>
      </c>
      <c r="CM58"/>
      <c r="CN58"/>
      <c r="CO58"/>
      <c r="CP58"/>
    </row>
    <row r="59" spans="1:94" x14ac:dyDescent="0.15">
      <c r="A59" s="6">
        <f ca="1">IFERROR(OFFSET(A59,-1,0)+0,0)+MAX(IF(LEN(Calcs[[#This Row],[Line]])&gt;0,1,0),Calcs[[#This Row],[DL]],Calcs[[#This Row],[RL]])</f>
        <v>10</v>
      </c>
      <c r="B59" s="94" t="str">
        <f ca="1">IFERROR(INDEX(OFFSET(Items[Line],0,0,ROW(Proposed[])-ROW(Items[])+ROWS(Proposed[]),1),MATCH(ROW(B59)-ROW(B$3),INDIRECT(RangeCount),0)),"")</f>
        <v/>
      </c>
      <c r="C59" s="94" t="str">
        <f ca="1">IF(LEN(Calcs[[#This Row],[Line]])&gt;0,TRIM(IFERROR(INDEX(Items[Description],MATCH(Calcs[[#This Row],[Line]],Items[Line],0))&amp;INDEX(Items[Description2],MATCH(Calcs[[#This Row],[Line]],Items[Line],0)),INDEX(Proposed[Description],MATCH(Calcs[[#This Row],[Line]],Proposed[Line],0)))),"")</f>
        <v/>
      </c>
      <c r="D59" s="96">
        <f t="shared" ca="1" si="22"/>
        <v>0</v>
      </c>
      <c r="E59" s="97">
        <f t="shared" ca="1" si="22"/>
        <v>0</v>
      </c>
      <c r="F59" s="97">
        <f t="shared" ca="1" si="22"/>
        <v>0</v>
      </c>
      <c r="G59" s="97">
        <f t="shared" ca="1" si="22"/>
        <v>0</v>
      </c>
      <c r="H59" s="97">
        <f t="shared" ca="1" si="22"/>
        <v>0</v>
      </c>
      <c r="I59" s="97">
        <f t="shared" ca="1" si="22"/>
        <v>0</v>
      </c>
      <c r="J59" s="97">
        <f t="shared" ca="1" si="22"/>
        <v>0</v>
      </c>
      <c r="K59" s="97">
        <f t="shared" ca="1" si="22"/>
        <v>0</v>
      </c>
      <c r="L59" s="97">
        <f t="shared" ca="1" si="22"/>
        <v>0</v>
      </c>
      <c r="M59" s="97">
        <f t="shared" ca="1" si="22"/>
        <v>0</v>
      </c>
      <c r="N59" s="97">
        <f t="shared" ca="1" si="22"/>
        <v>0</v>
      </c>
      <c r="O59" s="97">
        <f t="shared" ca="1" si="22"/>
        <v>0</v>
      </c>
      <c r="P59" s="97">
        <f t="shared" ca="1" si="22"/>
        <v>0</v>
      </c>
      <c r="Q59" s="97">
        <f t="shared" ca="1" si="22"/>
        <v>0</v>
      </c>
      <c r="R59" s="97">
        <f t="shared" ca="1" si="22"/>
        <v>0</v>
      </c>
      <c r="S59" s="97">
        <f t="shared" ca="1" si="22"/>
        <v>0</v>
      </c>
      <c r="T59" s="97">
        <f t="shared" ca="1" si="20"/>
        <v>0</v>
      </c>
      <c r="U59" s="97">
        <f t="shared" ca="1" si="20"/>
        <v>0</v>
      </c>
      <c r="V59" s="97">
        <f t="shared" ca="1" si="20"/>
        <v>0</v>
      </c>
      <c r="W59" s="97">
        <f t="shared" ca="1" si="20"/>
        <v>0</v>
      </c>
      <c r="X59" s="97">
        <f t="shared" ca="1" si="23"/>
        <v>0</v>
      </c>
      <c r="Y59" s="97">
        <f t="shared" ca="1" si="23"/>
        <v>0</v>
      </c>
      <c r="Z59" s="97">
        <f t="shared" ca="1" si="23"/>
        <v>0</v>
      </c>
      <c r="AA59" s="97">
        <f t="shared" ca="1" si="23"/>
        <v>0</v>
      </c>
      <c r="AB59" s="97">
        <f t="shared" ca="1" si="23"/>
        <v>0</v>
      </c>
      <c r="AC59" s="97">
        <f t="shared" ca="1" si="23"/>
        <v>0</v>
      </c>
      <c r="AD59" s="97">
        <f t="shared" ca="1" si="23"/>
        <v>0</v>
      </c>
      <c r="AE59" s="97">
        <f t="shared" ca="1" si="23"/>
        <v>0</v>
      </c>
      <c r="AF59" s="97">
        <f t="shared" ca="1" si="23"/>
        <v>0</v>
      </c>
      <c r="AG59" s="97">
        <f t="shared" ca="1" si="23"/>
        <v>0</v>
      </c>
      <c r="AH59" s="97">
        <f t="shared" ca="1" si="23"/>
        <v>0</v>
      </c>
      <c r="AI59" s="97">
        <f t="shared" ca="1" si="23"/>
        <v>0</v>
      </c>
      <c r="AJ59" s="98">
        <f t="shared" ca="1" si="13"/>
        <v>0</v>
      </c>
      <c r="AK59" s="97">
        <f t="shared" ca="1" si="13"/>
        <v>0</v>
      </c>
      <c r="AL59" s="97">
        <f t="shared" ca="1" si="13"/>
        <v>0</v>
      </c>
      <c r="AM59" s="97">
        <f t="shared" ca="1" si="13"/>
        <v>0</v>
      </c>
      <c r="AN59" s="97">
        <f t="shared" ca="1" si="13"/>
        <v>0</v>
      </c>
      <c r="AO59" s="97">
        <f t="shared" ca="1" si="13"/>
        <v>0</v>
      </c>
      <c r="AP59" s="97">
        <f t="shared" ca="1" si="13"/>
        <v>0</v>
      </c>
      <c r="AQ59" s="97">
        <f t="shared" ca="1" si="13"/>
        <v>0</v>
      </c>
      <c r="AR59" s="99">
        <f ca="1">COUNTIF(AJ59:AQ59,"&lt;"&amp;MAX(AJ59:AQ59))+IF(Calcs[[#This Row],[DL1]]=0,0,1)</f>
        <v>0</v>
      </c>
      <c r="AS59" s="100" t="str">
        <f ca="1">IF(LEN(Calcs[[#This Row],[Line]])&gt;0,IF(RIGHT(Calcs[[#This Row],[Remark]],3)=".  ",LEFT(Calcs[[#This Row],[Remark]],LEN(Calcs[[#This Row],[Remark]])-3),Calcs[[#This Row],[Remark]]),"")</f>
        <v/>
      </c>
      <c r="AT59" s="96">
        <f t="shared" ca="1" si="24"/>
        <v>0</v>
      </c>
      <c r="AU59" s="102">
        <f t="shared" ca="1" si="24"/>
        <v>0</v>
      </c>
      <c r="AV59" s="102">
        <f t="shared" ca="1" si="24"/>
        <v>0</v>
      </c>
      <c r="AW59" s="102">
        <f t="shared" ca="1" si="24"/>
        <v>0</v>
      </c>
      <c r="AX59" s="102">
        <f t="shared" ca="1" si="24"/>
        <v>0</v>
      </c>
      <c r="AY59" s="102">
        <f t="shared" ca="1" si="24"/>
        <v>0</v>
      </c>
      <c r="AZ59" s="102">
        <f t="shared" ca="1" si="24"/>
        <v>0</v>
      </c>
      <c r="BA59" s="102">
        <f t="shared" ca="1" si="24"/>
        <v>0</v>
      </c>
      <c r="BB59" s="102">
        <f t="shared" ca="1" si="24"/>
        <v>0</v>
      </c>
      <c r="BC59" s="102">
        <f t="shared" ca="1" si="24"/>
        <v>0</v>
      </c>
      <c r="BD59" s="102">
        <f t="shared" ca="1" si="24"/>
        <v>0</v>
      </c>
      <c r="BE59" s="102">
        <f t="shared" ca="1" si="24"/>
        <v>0</v>
      </c>
      <c r="BF59" s="102">
        <f t="shared" ca="1" si="24"/>
        <v>0</v>
      </c>
      <c r="BG59" s="102">
        <f t="shared" ca="1" si="24"/>
        <v>0</v>
      </c>
      <c r="BH59" s="102">
        <f t="shared" ca="1" si="24"/>
        <v>0</v>
      </c>
      <c r="BI59" s="102">
        <f t="shared" ca="1" si="24"/>
        <v>0</v>
      </c>
      <c r="BJ59" s="102">
        <f t="shared" ca="1" si="21"/>
        <v>0</v>
      </c>
      <c r="BK59" s="102">
        <f t="shared" ca="1" si="21"/>
        <v>0</v>
      </c>
      <c r="BL59" s="102">
        <f t="shared" ca="1" si="21"/>
        <v>0</v>
      </c>
      <c r="BM59" s="102">
        <f t="shared" ca="1" si="21"/>
        <v>0</v>
      </c>
      <c r="BN59" s="102">
        <f t="shared" ca="1" si="25"/>
        <v>0</v>
      </c>
      <c r="BO59" s="102">
        <f t="shared" ca="1" si="25"/>
        <v>0</v>
      </c>
      <c r="BP59" s="102">
        <f t="shared" ca="1" si="25"/>
        <v>0</v>
      </c>
      <c r="BQ59" s="102">
        <f t="shared" ca="1" si="25"/>
        <v>0</v>
      </c>
      <c r="BR59" s="102">
        <f t="shared" ca="1" si="25"/>
        <v>0</v>
      </c>
      <c r="BS59" s="102">
        <f t="shared" ca="1" si="25"/>
        <v>0</v>
      </c>
      <c r="BT59" s="102">
        <f t="shared" ca="1" si="25"/>
        <v>0</v>
      </c>
      <c r="BU59" s="102">
        <f t="shared" ca="1" si="25"/>
        <v>0</v>
      </c>
      <c r="BV59" s="102">
        <f t="shared" ca="1" si="25"/>
        <v>0</v>
      </c>
      <c r="BW59" s="102">
        <f t="shared" ca="1" si="25"/>
        <v>0</v>
      </c>
      <c r="BX59" s="102">
        <f t="shared" ca="1" si="25"/>
        <v>0</v>
      </c>
      <c r="BY59" s="102">
        <f t="shared" ca="1" si="25"/>
        <v>0</v>
      </c>
      <c r="BZ59" s="98">
        <f t="shared" ca="1" si="15"/>
        <v>0</v>
      </c>
      <c r="CA59" s="102">
        <f t="shared" ca="1" si="15"/>
        <v>0</v>
      </c>
      <c r="CB59" s="102">
        <f t="shared" ca="1" si="15"/>
        <v>0</v>
      </c>
      <c r="CC59" s="102">
        <f t="shared" ca="1" si="15"/>
        <v>0</v>
      </c>
      <c r="CD59" s="102">
        <f t="shared" ca="1" si="15"/>
        <v>0</v>
      </c>
      <c r="CE59" s="102">
        <f t="shared" ca="1" si="15"/>
        <v>0</v>
      </c>
      <c r="CF59" s="102">
        <f t="shared" ca="1" si="15"/>
        <v>0</v>
      </c>
      <c r="CG59" s="102">
        <f t="shared" ca="1" si="15"/>
        <v>0</v>
      </c>
      <c r="CH59" s="101">
        <f ca="1">COUNTIF(BZ59:CG59,"&lt;"&amp;MAX(BZ59:CG59))+IF(Calcs[[#This Row],[RL1]]=0,0,1)</f>
        <v>0</v>
      </c>
      <c r="CI5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9" s="103">
        <f ca="1">IFERROR(OFFSET(CJ59,-1,0)+0,0)+IF(INDEX(INDIRECT(RangeContrQty),MATCH(Calcs[[#This Row],[Line]],OFFSET(Items[Line],0,0,ROW(Proposed[])-ROW(Items[])+ROWS(Proposed[]),1),0)),1,0)</f>
        <v>0</v>
      </c>
    </row>
    <row r="60" spans="1:94" x14ac:dyDescent="0.15">
      <c r="A60" s="6">
        <f ca="1">IFERROR(OFFSET(A60,-1,0)+0,0)+MAX(IF(LEN(Calcs[[#This Row],[Line]])&gt;0,1,0),Calcs[[#This Row],[DL]],Calcs[[#This Row],[RL]])</f>
        <v>10</v>
      </c>
      <c r="B60" s="94" t="str">
        <f ca="1">IFERROR(INDEX(OFFSET(Items[Line],0,0,ROW(Proposed[])-ROW(Items[])+ROWS(Proposed[]),1),MATCH(ROW(B60)-ROW(B$3),INDIRECT(RangeCount),0)),"")</f>
        <v/>
      </c>
      <c r="C60" s="94" t="str">
        <f ca="1">IF(LEN(Calcs[[#This Row],[Line]])&gt;0,TRIM(IFERROR(INDEX(Items[Description],MATCH(Calcs[[#This Row],[Line]],Items[Line],0))&amp;INDEX(Items[Description2],MATCH(Calcs[[#This Row],[Line]],Items[Line],0)),INDEX(Proposed[Description],MATCH(Calcs[[#This Row],[Line]],Proposed[Line],0)))),"")</f>
        <v/>
      </c>
      <c r="D60" s="96">
        <f t="shared" ca="1" si="22"/>
        <v>0</v>
      </c>
      <c r="E60" s="97">
        <f t="shared" ca="1" si="22"/>
        <v>0</v>
      </c>
      <c r="F60" s="97">
        <f t="shared" ca="1" si="22"/>
        <v>0</v>
      </c>
      <c r="G60" s="97">
        <f t="shared" ca="1" si="22"/>
        <v>0</v>
      </c>
      <c r="H60" s="97">
        <f t="shared" ca="1" si="22"/>
        <v>0</v>
      </c>
      <c r="I60" s="97">
        <f t="shared" ca="1" si="22"/>
        <v>0</v>
      </c>
      <c r="J60" s="97">
        <f t="shared" ca="1" si="22"/>
        <v>0</v>
      </c>
      <c r="K60" s="97">
        <f t="shared" ca="1" si="22"/>
        <v>0</v>
      </c>
      <c r="L60" s="97">
        <f t="shared" ca="1" si="22"/>
        <v>0</v>
      </c>
      <c r="M60" s="97">
        <f t="shared" ca="1" si="22"/>
        <v>0</v>
      </c>
      <c r="N60" s="97">
        <f t="shared" ca="1" si="22"/>
        <v>0</v>
      </c>
      <c r="O60" s="97">
        <f t="shared" ca="1" si="22"/>
        <v>0</v>
      </c>
      <c r="P60" s="97">
        <f t="shared" ca="1" si="22"/>
        <v>0</v>
      </c>
      <c r="Q60" s="97">
        <f t="shared" ca="1" si="22"/>
        <v>0</v>
      </c>
      <c r="R60" s="97">
        <f t="shared" ca="1" si="22"/>
        <v>0</v>
      </c>
      <c r="S60" s="97">
        <f t="shared" ca="1" si="22"/>
        <v>0</v>
      </c>
      <c r="T60" s="97">
        <f t="shared" ca="1" si="20"/>
        <v>0</v>
      </c>
      <c r="U60" s="97">
        <f t="shared" ca="1" si="20"/>
        <v>0</v>
      </c>
      <c r="V60" s="97">
        <f t="shared" ca="1" si="20"/>
        <v>0</v>
      </c>
      <c r="W60" s="97">
        <f t="shared" ca="1" si="20"/>
        <v>0</v>
      </c>
      <c r="X60" s="97">
        <f t="shared" ca="1" si="23"/>
        <v>0</v>
      </c>
      <c r="Y60" s="97">
        <f t="shared" ca="1" si="23"/>
        <v>0</v>
      </c>
      <c r="Z60" s="97">
        <f t="shared" ca="1" si="23"/>
        <v>0</v>
      </c>
      <c r="AA60" s="97">
        <f t="shared" ca="1" si="23"/>
        <v>0</v>
      </c>
      <c r="AB60" s="97">
        <f t="shared" ca="1" si="23"/>
        <v>0</v>
      </c>
      <c r="AC60" s="97">
        <f t="shared" ca="1" si="23"/>
        <v>0</v>
      </c>
      <c r="AD60" s="97">
        <f t="shared" ca="1" si="23"/>
        <v>0</v>
      </c>
      <c r="AE60" s="97">
        <f t="shared" ca="1" si="23"/>
        <v>0</v>
      </c>
      <c r="AF60" s="97">
        <f t="shared" ca="1" si="23"/>
        <v>0</v>
      </c>
      <c r="AG60" s="97">
        <f t="shared" ca="1" si="23"/>
        <v>0</v>
      </c>
      <c r="AH60" s="97">
        <f t="shared" ca="1" si="23"/>
        <v>0</v>
      </c>
      <c r="AI60" s="97">
        <f t="shared" ca="1" si="23"/>
        <v>0</v>
      </c>
      <c r="AJ60" s="98">
        <f t="shared" ca="1" si="13"/>
        <v>0</v>
      </c>
      <c r="AK60" s="97">
        <f t="shared" ca="1" si="13"/>
        <v>0</v>
      </c>
      <c r="AL60" s="97">
        <f t="shared" ca="1" si="13"/>
        <v>0</v>
      </c>
      <c r="AM60" s="97">
        <f t="shared" ca="1" si="13"/>
        <v>0</v>
      </c>
      <c r="AN60" s="97">
        <f t="shared" ca="1" si="13"/>
        <v>0</v>
      </c>
      <c r="AO60" s="97">
        <f t="shared" ca="1" si="13"/>
        <v>0</v>
      </c>
      <c r="AP60" s="97">
        <f t="shared" ca="1" si="13"/>
        <v>0</v>
      </c>
      <c r="AQ60" s="97">
        <f t="shared" ca="1" si="13"/>
        <v>0</v>
      </c>
      <c r="AR60" s="99">
        <f ca="1">COUNTIF(AJ60:AQ60,"&lt;"&amp;MAX(AJ60:AQ60))+IF(Calcs[[#This Row],[DL1]]=0,0,1)</f>
        <v>0</v>
      </c>
      <c r="AS60" s="100" t="str">
        <f ca="1">IF(LEN(Calcs[[#This Row],[Line]])&gt;0,IF(RIGHT(Calcs[[#This Row],[Remark]],3)=".  ",LEFT(Calcs[[#This Row],[Remark]],LEN(Calcs[[#This Row],[Remark]])-3),Calcs[[#This Row],[Remark]]),"")</f>
        <v/>
      </c>
      <c r="AT60" s="96">
        <f t="shared" ca="1" si="24"/>
        <v>0</v>
      </c>
      <c r="AU60" s="102">
        <f t="shared" ca="1" si="24"/>
        <v>0</v>
      </c>
      <c r="AV60" s="102">
        <f t="shared" ca="1" si="24"/>
        <v>0</v>
      </c>
      <c r="AW60" s="102">
        <f t="shared" ca="1" si="24"/>
        <v>0</v>
      </c>
      <c r="AX60" s="102">
        <f t="shared" ca="1" si="24"/>
        <v>0</v>
      </c>
      <c r="AY60" s="102">
        <f t="shared" ca="1" si="24"/>
        <v>0</v>
      </c>
      <c r="AZ60" s="102">
        <f t="shared" ca="1" si="24"/>
        <v>0</v>
      </c>
      <c r="BA60" s="102">
        <f t="shared" ca="1" si="24"/>
        <v>0</v>
      </c>
      <c r="BB60" s="102">
        <f t="shared" ca="1" si="24"/>
        <v>0</v>
      </c>
      <c r="BC60" s="102">
        <f t="shared" ca="1" si="24"/>
        <v>0</v>
      </c>
      <c r="BD60" s="102">
        <f t="shared" ca="1" si="24"/>
        <v>0</v>
      </c>
      <c r="BE60" s="102">
        <f t="shared" ca="1" si="24"/>
        <v>0</v>
      </c>
      <c r="BF60" s="102">
        <f t="shared" ca="1" si="24"/>
        <v>0</v>
      </c>
      <c r="BG60" s="102">
        <f t="shared" ca="1" si="24"/>
        <v>0</v>
      </c>
      <c r="BH60" s="102">
        <f t="shared" ca="1" si="24"/>
        <v>0</v>
      </c>
      <c r="BI60" s="102">
        <f t="shared" ca="1" si="24"/>
        <v>0</v>
      </c>
      <c r="BJ60" s="102">
        <f t="shared" ca="1" si="21"/>
        <v>0</v>
      </c>
      <c r="BK60" s="102">
        <f t="shared" ca="1" si="21"/>
        <v>0</v>
      </c>
      <c r="BL60" s="102">
        <f t="shared" ca="1" si="21"/>
        <v>0</v>
      </c>
      <c r="BM60" s="102">
        <f t="shared" ca="1" si="21"/>
        <v>0</v>
      </c>
      <c r="BN60" s="102">
        <f t="shared" ca="1" si="25"/>
        <v>0</v>
      </c>
      <c r="BO60" s="102">
        <f t="shared" ca="1" si="25"/>
        <v>0</v>
      </c>
      <c r="BP60" s="102">
        <f t="shared" ca="1" si="25"/>
        <v>0</v>
      </c>
      <c r="BQ60" s="102">
        <f t="shared" ca="1" si="25"/>
        <v>0</v>
      </c>
      <c r="BR60" s="102">
        <f t="shared" ca="1" si="25"/>
        <v>0</v>
      </c>
      <c r="BS60" s="102">
        <f t="shared" ca="1" si="25"/>
        <v>0</v>
      </c>
      <c r="BT60" s="102">
        <f t="shared" ca="1" si="25"/>
        <v>0</v>
      </c>
      <c r="BU60" s="102">
        <f t="shared" ca="1" si="25"/>
        <v>0</v>
      </c>
      <c r="BV60" s="102">
        <f t="shared" ca="1" si="25"/>
        <v>0</v>
      </c>
      <c r="BW60" s="102">
        <f t="shared" ca="1" si="25"/>
        <v>0</v>
      </c>
      <c r="BX60" s="102">
        <f t="shared" ca="1" si="25"/>
        <v>0</v>
      </c>
      <c r="BY60" s="102">
        <f t="shared" ca="1" si="25"/>
        <v>0</v>
      </c>
      <c r="BZ60" s="98">
        <f t="shared" ca="1" si="15"/>
        <v>0</v>
      </c>
      <c r="CA60" s="102">
        <f t="shared" ca="1" si="15"/>
        <v>0</v>
      </c>
      <c r="CB60" s="102">
        <f t="shared" ca="1" si="15"/>
        <v>0</v>
      </c>
      <c r="CC60" s="102">
        <f t="shared" ca="1" si="15"/>
        <v>0</v>
      </c>
      <c r="CD60" s="102">
        <f t="shared" ca="1" si="15"/>
        <v>0</v>
      </c>
      <c r="CE60" s="102">
        <f t="shared" ca="1" si="15"/>
        <v>0</v>
      </c>
      <c r="CF60" s="102">
        <f t="shared" ca="1" si="15"/>
        <v>0</v>
      </c>
      <c r="CG60" s="102">
        <f t="shared" ca="1" si="15"/>
        <v>0</v>
      </c>
      <c r="CH60" s="101">
        <f ca="1">COUNTIF(BZ60:CG60,"&lt;"&amp;MAX(BZ60:CG60))+IF(Calcs[[#This Row],[RL1]]=0,0,1)</f>
        <v>0</v>
      </c>
      <c r="CI6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0" s="103">
        <f ca="1">IFERROR(OFFSET(CJ60,-1,0)+0,0)+IF(INDEX(INDIRECT(RangeContrQty),MATCH(Calcs[[#This Row],[Line]],OFFSET(Items[Line],0,0,ROW(Proposed[])-ROW(Items[])+ROWS(Proposed[]),1),0)),1,0)</f>
        <v>0</v>
      </c>
    </row>
    <row r="61" spans="1:94" x14ac:dyDescent="0.15">
      <c r="A61" s="6">
        <f ca="1">IFERROR(OFFSET(A61,-1,0)+0,0)+MAX(IF(LEN(Calcs[[#This Row],[Line]])&gt;0,1,0),Calcs[[#This Row],[DL]],Calcs[[#This Row],[RL]])</f>
        <v>10</v>
      </c>
      <c r="B61" s="94" t="str">
        <f ca="1">IFERROR(INDEX(OFFSET(Items[Line],0,0,ROW(Proposed[])-ROW(Items[])+ROWS(Proposed[]),1),MATCH(ROW(B61)-ROW(B$3),INDIRECT(RangeCount),0)),"")</f>
        <v/>
      </c>
      <c r="C61" s="94" t="str">
        <f ca="1">IF(LEN(Calcs[[#This Row],[Line]])&gt;0,TRIM(IFERROR(INDEX(Items[Description],MATCH(Calcs[[#This Row],[Line]],Items[Line],0))&amp;INDEX(Items[Description2],MATCH(Calcs[[#This Row],[Line]],Items[Line],0)),INDEX(Proposed[Description],MATCH(Calcs[[#This Row],[Line]],Proposed[Line],0)))),"")</f>
        <v/>
      </c>
      <c r="D61" s="96">
        <f t="shared" ca="1" si="22"/>
        <v>0</v>
      </c>
      <c r="E61" s="97">
        <f t="shared" ca="1" si="22"/>
        <v>0</v>
      </c>
      <c r="F61" s="97">
        <f t="shared" ca="1" si="22"/>
        <v>0</v>
      </c>
      <c r="G61" s="97">
        <f t="shared" ca="1" si="22"/>
        <v>0</v>
      </c>
      <c r="H61" s="97">
        <f t="shared" ca="1" si="22"/>
        <v>0</v>
      </c>
      <c r="I61" s="97">
        <f t="shared" ca="1" si="22"/>
        <v>0</v>
      </c>
      <c r="J61" s="97">
        <f t="shared" ca="1" si="22"/>
        <v>0</v>
      </c>
      <c r="K61" s="97">
        <f t="shared" ca="1" si="22"/>
        <v>0</v>
      </c>
      <c r="L61" s="97">
        <f t="shared" ca="1" si="22"/>
        <v>0</v>
      </c>
      <c r="M61" s="97">
        <f t="shared" ca="1" si="22"/>
        <v>0</v>
      </c>
      <c r="N61" s="97">
        <f t="shared" ca="1" si="22"/>
        <v>0</v>
      </c>
      <c r="O61" s="97">
        <f t="shared" ca="1" si="22"/>
        <v>0</v>
      </c>
      <c r="P61" s="97">
        <f t="shared" ca="1" si="22"/>
        <v>0</v>
      </c>
      <c r="Q61" s="97">
        <f t="shared" ca="1" si="22"/>
        <v>0</v>
      </c>
      <c r="R61" s="97">
        <f t="shared" ca="1" si="22"/>
        <v>0</v>
      </c>
      <c r="S61" s="97">
        <f t="shared" ca="1" si="22"/>
        <v>0</v>
      </c>
      <c r="T61" s="97">
        <f t="shared" ca="1" si="20"/>
        <v>0</v>
      </c>
      <c r="U61" s="97">
        <f t="shared" ca="1" si="20"/>
        <v>0</v>
      </c>
      <c r="V61" s="97">
        <f t="shared" ca="1" si="20"/>
        <v>0</v>
      </c>
      <c r="W61" s="97">
        <f t="shared" ca="1" si="20"/>
        <v>0</v>
      </c>
      <c r="X61" s="97">
        <f t="shared" ca="1" si="23"/>
        <v>0</v>
      </c>
      <c r="Y61" s="97">
        <f t="shared" ca="1" si="23"/>
        <v>0</v>
      </c>
      <c r="Z61" s="97">
        <f t="shared" ca="1" si="23"/>
        <v>0</v>
      </c>
      <c r="AA61" s="97">
        <f t="shared" ca="1" si="23"/>
        <v>0</v>
      </c>
      <c r="AB61" s="97">
        <f t="shared" ca="1" si="23"/>
        <v>0</v>
      </c>
      <c r="AC61" s="97">
        <f t="shared" ca="1" si="23"/>
        <v>0</v>
      </c>
      <c r="AD61" s="97">
        <f t="shared" ca="1" si="23"/>
        <v>0</v>
      </c>
      <c r="AE61" s="97">
        <f t="shared" ca="1" si="23"/>
        <v>0</v>
      </c>
      <c r="AF61" s="97">
        <f t="shared" ca="1" si="23"/>
        <v>0</v>
      </c>
      <c r="AG61" s="97">
        <f t="shared" ca="1" si="23"/>
        <v>0</v>
      </c>
      <c r="AH61" s="97">
        <f t="shared" ca="1" si="23"/>
        <v>0</v>
      </c>
      <c r="AI61" s="97">
        <f t="shared" ca="1" si="23"/>
        <v>0</v>
      </c>
      <c r="AJ61" s="98">
        <f t="shared" ca="1" si="13"/>
        <v>0</v>
      </c>
      <c r="AK61" s="97">
        <f t="shared" ca="1" si="13"/>
        <v>0</v>
      </c>
      <c r="AL61" s="97">
        <f t="shared" ca="1" si="13"/>
        <v>0</v>
      </c>
      <c r="AM61" s="97">
        <f t="shared" ca="1" si="13"/>
        <v>0</v>
      </c>
      <c r="AN61" s="97">
        <f t="shared" ca="1" si="13"/>
        <v>0</v>
      </c>
      <c r="AO61" s="97">
        <f t="shared" ca="1" si="13"/>
        <v>0</v>
      </c>
      <c r="AP61" s="97">
        <f t="shared" ca="1" si="13"/>
        <v>0</v>
      </c>
      <c r="AQ61" s="97">
        <f t="shared" ca="1" si="13"/>
        <v>0</v>
      </c>
      <c r="AR61" s="99">
        <f ca="1">COUNTIF(AJ61:AQ61,"&lt;"&amp;MAX(AJ61:AQ61))+IF(Calcs[[#This Row],[DL1]]=0,0,1)</f>
        <v>0</v>
      </c>
      <c r="AS61" s="100" t="str">
        <f ca="1">IF(LEN(Calcs[[#This Row],[Line]])&gt;0,IF(RIGHT(Calcs[[#This Row],[Remark]],3)=".  ",LEFT(Calcs[[#This Row],[Remark]],LEN(Calcs[[#This Row],[Remark]])-3),Calcs[[#This Row],[Remark]]),"")</f>
        <v/>
      </c>
      <c r="AT61" s="96">
        <f t="shared" ca="1" si="24"/>
        <v>0</v>
      </c>
      <c r="AU61" s="102">
        <f t="shared" ca="1" si="24"/>
        <v>0</v>
      </c>
      <c r="AV61" s="102">
        <f t="shared" ca="1" si="24"/>
        <v>0</v>
      </c>
      <c r="AW61" s="102">
        <f t="shared" ca="1" si="24"/>
        <v>0</v>
      </c>
      <c r="AX61" s="102">
        <f t="shared" ca="1" si="24"/>
        <v>0</v>
      </c>
      <c r="AY61" s="102">
        <f t="shared" ca="1" si="24"/>
        <v>0</v>
      </c>
      <c r="AZ61" s="102">
        <f t="shared" ca="1" si="24"/>
        <v>0</v>
      </c>
      <c r="BA61" s="102">
        <f t="shared" ca="1" si="24"/>
        <v>0</v>
      </c>
      <c r="BB61" s="102">
        <f t="shared" ca="1" si="24"/>
        <v>0</v>
      </c>
      <c r="BC61" s="102">
        <f t="shared" ca="1" si="24"/>
        <v>0</v>
      </c>
      <c r="BD61" s="102">
        <f t="shared" ca="1" si="24"/>
        <v>0</v>
      </c>
      <c r="BE61" s="102">
        <f t="shared" ca="1" si="24"/>
        <v>0</v>
      </c>
      <c r="BF61" s="102">
        <f t="shared" ca="1" si="24"/>
        <v>0</v>
      </c>
      <c r="BG61" s="102">
        <f t="shared" ca="1" si="24"/>
        <v>0</v>
      </c>
      <c r="BH61" s="102">
        <f t="shared" ca="1" si="24"/>
        <v>0</v>
      </c>
      <c r="BI61" s="102">
        <f t="shared" ca="1" si="24"/>
        <v>0</v>
      </c>
      <c r="BJ61" s="102">
        <f t="shared" ca="1" si="21"/>
        <v>0</v>
      </c>
      <c r="BK61" s="102">
        <f t="shared" ca="1" si="21"/>
        <v>0</v>
      </c>
      <c r="BL61" s="102">
        <f t="shared" ca="1" si="21"/>
        <v>0</v>
      </c>
      <c r="BM61" s="102">
        <f t="shared" ca="1" si="21"/>
        <v>0</v>
      </c>
      <c r="BN61" s="102">
        <f t="shared" ca="1" si="25"/>
        <v>0</v>
      </c>
      <c r="BO61" s="102">
        <f t="shared" ca="1" si="25"/>
        <v>0</v>
      </c>
      <c r="BP61" s="102">
        <f t="shared" ca="1" si="25"/>
        <v>0</v>
      </c>
      <c r="BQ61" s="102">
        <f t="shared" ca="1" si="25"/>
        <v>0</v>
      </c>
      <c r="BR61" s="102">
        <f t="shared" ca="1" si="25"/>
        <v>0</v>
      </c>
      <c r="BS61" s="102">
        <f t="shared" ca="1" si="25"/>
        <v>0</v>
      </c>
      <c r="BT61" s="102">
        <f t="shared" ca="1" si="25"/>
        <v>0</v>
      </c>
      <c r="BU61" s="102">
        <f t="shared" ca="1" si="25"/>
        <v>0</v>
      </c>
      <c r="BV61" s="102">
        <f t="shared" ca="1" si="25"/>
        <v>0</v>
      </c>
      <c r="BW61" s="102">
        <f t="shared" ca="1" si="25"/>
        <v>0</v>
      </c>
      <c r="BX61" s="102">
        <f t="shared" ca="1" si="25"/>
        <v>0</v>
      </c>
      <c r="BY61" s="102">
        <f t="shared" ca="1" si="25"/>
        <v>0</v>
      </c>
      <c r="BZ61" s="98">
        <f t="shared" ca="1" si="15"/>
        <v>0</v>
      </c>
      <c r="CA61" s="102">
        <f t="shared" ca="1" si="15"/>
        <v>0</v>
      </c>
      <c r="CB61" s="102">
        <f t="shared" ca="1" si="15"/>
        <v>0</v>
      </c>
      <c r="CC61" s="102">
        <f t="shared" ca="1" si="15"/>
        <v>0</v>
      </c>
      <c r="CD61" s="102">
        <f t="shared" ca="1" si="15"/>
        <v>0</v>
      </c>
      <c r="CE61" s="102">
        <f t="shared" ca="1" si="15"/>
        <v>0</v>
      </c>
      <c r="CF61" s="102">
        <f t="shared" ca="1" si="15"/>
        <v>0</v>
      </c>
      <c r="CG61" s="102">
        <f t="shared" ca="1" si="15"/>
        <v>0</v>
      </c>
      <c r="CH61" s="101">
        <f ca="1">COUNTIF(BZ61:CG61,"&lt;"&amp;MAX(BZ61:CG61))+IF(Calcs[[#This Row],[RL1]]=0,0,1)</f>
        <v>0</v>
      </c>
      <c r="CI6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1" s="103">
        <f ca="1">IFERROR(OFFSET(CJ61,-1,0)+0,0)+IF(INDEX(INDIRECT(RangeContrQty),MATCH(Calcs[[#This Row],[Line]],OFFSET(Items[Line],0,0,ROW(Proposed[])-ROW(Items[])+ROWS(Proposed[]),1),0)),1,0)</f>
        <v>0</v>
      </c>
    </row>
    <row r="62" spans="1:94" x14ac:dyDescent="0.15">
      <c r="A62" s="6">
        <f ca="1">IFERROR(OFFSET(A62,-1,0)+0,0)+MAX(IF(LEN(Calcs[[#This Row],[Line]])&gt;0,1,0),Calcs[[#This Row],[DL]],Calcs[[#This Row],[RL]])</f>
        <v>10</v>
      </c>
      <c r="B62" s="94" t="str">
        <f ca="1">IFERROR(INDEX(OFFSET(Items[Line],0,0,ROW(Proposed[])-ROW(Items[])+ROWS(Proposed[]),1),MATCH(ROW(B62)-ROW(B$3),INDIRECT(RangeCount),0)),"")</f>
        <v/>
      </c>
      <c r="C62" s="94" t="str">
        <f ca="1">IF(LEN(Calcs[[#This Row],[Line]])&gt;0,TRIM(IFERROR(INDEX(Items[Description],MATCH(Calcs[[#This Row],[Line]],Items[Line],0))&amp;INDEX(Items[Description2],MATCH(Calcs[[#This Row],[Line]],Items[Line],0)),INDEX(Proposed[Description],MATCH(Calcs[[#This Row],[Line]],Proposed[Line],0)))),"")</f>
        <v/>
      </c>
      <c r="D62" s="96">
        <f t="shared" ca="1" si="22"/>
        <v>0</v>
      </c>
      <c r="E62" s="97">
        <f t="shared" ca="1" si="22"/>
        <v>0</v>
      </c>
      <c r="F62" s="97">
        <f t="shared" ca="1" si="22"/>
        <v>0</v>
      </c>
      <c r="G62" s="97">
        <f t="shared" ca="1" si="22"/>
        <v>0</v>
      </c>
      <c r="H62" s="97">
        <f t="shared" ca="1" si="22"/>
        <v>0</v>
      </c>
      <c r="I62" s="97">
        <f t="shared" ca="1" si="22"/>
        <v>0</v>
      </c>
      <c r="J62" s="97">
        <f t="shared" ca="1" si="22"/>
        <v>0</v>
      </c>
      <c r="K62" s="97">
        <f t="shared" ca="1" si="22"/>
        <v>0</v>
      </c>
      <c r="L62" s="97">
        <f t="shared" ca="1" si="22"/>
        <v>0</v>
      </c>
      <c r="M62" s="97">
        <f t="shared" ca="1" si="22"/>
        <v>0</v>
      </c>
      <c r="N62" s="97">
        <f t="shared" ca="1" si="22"/>
        <v>0</v>
      </c>
      <c r="O62" s="97">
        <f t="shared" ca="1" si="22"/>
        <v>0</v>
      </c>
      <c r="P62" s="97">
        <f t="shared" ca="1" si="22"/>
        <v>0</v>
      </c>
      <c r="Q62" s="97">
        <f t="shared" ca="1" si="22"/>
        <v>0</v>
      </c>
      <c r="R62" s="97">
        <f t="shared" ca="1" si="22"/>
        <v>0</v>
      </c>
      <c r="S62" s="97">
        <f t="shared" ca="1" si="22"/>
        <v>0</v>
      </c>
      <c r="T62" s="97">
        <f t="shared" ca="1" si="20"/>
        <v>0</v>
      </c>
      <c r="U62" s="97">
        <f t="shared" ca="1" si="20"/>
        <v>0</v>
      </c>
      <c r="V62" s="97">
        <f t="shared" ca="1" si="20"/>
        <v>0</v>
      </c>
      <c r="W62" s="97">
        <f t="shared" ca="1" si="20"/>
        <v>0</v>
      </c>
      <c r="X62" s="97">
        <f t="shared" ca="1" si="23"/>
        <v>0</v>
      </c>
      <c r="Y62" s="97">
        <f t="shared" ca="1" si="23"/>
        <v>0</v>
      </c>
      <c r="Z62" s="97">
        <f t="shared" ca="1" si="23"/>
        <v>0</v>
      </c>
      <c r="AA62" s="97">
        <f t="shared" ca="1" si="23"/>
        <v>0</v>
      </c>
      <c r="AB62" s="97">
        <f t="shared" ca="1" si="23"/>
        <v>0</v>
      </c>
      <c r="AC62" s="97">
        <f t="shared" ca="1" si="23"/>
        <v>0</v>
      </c>
      <c r="AD62" s="97">
        <f t="shared" ca="1" si="23"/>
        <v>0</v>
      </c>
      <c r="AE62" s="97">
        <f t="shared" ca="1" si="23"/>
        <v>0</v>
      </c>
      <c r="AF62" s="97">
        <f t="shared" ca="1" si="23"/>
        <v>0</v>
      </c>
      <c r="AG62" s="97">
        <f t="shared" ca="1" si="23"/>
        <v>0</v>
      </c>
      <c r="AH62" s="97">
        <f t="shared" ca="1" si="23"/>
        <v>0</v>
      </c>
      <c r="AI62" s="97">
        <f t="shared" ca="1" si="23"/>
        <v>0</v>
      </c>
      <c r="AJ62" s="98">
        <f t="shared" ca="1" si="13"/>
        <v>0</v>
      </c>
      <c r="AK62" s="97">
        <f t="shared" ca="1" si="13"/>
        <v>0</v>
      </c>
      <c r="AL62" s="97">
        <f t="shared" ca="1" si="13"/>
        <v>0</v>
      </c>
      <c r="AM62" s="97">
        <f t="shared" ca="1" si="13"/>
        <v>0</v>
      </c>
      <c r="AN62" s="97">
        <f t="shared" ca="1" si="13"/>
        <v>0</v>
      </c>
      <c r="AO62" s="97">
        <f t="shared" ca="1" si="13"/>
        <v>0</v>
      </c>
      <c r="AP62" s="97">
        <f t="shared" ca="1" si="13"/>
        <v>0</v>
      </c>
      <c r="AQ62" s="97">
        <f t="shared" ca="1" si="13"/>
        <v>0</v>
      </c>
      <c r="AR62" s="99">
        <f ca="1">COUNTIF(AJ62:AQ62,"&lt;"&amp;MAX(AJ62:AQ62))+IF(Calcs[[#This Row],[DL1]]=0,0,1)</f>
        <v>0</v>
      </c>
      <c r="AS62" s="100" t="str">
        <f ca="1">IF(LEN(Calcs[[#This Row],[Line]])&gt;0,IF(RIGHT(Calcs[[#This Row],[Remark]],3)=".  ",LEFT(Calcs[[#This Row],[Remark]],LEN(Calcs[[#This Row],[Remark]])-3),Calcs[[#This Row],[Remark]]),"")</f>
        <v/>
      </c>
      <c r="AT62" s="96">
        <f t="shared" ca="1" si="24"/>
        <v>0</v>
      </c>
      <c r="AU62" s="102">
        <f t="shared" ca="1" si="24"/>
        <v>0</v>
      </c>
      <c r="AV62" s="102">
        <f t="shared" ca="1" si="24"/>
        <v>0</v>
      </c>
      <c r="AW62" s="102">
        <f t="shared" ca="1" si="24"/>
        <v>0</v>
      </c>
      <c r="AX62" s="102">
        <f t="shared" ca="1" si="24"/>
        <v>0</v>
      </c>
      <c r="AY62" s="102">
        <f t="shared" ca="1" si="24"/>
        <v>0</v>
      </c>
      <c r="AZ62" s="102">
        <f t="shared" ca="1" si="24"/>
        <v>0</v>
      </c>
      <c r="BA62" s="102">
        <f t="shared" ca="1" si="24"/>
        <v>0</v>
      </c>
      <c r="BB62" s="102">
        <f t="shared" ca="1" si="24"/>
        <v>0</v>
      </c>
      <c r="BC62" s="102">
        <f t="shared" ca="1" si="24"/>
        <v>0</v>
      </c>
      <c r="BD62" s="102">
        <f t="shared" ca="1" si="24"/>
        <v>0</v>
      </c>
      <c r="BE62" s="102">
        <f t="shared" ca="1" si="24"/>
        <v>0</v>
      </c>
      <c r="BF62" s="102">
        <f t="shared" ca="1" si="24"/>
        <v>0</v>
      </c>
      <c r="BG62" s="102">
        <f t="shared" ca="1" si="24"/>
        <v>0</v>
      </c>
      <c r="BH62" s="102">
        <f t="shared" ca="1" si="24"/>
        <v>0</v>
      </c>
      <c r="BI62" s="102">
        <f t="shared" ca="1" si="24"/>
        <v>0</v>
      </c>
      <c r="BJ62" s="102">
        <f t="shared" ca="1" si="21"/>
        <v>0</v>
      </c>
      <c r="BK62" s="102">
        <f t="shared" ca="1" si="21"/>
        <v>0</v>
      </c>
      <c r="BL62" s="102">
        <f t="shared" ca="1" si="21"/>
        <v>0</v>
      </c>
      <c r="BM62" s="102">
        <f t="shared" ca="1" si="21"/>
        <v>0</v>
      </c>
      <c r="BN62" s="102">
        <f t="shared" ca="1" si="25"/>
        <v>0</v>
      </c>
      <c r="BO62" s="102">
        <f t="shared" ca="1" si="25"/>
        <v>0</v>
      </c>
      <c r="BP62" s="102">
        <f t="shared" ca="1" si="25"/>
        <v>0</v>
      </c>
      <c r="BQ62" s="102">
        <f t="shared" ca="1" si="25"/>
        <v>0</v>
      </c>
      <c r="BR62" s="102">
        <f t="shared" ca="1" si="25"/>
        <v>0</v>
      </c>
      <c r="BS62" s="102">
        <f t="shared" ca="1" si="25"/>
        <v>0</v>
      </c>
      <c r="BT62" s="102">
        <f t="shared" ca="1" si="25"/>
        <v>0</v>
      </c>
      <c r="BU62" s="102">
        <f t="shared" ca="1" si="25"/>
        <v>0</v>
      </c>
      <c r="BV62" s="102">
        <f t="shared" ca="1" si="25"/>
        <v>0</v>
      </c>
      <c r="BW62" s="102">
        <f t="shared" ca="1" si="25"/>
        <v>0</v>
      </c>
      <c r="BX62" s="102">
        <f t="shared" ca="1" si="25"/>
        <v>0</v>
      </c>
      <c r="BY62" s="102">
        <f t="shared" ca="1" si="25"/>
        <v>0</v>
      </c>
      <c r="BZ62" s="98">
        <f t="shared" ca="1" si="15"/>
        <v>0</v>
      </c>
      <c r="CA62" s="102">
        <f t="shared" ca="1" si="15"/>
        <v>0</v>
      </c>
      <c r="CB62" s="102">
        <f t="shared" ca="1" si="15"/>
        <v>0</v>
      </c>
      <c r="CC62" s="102">
        <f t="shared" ca="1" si="15"/>
        <v>0</v>
      </c>
      <c r="CD62" s="102">
        <f t="shared" ca="1" si="15"/>
        <v>0</v>
      </c>
      <c r="CE62" s="102">
        <f t="shared" ca="1" si="15"/>
        <v>0</v>
      </c>
      <c r="CF62" s="102">
        <f t="shared" ca="1" si="15"/>
        <v>0</v>
      </c>
      <c r="CG62" s="102">
        <f t="shared" ca="1" si="15"/>
        <v>0</v>
      </c>
      <c r="CH62" s="101">
        <f ca="1">COUNTIF(BZ62:CG62,"&lt;"&amp;MAX(BZ62:CG62))+IF(Calcs[[#This Row],[RL1]]=0,0,1)</f>
        <v>0</v>
      </c>
      <c r="CI6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2" s="103">
        <f ca="1">IFERROR(OFFSET(CJ62,-1,0)+0,0)+IF(INDEX(INDIRECT(RangeContrQty),MATCH(Calcs[[#This Row],[Line]],OFFSET(Items[Line],0,0,ROW(Proposed[])-ROW(Items[])+ROWS(Proposed[]),1),0)),1,0)</f>
        <v>0</v>
      </c>
    </row>
    <row r="63" spans="1:94" x14ac:dyDescent="0.15">
      <c r="A63" s="6">
        <f ca="1">IFERROR(OFFSET(A63,-1,0)+0,0)+MAX(IF(LEN(Calcs[[#This Row],[Line]])&gt;0,1,0),Calcs[[#This Row],[DL]],Calcs[[#This Row],[RL]])</f>
        <v>10</v>
      </c>
      <c r="B63" s="94" t="str">
        <f ca="1">IFERROR(INDEX(OFFSET(Items[Line],0,0,ROW(Proposed[])-ROW(Items[])+ROWS(Proposed[]),1),MATCH(ROW(B63)-ROW(B$3),INDIRECT(RangeCount),0)),"")</f>
        <v/>
      </c>
      <c r="C63" s="94" t="str">
        <f ca="1">IF(LEN(Calcs[[#This Row],[Line]])&gt;0,TRIM(IFERROR(INDEX(Items[Description],MATCH(Calcs[[#This Row],[Line]],Items[Line],0))&amp;INDEX(Items[Description2],MATCH(Calcs[[#This Row],[Line]],Items[Line],0)),INDEX(Proposed[Description],MATCH(Calcs[[#This Row],[Line]],Proposed[Line],0)))),"")</f>
        <v/>
      </c>
      <c r="D63" s="96">
        <f t="shared" ca="1" si="22"/>
        <v>0</v>
      </c>
      <c r="E63" s="97">
        <f t="shared" ca="1" si="22"/>
        <v>0</v>
      </c>
      <c r="F63" s="97">
        <f t="shared" ca="1" si="22"/>
        <v>0</v>
      </c>
      <c r="G63" s="97">
        <f t="shared" ca="1" si="22"/>
        <v>0</v>
      </c>
      <c r="H63" s="97">
        <f t="shared" ca="1" si="22"/>
        <v>0</v>
      </c>
      <c r="I63" s="97">
        <f t="shared" ca="1" si="22"/>
        <v>0</v>
      </c>
      <c r="J63" s="97">
        <f t="shared" ca="1" si="22"/>
        <v>0</v>
      </c>
      <c r="K63" s="97">
        <f t="shared" ca="1" si="22"/>
        <v>0</v>
      </c>
      <c r="L63" s="97">
        <f t="shared" ca="1" si="22"/>
        <v>0</v>
      </c>
      <c r="M63" s="97">
        <f t="shared" ca="1" si="22"/>
        <v>0</v>
      </c>
      <c r="N63" s="97">
        <f t="shared" ca="1" si="22"/>
        <v>0</v>
      </c>
      <c r="O63" s="97">
        <f t="shared" ca="1" si="22"/>
        <v>0</v>
      </c>
      <c r="P63" s="97">
        <f t="shared" ca="1" si="22"/>
        <v>0</v>
      </c>
      <c r="Q63" s="97">
        <f t="shared" ca="1" si="22"/>
        <v>0</v>
      </c>
      <c r="R63" s="97">
        <f t="shared" ca="1" si="22"/>
        <v>0</v>
      </c>
      <c r="S63" s="97">
        <f t="shared" ca="1" si="22"/>
        <v>0</v>
      </c>
      <c r="T63" s="97">
        <f t="shared" ca="1" si="20"/>
        <v>0</v>
      </c>
      <c r="U63" s="97">
        <f t="shared" ca="1" si="20"/>
        <v>0</v>
      </c>
      <c r="V63" s="97">
        <f t="shared" ca="1" si="20"/>
        <v>0</v>
      </c>
      <c r="W63" s="97">
        <f t="shared" ca="1" si="20"/>
        <v>0</v>
      </c>
      <c r="X63" s="97">
        <f t="shared" ca="1" si="23"/>
        <v>0</v>
      </c>
      <c r="Y63" s="97">
        <f t="shared" ca="1" si="23"/>
        <v>0</v>
      </c>
      <c r="Z63" s="97">
        <f t="shared" ca="1" si="23"/>
        <v>0</v>
      </c>
      <c r="AA63" s="97">
        <f t="shared" ca="1" si="23"/>
        <v>0</v>
      </c>
      <c r="AB63" s="97">
        <f t="shared" ca="1" si="23"/>
        <v>0</v>
      </c>
      <c r="AC63" s="97">
        <f t="shared" ca="1" si="23"/>
        <v>0</v>
      </c>
      <c r="AD63" s="97">
        <f t="shared" ca="1" si="23"/>
        <v>0</v>
      </c>
      <c r="AE63" s="97">
        <f t="shared" ca="1" si="23"/>
        <v>0</v>
      </c>
      <c r="AF63" s="97">
        <f t="shared" ca="1" si="23"/>
        <v>0</v>
      </c>
      <c r="AG63" s="97">
        <f t="shared" ca="1" si="23"/>
        <v>0</v>
      </c>
      <c r="AH63" s="97">
        <f t="shared" ca="1" si="23"/>
        <v>0</v>
      </c>
      <c r="AI63" s="97">
        <f t="shared" ca="1" si="23"/>
        <v>0</v>
      </c>
      <c r="AJ63" s="98">
        <f t="shared" ca="1" si="13"/>
        <v>0</v>
      </c>
      <c r="AK63" s="97">
        <f t="shared" ca="1" si="13"/>
        <v>0</v>
      </c>
      <c r="AL63" s="97">
        <f t="shared" ca="1" si="13"/>
        <v>0</v>
      </c>
      <c r="AM63" s="97">
        <f t="shared" ca="1" si="13"/>
        <v>0</v>
      </c>
      <c r="AN63" s="97">
        <f t="shared" ca="1" si="13"/>
        <v>0</v>
      </c>
      <c r="AO63" s="97">
        <f t="shared" ca="1" si="13"/>
        <v>0</v>
      </c>
      <c r="AP63" s="97">
        <f t="shared" ca="1" si="13"/>
        <v>0</v>
      </c>
      <c r="AQ63" s="97">
        <f t="shared" ca="1" si="13"/>
        <v>0</v>
      </c>
      <c r="AR63" s="99">
        <f ca="1">COUNTIF(AJ63:AQ63,"&lt;"&amp;MAX(AJ63:AQ63))+IF(Calcs[[#This Row],[DL1]]=0,0,1)</f>
        <v>0</v>
      </c>
      <c r="AS63" s="100" t="str">
        <f ca="1">IF(LEN(Calcs[[#This Row],[Line]])&gt;0,IF(RIGHT(Calcs[[#This Row],[Remark]],3)=".  ",LEFT(Calcs[[#This Row],[Remark]],LEN(Calcs[[#This Row],[Remark]])-3),Calcs[[#This Row],[Remark]]),"")</f>
        <v/>
      </c>
      <c r="AT63" s="96">
        <f t="shared" ca="1" si="24"/>
        <v>0</v>
      </c>
      <c r="AU63" s="102">
        <f t="shared" ca="1" si="24"/>
        <v>0</v>
      </c>
      <c r="AV63" s="102">
        <f t="shared" ca="1" si="24"/>
        <v>0</v>
      </c>
      <c r="AW63" s="102">
        <f t="shared" ca="1" si="24"/>
        <v>0</v>
      </c>
      <c r="AX63" s="102">
        <f t="shared" ca="1" si="24"/>
        <v>0</v>
      </c>
      <c r="AY63" s="102">
        <f t="shared" ca="1" si="24"/>
        <v>0</v>
      </c>
      <c r="AZ63" s="102">
        <f t="shared" ca="1" si="24"/>
        <v>0</v>
      </c>
      <c r="BA63" s="102">
        <f t="shared" ca="1" si="24"/>
        <v>0</v>
      </c>
      <c r="BB63" s="102">
        <f t="shared" ca="1" si="24"/>
        <v>0</v>
      </c>
      <c r="BC63" s="102">
        <f t="shared" ca="1" si="24"/>
        <v>0</v>
      </c>
      <c r="BD63" s="102">
        <f t="shared" ca="1" si="24"/>
        <v>0</v>
      </c>
      <c r="BE63" s="102">
        <f t="shared" ca="1" si="24"/>
        <v>0</v>
      </c>
      <c r="BF63" s="102">
        <f t="shared" ca="1" si="24"/>
        <v>0</v>
      </c>
      <c r="BG63" s="102">
        <f t="shared" ca="1" si="24"/>
        <v>0</v>
      </c>
      <c r="BH63" s="102">
        <f t="shared" ca="1" si="24"/>
        <v>0</v>
      </c>
      <c r="BI63" s="102">
        <f t="shared" ca="1" si="24"/>
        <v>0</v>
      </c>
      <c r="BJ63" s="102">
        <f t="shared" ca="1" si="21"/>
        <v>0</v>
      </c>
      <c r="BK63" s="102">
        <f t="shared" ca="1" si="21"/>
        <v>0</v>
      </c>
      <c r="BL63" s="102">
        <f t="shared" ca="1" si="21"/>
        <v>0</v>
      </c>
      <c r="BM63" s="102">
        <f t="shared" ca="1" si="21"/>
        <v>0</v>
      </c>
      <c r="BN63" s="102">
        <f t="shared" ca="1" si="25"/>
        <v>0</v>
      </c>
      <c r="BO63" s="102">
        <f t="shared" ca="1" si="25"/>
        <v>0</v>
      </c>
      <c r="BP63" s="102">
        <f t="shared" ca="1" si="25"/>
        <v>0</v>
      </c>
      <c r="BQ63" s="102">
        <f t="shared" ca="1" si="25"/>
        <v>0</v>
      </c>
      <c r="BR63" s="102">
        <f t="shared" ca="1" si="25"/>
        <v>0</v>
      </c>
      <c r="BS63" s="102">
        <f t="shared" ca="1" si="25"/>
        <v>0</v>
      </c>
      <c r="BT63" s="102">
        <f t="shared" ca="1" si="25"/>
        <v>0</v>
      </c>
      <c r="BU63" s="102">
        <f t="shared" ca="1" si="25"/>
        <v>0</v>
      </c>
      <c r="BV63" s="102">
        <f t="shared" ca="1" si="25"/>
        <v>0</v>
      </c>
      <c r="BW63" s="102">
        <f t="shared" ca="1" si="25"/>
        <v>0</v>
      </c>
      <c r="BX63" s="102">
        <f t="shared" ca="1" si="25"/>
        <v>0</v>
      </c>
      <c r="BY63" s="102">
        <f t="shared" ca="1" si="25"/>
        <v>0</v>
      </c>
      <c r="BZ63" s="98">
        <f t="shared" ca="1" si="15"/>
        <v>0</v>
      </c>
      <c r="CA63" s="102">
        <f t="shared" ca="1" si="15"/>
        <v>0</v>
      </c>
      <c r="CB63" s="102">
        <f t="shared" ca="1" si="15"/>
        <v>0</v>
      </c>
      <c r="CC63" s="102">
        <f t="shared" ca="1" si="15"/>
        <v>0</v>
      </c>
      <c r="CD63" s="102">
        <f t="shared" ca="1" si="15"/>
        <v>0</v>
      </c>
      <c r="CE63" s="102">
        <f t="shared" ca="1" si="15"/>
        <v>0</v>
      </c>
      <c r="CF63" s="102">
        <f t="shared" ca="1" si="15"/>
        <v>0</v>
      </c>
      <c r="CG63" s="102">
        <f t="shared" ca="1" si="15"/>
        <v>0</v>
      </c>
      <c r="CH63" s="101">
        <f ca="1">COUNTIF(BZ63:CG63,"&lt;"&amp;MAX(BZ63:CG63))+IF(Calcs[[#This Row],[RL1]]=0,0,1)</f>
        <v>0</v>
      </c>
      <c r="CI6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3" s="103">
        <f ca="1">IFERROR(OFFSET(CJ63,-1,0)+0,0)+IF(INDEX(INDIRECT(RangeContrQty),MATCH(Calcs[[#This Row],[Line]],OFFSET(Items[Line],0,0,ROW(Proposed[])-ROW(Items[])+ROWS(Proposed[]),1),0)),1,0)</f>
        <v>0</v>
      </c>
    </row>
    <row r="64" spans="1:94" x14ac:dyDescent="0.15">
      <c r="A64" s="6">
        <f ca="1">IFERROR(OFFSET(A64,-1,0)+0,0)+MAX(IF(LEN(Calcs[[#This Row],[Line]])&gt;0,1,0),Calcs[[#This Row],[DL]],Calcs[[#This Row],[RL]])</f>
        <v>10</v>
      </c>
      <c r="B64" s="94" t="str">
        <f ca="1">IFERROR(INDEX(OFFSET(Items[Line],0,0,ROW(Proposed[])-ROW(Items[])+ROWS(Proposed[]),1),MATCH(ROW(B64)-ROW(B$3),INDIRECT(RangeCount),0)),"")</f>
        <v/>
      </c>
      <c r="C64" s="94" t="str">
        <f ca="1">IF(LEN(Calcs[[#This Row],[Line]])&gt;0,TRIM(IFERROR(INDEX(Items[Description],MATCH(Calcs[[#This Row],[Line]],Items[Line],0))&amp;INDEX(Items[Description2],MATCH(Calcs[[#This Row],[Line]],Items[Line],0)),INDEX(Proposed[Description],MATCH(Calcs[[#This Row],[Line]],Proposed[Line],0)))),"")</f>
        <v/>
      </c>
      <c r="D64" s="96">
        <f t="shared" ca="1" si="22"/>
        <v>0</v>
      </c>
      <c r="E64" s="97">
        <f t="shared" ca="1" si="22"/>
        <v>0</v>
      </c>
      <c r="F64" s="97">
        <f t="shared" ca="1" si="22"/>
        <v>0</v>
      </c>
      <c r="G64" s="97">
        <f t="shared" ca="1" si="22"/>
        <v>0</v>
      </c>
      <c r="H64" s="97">
        <f t="shared" ca="1" si="22"/>
        <v>0</v>
      </c>
      <c r="I64" s="97">
        <f t="shared" ca="1" si="22"/>
        <v>0</v>
      </c>
      <c r="J64" s="97">
        <f t="shared" ca="1" si="22"/>
        <v>0</v>
      </c>
      <c r="K64" s="97">
        <f t="shared" ca="1" si="22"/>
        <v>0</v>
      </c>
      <c r="L64" s="97">
        <f t="shared" ca="1" si="22"/>
        <v>0</v>
      </c>
      <c r="M64" s="97">
        <f t="shared" ca="1" si="22"/>
        <v>0</v>
      </c>
      <c r="N64" s="97">
        <f t="shared" ca="1" si="22"/>
        <v>0</v>
      </c>
      <c r="O64" s="97">
        <f t="shared" ca="1" si="22"/>
        <v>0</v>
      </c>
      <c r="P64" s="97">
        <f t="shared" ca="1" si="22"/>
        <v>0</v>
      </c>
      <c r="Q64" s="97">
        <f t="shared" ca="1" si="22"/>
        <v>0</v>
      </c>
      <c r="R64" s="97">
        <f t="shared" ca="1" si="22"/>
        <v>0</v>
      </c>
      <c r="S64" s="97">
        <f t="shared" ca="1" si="22"/>
        <v>0</v>
      </c>
      <c r="T64" s="97">
        <f t="shared" ca="1" si="20"/>
        <v>0</v>
      </c>
      <c r="U64" s="97">
        <f t="shared" ca="1" si="20"/>
        <v>0</v>
      </c>
      <c r="V64" s="97">
        <f t="shared" ca="1" si="20"/>
        <v>0</v>
      </c>
      <c r="W64" s="97">
        <f t="shared" ca="1" si="20"/>
        <v>0</v>
      </c>
      <c r="X64" s="97">
        <f t="shared" ca="1" si="23"/>
        <v>0</v>
      </c>
      <c r="Y64" s="97">
        <f t="shared" ca="1" si="23"/>
        <v>0</v>
      </c>
      <c r="Z64" s="97">
        <f t="shared" ca="1" si="23"/>
        <v>0</v>
      </c>
      <c r="AA64" s="97">
        <f t="shared" ca="1" si="23"/>
        <v>0</v>
      </c>
      <c r="AB64" s="97">
        <f t="shared" ca="1" si="23"/>
        <v>0</v>
      </c>
      <c r="AC64" s="97">
        <f t="shared" ca="1" si="23"/>
        <v>0</v>
      </c>
      <c r="AD64" s="97">
        <f t="shared" ca="1" si="23"/>
        <v>0</v>
      </c>
      <c r="AE64" s="97">
        <f t="shared" ca="1" si="23"/>
        <v>0</v>
      </c>
      <c r="AF64" s="97">
        <f t="shared" ca="1" si="23"/>
        <v>0</v>
      </c>
      <c r="AG64" s="97">
        <f t="shared" ca="1" si="23"/>
        <v>0</v>
      </c>
      <c r="AH64" s="97">
        <f t="shared" ca="1" si="23"/>
        <v>0</v>
      </c>
      <c r="AI64" s="97">
        <f t="shared" ca="1" si="23"/>
        <v>0</v>
      </c>
      <c r="AJ64" s="98">
        <f t="shared" ca="1" si="13"/>
        <v>0</v>
      </c>
      <c r="AK64" s="97">
        <f t="shared" ca="1" si="13"/>
        <v>0</v>
      </c>
      <c r="AL64" s="97">
        <f t="shared" ca="1" si="13"/>
        <v>0</v>
      </c>
      <c r="AM64" s="97">
        <f t="shared" ca="1" si="13"/>
        <v>0</v>
      </c>
      <c r="AN64" s="97">
        <f t="shared" ca="1" si="13"/>
        <v>0</v>
      </c>
      <c r="AO64" s="97">
        <f t="shared" ca="1" si="13"/>
        <v>0</v>
      </c>
      <c r="AP64" s="97">
        <f t="shared" ca="1" si="13"/>
        <v>0</v>
      </c>
      <c r="AQ64" s="97">
        <f t="shared" ca="1" si="13"/>
        <v>0</v>
      </c>
      <c r="AR64" s="99">
        <f ca="1">COUNTIF(AJ64:AQ64,"&lt;"&amp;MAX(AJ64:AQ64))+IF(Calcs[[#This Row],[DL1]]=0,0,1)</f>
        <v>0</v>
      </c>
      <c r="AS64" s="100" t="str">
        <f ca="1">IF(LEN(Calcs[[#This Row],[Line]])&gt;0,IF(RIGHT(Calcs[[#This Row],[Remark]],3)=".  ",LEFT(Calcs[[#This Row],[Remark]],LEN(Calcs[[#This Row],[Remark]])-3),Calcs[[#This Row],[Remark]]),"")</f>
        <v/>
      </c>
      <c r="AT64" s="96">
        <f t="shared" ca="1" si="24"/>
        <v>0</v>
      </c>
      <c r="AU64" s="102">
        <f t="shared" ca="1" si="24"/>
        <v>0</v>
      </c>
      <c r="AV64" s="102">
        <f t="shared" ca="1" si="24"/>
        <v>0</v>
      </c>
      <c r="AW64" s="102">
        <f t="shared" ca="1" si="24"/>
        <v>0</v>
      </c>
      <c r="AX64" s="102">
        <f t="shared" ca="1" si="24"/>
        <v>0</v>
      </c>
      <c r="AY64" s="102">
        <f t="shared" ca="1" si="24"/>
        <v>0</v>
      </c>
      <c r="AZ64" s="102">
        <f t="shared" ca="1" si="24"/>
        <v>0</v>
      </c>
      <c r="BA64" s="102">
        <f t="shared" ca="1" si="24"/>
        <v>0</v>
      </c>
      <c r="BB64" s="102">
        <f t="shared" ca="1" si="24"/>
        <v>0</v>
      </c>
      <c r="BC64" s="102">
        <f t="shared" ca="1" si="24"/>
        <v>0</v>
      </c>
      <c r="BD64" s="102">
        <f t="shared" ca="1" si="24"/>
        <v>0</v>
      </c>
      <c r="BE64" s="102">
        <f t="shared" ca="1" si="24"/>
        <v>0</v>
      </c>
      <c r="BF64" s="102">
        <f t="shared" ca="1" si="24"/>
        <v>0</v>
      </c>
      <c r="BG64" s="102">
        <f t="shared" ca="1" si="24"/>
        <v>0</v>
      </c>
      <c r="BH64" s="102">
        <f t="shared" ca="1" si="24"/>
        <v>0</v>
      </c>
      <c r="BI64" s="102">
        <f t="shared" ca="1" si="24"/>
        <v>0</v>
      </c>
      <c r="BJ64" s="102">
        <f t="shared" ca="1" si="21"/>
        <v>0</v>
      </c>
      <c r="BK64" s="102">
        <f t="shared" ca="1" si="21"/>
        <v>0</v>
      </c>
      <c r="BL64" s="102">
        <f t="shared" ca="1" si="21"/>
        <v>0</v>
      </c>
      <c r="BM64" s="102">
        <f t="shared" ca="1" si="21"/>
        <v>0</v>
      </c>
      <c r="BN64" s="102">
        <f t="shared" ca="1" si="25"/>
        <v>0</v>
      </c>
      <c r="BO64" s="102">
        <f t="shared" ca="1" si="25"/>
        <v>0</v>
      </c>
      <c r="BP64" s="102">
        <f t="shared" ca="1" si="25"/>
        <v>0</v>
      </c>
      <c r="BQ64" s="102">
        <f t="shared" ca="1" si="25"/>
        <v>0</v>
      </c>
      <c r="BR64" s="102">
        <f t="shared" ca="1" si="25"/>
        <v>0</v>
      </c>
      <c r="BS64" s="102">
        <f t="shared" ca="1" si="25"/>
        <v>0</v>
      </c>
      <c r="BT64" s="102">
        <f t="shared" ca="1" si="25"/>
        <v>0</v>
      </c>
      <c r="BU64" s="102">
        <f t="shared" ca="1" si="25"/>
        <v>0</v>
      </c>
      <c r="BV64" s="102">
        <f t="shared" ca="1" si="25"/>
        <v>0</v>
      </c>
      <c r="BW64" s="102">
        <f t="shared" ca="1" si="25"/>
        <v>0</v>
      </c>
      <c r="BX64" s="102">
        <f t="shared" ca="1" si="25"/>
        <v>0</v>
      </c>
      <c r="BY64" s="102">
        <f t="shared" ca="1" si="25"/>
        <v>0</v>
      </c>
      <c r="BZ64" s="98">
        <f t="shared" ca="1" si="15"/>
        <v>0</v>
      </c>
      <c r="CA64" s="102">
        <f t="shared" ca="1" si="15"/>
        <v>0</v>
      </c>
      <c r="CB64" s="102">
        <f t="shared" ca="1" si="15"/>
        <v>0</v>
      </c>
      <c r="CC64" s="102">
        <f t="shared" ca="1" si="15"/>
        <v>0</v>
      </c>
      <c r="CD64" s="102">
        <f t="shared" ca="1" si="15"/>
        <v>0</v>
      </c>
      <c r="CE64" s="102">
        <f t="shared" ca="1" si="15"/>
        <v>0</v>
      </c>
      <c r="CF64" s="102">
        <f t="shared" ca="1" si="15"/>
        <v>0</v>
      </c>
      <c r="CG64" s="102">
        <f t="shared" ca="1" si="15"/>
        <v>0</v>
      </c>
      <c r="CH64" s="101">
        <f ca="1">COUNTIF(BZ64:CG64,"&lt;"&amp;MAX(BZ64:CG64))+IF(Calcs[[#This Row],[RL1]]=0,0,1)</f>
        <v>0</v>
      </c>
      <c r="CI6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4" s="103">
        <f ca="1">IFERROR(OFFSET(CJ64,-1,0)+0,0)+IF(INDEX(INDIRECT(RangeContrQty),MATCH(Calcs[[#This Row],[Line]],OFFSET(Items[Line],0,0,ROW(Proposed[])-ROW(Items[])+ROWS(Proposed[]),1),0)),1,0)</f>
        <v>0</v>
      </c>
    </row>
    <row r="65" spans="1:88" x14ac:dyDescent="0.15">
      <c r="A65" s="6">
        <f ca="1">IFERROR(OFFSET(A65,-1,0)+0,0)+MAX(IF(LEN(Calcs[[#This Row],[Line]])&gt;0,1,0),Calcs[[#This Row],[DL]],Calcs[[#This Row],[RL]])</f>
        <v>10</v>
      </c>
      <c r="B65" s="94" t="str">
        <f ca="1">IFERROR(INDEX(OFFSET(Items[Line],0,0,ROW(Proposed[])-ROW(Items[])+ROWS(Proposed[]),1),MATCH(ROW(B65)-ROW(B$3),INDIRECT(RangeCount),0)),"")</f>
        <v/>
      </c>
      <c r="C65" s="94" t="str">
        <f ca="1">IF(LEN(Calcs[[#This Row],[Line]])&gt;0,TRIM(IFERROR(INDEX(Items[Description],MATCH(Calcs[[#This Row],[Line]],Items[Line],0))&amp;INDEX(Items[Description2],MATCH(Calcs[[#This Row],[Line]],Items[Line],0)),INDEX(Proposed[Description],MATCH(Calcs[[#This Row],[Line]],Proposed[Line],0)))),"")</f>
        <v/>
      </c>
      <c r="D65" s="96">
        <f t="shared" ca="1" si="22"/>
        <v>0</v>
      </c>
      <c r="E65" s="97">
        <f t="shared" ca="1" si="22"/>
        <v>0</v>
      </c>
      <c r="F65" s="97">
        <f t="shared" ca="1" si="22"/>
        <v>0</v>
      </c>
      <c r="G65" s="97">
        <f t="shared" ca="1" si="22"/>
        <v>0</v>
      </c>
      <c r="H65" s="97">
        <f t="shared" ca="1" si="22"/>
        <v>0</v>
      </c>
      <c r="I65" s="97">
        <f t="shared" ca="1" si="22"/>
        <v>0</v>
      </c>
      <c r="J65" s="97">
        <f t="shared" ca="1" si="22"/>
        <v>0</v>
      </c>
      <c r="K65" s="97">
        <f t="shared" ca="1" si="22"/>
        <v>0</v>
      </c>
      <c r="L65" s="97">
        <f t="shared" ca="1" si="22"/>
        <v>0</v>
      </c>
      <c r="M65" s="97">
        <f t="shared" ca="1" si="22"/>
        <v>0</v>
      </c>
      <c r="N65" s="97">
        <f t="shared" ca="1" si="22"/>
        <v>0</v>
      </c>
      <c r="O65" s="97">
        <f t="shared" ca="1" si="22"/>
        <v>0</v>
      </c>
      <c r="P65" s="97">
        <f t="shared" ca="1" si="22"/>
        <v>0</v>
      </c>
      <c r="Q65" s="97">
        <f t="shared" ca="1" si="22"/>
        <v>0</v>
      </c>
      <c r="R65" s="97">
        <f t="shared" ca="1" si="22"/>
        <v>0</v>
      </c>
      <c r="S65" s="97">
        <f t="shared" ca="1" si="22"/>
        <v>0</v>
      </c>
      <c r="T65" s="97">
        <f t="shared" ca="1" si="20"/>
        <v>0</v>
      </c>
      <c r="U65" s="97">
        <f t="shared" ca="1" si="20"/>
        <v>0</v>
      </c>
      <c r="V65" s="97">
        <f t="shared" ca="1" si="20"/>
        <v>0</v>
      </c>
      <c r="W65" s="97">
        <f t="shared" ca="1" si="20"/>
        <v>0</v>
      </c>
      <c r="X65" s="97">
        <f t="shared" ca="1" si="23"/>
        <v>0</v>
      </c>
      <c r="Y65" s="97">
        <f t="shared" ca="1" si="23"/>
        <v>0</v>
      </c>
      <c r="Z65" s="97">
        <f t="shared" ca="1" si="23"/>
        <v>0</v>
      </c>
      <c r="AA65" s="97">
        <f t="shared" ca="1" si="23"/>
        <v>0</v>
      </c>
      <c r="AB65" s="97">
        <f t="shared" ca="1" si="23"/>
        <v>0</v>
      </c>
      <c r="AC65" s="97">
        <f t="shared" ca="1" si="23"/>
        <v>0</v>
      </c>
      <c r="AD65" s="97">
        <f t="shared" ca="1" si="23"/>
        <v>0</v>
      </c>
      <c r="AE65" s="97">
        <f t="shared" ca="1" si="23"/>
        <v>0</v>
      </c>
      <c r="AF65" s="97">
        <f t="shared" ca="1" si="23"/>
        <v>0</v>
      </c>
      <c r="AG65" s="97">
        <f t="shared" ca="1" si="23"/>
        <v>0</v>
      </c>
      <c r="AH65" s="97">
        <f t="shared" ca="1" si="23"/>
        <v>0</v>
      </c>
      <c r="AI65" s="97">
        <f t="shared" ca="1" si="23"/>
        <v>0</v>
      </c>
      <c r="AJ65" s="98">
        <f t="shared" ca="1" si="13"/>
        <v>0</v>
      </c>
      <c r="AK65" s="97">
        <f t="shared" ca="1" si="13"/>
        <v>0</v>
      </c>
      <c r="AL65" s="97">
        <f t="shared" ca="1" si="13"/>
        <v>0</v>
      </c>
      <c r="AM65" s="97">
        <f t="shared" ca="1" si="13"/>
        <v>0</v>
      </c>
      <c r="AN65" s="97">
        <f t="shared" ca="1" si="13"/>
        <v>0</v>
      </c>
      <c r="AO65" s="97">
        <f t="shared" ca="1" si="13"/>
        <v>0</v>
      </c>
      <c r="AP65" s="97">
        <f t="shared" ca="1" si="13"/>
        <v>0</v>
      </c>
      <c r="AQ65" s="97">
        <f t="shared" ca="1" si="13"/>
        <v>0</v>
      </c>
      <c r="AR65" s="99">
        <f ca="1">COUNTIF(AJ65:AQ65,"&lt;"&amp;MAX(AJ65:AQ65))+IF(Calcs[[#This Row],[DL1]]=0,0,1)</f>
        <v>0</v>
      </c>
      <c r="AS65" s="100" t="str">
        <f ca="1">IF(LEN(Calcs[[#This Row],[Line]])&gt;0,IF(RIGHT(Calcs[[#This Row],[Remark]],3)=".  ",LEFT(Calcs[[#This Row],[Remark]],LEN(Calcs[[#This Row],[Remark]])-3),Calcs[[#This Row],[Remark]]),"")</f>
        <v/>
      </c>
      <c r="AT65" s="96">
        <f t="shared" ca="1" si="24"/>
        <v>0</v>
      </c>
      <c r="AU65" s="102">
        <f t="shared" ca="1" si="24"/>
        <v>0</v>
      </c>
      <c r="AV65" s="102">
        <f t="shared" ca="1" si="24"/>
        <v>0</v>
      </c>
      <c r="AW65" s="102">
        <f t="shared" ca="1" si="24"/>
        <v>0</v>
      </c>
      <c r="AX65" s="102">
        <f t="shared" ca="1" si="24"/>
        <v>0</v>
      </c>
      <c r="AY65" s="102">
        <f t="shared" ca="1" si="24"/>
        <v>0</v>
      </c>
      <c r="AZ65" s="102">
        <f t="shared" ca="1" si="24"/>
        <v>0</v>
      </c>
      <c r="BA65" s="102">
        <f t="shared" ca="1" si="24"/>
        <v>0</v>
      </c>
      <c r="BB65" s="102">
        <f t="shared" ca="1" si="24"/>
        <v>0</v>
      </c>
      <c r="BC65" s="102">
        <f t="shared" ca="1" si="24"/>
        <v>0</v>
      </c>
      <c r="BD65" s="102">
        <f t="shared" ca="1" si="24"/>
        <v>0</v>
      </c>
      <c r="BE65" s="102">
        <f t="shared" ca="1" si="24"/>
        <v>0</v>
      </c>
      <c r="BF65" s="102">
        <f t="shared" ca="1" si="24"/>
        <v>0</v>
      </c>
      <c r="BG65" s="102">
        <f t="shared" ca="1" si="24"/>
        <v>0</v>
      </c>
      <c r="BH65" s="102">
        <f t="shared" ca="1" si="24"/>
        <v>0</v>
      </c>
      <c r="BI65" s="102">
        <f t="shared" ca="1" si="24"/>
        <v>0</v>
      </c>
      <c r="BJ65" s="102">
        <f t="shared" ca="1" si="21"/>
        <v>0</v>
      </c>
      <c r="BK65" s="102">
        <f t="shared" ca="1" si="21"/>
        <v>0</v>
      </c>
      <c r="BL65" s="102">
        <f t="shared" ca="1" si="21"/>
        <v>0</v>
      </c>
      <c r="BM65" s="102">
        <f t="shared" ca="1" si="21"/>
        <v>0</v>
      </c>
      <c r="BN65" s="102">
        <f t="shared" ca="1" si="25"/>
        <v>0</v>
      </c>
      <c r="BO65" s="102">
        <f t="shared" ca="1" si="25"/>
        <v>0</v>
      </c>
      <c r="BP65" s="102">
        <f t="shared" ca="1" si="25"/>
        <v>0</v>
      </c>
      <c r="BQ65" s="102">
        <f t="shared" ca="1" si="25"/>
        <v>0</v>
      </c>
      <c r="BR65" s="102">
        <f t="shared" ca="1" si="25"/>
        <v>0</v>
      </c>
      <c r="BS65" s="102">
        <f t="shared" ca="1" si="25"/>
        <v>0</v>
      </c>
      <c r="BT65" s="102">
        <f t="shared" ca="1" si="25"/>
        <v>0</v>
      </c>
      <c r="BU65" s="102">
        <f t="shared" ca="1" si="25"/>
        <v>0</v>
      </c>
      <c r="BV65" s="102">
        <f t="shared" ca="1" si="25"/>
        <v>0</v>
      </c>
      <c r="BW65" s="102">
        <f t="shared" ca="1" si="25"/>
        <v>0</v>
      </c>
      <c r="BX65" s="102">
        <f t="shared" ca="1" si="25"/>
        <v>0</v>
      </c>
      <c r="BY65" s="102">
        <f t="shared" ca="1" si="25"/>
        <v>0</v>
      </c>
      <c r="BZ65" s="98">
        <f t="shared" ca="1" si="15"/>
        <v>0</v>
      </c>
      <c r="CA65" s="102">
        <f t="shared" ca="1" si="15"/>
        <v>0</v>
      </c>
      <c r="CB65" s="102">
        <f t="shared" ca="1" si="15"/>
        <v>0</v>
      </c>
      <c r="CC65" s="102">
        <f t="shared" ca="1" si="15"/>
        <v>0</v>
      </c>
      <c r="CD65" s="102">
        <f t="shared" ca="1" si="15"/>
        <v>0</v>
      </c>
      <c r="CE65" s="102">
        <f t="shared" ca="1" si="15"/>
        <v>0</v>
      </c>
      <c r="CF65" s="102">
        <f t="shared" ca="1" si="15"/>
        <v>0</v>
      </c>
      <c r="CG65" s="102">
        <f t="shared" ca="1" si="15"/>
        <v>0</v>
      </c>
      <c r="CH65" s="101">
        <f ca="1">COUNTIF(BZ65:CG65,"&lt;"&amp;MAX(BZ65:CG65))+IF(Calcs[[#This Row],[RL1]]=0,0,1)</f>
        <v>0</v>
      </c>
      <c r="CI6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5" s="103">
        <f ca="1">IFERROR(OFFSET(CJ65,-1,0)+0,0)+IF(INDEX(INDIRECT(RangeContrQty),MATCH(Calcs[[#This Row],[Line]],OFFSET(Items[Line],0,0,ROW(Proposed[])-ROW(Items[])+ROWS(Proposed[]),1),0)),1,0)</f>
        <v>0</v>
      </c>
    </row>
    <row r="66" spans="1:88" x14ac:dyDescent="0.15">
      <c r="A66" s="6">
        <f ca="1">IFERROR(OFFSET(A66,-1,0)+0,0)+MAX(IF(LEN(Calcs[[#This Row],[Line]])&gt;0,1,0),Calcs[[#This Row],[DL]],Calcs[[#This Row],[RL]])</f>
        <v>10</v>
      </c>
      <c r="B66" s="94" t="str">
        <f ca="1">IFERROR(INDEX(OFFSET(Items[Line],0,0,ROW(Proposed[])-ROW(Items[])+ROWS(Proposed[]),1),MATCH(ROW(B66)-ROW(B$3),INDIRECT(RangeCount),0)),"")</f>
        <v/>
      </c>
      <c r="C66" s="94" t="str">
        <f ca="1">IF(LEN(Calcs[[#This Row],[Line]])&gt;0,TRIM(IFERROR(INDEX(Items[Description],MATCH(Calcs[[#This Row],[Line]],Items[Line],0))&amp;INDEX(Items[Description2],MATCH(Calcs[[#This Row],[Line]],Items[Line],0)),INDEX(Proposed[Description],MATCH(Calcs[[#This Row],[Line]],Proposed[Line],0)))),"")</f>
        <v/>
      </c>
      <c r="D66" s="96">
        <f t="shared" ca="1" si="22"/>
        <v>0</v>
      </c>
      <c r="E66" s="97">
        <f t="shared" ca="1" si="22"/>
        <v>0</v>
      </c>
      <c r="F66" s="97">
        <f t="shared" ca="1" si="22"/>
        <v>0</v>
      </c>
      <c r="G66" s="97">
        <f t="shared" ca="1" si="22"/>
        <v>0</v>
      </c>
      <c r="H66" s="97">
        <f t="shared" ca="1" si="22"/>
        <v>0</v>
      </c>
      <c r="I66" s="97">
        <f t="shared" ca="1" si="22"/>
        <v>0</v>
      </c>
      <c r="J66" s="97">
        <f t="shared" ca="1" si="22"/>
        <v>0</v>
      </c>
      <c r="K66" s="97">
        <f t="shared" ca="1" si="22"/>
        <v>0</v>
      </c>
      <c r="L66" s="97">
        <f t="shared" ca="1" si="22"/>
        <v>0</v>
      </c>
      <c r="M66" s="97">
        <f t="shared" ca="1" si="22"/>
        <v>0</v>
      </c>
      <c r="N66" s="97">
        <f t="shared" ca="1" si="22"/>
        <v>0</v>
      </c>
      <c r="O66" s="97">
        <f t="shared" ca="1" si="22"/>
        <v>0</v>
      </c>
      <c r="P66" s="97">
        <f t="shared" ca="1" si="22"/>
        <v>0</v>
      </c>
      <c r="Q66" s="97">
        <f t="shared" ca="1" si="22"/>
        <v>0</v>
      </c>
      <c r="R66" s="97">
        <f t="shared" ca="1" si="22"/>
        <v>0</v>
      </c>
      <c r="S66" s="97">
        <f t="shared" ca="1" si="22"/>
        <v>0</v>
      </c>
      <c r="T66" s="97">
        <f t="shared" ca="1" si="20"/>
        <v>0</v>
      </c>
      <c r="U66" s="97">
        <f t="shared" ca="1" si="20"/>
        <v>0</v>
      </c>
      <c r="V66" s="97">
        <f t="shared" ca="1" si="20"/>
        <v>0</v>
      </c>
      <c r="W66" s="97">
        <f t="shared" ca="1" si="20"/>
        <v>0</v>
      </c>
      <c r="X66" s="97">
        <f t="shared" ca="1" si="23"/>
        <v>0</v>
      </c>
      <c r="Y66" s="97">
        <f t="shared" ca="1" si="23"/>
        <v>0</v>
      </c>
      <c r="Z66" s="97">
        <f t="shared" ca="1" si="23"/>
        <v>0</v>
      </c>
      <c r="AA66" s="97">
        <f t="shared" ca="1" si="23"/>
        <v>0</v>
      </c>
      <c r="AB66" s="97">
        <f t="shared" ca="1" si="23"/>
        <v>0</v>
      </c>
      <c r="AC66" s="97">
        <f t="shared" ca="1" si="23"/>
        <v>0</v>
      </c>
      <c r="AD66" s="97">
        <f t="shared" ca="1" si="23"/>
        <v>0</v>
      </c>
      <c r="AE66" s="97">
        <f t="shared" ca="1" si="23"/>
        <v>0</v>
      </c>
      <c r="AF66" s="97">
        <f t="shared" ca="1" si="23"/>
        <v>0</v>
      </c>
      <c r="AG66" s="97">
        <f t="shared" ca="1" si="23"/>
        <v>0</v>
      </c>
      <c r="AH66" s="97">
        <f t="shared" ca="1" si="23"/>
        <v>0</v>
      </c>
      <c r="AI66" s="97">
        <f t="shared" ca="1" si="23"/>
        <v>0</v>
      </c>
      <c r="AJ66" s="98">
        <f t="shared" ca="1" si="13"/>
        <v>0</v>
      </c>
      <c r="AK66" s="97">
        <f t="shared" ca="1" si="13"/>
        <v>0</v>
      </c>
      <c r="AL66" s="97">
        <f t="shared" ca="1" si="13"/>
        <v>0</v>
      </c>
      <c r="AM66" s="97">
        <f t="shared" ca="1" si="13"/>
        <v>0</v>
      </c>
      <c r="AN66" s="97">
        <f t="shared" ca="1" si="13"/>
        <v>0</v>
      </c>
      <c r="AO66" s="97">
        <f t="shared" ca="1" si="13"/>
        <v>0</v>
      </c>
      <c r="AP66" s="97">
        <f t="shared" ca="1" si="13"/>
        <v>0</v>
      </c>
      <c r="AQ66" s="97">
        <f t="shared" ref="AJ66:AQ91" ca="1" si="26">HLOOKUP(IF(COLUMN(AQ66)-COLUMN($AJ$3)=0,0,OFFSET(AQ66,0,-1))+widthPayItem,$D66:$AI66,1)</f>
        <v>0</v>
      </c>
      <c r="AR66" s="99">
        <f ca="1">COUNTIF(AJ66:AQ66,"&lt;"&amp;MAX(AJ66:AQ66))+IF(Calcs[[#This Row],[DL1]]=0,0,1)</f>
        <v>0</v>
      </c>
      <c r="AS66" s="100" t="str">
        <f ca="1">IF(LEN(Calcs[[#This Row],[Line]])&gt;0,IF(RIGHT(Calcs[[#This Row],[Remark]],3)=".  ",LEFT(Calcs[[#This Row],[Remark]],LEN(Calcs[[#This Row],[Remark]])-3),Calcs[[#This Row],[Remark]]),"")</f>
        <v/>
      </c>
      <c r="AT66" s="96">
        <f t="shared" ca="1" si="24"/>
        <v>0</v>
      </c>
      <c r="AU66" s="102">
        <f t="shared" ca="1" si="24"/>
        <v>0</v>
      </c>
      <c r="AV66" s="102">
        <f t="shared" ca="1" si="24"/>
        <v>0</v>
      </c>
      <c r="AW66" s="102">
        <f t="shared" ca="1" si="24"/>
        <v>0</v>
      </c>
      <c r="AX66" s="102">
        <f t="shared" ca="1" si="24"/>
        <v>0</v>
      </c>
      <c r="AY66" s="102">
        <f t="shared" ca="1" si="24"/>
        <v>0</v>
      </c>
      <c r="AZ66" s="102">
        <f t="shared" ca="1" si="24"/>
        <v>0</v>
      </c>
      <c r="BA66" s="102">
        <f t="shared" ca="1" si="24"/>
        <v>0</v>
      </c>
      <c r="BB66" s="102">
        <f t="shared" ca="1" si="24"/>
        <v>0</v>
      </c>
      <c r="BC66" s="102">
        <f t="shared" ca="1" si="24"/>
        <v>0</v>
      </c>
      <c r="BD66" s="102">
        <f t="shared" ca="1" si="24"/>
        <v>0</v>
      </c>
      <c r="BE66" s="102">
        <f t="shared" ca="1" si="24"/>
        <v>0</v>
      </c>
      <c r="BF66" s="102">
        <f t="shared" ca="1" si="24"/>
        <v>0</v>
      </c>
      <c r="BG66" s="102">
        <f t="shared" ca="1" si="24"/>
        <v>0</v>
      </c>
      <c r="BH66" s="102">
        <f t="shared" ca="1" si="24"/>
        <v>0</v>
      </c>
      <c r="BI66" s="102">
        <f t="shared" ca="1" si="24"/>
        <v>0</v>
      </c>
      <c r="BJ66" s="102">
        <f t="shared" ca="1" si="21"/>
        <v>0</v>
      </c>
      <c r="BK66" s="102">
        <f t="shared" ca="1" si="21"/>
        <v>0</v>
      </c>
      <c r="BL66" s="102">
        <f t="shared" ca="1" si="21"/>
        <v>0</v>
      </c>
      <c r="BM66" s="102">
        <f t="shared" ca="1" si="21"/>
        <v>0</v>
      </c>
      <c r="BN66" s="102">
        <f t="shared" ca="1" si="25"/>
        <v>0</v>
      </c>
      <c r="BO66" s="102">
        <f t="shared" ca="1" si="25"/>
        <v>0</v>
      </c>
      <c r="BP66" s="102">
        <f t="shared" ca="1" si="25"/>
        <v>0</v>
      </c>
      <c r="BQ66" s="102">
        <f t="shared" ca="1" si="25"/>
        <v>0</v>
      </c>
      <c r="BR66" s="102">
        <f t="shared" ca="1" si="25"/>
        <v>0</v>
      </c>
      <c r="BS66" s="102">
        <f t="shared" ca="1" si="25"/>
        <v>0</v>
      </c>
      <c r="BT66" s="102">
        <f t="shared" ca="1" si="25"/>
        <v>0</v>
      </c>
      <c r="BU66" s="102">
        <f t="shared" ca="1" si="25"/>
        <v>0</v>
      </c>
      <c r="BV66" s="102">
        <f t="shared" ca="1" si="25"/>
        <v>0</v>
      </c>
      <c r="BW66" s="102">
        <f t="shared" ca="1" si="25"/>
        <v>0</v>
      </c>
      <c r="BX66" s="102">
        <f t="shared" ca="1" si="25"/>
        <v>0</v>
      </c>
      <c r="BY66" s="102">
        <f t="shared" ca="1" si="25"/>
        <v>0</v>
      </c>
      <c r="BZ66" s="98">
        <f t="shared" ca="1" si="15"/>
        <v>0</v>
      </c>
      <c r="CA66" s="102">
        <f t="shared" ca="1" si="15"/>
        <v>0</v>
      </c>
      <c r="CB66" s="102">
        <f t="shared" ca="1" si="15"/>
        <v>0</v>
      </c>
      <c r="CC66" s="102">
        <f t="shared" ca="1" si="15"/>
        <v>0</v>
      </c>
      <c r="CD66" s="102">
        <f t="shared" ca="1" si="15"/>
        <v>0</v>
      </c>
      <c r="CE66" s="102">
        <f t="shared" ca="1" si="15"/>
        <v>0</v>
      </c>
      <c r="CF66" s="102">
        <f t="shared" ca="1" si="15"/>
        <v>0</v>
      </c>
      <c r="CG66" s="102">
        <f t="shared" ref="BZ66:CG91" ca="1" si="27">HLOOKUP(IF(COLUMN(CG66)-COLUMN($BZ$3)=0,0,OFFSET(CG66,0,-1))+widthRemarks,$AT66:$BY66,1)</f>
        <v>0</v>
      </c>
      <c r="CH66" s="101">
        <f ca="1">COUNTIF(BZ66:CG66,"&lt;"&amp;MAX(BZ66:CG66))+IF(Calcs[[#This Row],[RL1]]=0,0,1)</f>
        <v>0</v>
      </c>
      <c r="CI6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6" s="103">
        <f ca="1">IFERROR(OFFSET(CJ66,-1,0)+0,0)+IF(INDEX(INDIRECT(RangeContrQty),MATCH(Calcs[[#This Row],[Line]],OFFSET(Items[Line],0,0,ROW(Proposed[])-ROW(Items[])+ROWS(Proposed[]),1),0)),1,0)</f>
        <v>0</v>
      </c>
    </row>
    <row r="67" spans="1:88" x14ac:dyDescent="0.15">
      <c r="A67" s="6">
        <f ca="1">IFERROR(OFFSET(A67,-1,0)+0,0)+MAX(IF(LEN(Calcs[[#This Row],[Line]])&gt;0,1,0),Calcs[[#This Row],[DL]],Calcs[[#This Row],[RL]])</f>
        <v>10</v>
      </c>
      <c r="B67" s="94" t="str">
        <f ca="1">IFERROR(INDEX(OFFSET(Items[Line],0,0,ROW(Proposed[])-ROW(Items[])+ROWS(Proposed[]),1),MATCH(ROW(B67)-ROW(B$3),INDIRECT(RangeCount),0)),"")</f>
        <v/>
      </c>
      <c r="C67" s="94" t="str">
        <f ca="1">IF(LEN(Calcs[[#This Row],[Line]])&gt;0,TRIM(IFERROR(INDEX(Items[Description],MATCH(Calcs[[#This Row],[Line]],Items[Line],0))&amp;INDEX(Items[Description2],MATCH(Calcs[[#This Row],[Line]],Items[Line],0)),INDEX(Proposed[Description],MATCH(Calcs[[#This Row],[Line]],Proposed[Line],0)))),"")</f>
        <v/>
      </c>
      <c r="D67" s="96">
        <f t="shared" ca="1" si="22"/>
        <v>0</v>
      </c>
      <c r="E67" s="97">
        <f t="shared" ca="1" si="22"/>
        <v>0</v>
      </c>
      <c r="F67" s="97">
        <f t="shared" ca="1" si="22"/>
        <v>0</v>
      </c>
      <c r="G67" s="97">
        <f t="shared" ca="1" si="22"/>
        <v>0</v>
      </c>
      <c r="H67" s="97">
        <f t="shared" ca="1" si="22"/>
        <v>0</v>
      </c>
      <c r="I67" s="97">
        <f t="shared" ca="1" si="22"/>
        <v>0</v>
      </c>
      <c r="J67" s="97">
        <f t="shared" ca="1" si="22"/>
        <v>0</v>
      </c>
      <c r="K67" s="97">
        <f t="shared" ca="1" si="22"/>
        <v>0</v>
      </c>
      <c r="L67" s="97">
        <f t="shared" ca="1" si="22"/>
        <v>0</v>
      </c>
      <c r="M67" s="97">
        <f t="shared" ca="1" si="22"/>
        <v>0</v>
      </c>
      <c r="N67" s="97">
        <f t="shared" ca="1" si="22"/>
        <v>0</v>
      </c>
      <c r="O67" s="97">
        <f t="shared" ca="1" si="22"/>
        <v>0</v>
      </c>
      <c r="P67" s="97">
        <f t="shared" ca="1" si="22"/>
        <v>0</v>
      </c>
      <c r="Q67" s="97">
        <f t="shared" ca="1" si="22"/>
        <v>0</v>
      </c>
      <c r="R67" s="97">
        <f t="shared" ca="1" si="22"/>
        <v>0</v>
      </c>
      <c r="S67" s="97">
        <f t="shared" ref="S67:AH90" ca="1" si="28">IFERROR(FIND(" ",$C67,IFERROR(OFFSET(S67,0,-1)+1,1)),LEN($C67))</f>
        <v>0</v>
      </c>
      <c r="T67" s="97">
        <f t="shared" ca="1" si="28"/>
        <v>0</v>
      </c>
      <c r="U67" s="97">
        <f t="shared" ca="1" si="28"/>
        <v>0</v>
      </c>
      <c r="V67" s="97">
        <f t="shared" ca="1" si="28"/>
        <v>0</v>
      </c>
      <c r="W67" s="97">
        <f t="shared" ca="1" si="28"/>
        <v>0</v>
      </c>
      <c r="X67" s="97">
        <f t="shared" ca="1" si="23"/>
        <v>0</v>
      </c>
      <c r="Y67" s="97">
        <f t="shared" ca="1" si="23"/>
        <v>0</v>
      </c>
      <c r="Z67" s="97">
        <f t="shared" ca="1" si="23"/>
        <v>0</v>
      </c>
      <c r="AA67" s="97">
        <f t="shared" ca="1" si="23"/>
        <v>0</v>
      </c>
      <c r="AB67" s="97">
        <f t="shared" ca="1" si="23"/>
        <v>0</v>
      </c>
      <c r="AC67" s="97">
        <f t="shared" ca="1" si="23"/>
        <v>0</v>
      </c>
      <c r="AD67" s="97">
        <f t="shared" ca="1" si="23"/>
        <v>0</v>
      </c>
      <c r="AE67" s="97">
        <f t="shared" ca="1" si="23"/>
        <v>0</v>
      </c>
      <c r="AF67" s="97">
        <f t="shared" ca="1" si="23"/>
        <v>0</v>
      </c>
      <c r="AG67" s="97">
        <f t="shared" ca="1" si="23"/>
        <v>0</v>
      </c>
      <c r="AH67" s="97">
        <f t="shared" ca="1" si="23"/>
        <v>0</v>
      </c>
      <c r="AI67" s="97">
        <f t="shared" ca="1" si="23"/>
        <v>0</v>
      </c>
      <c r="AJ67" s="98">
        <f t="shared" ca="1" si="26"/>
        <v>0</v>
      </c>
      <c r="AK67" s="97">
        <f t="shared" ca="1" si="26"/>
        <v>0</v>
      </c>
      <c r="AL67" s="97">
        <f t="shared" ca="1" si="26"/>
        <v>0</v>
      </c>
      <c r="AM67" s="97">
        <f t="shared" ca="1" si="26"/>
        <v>0</v>
      </c>
      <c r="AN67" s="97">
        <f t="shared" ca="1" si="26"/>
        <v>0</v>
      </c>
      <c r="AO67" s="97">
        <f t="shared" ca="1" si="26"/>
        <v>0</v>
      </c>
      <c r="AP67" s="97">
        <f t="shared" ca="1" si="26"/>
        <v>0</v>
      </c>
      <c r="AQ67" s="97">
        <f t="shared" ca="1" si="26"/>
        <v>0</v>
      </c>
      <c r="AR67" s="99">
        <f ca="1">COUNTIF(AJ67:AQ67,"&lt;"&amp;MAX(AJ67:AQ67))+IF(Calcs[[#This Row],[DL1]]=0,0,1)</f>
        <v>0</v>
      </c>
      <c r="AS67" s="100" t="str">
        <f ca="1">IF(LEN(Calcs[[#This Row],[Line]])&gt;0,IF(RIGHT(Calcs[[#This Row],[Remark]],3)=".  ",LEFT(Calcs[[#This Row],[Remark]],LEN(Calcs[[#This Row],[Remark]])-3),Calcs[[#This Row],[Remark]]),"")</f>
        <v/>
      </c>
      <c r="AT67" s="96">
        <f t="shared" ca="1" si="24"/>
        <v>0</v>
      </c>
      <c r="AU67" s="102">
        <f t="shared" ca="1" si="24"/>
        <v>0</v>
      </c>
      <c r="AV67" s="102">
        <f t="shared" ca="1" si="24"/>
        <v>0</v>
      </c>
      <c r="AW67" s="102">
        <f t="shared" ca="1" si="24"/>
        <v>0</v>
      </c>
      <c r="AX67" s="102">
        <f t="shared" ca="1" si="24"/>
        <v>0</v>
      </c>
      <c r="AY67" s="102">
        <f t="shared" ca="1" si="24"/>
        <v>0</v>
      </c>
      <c r="AZ67" s="102">
        <f t="shared" ca="1" si="24"/>
        <v>0</v>
      </c>
      <c r="BA67" s="102">
        <f t="shared" ca="1" si="24"/>
        <v>0</v>
      </c>
      <c r="BB67" s="102">
        <f t="shared" ca="1" si="24"/>
        <v>0</v>
      </c>
      <c r="BC67" s="102">
        <f t="shared" ca="1" si="24"/>
        <v>0</v>
      </c>
      <c r="BD67" s="102">
        <f t="shared" ca="1" si="24"/>
        <v>0</v>
      </c>
      <c r="BE67" s="102">
        <f t="shared" ca="1" si="24"/>
        <v>0</v>
      </c>
      <c r="BF67" s="102">
        <f t="shared" ca="1" si="24"/>
        <v>0</v>
      </c>
      <c r="BG67" s="102">
        <f t="shared" ca="1" si="24"/>
        <v>0</v>
      </c>
      <c r="BH67" s="102">
        <f t="shared" ca="1" si="24"/>
        <v>0</v>
      </c>
      <c r="BI67" s="102">
        <f t="shared" ref="BI67:BX90" ca="1" si="29">IFERROR(FIND(" ",$AS67,IFERROR(OFFSET(BI67,0,-1)+1,1)),LEN($AS67))</f>
        <v>0</v>
      </c>
      <c r="BJ67" s="102">
        <f t="shared" ca="1" si="29"/>
        <v>0</v>
      </c>
      <c r="BK67" s="102">
        <f t="shared" ca="1" si="29"/>
        <v>0</v>
      </c>
      <c r="BL67" s="102">
        <f t="shared" ca="1" si="29"/>
        <v>0</v>
      </c>
      <c r="BM67" s="102">
        <f t="shared" ca="1" si="29"/>
        <v>0</v>
      </c>
      <c r="BN67" s="102">
        <f t="shared" ca="1" si="25"/>
        <v>0</v>
      </c>
      <c r="BO67" s="102">
        <f t="shared" ca="1" si="25"/>
        <v>0</v>
      </c>
      <c r="BP67" s="102">
        <f t="shared" ca="1" si="25"/>
        <v>0</v>
      </c>
      <c r="BQ67" s="102">
        <f t="shared" ca="1" si="25"/>
        <v>0</v>
      </c>
      <c r="BR67" s="102">
        <f t="shared" ca="1" si="25"/>
        <v>0</v>
      </c>
      <c r="BS67" s="102">
        <f t="shared" ca="1" si="25"/>
        <v>0</v>
      </c>
      <c r="BT67" s="102">
        <f t="shared" ca="1" si="25"/>
        <v>0</v>
      </c>
      <c r="BU67" s="102">
        <f t="shared" ca="1" si="25"/>
        <v>0</v>
      </c>
      <c r="BV67" s="102">
        <f t="shared" ca="1" si="25"/>
        <v>0</v>
      </c>
      <c r="BW67" s="102">
        <f t="shared" ca="1" si="25"/>
        <v>0</v>
      </c>
      <c r="BX67" s="102">
        <f t="shared" ca="1" si="25"/>
        <v>0</v>
      </c>
      <c r="BY67" s="102">
        <f t="shared" ca="1" si="25"/>
        <v>0</v>
      </c>
      <c r="BZ67" s="98">
        <f t="shared" ca="1" si="27"/>
        <v>0</v>
      </c>
      <c r="CA67" s="102">
        <f t="shared" ca="1" si="27"/>
        <v>0</v>
      </c>
      <c r="CB67" s="102">
        <f t="shared" ca="1" si="27"/>
        <v>0</v>
      </c>
      <c r="CC67" s="102">
        <f t="shared" ca="1" si="27"/>
        <v>0</v>
      </c>
      <c r="CD67" s="102">
        <f t="shared" ca="1" si="27"/>
        <v>0</v>
      </c>
      <c r="CE67" s="102">
        <f t="shared" ca="1" si="27"/>
        <v>0</v>
      </c>
      <c r="CF67" s="102">
        <f t="shared" ca="1" si="27"/>
        <v>0</v>
      </c>
      <c r="CG67" s="102">
        <f t="shared" ca="1" si="27"/>
        <v>0</v>
      </c>
      <c r="CH67" s="101">
        <f ca="1">COUNTIF(BZ67:CG67,"&lt;"&amp;MAX(BZ67:CG67))+IF(Calcs[[#This Row],[RL1]]=0,0,1)</f>
        <v>0</v>
      </c>
      <c r="CI6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7" s="103">
        <f ca="1">IFERROR(OFFSET(CJ67,-1,0)+0,0)+IF(INDEX(INDIRECT(RangeContrQty),MATCH(Calcs[[#This Row],[Line]],OFFSET(Items[Line],0,0,ROW(Proposed[])-ROW(Items[])+ROWS(Proposed[]),1),0)),1,0)</f>
        <v>0</v>
      </c>
    </row>
    <row r="68" spans="1:88" x14ac:dyDescent="0.15">
      <c r="A68" s="6">
        <f ca="1">IFERROR(OFFSET(A68,-1,0)+0,0)+MAX(IF(LEN(Calcs[[#This Row],[Line]])&gt;0,1,0),Calcs[[#This Row],[DL]],Calcs[[#This Row],[RL]])</f>
        <v>10</v>
      </c>
      <c r="B68" s="94" t="str">
        <f ca="1">IFERROR(INDEX(OFFSET(Items[Line],0,0,ROW(Proposed[])-ROW(Items[])+ROWS(Proposed[]),1),MATCH(ROW(B68)-ROW(B$3),INDIRECT(RangeCount),0)),"")</f>
        <v/>
      </c>
      <c r="C68" s="94" t="str">
        <f ca="1">IF(LEN(Calcs[[#This Row],[Line]])&gt;0,TRIM(IFERROR(INDEX(Items[Description],MATCH(Calcs[[#This Row],[Line]],Items[Line],0))&amp;INDEX(Items[Description2],MATCH(Calcs[[#This Row],[Line]],Items[Line],0)),INDEX(Proposed[Description],MATCH(Calcs[[#This Row],[Line]],Proposed[Line],0)))),"")</f>
        <v/>
      </c>
      <c r="D68" s="96">
        <f t="shared" ref="D68:S83" ca="1" si="30">IFERROR(FIND(" ",$C68,IFERROR(OFFSET(D68,0,-1)+1,1)),LEN($C68))</f>
        <v>0</v>
      </c>
      <c r="E68" s="97">
        <f t="shared" ca="1" si="30"/>
        <v>0</v>
      </c>
      <c r="F68" s="97">
        <f t="shared" ca="1" si="30"/>
        <v>0</v>
      </c>
      <c r="G68" s="97">
        <f t="shared" ca="1" si="30"/>
        <v>0</v>
      </c>
      <c r="H68" s="97">
        <f t="shared" ca="1" si="30"/>
        <v>0</v>
      </c>
      <c r="I68" s="97">
        <f t="shared" ca="1" si="30"/>
        <v>0</v>
      </c>
      <c r="J68" s="97">
        <f t="shared" ca="1" si="30"/>
        <v>0</v>
      </c>
      <c r="K68" s="97">
        <f t="shared" ca="1" si="30"/>
        <v>0</v>
      </c>
      <c r="L68" s="97">
        <f t="shared" ca="1" si="30"/>
        <v>0</v>
      </c>
      <c r="M68" s="97">
        <f t="shared" ca="1" si="30"/>
        <v>0</v>
      </c>
      <c r="N68" s="97">
        <f t="shared" ca="1" si="30"/>
        <v>0</v>
      </c>
      <c r="O68" s="97">
        <f t="shared" ca="1" si="30"/>
        <v>0</v>
      </c>
      <c r="P68" s="97">
        <f t="shared" ca="1" si="30"/>
        <v>0</v>
      </c>
      <c r="Q68" s="97">
        <f t="shared" ca="1" si="30"/>
        <v>0</v>
      </c>
      <c r="R68" s="97">
        <f t="shared" ca="1" si="30"/>
        <v>0</v>
      </c>
      <c r="S68" s="97">
        <f t="shared" ca="1" si="30"/>
        <v>0</v>
      </c>
      <c r="T68" s="97">
        <f t="shared" ca="1" si="28"/>
        <v>0</v>
      </c>
      <c r="U68" s="97">
        <f t="shared" ca="1" si="28"/>
        <v>0</v>
      </c>
      <c r="V68" s="97">
        <f t="shared" ca="1" si="28"/>
        <v>0</v>
      </c>
      <c r="W68" s="97">
        <f t="shared" ca="1" si="28"/>
        <v>0</v>
      </c>
      <c r="X68" s="97">
        <f t="shared" ca="1" si="28"/>
        <v>0</v>
      </c>
      <c r="Y68" s="97">
        <f t="shared" ca="1" si="28"/>
        <v>0</v>
      </c>
      <c r="Z68" s="97">
        <f t="shared" ca="1" si="28"/>
        <v>0</v>
      </c>
      <c r="AA68" s="97">
        <f t="shared" ca="1" si="28"/>
        <v>0</v>
      </c>
      <c r="AB68" s="97">
        <f t="shared" ca="1" si="28"/>
        <v>0</v>
      </c>
      <c r="AC68" s="97">
        <f t="shared" ca="1" si="28"/>
        <v>0</v>
      </c>
      <c r="AD68" s="97">
        <f t="shared" ca="1" si="23"/>
        <v>0</v>
      </c>
      <c r="AE68" s="97">
        <f t="shared" ca="1" si="23"/>
        <v>0</v>
      </c>
      <c r="AF68" s="97">
        <f t="shared" ca="1" si="23"/>
        <v>0</v>
      </c>
      <c r="AG68" s="97">
        <f t="shared" ca="1" si="23"/>
        <v>0</v>
      </c>
      <c r="AH68" s="97">
        <f t="shared" ca="1" si="23"/>
        <v>0</v>
      </c>
      <c r="AI68" s="97">
        <f t="shared" ca="1" si="23"/>
        <v>0</v>
      </c>
      <c r="AJ68" s="98">
        <f t="shared" ca="1" si="26"/>
        <v>0</v>
      </c>
      <c r="AK68" s="97">
        <f t="shared" ca="1" si="26"/>
        <v>0</v>
      </c>
      <c r="AL68" s="97">
        <f t="shared" ca="1" si="26"/>
        <v>0</v>
      </c>
      <c r="AM68" s="97">
        <f t="shared" ca="1" si="26"/>
        <v>0</v>
      </c>
      <c r="AN68" s="97">
        <f t="shared" ca="1" si="26"/>
        <v>0</v>
      </c>
      <c r="AO68" s="97">
        <f t="shared" ca="1" si="26"/>
        <v>0</v>
      </c>
      <c r="AP68" s="97">
        <f t="shared" ca="1" si="26"/>
        <v>0</v>
      </c>
      <c r="AQ68" s="97">
        <f t="shared" ca="1" si="26"/>
        <v>0</v>
      </c>
      <c r="AR68" s="99">
        <f ca="1">COUNTIF(AJ68:AQ68,"&lt;"&amp;MAX(AJ68:AQ68))+IF(Calcs[[#This Row],[DL1]]=0,0,1)</f>
        <v>0</v>
      </c>
      <c r="AS68" s="100" t="str">
        <f ca="1">IF(LEN(Calcs[[#This Row],[Line]])&gt;0,IF(RIGHT(Calcs[[#This Row],[Remark]],3)=".  ",LEFT(Calcs[[#This Row],[Remark]],LEN(Calcs[[#This Row],[Remark]])-3),Calcs[[#This Row],[Remark]]),"")</f>
        <v/>
      </c>
      <c r="AT68" s="96">
        <f t="shared" ref="AT68:BI83" ca="1" si="31">IFERROR(FIND(" ",$AS68,IFERROR(OFFSET(AT68,0,-1)+1,1)),LEN($AS68))</f>
        <v>0</v>
      </c>
      <c r="AU68" s="102">
        <f t="shared" ca="1" si="31"/>
        <v>0</v>
      </c>
      <c r="AV68" s="102">
        <f t="shared" ca="1" si="31"/>
        <v>0</v>
      </c>
      <c r="AW68" s="102">
        <f t="shared" ca="1" si="31"/>
        <v>0</v>
      </c>
      <c r="AX68" s="102">
        <f t="shared" ca="1" si="31"/>
        <v>0</v>
      </c>
      <c r="AY68" s="102">
        <f t="shared" ca="1" si="31"/>
        <v>0</v>
      </c>
      <c r="AZ68" s="102">
        <f t="shared" ca="1" si="31"/>
        <v>0</v>
      </c>
      <c r="BA68" s="102">
        <f t="shared" ca="1" si="31"/>
        <v>0</v>
      </c>
      <c r="BB68" s="102">
        <f t="shared" ca="1" si="31"/>
        <v>0</v>
      </c>
      <c r="BC68" s="102">
        <f t="shared" ca="1" si="31"/>
        <v>0</v>
      </c>
      <c r="BD68" s="102">
        <f t="shared" ca="1" si="31"/>
        <v>0</v>
      </c>
      <c r="BE68" s="102">
        <f t="shared" ca="1" si="31"/>
        <v>0</v>
      </c>
      <c r="BF68" s="102">
        <f t="shared" ca="1" si="31"/>
        <v>0</v>
      </c>
      <c r="BG68" s="102">
        <f t="shared" ca="1" si="31"/>
        <v>0</v>
      </c>
      <c r="BH68" s="102">
        <f t="shared" ca="1" si="31"/>
        <v>0</v>
      </c>
      <c r="BI68" s="102">
        <f t="shared" ca="1" si="31"/>
        <v>0</v>
      </c>
      <c r="BJ68" s="102">
        <f t="shared" ca="1" si="29"/>
        <v>0</v>
      </c>
      <c r="BK68" s="102">
        <f t="shared" ca="1" si="29"/>
        <v>0</v>
      </c>
      <c r="BL68" s="102">
        <f t="shared" ca="1" si="29"/>
        <v>0</v>
      </c>
      <c r="BM68" s="102">
        <f t="shared" ca="1" si="29"/>
        <v>0</v>
      </c>
      <c r="BN68" s="102">
        <f t="shared" ca="1" si="29"/>
        <v>0</v>
      </c>
      <c r="BO68" s="102">
        <f t="shared" ca="1" si="29"/>
        <v>0</v>
      </c>
      <c r="BP68" s="102">
        <f t="shared" ca="1" si="29"/>
        <v>0</v>
      </c>
      <c r="BQ68" s="102">
        <f t="shared" ca="1" si="29"/>
        <v>0</v>
      </c>
      <c r="BR68" s="102">
        <f t="shared" ca="1" si="29"/>
        <v>0</v>
      </c>
      <c r="BS68" s="102">
        <f t="shared" ca="1" si="29"/>
        <v>0</v>
      </c>
      <c r="BT68" s="102">
        <f t="shared" ca="1" si="25"/>
        <v>0</v>
      </c>
      <c r="BU68" s="102">
        <f t="shared" ca="1" si="25"/>
        <v>0</v>
      </c>
      <c r="BV68" s="102">
        <f t="shared" ca="1" si="25"/>
        <v>0</v>
      </c>
      <c r="BW68" s="102">
        <f t="shared" ca="1" si="25"/>
        <v>0</v>
      </c>
      <c r="BX68" s="102">
        <f t="shared" ca="1" si="25"/>
        <v>0</v>
      </c>
      <c r="BY68" s="102">
        <f t="shared" ca="1" si="25"/>
        <v>0</v>
      </c>
      <c r="BZ68" s="98">
        <f t="shared" ca="1" si="27"/>
        <v>0</v>
      </c>
      <c r="CA68" s="102">
        <f t="shared" ca="1" si="27"/>
        <v>0</v>
      </c>
      <c r="CB68" s="102">
        <f t="shared" ca="1" si="27"/>
        <v>0</v>
      </c>
      <c r="CC68" s="102">
        <f t="shared" ca="1" si="27"/>
        <v>0</v>
      </c>
      <c r="CD68" s="102">
        <f t="shared" ca="1" si="27"/>
        <v>0</v>
      </c>
      <c r="CE68" s="102">
        <f t="shared" ca="1" si="27"/>
        <v>0</v>
      </c>
      <c r="CF68" s="102">
        <f t="shared" ca="1" si="27"/>
        <v>0</v>
      </c>
      <c r="CG68" s="102">
        <f t="shared" ca="1" si="27"/>
        <v>0</v>
      </c>
      <c r="CH68" s="101">
        <f ca="1">COUNTIF(BZ68:CG68,"&lt;"&amp;MAX(BZ68:CG68))+IF(Calcs[[#This Row],[RL1]]=0,0,1)</f>
        <v>0</v>
      </c>
      <c r="CI6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8" s="103">
        <f ca="1">IFERROR(OFFSET(CJ68,-1,0)+0,0)+IF(INDEX(INDIRECT(RangeContrQty),MATCH(Calcs[[#This Row],[Line]],OFFSET(Items[Line],0,0,ROW(Proposed[])-ROW(Items[])+ROWS(Proposed[]),1),0)),1,0)</f>
        <v>0</v>
      </c>
    </row>
    <row r="69" spans="1:88" x14ac:dyDescent="0.15">
      <c r="A69" s="6">
        <f ca="1">IFERROR(OFFSET(A69,-1,0)+0,0)+MAX(IF(LEN(Calcs[[#This Row],[Line]])&gt;0,1,0),Calcs[[#This Row],[DL]],Calcs[[#This Row],[RL]])</f>
        <v>10</v>
      </c>
      <c r="B69" s="94" t="str">
        <f ca="1">IFERROR(INDEX(OFFSET(Items[Line],0,0,ROW(Proposed[])-ROW(Items[])+ROWS(Proposed[]),1),MATCH(ROW(B69)-ROW(B$3),INDIRECT(RangeCount),0)),"")</f>
        <v/>
      </c>
      <c r="C69" s="94" t="str">
        <f ca="1">IF(LEN(Calcs[[#This Row],[Line]])&gt;0,TRIM(IFERROR(INDEX(Items[Description],MATCH(Calcs[[#This Row],[Line]],Items[Line],0))&amp;INDEX(Items[Description2],MATCH(Calcs[[#This Row],[Line]],Items[Line],0)),INDEX(Proposed[Description],MATCH(Calcs[[#This Row],[Line]],Proposed[Line],0)))),"")</f>
        <v/>
      </c>
      <c r="D69" s="96">
        <f t="shared" ca="1" si="30"/>
        <v>0</v>
      </c>
      <c r="E69" s="97">
        <f t="shared" ca="1" si="30"/>
        <v>0</v>
      </c>
      <c r="F69" s="97">
        <f t="shared" ca="1" si="30"/>
        <v>0</v>
      </c>
      <c r="G69" s="97">
        <f t="shared" ca="1" si="30"/>
        <v>0</v>
      </c>
      <c r="H69" s="97">
        <f t="shared" ca="1" si="30"/>
        <v>0</v>
      </c>
      <c r="I69" s="97">
        <f t="shared" ca="1" si="30"/>
        <v>0</v>
      </c>
      <c r="J69" s="97">
        <f t="shared" ca="1" si="30"/>
        <v>0</v>
      </c>
      <c r="K69" s="97">
        <f t="shared" ca="1" si="30"/>
        <v>0</v>
      </c>
      <c r="L69" s="97">
        <f t="shared" ca="1" si="30"/>
        <v>0</v>
      </c>
      <c r="M69" s="97">
        <f t="shared" ca="1" si="30"/>
        <v>0</v>
      </c>
      <c r="N69" s="97">
        <f t="shared" ca="1" si="30"/>
        <v>0</v>
      </c>
      <c r="O69" s="97">
        <f t="shared" ca="1" si="30"/>
        <v>0</v>
      </c>
      <c r="P69" s="97">
        <f t="shared" ca="1" si="30"/>
        <v>0</v>
      </c>
      <c r="Q69" s="97">
        <f t="shared" ca="1" si="30"/>
        <v>0</v>
      </c>
      <c r="R69" s="97">
        <f t="shared" ca="1" si="30"/>
        <v>0</v>
      </c>
      <c r="S69" s="97">
        <f t="shared" ca="1" si="30"/>
        <v>0</v>
      </c>
      <c r="T69" s="97">
        <f t="shared" ca="1" si="28"/>
        <v>0</v>
      </c>
      <c r="U69" s="97">
        <f t="shared" ca="1" si="28"/>
        <v>0</v>
      </c>
      <c r="V69" s="97">
        <f t="shared" ca="1" si="28"/>
        <v>0</v>
      </c>
      <c r="W69" s="97">
        <f t="shared" ca="1" si="28"/>
        <v>0</v>
      </c>
      <c r="X69" s="97">
        <f t="shared" ca="1" si="23"/>
        <v>0</v>
      </c>
      <c r="Y69" s="97">
        <f t="shared" ca="1" si="23"/>
        <v>0</v>
      </c>
      <c r="Z69" s="97">
        <f t="shared" ca="1" si="23"/>
        <v>0</v>
      </c>
      <c r="AA69" s="97">
        <f t="shared" ca="1" si="23"/>
        <v>0</v>
      </c>
      <c r="AB69" s="97">
        <f t="shared" ca="1" si="23"/>
        <v>0</v>
      </c>
      <c r="AC69" s="97">
        <f t="shared" ca="1" si="23"/>
        <v>0</v>
      </c>
      <c r="AD69" s="97">
        <f t="shared" ca="1" si="23"/>
        <v>0</v>
      </c>
      <c r="AE69" s="97">
        <f t="shared" ca="1" si="23"/>
        <v>0</v>
      </c>
      <c r="AF69" s="97">
        <f t="shared" ca="1" si="23"/>
        <v>0</v>
      </c>
      <c r="AG69" s="97">
        <f t="shared" ca="1" si="23"/>
        <v>0</v>
      </c>
      <c r="AH69" s="97">
        <f t="shared" ca="1" si="23"/>
        <v>0</v>
      </c>
      <c r="AI69" s="97">
        <f t="shared" ca="1" si="23"/>
        <v>0</v>
      </c>
      <c r="AJ69" s="98">
        <f t="shared" ca="1" si="26"/>
        <v>0</v>
      </c>
      <c r="AK69" s="97">
        <f t="shared" ca="1" si="26"/>
        <v>0</v>
      </c>
      <c r="AL69" s="97">
        <f t="shared" ca="1" si="26"/>
        <v>0</v>
      </c>
      <c r="AM69" s="97">
        <f t="shared" ca="1" si="26"/>
        <v>0</v>
      </c>
      <c r="AN69" s="97">
        <f t="shared" ca="1" si="26"/>
        <v>0</v>
      </c>
      <c r="AO69" s="97">
        <f t="shared" ca="1" si="26"/>
        <v>0</v>
      </c>
      <c r="AP69" s="97">
        <f t="shared" ca="1" si="26"/>
        <v>0</v>
      </c>
      <c r="AQ69" s="97">
        <f t="shared" ca="1" si="26"/>
        <v>0</v>
      </c>
      <c r="AR69" s="99">
        <f ca="1">COUNTIF(AJ69:AQ69,"&lt;"&amp;MAX(AJ69:AQ69))+IF(Calcs[[#This Row],[DL1]]=0,0,1)</f>
        <v>0</v>
      </c>
      <c r="AS69" s="100" t="str">
        <f ca="1">IF(LEN(Calcs[[#This Row],[Line]])&gt;0,IF(RIGHT(Calcs[[#This Row],[Remark]],3)=".  ",LEFT(Calcs[[#This Row],[Remark]],LEN(Calcs[[#This Row],[Remark]])-3),Calcs[[#This Row],[Remark]]),"")</f>
        <v/>
      </c>
      <c r="AT69" s="96">
        <f t="shared" ca="1" si="31"/>
        <v>0</v>
      </c>
      <c r="AU69" s="102">
        <f t="shared" ca="1" si="31"/>
        <v>0</v>
      </c>
      <c r="AV69" s="102">
        <f t="shared" ca="1" si="31"/>
        <v>0</v>
      </c>
      <c r="AW69" s="102">
        <f t="shared" ca="1" si="31"/>
        <v>0</v>
      </c>
      <c r="AX69" s="102">
        <f t="shared" ca="1" si="31"/>
        <v>0</v>
      </c>
      <c r="AY69" s="102">
        <f t="shared" ca="1" si="31"/>
        <v>0</v>
      </c>
      <c r="AZ69" s="102">
        <f t="shared" ca="1" si="31"/>
        <v>0</v>
      </c>
      <c r="BA69" s="102">
        <f t="shared" ca="1" si="31"/>
        <v>0</v>
      </c>
      <c r="BB69" s="102">
        <f t="shared" ca="1" si="31"/>
        <v>0</v>
      </c>
      <c r="BC69" s="102">
        <f t="shared" ca="1" si="31"/>
        <v>0</v>
      </c>
      <c r="BD69" s="102">
        <f t="shared" ca="1" si="31"/>
        <v>0</v>
      </c>
      <c r="BE69" s="102">
        <f t="shared" ca="1" si="31"/>
        <v>0</v>
      </c>
      <c r="BF69" s="102">
        <f t="shared" ca="1" si="31"/>
        <v>0</v>
      </c>
      <c r="BG69" s="102">
        <f t="shared" ca="1" si="31"/>
        <v>0</v>
      </c>
      <c r="BH69" s="102">
        <f t="shared" ca="1" si="31"/>
        <v>0</v>
      </c>
      <c r="BI69" s="102">
        <f t="shared" ca="1" si="31"/>
        <v>0</v>
      </c>
      <c r="BJ69" s="102">
        <f t="shared" ca="1" si="29"/>
        <v>0</v>
      </c>
      <c r="BK69" s="102">
        <f t="shared" ca="1" si="29"/>
        <v>0</v>
      </c>
      <c r="BL69" s="102">
        <f t="shared" ca="1" si="29"/>
        <v>0</v>
      </c>
      <c r="BM69" s="102">
        <f t="shared" ca="1" si="29"/>
        <v>0</v>
      </c>
      <c r="BN69" s="102">
        <f t="shared" ca="1" si="25"/>
        <v>0</v>
      </c>
      <c r="BO69" s="102">
        <f t="shared" ca="1" si="25"/>
        <v>0</v>
      </c>
      <c r="BP69" s="102">
        <f t="shared" ca="1" si="25"/>
        <v>0</v>
      </c>
      <c r="BQ69" s="102">
        <f t="shared" ca="1" si="25"/>
        <v>0</v>
      </c>
      <c r="BR69" s="102">
        <f t="shared" ca="1" si="25"/>
        <v>0</v>
      </c>
      <c r="BS69" s="102">
        <f t="shared" ca="1" si="25"/>
        <v>0</v>
      </c>
      <c r="BT69" s="102">
        <f t="shared" ca="1" si="25"/>
        <v>0</v>
      </c>
      <c r="BU69" s="102">
        <f t="shared" ca="1" si="25"/>
        <v>0</v>
      </c>
      <c r="BV69" s="102">
        <f t="shared" ca="1" si="25"/>
        <v>0</v>
      </c>
      <c r="BW69" s="102">
        <f t="shared" ca="1" si="25"/>
        <v>0</v>
      </c>
      <c r="BX69" s="102">
        <f t="shared" ca="1" si="25"/>
        <v>0</v>
      </c>
      <c r="BY69" s="102">
        <f t="shared" ca="1" si="25"/>
        <v>0</v>
      </c>
      <c r="BZ69" s="98">
        <f t="shared" ca="1" si="27"/>
        <v>0</v>
      </c>
      <c r="CA69" s="102">
        <f t="shared" ca="1" si="27"/>
        <v>0</v>
      </c>
      <c r="CB69" s="102">
        <f t="shared" ca="1" si="27"/>
        <v>0</v>
      </c>
      <c r="CC69" s="102">
        <f t="shared" ca="1" si="27"/>
        <v>0</v>
      </c>
      <c r="CD69" s="102">
        <f t="shared" ca="1" si="27"/>
        <v>0</v>
      </c>
      <c r="CE69" s="102">
        <f t="shared" ca="1" si="27"/>
        <v>0</v>
      </c>
      <c r="CF69" s="102">
        <f t="shared" ca="1" si="27"/>
        <v>0</v>
      </c>
      <c r="CG69" s="102">
        <f t="shared" ca="1" si="27"/>
        <v>0</v>
      </c>
      <c r="CH69" s="101">
        <f ca="1">COUNTIF(BZ69:CG69,"&lt;"&amp;MAX(BZ69:CG69))+IF(Calcs[[#This Row],[RL1]]=0,0,1)</f>
        <v>0</v>
      </c>
      <c r="CI6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9" s="103">
        <f ca="1">IFERROR(OFFSET(CJ69,-1,0)+0,0)+IF(INDEX(INDIRECT(RangeContrQty),MATCH(Calcs[[#This Row],[Line]],OFFSET(Items[Line],0,0,ROW(Proposed[])-ROW(Items[])+ROWS(Proposed[]),1),0)),1,0)</f>
        <v>0</v>
      </c>
    </row>
    <row r="70" spans="1:88" x14ac:dyDescent="0.15">
      <c r="A70" s="6">
        <f ca="1">IFERROR(OFFSET(A70,-1,0)+0,0)+MAX(IF(LEN(Calcs[[#This Row],[Line]])&gt;0,1,0),Calcs[[#This Row],[DL]],Calcs[[#This Row],[RL]])</f>
        <v>10</v>
      </c>
      <c r="B70" s="94" t="str">
        <f ca="1">IFERROR(INDEX(OFFSET(Items[Line],0,0,ROW(Proposed[])-ROW(Items[])+ROWS(Proposed[]),1),MATCH(ROW(B70)-ROW(B$3),INDIRECT(RangeCount),0)),"")</f>
        <v/>
      </c>
      <c r="C70" s="94" t="str">
        <f ca="1">IF(LEN(Calcs[[#This Row],[Line]])&gt;0,TRIM(IFERROR(INDEX(Items[Description],MATCH(Calcs[[#This Row],[Line]],Items[Line],0))&amp;INDEX(Items[Description2],MATCH(Calcs[[#This Row],[Line]],Items[Line],0)),INDEX(Proposed[Description],MATCH(Calcs[[#This Row],[Line]],Proposed[Line],0)))),"")</f>
        <v/>
      </c>
      <c r="D70" s="96">
        <f t="shared" ca="1" si="30"/>
        <v>0</v>
      </c>
      <c r="E70" s="97">
        <f t="shared" ca="1" si="30"/>
        <v>0</v>
      </c>
      <c r="F70" s="97">
        <f t="shared" ca="1" si="30"/>
        <v>0</v>
      </c>
      <c r="G70" s="97">
        <f t="shared" ca="1" si="30"/>
        <v>0</v>
      </c>
      <c r="H70" s="97">
        <f t="shared" ca="1" si="30"/>
        <v>0</v>
      </c>
      <c r="I70" s="97">
        <f t="shared" ca="1" si="30"/>
        <v>0</v>
      </c>
      <c r="J70" s="97">
        <f t="shared" ca="1" si="30"/>
        <v>0</v>
      </c>
      <c r="K70" s="97">
        <f t="shared" ca="1" si="30"/>
        <v>0</v>
      </c>
      <c r="L70" s="97">
        <f t="shared" ca="1" si="30"/>
        <v>0</v>
      </c>
      <c r="M70" s="97">
        <f t="shared" ca="1" si="30"/>
        <v>0</v>
      </c>
      <c r="N70" s="97">
        <f t="shared" ca="1" si="30"/>
        <v>0</v>
      </c>
      <c r="O70" s="97">
        <f t="shared" ca="1" si="30"/>
        <v>0</v>
      </c>
      <c r="P70" s="97">
        <f t="shared" ca="1" si="30"/>
        <v>0</v>
      </c>
      <c r="Q70" s="97">
        <f t="shared" ca="1" si="30"/>
        <v>0</v>
      </c>
      <c r="R70" s="97">
        <f t="shared" ca="1" si="30"/>
        <v>0</v>
      </c>
      <c r="S70" s="97">
        <f t="shared" ca="1" si="30"/>
        <v>0</v>
      </c>
      <c r="T70" s="97">
        <f t="shared" ca="1" si="28"/>
        <v>0</v>
      </c>
      <c r="U70" s="97">
        <f t="shared" ca="1" si="28"/>
        <v>0</v>
      </c>
      <c r="V70" s="97">
        <f t="shared" ca="1" si="28"/>
        <v>0</v>
      </c>
      <c r="W70" s="97">
        <f t="shared" ca="1" si="28"/>
        <v>0</v>
      </c>
      <c r="X70" s="97">
        <f t="shared" ca="1" si="23"/>
        <v>0</v>
      </c>
      <c r="Y70" s="97">
        <f t="shared" ca="1" si="23"/>
        <v>0</v>
      </c>
      <c r="Z70" s="97">
        <f t="shared" ca="1" si="23"/>
        <v>0</v>
      </c>
      <c r="AA70" s="97">
        <f t="shared" ca="1" si="23"/>
        <v>0</v>
      </c>
      <c r="AB70" s="97">
        <f t="shared" ca="1" si="23"/>
        <v>0</v>
      </c>
      <c r="AC70" s="97">
        <f t="shared" ca="1" si="23"/>
        <v>0</v>
      </c>
      <c r="AD70" s="97">
        <f t="shared" ca="1" si="23"/>
        <v>0</v>
      </c>
      <c r="AE70" s="97">
        <f t="shared" ca="1" si="23"/>
        <v>0</v>
      </c>
      <c r="AF70" s="97">
        <f t="shared" ca="1" si="23"/>
        <v>0</v>
      </c>
      <c r="AG70" s="97">
        <f t="shared" ca="1" si="23"/>
        <v>0</v>
      </c>
      <c r="AH70" s="97">
        <f t="shared" ca="1" si="23"/>
        <v>0</v>
      </c>
      <c r="AI70" s="97">
        <f t="shared" ca="1" si="23"/>
        <v>0</v>
      </c>
      <c r="AJ70" s="98">
        <f t="shared" ca="1" si="26"/>
        <v>0</v>
      </c>
      <c r="AK70" s="97">
        <f t="shared" ca="1" si="26"/>
        <v>0</v>
      </c>
      <c r="AL70" s="97">
        <f t="shared" ca="1" si="26"/>
        <v>0</v>
      </c>
      <c r="AM70" s="97">
        <f t="shared" ca="1" si="26"/>
        <v>0</v>
      </c>
      <c r="AN70" s="97">
        <f t="shared" ca="1" si="26"/>
        <v>0</v>
      </c>
      <c r="AO70" s="97">
        <f t="shared" ca="1" si="26"/>
        <v>0</v>
      </c>
      <c r="AP70" s="97">
        <f t="shared" ca="1" si="26"/>
        <v>0</v>
      </c>
      <c r="AQ70" s="97">
        <f t="shared" ca="1" si="26"/>
        <v>0</v>
      </c>
      <c r="AR70" s="99">
        <f ca="1">COUNTIF(AJ70:AQ70,"&lt;"&amp;MAX(AJ70:AQ70))+IF(Calcs[[#This Row],[DL1]]=0,0,1)</f>
        <v>0</v>
      </c>
      <c r="AS70" s="100" t="str">
        <f ca="1">IF(LEN(Calcs[[#This Row],[Line]])&gt;0,IF(RIGHT(Calcs[[#This Row],[Remark]],3)=".  ",LEFT(Calcs[[#This Row],[Remark]],LEN(Calcs[[#This Row],[Remark]])-3),Calcs[[#This Row],[Remark]]),"")</f>
        <v/>
      </c>
      <c r="AT70" s="96">
        <f t="shared" ca="1" si="31"/>
        <v>0</v>
      </c>
      <c r="AU70" s="102">
        <f t="shared" ca="1" si="31"/>
        <v>0</v>
      </c>
      <c r="AV70" s="102">
        <f t="shared" ca="1" si="31"/>
        <v>0</v>
      </c>
      <c r="AW70" s="102">
        <f t="shared" ca="1" si="31"/>
        <v>0</v>
      </c>
      <c r="AX70" s="102">
        <f t="shared" ca="1" si="31"/>
        <v>0</v>
      </c>
      <c r="AY70" s="102">
        <f t="shared" ca="1" si="31"/>
        <v>0</v>
      </c>
      <c r="AZ70" s="102">
        <f t="shared" ca="1" si="31"/>
        <v>0</v>
      </c>
      <c r="BA70" s="102">
        <f t="shared" ca="1" si="31"/>
        <v>0</v>
      </c>
      <c r="BB70" s="102">
        <f t="shared" ca="1" si="31"/>
        <v>0</v>
      </c>
      <c r="BC70" s="102">
        <f t="shared" ca="1" si="31"/>
        <v>0</v>
      </c>
      <c r="BD70" s="102">
        <f t="shared" ca="1" si="31"/>
        <v>0</v>
      </c>
      <c r="BE70" s="102">
        <f t="shared" ca="1" si="31"/>
        <v>0</v>
      </c>
      <c r="BF70" s="102">
        <f t="shared" ca="1" si="31"/>
        <v>0</v>
      </c>
      <c r="BG70" s="102">
        <f t="shared" ca="1" si="31"/>
        <v>0</v>
      </c>
      <c r="BH70" s="102">
        <f t="shared" ca="1" si="31"/>
        <v>0</v>
      </c>
      <c r="BI70" s="102">
        <f t="shared" ca="1" si="31"/>
        <v>0</v>
      </c>
      <c r="BJ70" s="102">
        <f t="shared" ca="1" si="29"/>
        <v>0</v>
      </c>
      <c r="BK70" s="102">
        <f t="shared" ca="1" si="29"/>
        <v>0</v>
      </c>
      <c r="BL70" s="102">
        <f t="shared" ca="1" si="29"/>
        <v>0</v>
      </c>
      <c r="BM70" s="102">
        <f t="shared" ca="1" si="29"/>
        <v>0</v>
      </c>
      <c r="BN70" s="102">
        <f t="shared" ca="1" si="25"/>
        <v>0</v>
      </c>
      <c r="BO70" s="102">
        <f t="shared" ca="1" si="25"/>
        <v>0</v>
      </c>
      <c r="BP70" s="102">
        <f t="shared" ca="1" si="25"/>
        <v>0</v>
      </c>
      <c r="BQ70" s="102">
        <f t="shared" ca="1" si="25"/>
        <v>0</v>
      </c>
      <c r="BR70" s="102">
        <f t="shared" ca="1" si="25"/>
        <v>0</v>
      </c>
      <c r="BS70" s="102">
        <f t="shared" ca="1" si="25"/>
        <v>0</v>
      </c>
      <c r="BT70" s="102">
        <f t="shared" ca="1" si="25"/>
        <v>0</v>
      </c>
      <c r="BU70" s="102">
        <f t="shared" ca="1" si="25"/>
        <v>0</v>
      </c>
      <c r="BV70" s="102">
        <f t="shared" ca="1" si="25"/>
        <v>0</v>
      </c>
      <c r="BW70" s="102">
        <f t="shared" ca="1" si="25"/>
        <v>0</v>
      </c>
      <c r="BX70" s="102">
        <f t="shared" ca="1" si="25"/>
        <v>0</v>
      </c>
      <c r="BY70" s="102">
        <f t="shared" ca="1" si="25"/>
        <v>0</v>
      </c>
      <c r="BZ70" s="98">
        <f t="shared" ca="1" si="27"/>
        <v>0</v>
      </c>
      <c r="CA70" s="102">
        <f t="shared" ca="1" si="27"/>
        <v>0</v>
      </c>
      <c r="CB70" s="102">
        <f t="shared" ca="1" si="27"/>
        <v>0</v>
      </c>
      <c r="CC70" s="102">
        <f t="shared" ca="1" si="27"/>
        <v>0</v>
      </c>
      <c r="CD70" s="102">
        <f t="shared" ca="1" si="27"/>
        <v>0</v>
      </c>
      <c r="CE70" s="102">
        <f t="shared" ca="1" si="27"/>
        <v>0</v>
      </c>
      <c r="CF70" s="102">
        <f t="shared" ca="1" si="27"/>
        <v>0</v>
      </c>
      <c r="CG70" s="102">
        <f t="shared" ca="1" si="27"/>
        <v>0</v>
      </c>
      <c r="CH70" s="101">
        <f ca="1">COUNTIF(BZ70:CG70,"&lt;"&amp;MAX(BZ70:CG70))+IF(Calcs[[#This Row],[RL1]]=0,0,1)</f>
        <v>0</v>
      </c>
      <c r="CI7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0" s="103">
        <f ca="1">IFERROR(OFFSET(CJ70,-1,0)+0,0)+IF(INDEX(INDIRECT(RangeContrQty),MATCH(Calcs[[#This Row],[Line]],OFFSET(Items[Line],0,0,ROW(Proposed[])-ROW(Items[])+ROWS(Proposed[]),1),0)),1,0)</f>
        <v>0</v>
      </c>
    </row>
    <row r="71" spans="1:88" x14ac:dyDescent="0.15">
      <c r="A71" s="6">
        <f ca="1">IFERROR(OFFSET(A71,-1,0)+0,0)+MAX(IF(LEN(Calcs[[#This Row],[Line]])&gt;0,1,0),Calcs[[#This Row],[DL]],Calcs[[#This Row],[RL]])</f>
        <v>10</v>
      </c>
      <c r="B71" s="94" t="str">
        <f ca="1">IFERROR(INDEX(OFFSET(Items[Line],0,0,ROW(Proposed[])-ROW(Items[])+ROWS(Proposed[]),1),MATCH(ROW(B71)-ROW(B$3),INDIRECT(RangeCount),0)),"")</f>
        <v/>
      </c>
      <c r="C71" s="94" t="str">
        <f ca="1">IF(LEN(Calcs[[#This Row],[Line]])&gt;0,TRIM(IFERROR(INDEX(Items[Description],MATCH(Calcs[[#This Row],[Line]],Items[Line],0))&amp;INDEX(Items[Description2],MATCH(Calcs[[#This Row],[Line]],Items[Line],0)),INDEX(Proposed[Description],MATCH(Calcs[[#This Row],[Line]],Proposed[Line],0)))),"")</f>
        <v/>
      </c>
      <c r="D71" s="96">
        <f t="shared" ca="1" si="30"/>
        <v>0</v>
      </c>
      <c r="E71" s="97">
        <f t="shared" ca="1" si="30"/>
        <v>0</v>
      </c>
      <c r="F71" s="97">
        <f t="shared" ca="1" si="30"/>
        <v>0</v>
      </c>
      <c r="G71" s="97">
        <f t="shared" ca="1" si="30"/>
        <v>0</v>
      </c>
      <c r="H71" s="97">
        <f t="shared" ca="1" si="30"/>
        <v>0</v>
      </c>
      <c r="I71" s="97">
        <f t="shared" ca="1" si="30"/>
        <v>0</v>
      </c>
      <c r="J71" s="97">
        <f t="shared" ca="1" si="30"/>
        <v>0</v>
      </c>
      <c r="K71" s="97">
        <f t="shared" ca="1" si="30"/>
        <v>0</v>
      </c>
      <c r="L71" s="97">
        <f t="shared" ca="1" si="30"/>
        <v>0</v>
      </c>
      <c r="M71" s="97">
        <f t="shared" ca="1" si="30"/>
        <v>0</v>
      </c>
      <c r="N71" s="97">
        <f t="shared" ca="1" si="30"/>
        <v>0</v>
      </c>
      <c r="O71" s="97">
        <f t="shared" ca="1" si="30"/>
        <v>0</v>
      </c>
      <c r="P71" s="97">
        <f t="shared" ca="1" si="30"/>
        <v>0</v>
      </c>
      <c r="Q71" s="97">
        <f t="shared" ca="1" si="30"/>
        <v>0</v>
      </c>
      <c r="R71" s="97">
        <f t="shared" ca="1" si="30"/>
        <v>0</v>
      </c>
      <c r="S71" s="97">
        <f t="shared" ca="1" si="30"/>
        <v>0</v>
      </c>
      <c r="T71" s="97">
        <f t="shared" ca="1" si="28"/>
        <v>0</v>
      </c>
      <c r="U71" s="97">
        <f t="shared" ca="1" si="28"/>
        <v>0</v>
      </c>
      <c r="V71" s="97">
        <f t="shared" ca="1" si="28"/>
        <v>0</v>
      </c>
      <c r="W71" s="97">
        <f t="shared" ca="1" si="28"/>
        <v>0</v>
      </c>
      <c r="X71" s="97">
        <f t="shared" ca="1" si="23"/>
        <v>0</v>
      </c>
      <c r="Y71" s="97">
        <f t="shared" ca="1" si="23"/>
        <v>0</v>
      </c>
      <c r="Z71" s="97">
        <f t="shared" ca="1" si="23"/>
        <v>0</v>
      </c>
      <c r="AA71" s="97">
        <f t="shared" ca="1" si="23"/>
        <v>0</v>
      </c>
      <c r="AB71" s="97">
        <f t="shared" ca="1" si="23"/>
        <v>0</v>
      </c>
      <c r="AC71" s="97">
        <f t="shared" ca="1" si="23"/>
        <v>0</v>
      </c>
      <c r="AD71" s="97">
        <f t="shared" ca="1" si="23"/>
        <v>0</v>
      </c>
      <c r="AE71" s="97">
        <f t="shared" ca="1" si="23"/>
        <v>0</v>
      </c>
      <c r="AF71" s="97">
        <f t="shared" ca="1" si="23"/>
        <v>0</v>
      </c>
      <c r="AG71" s="97">
        <f t="shared" ca="1" si="23"/>
        <v>0</v>
      </c>
      <c r="AH71" s="97">
        <f t="shared" ca="1" si="23"/>
        <v>0</v>
      </c>
      <c r="AI71" s="97">
        <f t="shared" ca="1" si="23"/>
        <v>0</v>
      </c>
      <c r="AJ71" s="98">
        <f t="shared" ca="1" si="26"/>
        <v>0</v>
      </c>
      <c r="AK71" s="97">
        <f t="shared" ca="1" si="26"/>
        <v>0</v>
      </c>
      <c r="AL71" s="97">
        <f t="shared" ca="1" si="26"/>
        <v>0</v>
      </c>
      <c r="AM71" s="97">
        <f t="shared" ca="1" si="26"/>
        <v>0</v>
      </c>
      <c r="AN71" s="97">
        <f t="shared" ca="1" si="26"/>
        <v>0</v>
      </c>
      <c r="AO71" s="97">
        <f t="shared" ca="1" si="26"/>
        <v>0</v>
      </c>
      <c r="AP71" s="97">
        <f t="shared" ca="1" si="26"/>
        <v>0</v>
      </c>
      <c r="AQ71" s="97">
        <f t="shared" ca="1" si="26"/>
        <v>0</v>
      </c>
      <c r="AR71" s="99">
        <f ca="1">COUNTIF(AJ71:AQ71,"&lt;"&amp;MAX(AJ71:AQ71))+IF(Calcs[[#This Row],[DL1]]=0,0,1)</f>
        <v>0</v>
      </c>
      <c r="AS71" s="100" t="str">
        <f ca="1">IF(LEN(Calcs[[#This Row],[Line]])&gt;0,IF(RIGHT(Calcs[[#This Row],[Remark]],3)=".  ",LEFT(Calcs[[#This Row],[Remark]],LEN(Calcs[[#This Row],[Remark]])-3),Calcs[[#This Row],[Remark]]),"")</f>
        <v/>
      </c>
      <c r="AT71" s="96">
        <f t="shared" ca="1" si="31"/>
        <v>0</v>
      </c>
      <c r="AU71" s="102">
        <f t="shared" ca="1" si="31"/>
        <v>0</v>
      </c>
      <c r="AV71" s="102">
        <f t="shared" ca="1" si="31"/>
        <v>0</v>
      </c>
      <c r="AW71" s="102">
        <f t="shared" ca="1" si="31"/>
        <v>0</v>
      </c>
      <c r="AX71" s="102">
        <f t="shared" ca="1" si="31"/>
        <v>0</v>
      </c>
      <c r="AY71" s="102">
        <f t="shared" ca="1" si="31"/>
        <v>0</v>
      </c>
      <c r="AZ71" s="102">
        <f t="shared" ca="1" si="31"/>
        <v>0</v>
      </c>
      <c r="BA71" s="102">
        <f t="shared" ca="1" si="31"/>
        <v>0</v>
      </c>
      <c r="BB71" s="102">
        <f t="shared" ca="1" si="31"/>
        <v>0</v>
      </c>
      <c r="BC71" s="102">
        <f t="shared" ca="1" si="31"/>
        <v>0</v>
      </c>
      <c r="BD71" s="102">
        <f t="shared" ca="1" si="31"/>
        <v>0</v>
      </c>
      <c r="BE71" s="102">
        <f t="shared" ca="1" si="31"/>
        <v>0</v>
      </c>
      <c r="BF71" s="102">
        <f t="shared" ca="1" si="31"/>
        <v>0</v>
      </c>
      <c r="BG71" s="102">
        <f t="shared" ca="1" si="31"/>
        <v>0</v>
      </c>
      <c r="BH71" s="102">
        <f t="shared" ca="1" si="31"/>
        <v>0</v>
      </c>
      <c r="BI71" s="102">
        <f t="shared" ca="1" si="31"/>
        <v>0</v>
      </c>
      <c r="BJ71" s="102">
        <f t="shared" ca="1" si="29"/>
        <v>0</v>
      </c>
      <c r="BK71" s="102">
        <f t="shared" ca="1" si="29"/>
        <v>0</v>
      </c>
      <c r="BL71" s="102">
        <f t="shared" ca="1" si="29"/>
        <v>0</v>
      </c>
      <c r="BM71" s="102">
        <f t="shared" ca="1" si="29"/>
        <v>0</v>
      </c>
      <c r="BN71" s="102">
        <f t="shared" ca="1" si="25"/>
        <v>0</v>
      </c>
      <c r="BO71" s="102">
        <f t="shared" ca="1" si="25"/>
        <v>0</v>
      </c>
      <c r="BP71" s="102">
        <f t="shared" ca="1" si="25"/>
        <v>0</v>
      </c>
      <c r="BQ71" s="102">
        <f t="shared" ca="1" si="25"/>
        <v>0</v>
      </c>
      <c r="BR71" s="102">
        <f t="shared" ca="1" si="25"/>
        <v>0</v>
      </c>
      <c r="BS71" s="102">
        <f t="shared" ca="1" si="25"/>
        <v>0</v>
      </c>
      <c r="BT71" s="102">
        <f t="shared" ca="1" si="25"/>
        <v>0</v>
      </c>
      <c r="BU71" s="102">
        <f t="shared" ca="1" si="25"/>
        <v>0</v>
      </c>
      <c r="BV71" s="102">
        <f t="shared" ca="1" si="25"/>
        <v>0</v>
      </c>
      <c r="BW71" s="102">
        <f t="shared" ca="1" si="25"/>
        <v>0</v>
      </c>
      <c r="BX71" s="102">
        <f t="shared" ca="1" si="25"/>
        <v>0</v>
      </c>
      <c r="BY71" s="102">
        <f t="shared" ca="1" si="25"/>
        <v>0</v>
      </c>
      <c r="BZ71" s="98">
        <f t="shared" ca="1" si="27"/>
        <v>0</v>
      </c>
      <c r="CA71" s="102">
        <f t="shared" ca="1" si="27"/>
        <v>0</v>
      </c>
      <c r="CB71" s="102">
        <f t="shared" ca="1" si="27"/>
        <v>0</v>
      </c>
      <c r="CC71" s="102">
        <f t="shared" ca="1" si="27"/>
        <v>0</v>
      </c>
      <c r="CD71" s="102">
        <f t="shared" ca="1" si="27"/>
        <v>0</v>
      </c>
      <c r="CE71" s="102">
        <f t="shared" ca="1" si="27"/>
        <v>0</v>
      </c>
      <c r="CF71" s="102">
        <f t="shared" ca="1" si="27"/>
        <v>0</v>
      </c>
      <c r="CG71" s="102">
        <f t="shared" ca="1" si="27"/>
        <v>0</v>
      </c>
      <c r="CH71" s="101">
        <f ca="1">COUNTIF(BZ71:CG71,"&lt;"&amp;MAX(BZ71:CG71))+IF(Calcs[[#This Row],[RL1]]=0,0,1)</f>
        <v>0</v>
      </c>
      <c r="CI7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1" s="103">
        <f ca="1">IFERROR(OFFSET(CJ71,-1,0)+0,0)+IF(INDEX(INDIRECT(RangeContrQty),MATCH(Calcs[[#This Row],[Line]],OFFSET(Items[Line],0,0,ROW(Proposed[])-ROW(Items[])+ROWS(Proposed[]),1),0)),1,0)</f>
        <v>0</v>
      </c>
    </row>
    <row r="72" spans="1:88" x14ac:dyDescent="0.15">
      <c r="A72" s="6">
        <f ca="1">IFERROR(OFFSET(A72,-1,0)+0,0)+MAX(IF(LEN(Calcs[[#This Row],[Line]])&gt;0,1,0),Calcs[[#This Row],[DL]],Calcs[[#This Row],[RL]])</f>
        <v>10</v>
      </c>
      <c r="B72" s="94" t="str">
        <f ca="1">IFERROR(INDEX(OFFSET(Items[Line],0,0,ROW(Proposed[])-ROW(Items[])+ROWS(Proposed[]),1),MATCH(ROW(B72)-ROW(B$3),INDIRECT(RangeCount),0)),"")</f>
        <v/>
      </c>
      <c r="C72" s="94" t="str">
        <f ca="1">IF(LEN(Calcs[[#This Row],[Line]])&gt;0,TRIM(IFERROR(INDEX(Items[Description],MATCH(Calcs[[#This Row],[Line]],Items[Line],0))&amp;INDEX(Items[Description2],MATCH(Calcs[[#This Row],[Line]],Items[Line],0)),INDEX(Proposed[Description],MATCH(Calcs[[#This Row],[Line]],Proposed[Line],0)))),"")</f>
        <v/>
      </c>
      <c r="D72" s="96">
        <f t="shared" ca="1" si="30"/>
        <v>0</v>
      </c>
      <c r="E72" s="97">
        <f t="shared" ca="1" si="30"/>
        <v>0</v>
      </c>
      <c r="F72" s="97">
        <f t="shared" ca="1" si="30"/>
        <v>0</v>
      </c>
      <c r="G72" s="97">
        <f t="shared" ca="1" si="30"/>
        <v>0</v>
      </c>
      <c r="H72" s="97">
        <f t="shared" ca="1" si="30"/>
        <v>0</v>
      </c>
      <c r="I72" s="97">
        <f t="shared" ca="1" si="30"/>
        <v>0</v>
      </c>
      <c r="J72" s="97">
        <f t="shared" ca="1" si="30"/>
        <v>0</v>
      </c>
      <c r="K72" s="97">
        <f t="shared" ca="1" si="30"/>
        <v>0</v>
      </c>
      <c r="L72" s="97">
        <f t="shared" ca="1" si="30"/>
        <v>0</v>
      </c>
      <c r="M72" s="97">
        <f t="shared" ca="1" si="30"/>
        <v>0</v>
      </c>
      <c r="N72" s="97">
        <f t="shared" ca="1" si="30"/>
        <v>0</v>
      </c>
      <c r="O72" s="97">
        <f t="shared" ca="1" si="30"/>
        <v>0</v>
      </c>
      <c r="P72" s="97">
        <f t="shared" ca="1" si="30"/>
        <v>0</v>
      </c>
      <c r="Q72" s="97">
        <f t="shared" ca="1" si="30"/>
        <v>0</v>
      </c>
      <c r="R72" s="97">
        <f t="shared" ca="1" si="30"/>
        <v>0</v>
      </c>
      <c r="S72" s="97">
        <f t="shared" ca="1" si="30"/>
        <v>0</v>
      </c>
      <c r="T72" s="97">
        <f t="shared" ca="1" si="28"/>
        <v>0</v>
      </c>
      <c r="U72" s="97">
        <f t="shared" ca="1" si="28"/>
        <v>0</v>
      </c>
      <c r="V72" s="97">
        <f t="shared" ca="1" si="28"/>
        <v>0</v>
      </c>
      <c r="W72" s="97">
        <f t="shared" ca="1" si="28"/>
        <v>0</v>
      </c>
      <c r="X72" s="97">
        <f t="shared" ca="1" si="23"/>
        <v>0</v>
      </c>
      <c r="Y72" s="97">
        <f t="shared" ca="1" si="23"/>
        <v>0</v>
      </c>
      <c r="Z72" s="97">
        <f t="shared" ca="1" si="23"/>
        <v>0</v>
      </c>
      <c r="AA72" s="97">
        <f t="shared" ca="1" si="23"/>
        <v>0</v>
      </c>
      <c r="AB72" s="97">
        <f t="shared" ca="1" si="23"/>
        <v>0</v>
      </c>
      <c r="AC72" s="97">
        <f t="shared" ca="1" si="23"/>
        <v>0</v>
      </c>
      <c r="AD72" s="97">
        <f t="shared" ca="1" si="23"/>
        <v>0</v>
      </c>
      <c r="AE72" s="97">
        <f t="shared" ca="1" si="23"/>
        <v>0</v>
      </c>
      <c r="AF72" s="97">
        <f t="shared" ca="1" si="23"/>
        <v>0</v>
      </c>
      <c r="AG72" s="97">
        <f t="shared" ca="1" si="23"/>
        <v>0</v>
      </c>
      <c r="AH72" s="97">
        <f t="shared" ca="1" si="23"/>
        <v>0</v>
      </c>
      <c r="AI72" s="97">
        <f t="shared" ca="1" si="23"/>
        <v>0</v>
      </c>
      <c r="AJ72" s="98">
        <f t="shared" ca="1" si="26"/>
        <v>0</v>
      </c>
      <c r="AK72" s="97">
        <f t="shared" ca="1" si="26"/>
        <v>0</v>
      </c>
      <c r="AL72" s="97">
        <f t="shared" ca="1" si="26"/>
        <v>0</v>
      </c>
      <c r="AM72" s="97">
        <f t="shared" ca="1" si="26"/>
        <v>0</v>
      </c>
      <c r="AN72" s="97">
        <f t="shared" ca="1" si="26"/>
        <v>0</v>
      </c>
      <c r="AO72" s="97">
        <f t="shared" ca="1" si="26"/>
        <v>0</v>
      </c>
      <c r="AP72" s="97">
        <f t="shared" ca="1" si="26"/>
        <v>0</v>
      </c>
      <c r="AQ72" s="97">
        <f t="shared" ca="1" si="26"/>
        <v>0</v>
      </c>
      <c r="AR72" s="99">
        <f ca="1">COUNTIF(AJ72:AQ72,"&lt;"&amp;MAX(AJ72:AQ72))+IF(Calcs[[#This Row],[DL1]]=0,0,1)</f>
        <v>0</v>
      </c>
      <c r="AS72" s="100" t="str">
        <f ca="1">IF(LEN(Calcs[[#This Row],[Line]])&gt;0,IF(RIGHT(Calcs[[#This Row],[Remark]],3)=".  ",LEFT(Calcs[[#This Row],[Remark]],LEN(Calcs[[#This Row],[Remark]])-3),Calcs[[#This Row],[Remark]]),"")</f>
        <v/>
      </c>
      <c r="AT72" s="96">
        <f t="shared" ca="1" si="31"/>
        <v>0</v>
      </c>
      <c r="AU72" s="102">
        <f t="shared" ca="1" si="31"/>
        <v>0</v>
      </c>
      <c r="AV72" s="102">
        <f t="shared" ca="1" si="31"/>
        <v>0</v>
      </c>
      <c r="AW72" s="102">
        <f t="shared" ca="1" si="31"/>
        <v>0</v>
      </c>
      <c r="AX72" s="102">
        <f t="shared" ca="1" si="31"/>
        <v>0</v>
      </c>
      <c r="AY72" s="102">
        <f t="shared" ca="1" si="31"/>
        <v>0</v>
      </c>
      <c r="AZ72" s="102">
        <f t="shared" ca="1" si="31"/>
        <v>0</v>
      </c>
      <c r="BA72" s="102">
        <f t="shared" ca="1" si="31"/>
        <v>0</v>
      </c>
      <c r="BB72" s="102">
        <f t="shared" ca="1" si="31"/>
        <v>0</v>
      </c>
      <c r="BC72" s="102">
        <f t="shared" ca="1" si="31"/>
        <v>0</v>
      </c>
      <c r="BD72" s="102">
        <f t="shared" ca="1" si="31"/>
        <v>0</v>
      </c>
      <c r="BE72" s="102">
        <f t="shared" ca="1" si="31"/>
        <v>0</v>
      </c>
      <c r="BF72" s="102">
        <f t="shared" ca="1" si="31"/>
        <v>0</v>
      </c>
      <c r="BG72" s="102">
        <f t="shared" ca="1" si="31"/>
        <v>0</v>
      </c>
      <c r="BH72" s="102">
        <f t="shared" ca="1" si="31"/>
        <v>0</v>
      </c>
      <c r="BI72" s="102">
        <f t="shared" ca="1" si="31"/>
        <v>0</v>
      </c>
      <c r="BJ72" s="102">
        <f t="shared" ca="1" si="29"/>
        <v>0</v>
      </c>
      <c r="BK72" s="102">
        <f t="shared" ca="1" si="29"/>
        <v>0</v>
      </c>
      <c r="BL72" s="102">
        <f t="shared" ca="1" si="29"/>
        <v>0</v>
      </c>
      <c r="BM72" s="102">
        <f t="shared" ca="1" si="29"/>
        <v>0</v>
      </c>
      <c r="BN72" s="102">
        <f t="shared" ca="1" si="25"/>
        <v>0</v>
      </c>
      <c r="BO72" s="102">
        <f t="shared" ca="1" si="25"/>
        <v>0</v>
      </c>
      <c r="BP72" s="102">
        <f t="shared" ca="1" si="25"/>
        <v>0</v>
      </c>
      <c r="BQ72" s="102">
        <f t="shared" ca="1" si="25"/>
        <v>0</v>
      </c>
      <c r="BR72" s="102">
        <f t="shared" ca="1" si="25"/>
        <v>0</v>
      </c>
      <c r="BS72" s="102">
        <f t="shared" ca="1" si="25"/>
        <v>0</v>
      </c>
      <c r="BT72" s="102">
        <f t="shared" ca="1" si="25"/>
        <v>0</v>
      </c>
      <c r="BU72" s="102">
        <f t="shared" ca="1" si="25"/>
        <v>0</v>
      </c>
      <c r="BV72" s="102">
        <f t="shared" ca="1" si="25"/>
        <v>0</v>
      </c>
      <c r="BW72" s="102">
        <f t="shared" ca="1" si="25"/>
        <v>0</v>
      </c>
      <c r="BX72" s="102">
        <f t="shared" ca="1" si="25"/>
        <v>0</v>
      </c>
      <c r="BY72" s="102">
        <f t="shared" ca="1" si="25"/>
        <v>0</v>
      </c>
      <c r="BZ72" s="98">
        <f t="shared" ca="1" si="27"/>
        <v>0</v>
      </c>
      <c r="CA72" s="102">
        <f t="shared" ca="1" si="27"/>
        <v>0</v>
      </c>
      <c r="CB72" s="102">
        <f t="shared" ca="1" si="27"/>
        <v>0</v>
      </c>
      <c r="CC72" s="102">
        <f t="shared" ca="1" si="27"/>
        <v>0</v>
      </c>
      <c r="CD72" s="102">
        <f t="shared" ca="1" si="27"/>
        <v>0</v>
      </c>
      <c r="CE72" s="102">
        <f t="shared" ca="1" si="27"/>
        <v>0</v>
      </c>
      <c r="CF72" s="102">
        <f t="shared" ca="1" si="27"/>
        <v>0</v>
      </c>
      <c r="CG72" s="102">
        <f t="shared" ca="1" si="27"/>
        <v>0</v>
      </c>
      <c r="CH72" s="101">
        <f ca="1">COUNTIF(BZ72:CG72,"&lt;"&amp;MAX(BZ72:CG72))+IF(Calcs[[#This Row],[RL1]]=0,0,1)</f>
        <v>0</v>
      </c>
      <c r="CI7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2" s="103">
        <f ca="1">IFERROR(OFFSET(CJ72,-1,0)+0,0)+IF(INDEX(INDIRECT(RangeContrQty),MATCH(Calcs[[#This Row],[Line]],OFFSET(Items[Line],0,0,ROW(Proposed[])-ROW(Items[])+ROWS(Proposed[]),1),0)),1,0)</f>
        <v>0</v>
      </c>
    </row>
    <row r="73" spans="1:88" x14ac:dyDescent="0.15">
      <c r="A73" s="6">
        <f ca="1">IFERROR(OFFSET(A73,-1,0)+0,0)+MAX(IF(LEN(Calcs[[#This Row],[Line]])&gt;0,1,0),Calcs[[#This Row],[DL]],Calcs[[#This Row],[RL]])</f>
        <v>10</v>
      </c>
      <c r="B73" s="94" t="str">
        <f ca="1">IFERROR(INDEX(OFFSET(Items[Line],0,0,ROW(Proposed[])-ROW(Items[])+ROWS(Proposed[]),1),MATCH(ROW(B73)-ROW(B$3),INDIRECT(RangeCount),0)),"")</f>
        <v/>
      </c>
      <c r="C73" s="94" t="str">
        <f ca="1">IF(LEN(Calcs[[#This Row],[Line]])&gt;0,TRIM(IFERROR(INDEX(Items[Description],MATCH(Calcs[[#This Row],[Line]],Items[Line],0))&amp;INDEX(Items[Description2],MATCH(Calcs[[#This Row],[Line]],Items[Line],0)),INDEX(Proposed[Description],MATCH(Calcs[[#This Row],[Line]],Proposed[Line],0)))),"")</f>
        <v/>
      </c>
      <c r="D73" s="96">
        <f t="shared" ca="1" si="30"/>
        <v>0</v>
      </c>
      <c r="E73" s="97">
        <f t="shared" ca="1" si="30"/>
        <v>0</v>
      </c>
      <c r="F73" s="97">
        <f t="shared" ca="1" si="30"/>
        <v>0</v>
      </c>
      <c r="G73" s="97">
        <f t="shared" ca="1" si="30"/>
        <v>0</v>
      </c>
      <c r="H73" s="97">
        <f t="shared" ca="1" si="30"/>
        <v>0</v>
      </c>
      <c r="I73" s="97">
        <f t="shared" ca="1" si="30"/>
        <v>0</v>
      </c>
      <c r="J73" s="97">
        <f t="shared" ca="1" si="30"/>
        <v>0</v>
      </c>
      <c r="K73" s="97">
        <f t="shared" ca="1" si="30"/>
        <v>0</v>
      </c>
      <c r="L73" s="97">
        <f t="shared" ca="1" si="30"/>
        <v>0</v>
      </c>
      <c r="M73" s="97">
        <f t="shared" ca="1" si="30"/>
        <v>0</v>
      </c>
      <c r="N73" s="97">
        <f t="shared" ca="1" si="30"/>
        <v>0</v>
      </c>
      <c r="O73" s="97">
        <f t="shared" ca="1" si="30"/>
        <v>0</v>
      </c>
      <c r="P73" s="97">
        <f t="shared" ca="1" si="30"/>
        <v>0</v>
      </c>
      <c r="Q73" s="97">
        <f t="shared" ca="1" si="30"/>
        <v>0</v>
      </c>
      <c r="R73" s="97">
        <f t="shared" ca="1" si="30"/>
        <v>0</v>
      </c>
      <c r="S73" s="97">
        <f t="shared" ca="1" si="30"/>
        <v>0</v>
      </c>
      <c r="T73" s="97">
        <f t="shared" ca="1" si="28"/>
        <v>0</v>
      </c>
      <c r="U73" s="97">
        <f t="shared" ca="1" si="28"/>
        <v>0</v>
      </c>
      <c r="V73" s="97">
        <f t="shared" ca="1" si="28"/>
        <v>0</v>
      </c>
      <c r="W73" s="97">
        <f t="shared" ca="1" si="28"/>
        <v>0</v>
      </c>
      <c r="X73" s="97">
        <f t="shared" ca="1" si="23"/>
        <v>0</v>
      </c>
      <c r="Y73" s="97">
        <f t="shared" ca="1" si="23"/>
        <v>0</v>
      </c>
      <c r="Z73" s="97">
        <f t="shared" ca="1" si="23"/>
        <v>0</v>
      </c>
      <c r="AA73" s="97">
        <f t="shared" ca="1" si="23"/>
        <v>0</v>
      </c>
      <c r="AB73" s="97">
        <f t="shared" ca="1" si="23"/>
        <v>0</v>
      </c>
      <c r="AC73" s="97">
        <f t="shared" ca="1" si="23"/>
        <v>0</v>
      </c>
      <c r="AD73" s="97">
        <f t="shared" ca="1" si="23"/>
        <v>0</v>
      </c>
      <c r="AE73" s="97">
        <f t="shared" ca="1" si="23"/>
        <v>0</v>
      </c>
      <c r="AF73" s="97">
        <f t="shared" ca="1" si="23"/>
        <v>0</v>
      </c>
      <c r="AG73" s="97">
        <f t="shared" ca="1" si="23"/>
        <v>0</v>
      </c>
      <c r="AH73" s="97">
        <f t="shared" ca="1" si="23"/>
        <v>0</v>
      </c>
      <c r="AI73" s="97">
        <f t="shared" ca="1" si="23"/>
        <v>0</v>
      </c>
      <c r="AJ73" s="98">
        <f t="shared" ca="1" si="26"/>
        <v>0</v>
      </c>
      <c r="AK73" s="97">
        <f t="shared" ca="1" si="26"/>
        <v>0</v>
      </c>
      <c r="AL73" s="97">
        <f t="shared" ca="1" si="26"/>
        <v>0</v>
      </c>
      <c r="AM73" s="97">
        <f t="shared" ca="1" si="26"/>
        <v>0</v>
      </c>
      <c r="AN73" s="97">
        <f t="shared" ca="1" si="26"/>
        <v>0</v>
      </c>
      <c r="AO73" s="97">
        <f t="shared" ca="1" si="26"/>
        <v>0</v>
      </c>
      <c r="AP73" s="97">
        <f t="shared" ca="1" si="26"/>
        <v>0</v>
      </c>
      <c r="AQ73" s="97">
        <f t="shared" ca="1" si="26"/>
        <v>0</v>
      </c>
      <c r="AR73" s="99">
        <f ca="1">COUNTIF(AJ73:AQ73,"&lt;"&amp;MAX(AJ73:AQ73))+IF(Calcs[[#This Row],[DL1]]=0,0,1)</f>
        <v>0</v>
      </c>
      <c r="AS73" s="100" t="str">
        <f ca="1">IF(LEN(Calcs[[#This Row],[Line]])&gt;0,IF(RIGHT(Calcs[[#This Row],[Remark]],3)=".  ",LEFT(Calcs[[#This Row],[Remark]],LEN(Calcs[[#This Row],[Remark]])-3),Calcs[[#This Row],[Remark]]),"")</f>
        <v/>
      </c>
      <c r="AT73" s="96">
        <f t="shared" ca="1" si="31"/>
        <v>0</v>
      </c>
      <c r="AU73" s="102">
        <f t="shared" ca="1" si="31"/>
        <v>0</v>
      </c>
      <c r="AV73" s="102">
        <f t="shared" ca="1" si="31"/>
        <v>0</v>
      </c>
      <c r="AW73" s="102">
        <f t="shared" ca="1" si="31"/>
        <v>0</v>
      </c>
      <c r="AX73" s="102">
        <f t="shared" ca="1" si="31"/>
        <v>0</v>
      </c>
      <c r="AY73" s="102">
        <f t="shared" ca="1" si="31"/>
        <v>0</v>
      </c>
      <c r="AZ73" s="102">
        <f t="shared" ca="1" si="31"/>
        <v>0</v>
      </c>
      <c r="BA73" s="102">
        <f t="shared" ca="1" si="31"/>
        <v>0</v>
      </c>
      <c r="BB73" s="102">
        <f t="shared" ca="1" si="31"/>
        <v>0</v>
      </c>
      <c r="BC73" s="102">
        <f t="shared" ca="1" si="31"/>
        <v>0</v>
      </c>
      <c r="BD73" s="102">
        <f t="shared" ca="1" si="31"/>
        <v>0</v>
      </c>
      <c r="BE73" s="102">
        <f t="shared" ca="1" si="31"/>
        <v>0</v>
      </c>
      <c r="BF73" s="102">
        <f t="shared" ca="1" si="31"/>
        <v>0</v>
      </c>
      <c r="BG73" s="102">
        <f t="shared" ca="1" si="31"/>
        <v>0</v>
      </c>
      <c r="BH73" s="102">
        <f t="shared" ca="1" si="31"/>
        <v>0</v>
      </c>
      <c r="BI73" s="102">
        <f t="shared" ca="1" si="31"/>
        <v>0</v>
      </c>
      <c r="BJ73" s="102">
        <f t="shared" ca="1" si="29"/>
        <v>0</v>
      </c>
      <c r="BK73" s="102">
        <f t="shared" ca="1" si="29"/>
        <v>0</v>
      </c>
      <c r="BL73" s="102">
        <f t="shared" ca="1" si="29"/>
        <v>0</v>
      </c>
      <c r="BM73" s="102">
        <f t="shared" ca="1" si="29"/>
        <v>0</v>
      </c>
      <c r="BN73" s="102">
        <f t="shared" ca="1" si="25"/>
        <v>0</v>
      </c>
      <c r="BO73" s="102">
        <f t="shared" ca="1" si="25"/>
        <v>0</v>
      </c>
      <c r="BP73" s="102">
        <f t="shared" ca="1" si="25"/>
        <v>0</v>
      </c>
      <c r="BQ73" s="102">
        <f t="shared" ca="1" si="25"/>
        <v>0</v>
      </c>
      <c r="BR73" s="102">
        <f t="shared" ca="1" si="25"/>
        <v>0</v>
      </c>
      <c r="BS73" s="102">
        <f t="shared" ca="1" si="25"/>
        <v>0</v>
      </c>
      <c r="BT73" s="102">
        <f t="shared" ca="1" si="25"/>
        <v>0</v>
      </c>
      <c r="BU73" s="102">
        <f t="shared" ca="1" si="25"/>
        <v>0</v>
      </c>
      <c r="BV73" s="102">
        <f t="shared" ca="1" si="25"/>
        <v>0</v>
      </c>
      <c r="BW73" s="102">
        <f t="shared" ca="1" si="25"/>
        <v>0</v>
      </c>
      <c r="BX73" s="102">
        <f t="shared" ca="1" si="25"/>
        <v>0</v>
      </c>
      <c r="BY73" s="102">
        <f t="shared" ca="1" si="25"/>
        <v>0</v>
      </c>
      <c r="BZ73" s="98">
        <f t="shared" ca="1" si="27"/>
        <v>0</v>
      </c>
      <c r="CA73" s="102">
        <f t="shared" ca="1" si="27"/>
        <v>0</v>
      </c>
      <c r="CB73" s="102">
        <f t="shared" ca="1" si="27"/>
        <v>0</v>
      </c>
      <c r="CC73" s="102">
        <f t="shared" ca="1" si="27"/>
        <v>0</v>
      </c>
      <c r="CD73" s="102">
        <f t="shared" ca="1" si="27"/>
        <v>0</v>
      </c>
      <c r="CE73" s="102">
        <f t="shared" ca="1" si="27"/>
        <v>0</v>
      </c>
      <c r="CF73" s="102">
        <f t="shared" ca="1" si="27"/>
        <v>0</v>
      </c>
      <c r="CG73" s="102">
        <f t="shared" ca="1" si="27"/>
        <v>0</v>
      </c>
      <c r="CH73" s="101">
        <f ca="1">COUNTIF(BZ73:CG73,"&lt;"&amp;MAX(BZ73:CG73))+IF(Calcs[[#This Row],[RL1]]=0,0,1)</f>
        <v>0</v>
      </c>
      <c r="CI7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3" s="103">
        <f ca="1">IFERROR(OFFSET(CJ73,-1,0)+0,0)+IF(INDEX(INDIRECT(RangeContrQty),MATCH(Calcs[[#This Row],[Line]],OFFSET(Items[Line],0,0,ROW(Proposed[])-ROW(Items[])+ROWS(Proposed[]),1),0)),1,0)</f>
        <v>0</v>
      </c>
    </row>
    <row r="74" spans="1:88" x14ac:dyDescent="0.15">
      <c r="A74" s="6">
        <f ca="1">IFERROR(OFFSET(A74,-1,0)+0,0)+MAX(IF(LEN(Calcs[[#This Row],[Line]])&gt;0,1,0),Calcs[[#This Row],[DL]],Calcs[[#This Row],[RL]])</f>
        <v>10</v>
      </c>
      <c r="B74" s="94" t="str">
        <f ca="1">IFERROR(INDEX(OFFSET(Items[Line],0,0,ROW(Proposed[])-ROW(Items[])+ROWS(Proposed[]),1),MATCH(ROW(B74)-ROW(B$3),INDIRECT(RangeCount),0)),"")</f>
        <v/>
      </c>
      <c r="C74" s="94" t="str">
        <f ca="1">IF(LEN(Calcs[[#This Row],[Line]])&gt;0,TRIM(IFERROR(INDEX(Items[Description],MATCH(Calcs[[#This Row],[Line]],Items[Line],0))&amp;INDEX(Items[Description2],MATCH(Calcs[[#This Row],[Line]],Items[Line],0)),INDEX(Proposed[Description],MATCH(Calcs[[#This Row],[Line]],Proposed[Line],0)))),"")</f>
        <v/>
      </c>
      <c r="D74" s="96">
        <f t="shared" ca="1" si="30"/>
        <v>0</v>
      </c>
      <c r="E74" s="97">
        <f t="shared" ca="1" si="30"/>
        <v>0</v>
      </c>
      <c r="F74" s="97">
        <f t="shared" ca="1" si="30"/>
        <v>0</v>
      </c>
      <c r="G74" s="97">
        <f t="shared" ca="1" si="30"/>
        <v>0</v>
      </c>
      <c r="H74" s="97">
        <f t="shared" ca="1" si="30"/>
        <v>0</v>
      </c>
      <c r="I74" s="97">
        <f t="shared" ca="1" si="30"/>
        <v>0</v>
      </c>
      <c r="J74" s="97">
        <f t="shared" ca="1" si="30"/>
        <v>0</v>
      </c>
      <c r="K74" s="97">
        <f t="shared" ca="1" si="30"/>
        <v>0</v>
      </c>
      <c r="L74" s="97">
        <f t="shared" ca="1" si="30"/>
        <v>0</v>
      </c>
      <c r="M74" s="97">
        <f t="shared" ca="1" si="30"/>
        <v>0</v>
      </c>
      <c r="N74" s="97">
        <f t="shared" ca="1" si="30"/>
        <v>0</v>
      </c>
      <c r="O74" s="97">
        <f t="shared" ca="1" si="30"/>
        <v>0</v>
      </c>
      <c r="P74" s="97">
        <f t="shared" ca="1" si="30"/>
        <v>0</v>
      </c>
      <c r="Q74" s="97">
        <f t="shared" ca="1" si="30"/>
        <v>0</v>
      </c>
      <c r="R74" s="97">
        <f t="shared" ca="1" si="30"/>
        <v>0</v>
      </c>
      <c r="S74" s="97">
        <f t="shared" ca="1" si="30"/>
        <v>0</v>
      </c>
      <c r="T74" s="97">
        <f t="shared" ca="1" si="28"/>
        <v>0</v>
      </c>
      <c r="U74" s="97">
        <f t="shared" ca="1" si="28"/>
        <v>0</v>
      </c>
      <c r="V74" s="97">
        <f t="shared" ca="1" si="28"/>
        <v>0</v>
      </c>
      <c r="W74" s="97">
        <f t="shared" ca="1" si="28"/>
        <v>0</v>
      </c>
      <c r="X74" s="97">
        <f t="shared" ca="1" si="28"/>
        <v>0</v>
      </c>
      <c r="Y74" s="97">
        <f t="shared" ca="1" si="28"/>
        <v>0</v>
      </c>
      <c r="Z74" s="97">
        <f t="shared" ca="1" si="28"/>
        <v>0</v>
      </c>
      <c r="AA74" s="97">
        <f t="shared" ca="1" si="28"/>
        <v>0</v>
      </c>
      <c r="AB74" s="97">
        <f t="shared" ca="1" si="28"/>
        <v>0</v>
      </c>
      <c r="AC74" s="97">
        <f t="shared" ca="1" si="28"/>
        <v>0</v>
      </c>
      <c r="AD74" s="97">
        <f t="shared" ca="1" si="28"/>
        <v>0</v>
      </c>
      <c r="AE74" s="97">
        <f t="shared" ca="1" si="28"/>
        <v>0</v>
      </c>
      <c r="AF74" s="97">
        <f t="shared" ca="1" si="28"/>
        <v>0</v>
      </c>
      <c r="AG74" s="97">
        <f t="shared" ca="1" si="28"/>
        <v>0</v>
      </c>
      <c r="AH74" s="97">
        <f t="shared" ca="1" si="28"/>
        <v>0</v>
      </c>
      <c r="AI74" s="97">
        <f t="shared" ref="AI74:AI89" ca="1" si="32">IFERROR(FIND(" ",$C74,IFERROR(OFFSET(AI74,0,-1)+1,1)),LEN($C74))</f>
        <v>0</v>
      </c>
      <c r="AJ74" s="98">
        <f t="shared" ca="1" si="26"/>
        <v>0</v>
      </c>
      <c r="AK74" s="97">
        <f t="shared" ca="1" si="26"/>
        <v>0</v>
      </c>
      <c r="AL74" s="97">
        <f t="shared" ca="1" si="26"/>
        <v>0</v>
      </c>
      <c r="AM74" s="97">
        <f t="shared" ca="1" si="26"/>
        <v>0</v>
      </c>
      <c r="AN74" s="97">
        <f t="shared" ca="1" si="26"/>
        <v>0</v>
      </c>
      <c r="AO74" s="97">
        <f t="shared" ca="1" si="26"/>
        <v>0</v>
      </c>
      <c r="AP74" s="97">
        <f t="shared" ca="1" si="26"/>
        <v>0</v>
      </c>
      <c r="AQ74" s="97">
        <f t="shared" ca="1" si="26"/>
        <v>0</v>
      </c>
      <c r="AR74" s="99">
        <f ca="1">COUNTIF(AJ74:AQ74,"&lt;"&amp;MAX(AJ74:AQ74))+IF(Calcs[[#This Row],[DL1]]=0,0,1)</f>
        <v>0</v>
      </c>
      <c r="AS74" s="100" t="str">
        <f ca="1">IF(LEN(Calcs[[#This Row],[Line]])&gt;0,IF(RIGHT(Calcs[[#This Row],[Remark]],3)=".  ",LEFT(Calcs[[#This Row],[Remark]],LEN(Calcs[[#This Row],[Remark]])-3),Calcs[[#This Row],[Remark]]),"")</f>
        <v/>
      </c>
      <c r="AT74" s="96">
        <f t="shared" ca="1" si="31"/>
        <v>0</v>
      </c>
      <c r="AU74" s="102">
        <f t="shared" ca="1" si="31"/>
        <v>0</v>
      </c>
      <c r="AV74" s="102">
        <f t="shared" ca="1" si="31"/>
        <v>0</v>
      </c>
      <c r="AW74" s="102">
        <f t="shared" ca="1" si="31"/>
        <v>0</v>
      </c>
      <c r="AX74" s="102">
        <f t="shared" ca="1" si="31"/>
        <v>0</v>
      </c>
      <c r="AY74" s="102">
        <f t="shared" ca="1" si="31"/>
        <v>0</v>
      </c>
      <c r="AZ74" s="102">
        <f t="shared" ca="1" si="31"/>
        <v>0</v>
      </c>
      <c r="BA74" s="102">
        <f t="shared" ca="1" si="31"/>
        <v>0</v>
      </c>
      <c r="BB74" s="102">
        <f t="shared" ca="1" si="31"/>
        <v>0</v>
      </c>
      <c r="BC74" s="102">
        <f t="shared" ca="1" si="31"/>
        <v>0</v>
      </c>
      <c r="BD74" s="102">
        <f t="shared" ca="1" si="31"/>
        <v>0</v>
      </c>
      <c r="BE74" s="102">
        <f t="shared" ca="1" si="31"/>
        <v>0</v>
      </c>
      <c r="BF74" s="102">
        <f t="shared" ca="1" si="31"/>
        <v>0</v>
      </c>
      <c r="BG74" s="102">
        <f t="shared" ca="1" si="31"/>
        <v>0</v>
      </c>
      <c r="BH74" s="102">
        <f t="shared" ca="1" si="31"/>
        <v>0</v>
      </c>
      <c r="BI74" s="102">
        <f t="shared" ca="1" si="31"/>
        <v>0</v>
      </c>
      <c r="BJ74" s="102">
        <f t="shared" ca="1" si="29"/>
        <v>0</v>
      </c>
      <c r="BK74" s="102">
        <f t="shared" ca="1" si="29"/>
        <v>0</v>
      </c>
      <c r="BL74" s="102">
        <f t="shared" ca="1" si="29"/>
        <v>0</v>
      </c>
      <c r="BM74" s="102">
        <f t="shared" ca="1" si="29"/>
        <v>0</v>
      </c>
      <c r="BN74" s="102">
        <f t="shared" ca="1" si="29"/>
        <v>0</v>
      </c>
      <c r="BO74" s="102">
        <f t="shared" ca="1" si="29"/>
        <v>0</v>
      </c>
      <c r="BP74" s="102">
        <f t="shared" ca="1" si="29"/>
        <v>0</v>
      </c>
      <c r="BQ74" s="102">
        <f t="shared" ca="1" si="29"/>
        <v>0</v>
      </c>
      <c r="BR74" s="102">
        <f t="shared" ca="1" si="29"/>
        <v>0</v>
      </c>
      <c r="BS74" s="102">
        <f t="shared" ca="1" si="29"/>
        <v>0</v>
      </c>
      <c r="BT74" s="102">
        <f t="shared" ca="1" si="29"/>
        <v>0</v>
      </c>
      <c r="BU74" s="102">
        <f t="shared" ca="1" si="29"/>
        <v>0</v>
      </c>
      <c r="BV74" s="102">
        <f t="shared" ca="1" si="29"/>
        <v>0</v>
      </c>
      <c r="BW74" s="102">
        <f t="shared" ca="1" si="29"/>
        <v>0</v>
      </c>
      <c r="BX74" s="102">
        <f t="shared" ca="1" si="29"/>
        <v>0</v>
      </c>
      <c r="BY74" s="102">
        <f t="shared" ref="BY74:BY89" ca="1" si="33">IFERROR(FIND(" ",$AS74,IFERROR(OFFSET(BY74,0,-1)+1,1)),LEN($AS74))</f>
        <v>0</v>
      </c>
      <c r="BZ74" s="98">
        <f t="shared" ca="1" si="27"/>
        <v>0</v>
      </c>
      <c r="CA74" s="102">
        <f t="shared" ca="1" si="27"/>
        <v>0</v>
      </c>
      <c r="CB74" s="102">
        <f t="shared" ca="1" si="27"/>
        <v>0</v>
      </c>
      <c r="CC74" s="102">
        <f t="shared" ca="1" si="27"/>
        <v>0</v>
      </c>
      <c r="CD74" s="102">
        <f t="shared" ca="1" si="27"/>
        <v>0</v>
      </c>
      <c r="CE74" s="102">
        <f t="shared" ca="1" si="27"/>
        <v>0</v>
      </c>
      <c r="CF74" s="102">
        <f t="shared" ca="1" si="27"/>
        <v>0</v>
      </c>
      <c r="CG74" s="102">
        <f t="shared" ca="1" si="27"/>
        <v>0</v>
      </c>
      <c r="CH74" s="101">
        <f ca="1">COUNTIF(BZ74:CG74,"&lt;"&amp;MAX(BZ74:CG74))+IF(Calcs[[#This Row],[RL1]]=0,0,1)</f>
        <v>0</v>
      </c>
      <c r="CI7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4" s="103">
        <f ca="1">IFERROR(OFFSET(CJ74,-1,0)+0,0)+IF(INDEX(INDIRECT(RangeContrQty),MATCH(Calcs[[#This Row],[Line]],OFFSET(Items[Line],0,0,ROW(Proposed[])-ROW(Items[])+ROWS(Proposed[]),1),0)),1,0)</f>
        <v>0</v>
      </c>
    </row>
    <row r="75" spans="1:88" x14ac:dyDescent="0.15">
      <c r="A75" s="6">
        <f ca="1">IFERROR(OFFSET(A75,-1,0)+0,0)+MAX(IF(LEN(Calcs[[#This Row],[Line]])&gt;0,1,0),Calcs[[#This Row],[DL]],Calcs[[#This Row],[RL]])</f>
        <v>10</v>
      </c>
      <c r="B75" s="94" t="str">
        <f ca="1">IFERROR(INDEX(OFFSET(Items[Line],0,0,ROW(Proposed[])-ROW(Items[])+ROWS(Proposed[]),1),MATCH(ROW(B75)-ROW(B$3),INDIRECT(RangeCount),0)),"")</f>
        <v/>
      </c>
      <c r="C75" s="94" t="str">
        <f ca="1">IF(LEN(Calcs[[#This Row],[Line]])&gt;0,TRIM(IFERROR(INDEX(Items[Description],MATCH(Calcs[[#This Row],[Line]],Items[Line],0))&amp;INDEX(Items[Description2],MATCH(Calcs[[#This Row],[Line]],Items[Line],0)),INDEX(Proposed[Description],MATCH(Calcs[[#This Row],[Line]],Proposed[Line],0)))),"")</f>
        <v/>
      </c>
      <c r="D75" s="96">
        <f t="shared" ca="1" si="30"/>
        <v>0</v>
      </c>
      <c r="E75" s="97">
        <f t="shared" ca="1" si="30"/>
        <v>0</v>
      </c>
      <c r="F75" s="97">
        <f t="shared" ca="1" si="30"/>
        <v>0</v>
      </c>
      <c r="G75" s="97">
        <f t="shared" ca="1" si="30"/>
        <v>0</v>
      </c>
      <c r="H75" s="97">
        <f t="shared" ca="1" si="30"/>
        <v>0</v>
      </c>
      <c r="I75" s="97">
        <f t="shared" ca="1" si="30"/>
        <v>0</v>
      </c>
      <c r="J75" s="97">
        <f t="shared" ca="1" si="30"/>
        <v>0</v>
      </c>
      <c r="K75" s="97">
        <f t="shared" ca="1" si="30"/>
        <v>0</v>
      </c>
      <c r="L75" s="97">
        <f t="shared" ca="1" si="30"/>
        <v>0</v>
      </c>
      <c r="M75" s="97">
        <f t="shared" ca="1" si="30"/>
        <v>0</v>
      </c>
      <c r="N75" s="97">
        <f t="shared" ca="1" si="30"/>
        <v>0</v>
      </c>
      <c r="O75" s="97">
        <f t="shared" ca="1" si="30"/>
        <v>0</v>
      </c>
      <c r="P75" s="97">
        <f t="shared" ca="1" si="30"/>
        <v>0</v>
      </c>
      <c r="Q75" s="97">
        <f t="shared" ca="1" si="30"/>
        <v>0</v>
      </c>
      <c r="R75" s="97">
        <f t="shared" ca="1" si="30"/>
        <v>0</v>
      </c>
      <c r="S75" s="97">
        <f t="shared" ca="1" si="30"/>
        <v>0</v>
      </c>
      <c r="T75" s="97">
        <f t="shared" ca="1" si="28"/>
        <v>0</v>
      </c>
      <c r="U75" s="97">
        <f t="shared" ca="1" si="28"/>
        <v>0</v>
      </c>
      <c r="V75" s="97">
        <f t="shared" ca="1" si="28"/>
        <v>0</v>
      </c>
      <c r="W75" s="97">
        <f t="shared" ca="1" si="28"/>
        <v>0</v>
      </c>
      <c r="X75" s="97">
        <f t="shared" ca="1" si="28"/>
        <v>0</v>
      </c>
      <c r="Y75" s="97">
        <f t="shared" ca="1" si="28"/>
        <v>0</v>
      </c>
      <c r="Z75" s="97">
        <f t="shared" ca="1" si="28"/>
        <v>0</v>
      </c>
      <c r="AA75" s="97">
        <f t="shared" ca="1" si="28"/>
        <v>0</v>
      </c>
      <c r="AB75" s="97">
        <f t="shared" ca="1" si="28"/>
        <v>0</v>
      </c>
      <c r="AC75" s="97">
        <f t="shared" ca="1" si="28"/>
        <v>0</v>
      </c>
      <c r="AD75" s="97">
        <f t="shared" ca="1" si="28"/>
        <v>0</v>
      </c>
      <c r="AE75" s="97">
        <f t="shared" ca="1" si="28"/>
        <v>0</v>
      </c>
      <c r="AF75" s="97">
        <f t="shared" ca="1" si="28"/>
        <v>0</v>
      </c>
      <c r="AG75" s="97">
        <f t="shared" ca="1" si="28"/>
        <v>0</v>
      </c>
      <c r="AH75" s="97">
        <f t="shared" ca="1" si="28"/>
        <v>0</v>
      </c>
      <c r="AI75" s="97">
        <f t="shared" ca="1" si="32"/>
        <v>0</v>
      </c>
      <c r="AJ75" s="98">
        <f t="shared" ca="1" si="26"/>
        <v>0</v>
      </c>
      <c r="AK75" s="97">
        <f t="shared" ca="1" si="26"/>
        <v>0</v>
      </c>
      <c r="AL75" s="97">
        <f t="shared" ca="1" si="26"/>
        <v>0</v>
      </c>
      <c r="AM75" s="97">
        <f t="shared" ca="1" si="26"/>
        <v>0</v>
      </c>
      <c r="AN75" s="97">
        <f t="shared" ca="1" si="26"/>
        <v>0</v>
      </c>
      <c r="AO75" s="97">
        <f t="shared" ca="1" si="26"/>
        <v>0</v>
      </c>
      <c r="AP75" s="97">
        <f t="shared" ca="1" si="26"/>
        <v>0</v>
      </c>
      <c r="AQ75" s="97">
        <f t="shared" ca="1" si="26"/>
        <v>0</v>
      </c>
      <c r="AR75" s="99">
        <f ca="1">COUNTIF(AJ75:AQ75,"&lt;"&amp;MAX(AJ75:AQ75))+IF(Calcs[[#This Row],[DL1]]=0,0,1)</f>
        <v>0</v>
      </c>
      <c r="AS75" s="100" t="str">
        <f ca="1">IF(LEN(Calcs[[#This Row],[Line]])&gt;0,IF(RIGHT(Calcs[[#This Row],[Remark]],3)=".  ",LEFT(Calcs[[#This Row],[Remark]],LEN(Calcs[[#This Row],[Remark]])-3),Calcs[[#This Row],[Remark]]),"")</f>
        <v/>
      </c>
      <c r="AT75" s="96">
        <f t="shared" ca="1" si="31"/>
        <v>0</v>
      </c>
      <c r="AU75" s="102">
        <f t="shared" ca="1" si="31"/>
        <v>0</v>
      </c>
      <c r="AV75" s="102">
        <f t="shared" ca="1" si="31"/>
        <v>0</v>
      </c>
      <c r="AW75" s="102">
        <f t="shared" ca="1" si="31"/>
        <v>0</v>
      </c>
      <c r="AX75" s="102">
        <f t="shared" ca="1" si="31"/>
        <v>0</v>
      </c>
      <c r="AY75" s="102">
        <f t="shared" ca="1" si="31"/>
        <v>0</v>
      </c>
      <c r="AZ75" s="102">
        <f t="shared" ca="1" si="31"/>
        <v>0</v>
      </c>
      <c r="BA75" s="102">
        <f t="shared" ca="1" si="31"/>
        <v>0</v>
      </c>
      <c r="BB75" s="102">
        <f t="shared" ca="1" si="31"/>
        <v>0</v>
      </c>
      <c r="BC75" s="102">
        <f t="shared" ca="1" si="31"/>
        <v>0</v>
      </c>
      <c r="BD75" s="102">
        <f t="shared" ca="1" si="31"/>
        <v>0</v>
      </c>
      <c r="BE75" s="102">
        <f t="shared" ca="1" si="31"/>
        <v>0</v>
      </c>
      <c r="BF75" s="102">
        <f t="shared" ca="1" si="31"/>
        <v>0</v>
      </c>
      <c r="BG75" s="102">
        <f t="shared" ca="1" si="31"/>
        <v>0</v>
      </c>
      <c r="BH75" s="102">
        <f t="shared" ca="1" si="31"/>
        <v>0</v>
      </c>
      <c r="BI75" s="102">
        <f t="shared" ca="1" si="31"/>
        <v>0</v>
      </c>
      <c r="BJ75" s="102">
        <f t="shared" ca="1" si="29"/>
        <v>0</v>
      </c>
      <c r="BK75" s="102">
        <f t="shared" ca="1" si="29"/>
        <v>0</v>
      </c>
      <c r="BL75" s="102">
        <f t="shared" ca="1" si="29"/>
        <v>0</v>
      </c>
      <c r="BM75" s="102">
        <f t="shared" ca="1" si="29"/>
        <v>0</v>
      </c>
      <c r="BN75" s="102">
        <f t="shared" ca="1" si="29"/>
        <v>0</v>
      </c>
      <c r="BO75" s="102">
        <f t="shared" ca="1" si="29"/>
        <v>0</v>
      </c>
      <c r="BP75" s="102">
        <f t="shared" ca="1" si="29"/>
        <v>0</v>
      </c>
      <c r="BQ75" s="102">
        <f t="shared" ca="1" si="29"/>
        <v>0</v>
      </c>
      <c r="BR75" s="102">
        <f t="shared" ca="1" si="29"/>
        <v>0</v>
      </c>
      <c r="BS75" s="102">
        <f t="shared" ca="1" si="29"/>
        <v>0</v>
      </c>
      <c r="BT75" s="102">
        <f t="shared" ca="1" si="29"/>
        <v>0</v>
      </c>
      <c r="BU75" s="102">
        <f t="shared" ca="1" si="29"/>
        <v>0</v>
      </c>
      <c r="BV75" s="102">
        <f t="shared" ca="1" si="29"/>
        <v>0</v>
      </c>
      <c r="BW75" s="102">
        <f t="shared" ca="1" si="29"/>
        <v>0</v>
      </c>
      <c r="BX75" s="102">
        <f t="shared" ca="1" si="29"/>
        <v>0</v>
      </c>
      <c r="BY75" s="102">
        <f t="shared" ca="1" si="33"/>
        <v>0</v>
      </c>
      <c r="BZ75" s="98">
        <f t="shared" ca="1" si="27"/>
        <v>0</v>
      </c>
      <c r="CA75" s="102">
        <f t="shared" ca="1" si="27"/>
        <v>0</v>
      </c>
      <c r="CB75" s="102">
        <f t="shared" ca="1" si="27"/>
        <v>0</v>
      </c>
      <c r="CC75" s="102">
        <f t="shared" ca="1" si="27"/>
        <v>0</v>
      </c>
      <c r="CD75" s="102">
        <f t="shared" ca="1" si="27"/>
        <v>0</v>
      </c>
      <c r="CE75" s="102">
        <f t="shared" ca="1" si="27"/>
        <v>0</v>
      </c>
      <c r="CF75" s="102">
        <f t="shared" ca="1" si="27"/>
        <v>0</v>
      </c>
      <c r="CG75" s="102">
        <f t="shared" ca="1" si="27"/>
        <v>0</v>
      </c>
      <c r="CH75" s="101">
        <f ca="1">COUNTIF(BZ75:CG75,"&lt;"&amp;MAX(BZ75:CG75))+IF(Calcs[[#This Row],[RL1]]=0,0,1)</f>
        <v>0</v>
      </c>
      <c r="CI7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5" s="103">
        <f ca="1">IFERROR(OFFSET(CJ75,-1,0)+0,0)+IF(INDEX(INDIRECT(RangeContrQty),MATCH(Calcs[[#This Row],[Line]],OFFSET(Items[Line],0,0,ROW(Proposed[])-ROW(Items[])+ROWS(Proposed[]),1),0)),1,0)</f>
        <v>0</v>
      </c>
    </row>
    <row r="76" spans="1:88" x14ac:dyDescent="0.15">
      <c r="A76" s="6">
        <f ca="1">IFERROR(OFFSET(A76,-1,0)+0,0)+MAX(IF(LEN(Calcs[[#This Row],[Line]])&gt;0,1,0),Calcs[[#This Row],[DL]],Calcs[[#This Row],[RL]])</f>
        <v>10</v>
      </c>
      <c r="B76" s="94" t="str">
        <f ca="1">IFERROR(INDEX(OFFSET(Items[Line],0,0,ROW(Proposed[])-ROW(Items[])+ROWS(Proposed[]),1),MATCH(ROW(B76)-ROW(B$3),INDIRECT(RangeCount),0)),"")</f>
        <v/>
      </c>
      <c r="C76" s="94" t="str">
        <f ca="1">IF(LEN(Calcs[[#This Row],[Line]])&gt;0,TRIM(IFERROR(INDEX(Items[Description],MATCH(Calcs[[#This Row],[Line]],Items[Line],0))&amp;INDEX(Items[Description2],MATCH(Calcs[[#This Row],[Line]],Items[Line],0)),INDEX(Proposed[Description],MATCH(Calcs[[#This Row],[Line]],Proposed[Line],0)))),"")</f>
        <v/>
      </c>
      <c r="D76" s="96">
        <f t="shared" ca="1" si="30"/>
        <v>0</v>
      </c>
      <c r="E76" s="97">
        <f t="shared" ca="1" si="30"/>
        <v>0</v>
      </c>
      <c r="F76" s="97">
        <f t="shared" ca="1" si="30"/>
        <v>0</v>
      </c>
      <c r="G76" s="97">
        <f t="shared" ca="1" si="30"/>
        <v>0</v>
      </c>
      <c r="H76" s="97">
        <f t="shared" ca="1" si="30"/>
        <v>0</v>
      </c>
      <c r="I76" s="97">
        <f t="shared" ca="1" si="30"/>
        <v>0</v>
      </c>
      <c r="J76" s="97">
        <f t="shared" ca="1" si="30"/>
        <v>0</v>
      </c>
      <c r="K76" s="97">
        <f t="shared" ca="1" si="30"/>
        <v>0</v>
      </c>
      <c r="L76" s="97">
        <f t="shared" ca="1" si="30"/>
        <v>0</v>
      </c>
      <c r="M76" s="97">
        <f t="shared" ca="1" si="30"/>
        <v>0</v>
      </c>
      <c r="N76" s="97">
        <f t="shared" ca="1" si="30"/>
        <v>0</v>
      </c>
      <c r="O76" s="97">
        <f t="shared" ca="1" si="30"/>
        <v>0</v>
      </c>
      <c r="P76" s="97">
        <f t="shared" ca="1" si="30"/>
        <v>0</v>
      </c>
      <c r="Q76" s="97">
        <f t="shared" ca="1" si="30"/>
        <v>0</v>
      </c>
      <c r="R76" s="97">
        <f t="shared" ca="1" si="30"/>
        <v>0</v>
      </c>
      <c r="S76" s="97">
        <f t="shared" ca="1" si="30"/>
        <v>0</v>
      </c>
      <c r="T76" s="97">
        <f t="shared" ca="1" si="28"/>
        <v>0</v>
      </c>
      <c r="U76" s="97">
        <f t="shared" ca="1" si="28"/>
        <v>0</v>
      </c>
      <c r="V76" s="97">
        <f t="shared" ca="1" si="28"/>
        <v>0</v>
      </c>
      <c r="W76" s="97">
        <f t="shared" ca="1" si="28"/>
        <v>0</v>
      </c>
      <c r="X76" s="97">
        <f t="shared" ca="1" si="28"/>
        <v>0</v>
      </c>
      <c r="Y76" s="97">
        <f t="shared" ca="1" si="28"/>
        <v>0</v>
      </c>
      <c r="Z76" s="97">
        <f t="shared" ca="1" si="28"/>
        <v>0</v>
      </c>
      <c r="AA76" s="97">
        <f t="shared" ca="1" si="28"/>
        <v>0</v>
      </c>
      <c r="AB76" s="97">
        <f t="shared" ca="1" si="28"/>
        <v>0</v>
      </c>
      <c r="AC76" s="97">
        <f t="shared" ca="1" si="28"/>
        <v>0</v>
      </c>
      <c r="AD76" s="97">
        <f t="shared" ca="1" si="28"/>
        <v>0</v>
      </c>
      <c r="AE76" s="97">
        <f t="shared" ca="1" si="28"/>
        <v>0</v>
      </c>
      <c r="AF76" s="97">
        <f t="shared" ca="1" si="28"/>
        <v>0</v>
      </c>
      <c r="AG76" s="97">
        <f t="shared" ca="1" si="28"/>
        <v>0</v>
      </c>
      <c r="AH76" s="97">
        <f t="shared" ca="1" si="28"/>
        <v>0</v>
      </c>
      <c r="AI76" s="97">
        <f t="shared" ca="1" si="32"/>
        <v>0</v>
      </c>
      <c r="AJ76" s="98">
        <f t="shared" ca="1" si="26"/>
        <v>0</v>
      </c>
      <c r="AK76" s="97">
        <f t="shared" ca="1" si="26"/>
        <v>0</v>
      </c>
      <c r="AL76" s="97">
        <f t="shared" ca="1" si="26"/>
        <v>0</v>
      </c>
      <c r="AM76" s="97">
        <f t="shared" ca="1" si="26"/>
        <v>0</v>
      </c>
      <c r="AN76" s="97">
        <f t="shared" ca="1" si="26"/>
        <v>0</v>
      </c>
      <c r="AO76" s="97">
        <f t="shared" ca="1" si="26"/>
        <v>0</v>
      </c>
      <c r="AP76" s="97">
        <f t="shared" ca="1" si="26"/>
        <v>0</v>
      </c>
      <c r="AQ76" s="97">
        <f t="shared" ca="1" si="26"/>
        <v>0</v>
      </c>
      <c r="AR76" s="99">
        <f ca="1">COUNTIF(AJ76:AQ76,"&lt;"&amp;MAX(AJ76:AQ76))+IF(Calcs[[#This Row],[DL1]]=0,0,1)</f>
        <v>0</v>
      </c>
      <c r="AS76" s="100" t="str">
        <f ca="1">IF(LEN(Calcs[[#This Row],[Line]])&gt;0,IF(RIGHT(Calcs[[#This Row],[Remark]],3)=".  ",LEFT(Calcs[[#This Row],[Remark]],LEN(Calcs[[#This Row],[Remark]])-3),Calcs[[#This Row],[Remark]]),"")</f>
        <v/>
      </c>
      <c r="AT76" s="96">
        <f t="shared" ca="1" si="31"/>
        <v>0</v>
      </c>
      <c r="AU76" s="102">
        <f t="shared" ca="1" si="31"/>
        <v>0</v>
      </c>
      <c r="AV76" s="102">
        <f t="shared" ca="1" si="31"/>
        <v>0</v>
      </c>
      <c r="AW76" s="102">
        <f t="shared" ca="1" si="31"/>
        <v>0</v>
      </c>
      <c r="AX76" s="102">
        <f t="shared" ca="1" si="31"/>
        <v>0</v>
      </c>
      <c r="AY76" s="102">
        <f t="shared" ca="1" si="31"/>
        <v>0</v>
      </c>
      <c r="AZ76" s="102">
        <f t="shared" ca="1" si="31"/>
        <v>0</v>
      </c>
      <c r="BA76" s="102">
        <f t="shared" ca="1" si="31"/>
        <v>0</v>
      </c>
      <c r="BB76" s="102">
        <f t="shared" ca="1" si="31"/>
        <v>0</v>
      </c>
      <c r="BC76" s="102">
        <f t="shared" ca="1" si="31"/>
        <v>0</v>
      </c>
      <c r="BD76" s="102">
        <f t="shared" ca="1" si="31"/>
        <v>0</v>
      </c>
      <c r="BE76" s="102">
        <f t="shared" ca="1" si="31"/>
        <v>0</v>
      </c>
      <c r="BF76" s="102">
        <f t="shared" ca="1" si="31"/>
        <v>0</v>
      </c>
      <c r="BG76" s="102">
        <f t="shared" ca="1" si="31"/>
        <v>0</v>
      </c>
      <c r="BH76" s="102">
        <f t="shared" ca="1" si="31"/>
        <v>0</v>
      </c>
      <c r="BI76" s="102">
        <f t="shared" ca="1" si="31"/>
        <v>0</v>
      </c>
      <c r="BJ76" s="102">
        <f t="shared" ca="1" si="29"/>
        <v>0</v>
      </c>
      <c r="BK76" s="102">
        <f t="shared" ca="1" si="29"/>
        <v>0</v>
      </c>
      <c r="BL76" s="102">
        <f t="shared" ca="1" si="29"/>
        <v>0</v>
      </c>
      <c r="BM76" s="102">
        <f t="shared" ca="1" si="29"/>
        <v>0</v>
      </c>
      <c r="BN76" s="102">
        <f t="shared" ca="1" si="29"/>
        <v>0</v>
      </c>
      <c r="BO76" s="102">
        <f t="shared" ca="1" si="29"/>
        <v>0</v>
      </c>
      <c r="BP76" s="102">
        <f t="shared" ca="1" si="29"/>
        <v>0</v>
      </c>
      <c r="BQ76" s="102">
        <f t="shared" ca="1" si="29"/>
        <v>0</v>
      </c>
      <c r="BR76" s="102">
        <f t="shared" ca="1" si="29"/>
        <v>0</v>
      </c>
      <c r="BS76" s="102">
        <f t="shared" ca="1" si="29"/>
        <v>0</v>
      </c>
      <c r="BT76" s="102">
        <f t="shared" ca="1" si="29"/>
        <v>0</v>
      </c>
      <c r="BU76" s="102">
        <f t="shared" ca="1" si="29"/>
        <v>0</v>
      </c>
      <c r="BV76" s="102">
        <f t="shared" ca="1" si="29"/>
        <v>0</v>
      </c>
      <c r="BW76" s="102">
        <f t="shared" ca="1" si="29"/>
        <v>0</v>
      </c>
      <c r="BX76" s="102">
        <f t="shared" ca="1" si="29"/>
        <v>0</v>
      </c>
      <c r="BY76" s="102">
        <f t="shared" ca="1" si="33"/>
        <v>0</v>
      </c>
      <c r="BZ76" s="98">
        <f t="shared" ca="1" si="27"/>
        <v>0</v>
      </c>
      <c r="CA76" s="102">
        <f t="shared" ca="1" si="27"/>
        <v>0</v>
      </c>
      <c r="CB76" s="102">
        <f t="shared" ca="1" si="27"/>
        <v>0</v>
      </c>
      <c r="CC76" s="102">
        <f t="shared" ca="1" si="27"/>
        <v>0</v>
      </c>
      <c r="CD76" s="102">
        <f t="shared" ca="1" si="27"/>
        <v>0</v>
      </c>
      <c r="CE76" s="102">
        <f t="shared" ca="1" si="27"/>
        <v>0</v>
      </c>
      <c r="CF76" s="102">
        <f t="shared" ca="1" si="27"/>
        <v>0</v>
      </c>
      <c r="CG76" s="102">
        <f t="shared" ca="1" si="27"/>
        <v>0</v>
      </c>
      <c r="CH76" s="101">
        <f ca="1">COUNTIF(BZ76:CG76,"&lt;"&amp;MAX(BZ76:CG76))+IF(Calcs[[#This Row],[RL1]]=0,0,1)</f>
        <v>0</v>
      </c>
      <c r="CI7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6" s="103">
        <f ca="1">IFERROR(OFFSET(CJ76,-1,0)+0,0)+IF(INDEX(INDIRECT(RangeContrQty),MATCH(Calcs[[#This Row],[Line]],OFFSET(Items[Line],0,0,ROW(Proposed[])-ROW(Items[])+ROWS(Proposed[]),1),0)),1,0)</f>
        <v>0</v>
      </c>
    </row>
    <row r="77" spans="1:88" x14ac:dyDescent="0.15">
      <c r="A77" s="6">
        <f ca="1">IFERROR(OFFSET(A77,-1,0)+0,0)+MAX(IF(LEN(Calcs[[#This Row],[Line]])&gt;0,1,0),Calcs[[#This Row],[DL]],Calcs[[#This Row],[RL]])</f>
        <v>10</v>
      </c>
      <c r="B77" s="94" t="str">
        <f ca="1">IFERROR(INDEX(OFFSET(Items[Line],0,0,ROW(Proposed[])-ROW(Items[])+ROWS(Proposed[]),1),MATCH(ROW(B77)-ROW(B$3),INDIRECT(RangeCount),0)),"")</f>
        <v/>
      </c>
      <c r="C77" s="94" t="str">
        <f ca="1">IF(LEN(Calcs[[#This Row],[Line]])&gt;0,TRIM(IFERROR(INDEX(Items[Description],MATCH(Calcs[[#This Row],[Line]],Items[Line],0))&amp;INDEX(Items[Description2],MATCH(Calcs[[#This Row],[Line]],Items[Line],0)),INDEX(Proposed[Description],MATCH(Calcs[[#This Row],[Line]],Proposed[Line],0)))),"")</f>
        <v/>
      </c>
      <c r="D77" s="96">
        <f t="shared" ca="1" si="30"/>
        <v>0</v>
      </c>
      <c r="E77" s="97">
        <f t="shared" ca="1" si="30"/>
        <v>0</v>
      </c>
      <c r="F77" s="97">
        <f t="shared" ca="1" si="30"/>
        <v>0</v>
      </c>
      <c r="G77" s="97">
        <f t="shared" ca="1" si="30"/>
        <v>0</v>
      </c>
      <c r="H77" s="97">
        <f t="shared" ca="1" si="30"/>
        <v>0</v>
      </c>
      <c r="I77" s="97">
        <f t="shared" ca="1" si="30"/>
        <v>0</v>
      </c>
      <c r="J77" s="97">
        <f t="shared" ca="1" si="30"/>
        <v>0</v>
      </c>
      <c r="K77" s="97">
        <f t="shared" ca="1" si="30"/>
        <v>0</v>
      </c>
      <c r="L77" s="97">
        <f t="shared" ca="1" si="30"/>
        <v>0</v>
      </c>
      <c r="M77" s="97">
        <f t="shared" ca="1" si="30"/>
        <v>0</v>
      </c>
      <c r="N77" s="97">
        <f t="shared" ca="1" si="30"/>
        <v>0</v>
      </c>
      <c r="O77" s="97">
        <f t="shared" ca="1" si="30"/>
        <v>0</v>
      </c>
      <c r="P77" s="97">
        <f t="shared" ca="1" si="30"/>
        <v>0</v>
      </c>
      <c r="Q77" s="97">
        <f t="shared" ca="1" si="30"/>
        <v>0</v>
      </c>
      <c r="R77" s="97">
        <f t="shared" ca="1" si="30"/>
        <v>0</v>
      </c>
      <c r="S77" s="97">
        <f t="shared" ca="1" si="30"/>
        <v>0</v>
      </c>
      <c r="T77" s="97">
        <f t="shared" ca="1" si="28"/>
        <v>0</v>
      </c>
      <c r="U77" s="97">
        <f t="shared" ca="1" si="28"/>
        <v>0</v>
      </c>
      <c r="V77" s="97">
        <f t="shared" ca="1" si="28"/>
        <v>0</v>
      </c>
      <c r="W77" s="97">
        <f t="shared" ca="1" si="28"/>
        <v>0</v>
      </c>
      <c r="X77" s="97">
        <f t="shared" ca="1" si="28"/>
        <v>0</v>
      </c>
      <c r="Y77" s="97">
        <f t="shared" ca="1" si="28"/>
        <v>0</v>
      </c>
      <c r="Z77" s="97">
        <f t="shared" ca="1" si="28"/>
        <v>0</v>
      </c>
      <c r="AA77" s="97">
        <f t="shared" ca="1" si="28"/>
        <v>0</v>
      </c>
      <c r="AB77" s="97">
        <f t="shared" ca="1" si="28"/>
        <v>0</v>
      </c>
      <c r="AC77" s="97">
        <f t="shared" ca="1" si="28"/>
        <v>0</v>
      </c>
      <c r="AD77" s="97">
        <f t="shared" ca="1" si="28"/>
        <v>0</v>
      </c>
      <c r="AE77" s="97">
        <f t="shared" ca="1" si="28"/>
        <v>0</v>
      </c>
      <c r="AF77" s="97">
        <f t="shared" ca="1" si="28"/>
        <v>0</v>
      </c>
      <c r="AG77" s="97">
        <f t="shared" ca="1" si="28"/>
        <v>0</v>
      </c>
      <c r="AH77" s="97">
        <f t="shared" ca="1" si="28"/>
        <v>0</v>
      </c>
      <c r="AI77" s="97">
        <f t="shared" ca="1" si="32"/>
        <v>0</v>
      </c>
      <c r="AJ77" s="98">
        <f t="shared" ca="1" si="26"/>
        <v>0</v>
      </c>
      <c r="AK77" s="97">
        <f t="shared" ca="1" si="26"/>
        <v>0</v>
      </c>
      <c r="AL77" s="97">
        <f t="shared" ca="1" si="26"/>
        <v>0</v>
      </c>
      <c r="AM77" s="97">
        <f t="shared" ca="1" si="26"/>
        <v>0</v>
      </c>
      <c r="AN77" s="97">
        <f t="shared" ca="1" si="26"/>
        <v>0</v>
      </c>
      <c r="AO77" s="97">
        <f t="shared" ca="1" si="26"/>
        <v>0</v>
      </c>
      <c r="AP77" s="97">
        <f t="shared" ca="1" si="26"/>
        <v>0</v>
      </c>
      <c r="AQ77" s="97">
        <f t="shared" ca="1" si="26"/>
        <v>0</v>
      </c>
      <c r="AR77" s="99">
        <f ca="1">COUNTIF(AJ77:AQ77,"&lt;"&amp;MAX(AJ77:AQ77))+IF(Calcs[[#This Row],[DL1]]=0,0,1)</f>
        <v>0</v>
      </c>
      <c r="AS77" s="100" t="str">
        <f ca="1">IF(LEN(Calcs[[#This Row],[Line]])&gt;0,IF(RIGHT(Calcs[[#This Row],[Remark]],3)=".  ",LEFT(Calcs[[#This Row],[Remark]],LEN(Calcs[[#This Row],[Remark]])-3),Calcs[[#This Row],[Remark]]),"")</f>
        <v/>
      </c>
      <c r="AT77" s="96">
        <f t="shared" ca="1" si="31"/>
        <v>0</v>
      </c>
      <c r="AU77" s="102">
        <f t="shared" ca="1" si="31"/>
        <v>0</v>
      </c>
      <c r="AV77" s="102">
        <f t="shared" ca="1" si="31"/>
        <v>0</v>
      </c>
      <c r="AW77" s="102">
        <f t="shared" ca="1" si="31"/>
        <v>0</v>
      </c>
      <c r="AX77" s="102">
        <f t="shared" ca="1" si="31"/>
        <v>0</v>
      </c>
      <c r="AY77" s="102">
        <f t="shared" ca="1" si="31"/>
        <v>0</v>
      </c>
      <c r="AZ77" s="102">
        <f t="shared" ca="1" si="31"/>
        <v>0</v>
      </c>
      <c r="BA77" s="102">
        <f t="shared" ca="1" si="31"/>
        <v>0</v>
      </c>
      <c r="BB77" s="102">
        <f t="shared" ca="1" si="31"/>
        <v>0</v>
      </c>
      <c r="BC77" s="102">
        <f t="shared" ca="1" si="31"/>
        <v>0</v>
      </c>
      <c r="BD77" s="102">
        <f t="shared" ca="1" si="31"/>
        <v>0</v>
      </c>
      <c r="BE77" s="102">
        <f t="shared" ca="1" si="31"/>
        <v>0</v>
      </c>
      <c r="BF77" s="102">
        <f t="shared" ca="1" si="31"/>
        <v>0</v>
      </c>
      <c r="BG77" s="102">
        <f t="shared" ca="1" si="31"/>
        <v>0</v>
      </c>
      <c r="BH77" s="102">
        <f t="shared" ca="1" si="31"/>
        <v>0</v>
      </c>
      <c r="BI77" s="102">
        <f t="shared" ca="1" si="31"/>
        <v>0</v>
      </c>
      <c r="BJ77" s="102">
        <f t="shared" ca="1" si="29"/>
        <v>0</v>
      </c>
      <c r="BK77" s="102">
        <f t="shared" ca="1" si="29"/>
        <v>0</v>
      </c>
      <c r="BL77" s="102">
        <f t="shared" ca="1" si="29"/>
        <v>0</v>
      </c>
      <c r="BM77" s="102">
        <f t="shared" ca="1" si="29"/>
        <v>0</v>
      </c>
      <c r="BN77" s="102">
        <f t="shared" ca="1" si="29"/>
        <v>0</v>
      </c>
      <c r="BO77" s="102">
        <f t="shared" ca="1" si="29"/>
        <v>0</v>
      </c>
      <c r="BP77" s="102">
        <f t="shared" ca="1" si="29"/>
        <v>0</v>
      </c>
      <c r="BQ77" s="102">
        <f t="shared" ca="1" si="29"/>
        <v>0</v>
      </c>
      <c r="BR77" s="102">
        <f t="shared" ca="1" si="29"/>
        <v>0</v>
      </c>
      <c r="BS77" s="102">
        <f t="shared" ca="1" si="29"/>
        <v>0</v>
      </c>
      <c r="BT77" s="102">
        <f t="shared" ca="1" si="29"/>
        <v>0</v>
      </c>
      <c r="BU77" s="102">
        <f t="shared" ca="1" si="29"/>
        <v>0</v>
      </c>
      <c r="BV77" s="102">
        <f t="shared" ca="1" si="29"/>
        <v>0</v>
      </c>
      <c r="BW77" s="102">
        <f t="shared" ca="1" si="29"/>
        <v>0</v>
      </c>
      <c r="BX77" s="102">
        <f t="shared" ca="1" si="29"/>
        <v>0</v>
      </c>
      <c r="BY77" s="102">
        <f t="shared" ca="1" si="33"/>
        <v>0</v>
      </c>
      <c r="BZ77" s="98">
        <f t="shared" ca="1" si="27"/>
        <v>0</v>
      </c>
      <c r="CA77" s="102">
        <f t="shared" ca="1" si="27"/>
        <v>0</v>
      </c>
      <c r="CB77" s="102">
        <f t="shared" ca="1" si="27"/>
        <v>0</v>
      </c>
      <c r="CC77" s="102">
        <f t="shared" ca="1" si="27"/>
        <v>0</v>
      </c>
      <c r="CD77" s="102">
        <f t="shared" ca="1" si="27"/>
        <v>0</v>
      </c>
      <c r="CE77" s="102">
        <f t="shared" ca="1" si="27"/>
        <v>0</v>
      </c>
      <c r="CF77" s="102">
        <f t="shared" ca="1" si="27"/>
        <v>0</v>
      </c>
      <c r="CG77" s="102">
        <f t="shared" ca="1" si="27"/>
        <v>0</v>
      </c>
      <c r="CH77" s="101">
        <f ca="1">COUNTIF(BZ77:CG77,"&lt;"&amp;MAX(BZ77:CG77))+IF(Calcs[[#This Row],[RL1]]=0,0,1)</f>
        <v>0</v>
      </c>
      <c r="CI7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7" s="103">
        <f ca="1">IFERROR(OFFSET(CJ77,-1,0)+0,0)+IF(INDEX(INDIRECT(RangeContrQty),MATCH(Calcs[[#This Row],[Line]],OFFSET(Items[Line],0,0,ROW(Proposed[])-ROW(Items[])+ROWS(Proposed[]),1),0)),1,0)</f>
        <v>0</v>
      </c>
    </row>
    <row r="78" spans="1:88" x14ac:dyDescent="0.15">
      <c r="A78" s="6">
        <f ca="1">IFERROR(OFFSET(A78,-1,0)+0,0)+MAX(IF(LEN(Calcs[[#This Row],[Line]])&gt;0,1,0),Calcs[[#This Row],[DL]],Calcs[[#This Row],[RL]])</f>
        <v>10</v>
      </c>
      <c r="B78" s="94" t="str">
        <f ca="1">IFERROR(INDEX(OFFSET(Items[Line],0,0,ROW(Proposed[])-ROW(Items[])+ROWS(Proposed[]),1),MATCH(ROW(B78)-ROW(B$3),INDIRECT(RangeCount),0)),"")</f>
        <v/>
      </c>
      <c r="C78" s="94" t="str">
        <f ca="1">IF(LEN(Calcs[[#This Row],[Line]])&gt;0,TRIM(IFERROR(INDEX(Items[Description],MATCH(Calcs[[#This Row],[Line]],Items[Line],0))&amp;INDEX(Items[Description2],MATCH(Calcs[[#This Row],[Line]],Items[Line],0)),INDEX(Proposed[Description],MATCH(Calcs[[#This Row],[Line]],Proposed[Line],0)))),"")</f>
        <v/>
      </c>
      <c r="D78" s="96">
        <f t="shared" ca="1" si="30"/>
        <v>0</v>
      </c>
      <c r="E78" s="97">
        <f t="shared" ca="1" si="30"/>
        <v>0</v>
      </c>
      <c r="F78" s="97">
        <f t="shared" ca="1" si="30"/>
        <v>0</v>
      </c>
      <c r="G78" s="97">
        <f t="shared" ca="1" si="30"/>
        <v>0</v>
      </c>
      <c r="H78" s="97">
        <f t="shared" ca="1" si="30"/>
        <v>0</v>
      </c>
      <c r="I78" s="97">
        <f t="shared" ca="1" si="30"/>
        <v>0</v>
      </c>
      <c r="J78" s="97">
        <f t="shared" ca="1" si="30"/>
        <v>0</v>
      </c>
      <c r="K78" s="97">
        <f t="shared" ca="1" si="30"/>
        <v>0</v>
      </c>
      <c r="L78" s="97">
        <f t="shared" ca="1" si="30"/>
        <v>0</v>
      </c>
      <c r="M78" s="97">
        <f t="shared" ca="1" si="30"/>
        <v>0</v>
      </c>
      <c r="N78" s="97">
        <f t="shared" ca="1" si="30"/>
        <v>0</v>
      </c>
      <c r="O78" s="97">
        <f t="shared" ca="1" si="30"/>
        <v>0</v>
      </c>
      <c r="P78" s="97">
        <f t="shared" ca="1" si="30"/>
        <v>0</v>
      </c>
      <c r="Q78" s="97">
        <f t="shared" ca="1" si="30"/>
        <v>0</v>
      </c>
      <c r="R78" s="97">
        <f t="shared" ca="1" si="30"/>
        <v>0</v>
      </c>
      <c r="S78" s="97">
        <f t="shared" ca="1" si="30"/>
        <v>0</v>
      </c>
      <c r="T78" s="97">
        <f t="shared" ca="1" si="28"/>
        <v>0</v>
      </c>
      <c r="U78" s="97">
        <f t="shared" ca="1" si="28"/>
        <v>0</v>
      </c>
      <c r="V78" s="97">
        <f t="shared" ca="1" si="28"/>
        <v>0</v>
      </c>
      <c r="W78" s="97">
        <f t="shared" ca="1" si="28"/>
        <v>0</v>
      </c>
      <c r="X78" s="97">
        <f t="shared" ca="1" si="28"/>
        <v>0</v>
      </c>
      <c r="Y78" s="97">
        <f t="shared" ca="1" si="28"/>
        <v>0</v>
      </c>
      <c r="Z78" s="97">
        <f t="shared" ca="1" si="28"/>
        <v>0</v>
      </c>
      <c r="AA78" s="97">
        <f t="shared" ca="1" si="28"/>
        <v>0</v>
      </c>
      <c r="AB78" s="97">
        <f t="shared" ca="1" si="28"/>
        <v>0</v>
      </c>
      <c r="AC78" s="97">
        <f t="shared" ca="1" si="28"/>
        <v>0</v>
      </c>
      <c r="AD78" s="97">
        <f t="shared" ca="1" si="28"/>
        <v>0</v>
      </c>
      <c r="AE78" s="97">
        <f t="shared" ca="1" si="28"/>
        <v>0</v>
      </c>
      <c r="AF78" s="97">
        <f t="shared" ca="1" si="28"/>
        <v>0</v>
      </c>
      <c r="AG78" s="97">
        <f t="shared" ca="1" si="28"/>
        <v>0</v>
      </c>
      <c r="AH78" s="97">
        <f t="shared" ca="1" si="28"/>
        <v>0</v>
      </c>
      <c r="AI78" s="97">
        <f t="shared" ca="1" si="32"/>
        <v>0</v>
      </c>
      <c r="AJ78" s="98">
        <f t="shared" ca="1" si="26"/>
        <v>0</v>
      </c>
      <c r="AK78" s="97">
        <f t="shared" ca="1" si="26"/>
        <v>0</v>
      </c>
      <c r="AL78" s="97">
        <f t="shared" ca="1" si="26"/>
        <v>0</v>
      </c>
      <c r="AM78" s="97">
        <f t="shared" ca="1" si="26"/>
        <v>0</v>
      </c>
      <c r="AN78" s="97">
        <f t="shared" ca="1" si="26"/>
        <v>0</v>
      </c>
      <c r="AO78" s="97">
        <f t="shared" ca="1" si="26"/>
        <v>0</v>
      </c>
      <c r="AP78" s="97">
        <f t="shared" ca="1" si="26"/>
        <v>0</v>
      </c>
      <c r="AQ78" s="97">
        <f t="shared" ca="1" si="26"/>
        <v>0</v>
      </c>
      <c r="AR78" s="99">
        <f ca="1">COUNTIF(AJ78:AQ78,"&lt;"&amp;MAX(AJ78:AQ78))+IF(Calcs[[#This Row],[DL1]]=0,0,1)</f>
        <v>0</v>
      </c>
      <c r="AS78" s="100" t="str">
        <f ca="1">IF(LEN(Calcs[[#This Row],[Line]])&gt;0,IF(RIGHT(Calcs[[#This Row],[Remark]],3)=".  ",LEFT(Calcs[[#This Row],[Remark]],LEN(Calcs[[#This Row],[Remark]])-3),Calcs[[#This Row],[Remark]]),"")</f>
        <v/>
      </c>
      <c r="AT78" s="96">
        <f t="shared" ca="1" si="31"/>
        <v>0</v>
      </c>
      <c r="AU78" s="102">
        <f t="shared" ca="1" si="31"/>
        <v>0</v>
      </c>
      <c r="AV78" s="102">
        <f t="shared" ca="1" si="31"/>
        <v>0</v>
      </c>
      <c r="AW78" s="102">
        <f t="shared" ca="1" si="31"/>
        <v>0</v>
      </c>
      <c r="AX78" s="102">
        <f t="shared" ca="1" si="31"/>
        <v>0</v>
      </c>
      <c r="AY78" s="102">
        <f t="shared" ca="1" si="31"/>
        <v>0</v>
      </c>
      <c r="AZ78" s="102">
        <f t="shared" ca="1" si="31"/>
        <v>0</v>
      </c>
      <c r="BA78" s="102">
        <f t="shared" ca="1" si="31"/>
        <v>0</v>
      </c>
      <c r="BB78" s="102">
        <f t="shared" ca="1" si="31"/>
        <v>0</v>
      </c>
      <c r="BC78" s="102">
        <f t="shared" ca="1" si="31"/>
        <v>0</v>
      </c>
      <c r="BD78" s="102">
        <f t="shared" ca="1" si="31"/>
        <v>0</v>
      </c>
      <c r="BE78" s="102">
        <f t="shared" ca="1" si="31"/>
        <v>0</v>
      </c>
      <c r="BF78" s="102">
        <f t="shared" ca="1" si="31"/>
        <v>0</v>
      </c>
      <c r="BG78" s="102">
        <f t="shared" ca="1" si="31"/>
        <v>0</v>
      </c>
      <c r="BH78" s="102">
        <f t="shared" ca="1" si="31"/>
        <v>0</v>
      </c>
      <c r="BI78" s="102">
        <f t="shared" ca="1" si="31"/>
        <v>0</v>
      </c>
      <c r="BJ78" s="102">
        <f t="shared" ca="1" si="29"/>
        <v>0</v>
      </c>
      <c r="BK78" s="102">
        <f t="shared" ca="1" si="29"/>
        <v>0</v>
      </c>
      <c r="BL78" s="102">
        <f t="shared" ca="1" si="29"/>
        <v>0</v>
      </c>
      <c r="BM78" s="102">
        <f t="shared" ca="1" si="29"/>
        <v>0</v>
      </c>
      <c r="BN78" s="102">
        <f t="shared" ca="1" si="29"/>
        <v>0</v>
      </c>
      <c r="BO78" s="102">
        <f t="shared" ca="1" si="29"/>
        <v>0</v>
      </c>
      <c r="BP78" s="102">
        <f t="shared" ca="1" si="29"/>
        <v>0</v>
      </c>
      <c r="BQ78" s="102">
        <f t="shared" ca="1" si="29"/>
        <v>0</v>
      </c>
      <c r="BR78" s="102">
        <f t="shared" ca="1" si="29"/>
        <v>0</v>
      </c>
      <c r="BS78" s="102">
        <f t="shared" ca="1" si="29"/>
        <v>0</v>
      </c>
      <c r="BT78" s="102">
        <f t="shared" ca="1" si="29"/>
        <v>0</v>
      </c>
      <c r="BU78" s="102">
        <f t="shared" ca="1" si="29"/>
        <v>0</v>
      </c>
      <c r="BV78" s="102">
        <f t="shared" ca="1" si="29"/>
        <v>0</v>
      </c>
      <c r="BW78" s="102">
        <f t="shared" ca="1" si="29"/>
        <v>0</v>
      </c>
      <c r="BX78" s="102">
        <f t="shared" ca="1" si="29"/>
        <v>0</v>
      </c>
      <c r="BY78" s="102">
        <f t="shared" ca="1" si="33"/>
        <v>0</v>
      </c>
      <c r="BZ78" s="98">
        <f t="shared" ca="1" si="27"/>
        <v>0</v>
      </c>
      <c r="CA78" s="102">
        <f t="shared" ca="1" si="27"/>
        <v>0</v>
      </c>
      <c r="CB78" s="102">
        <f t="shared" ca="1" si="27"/>
        <v>0</v>
      </c>
      <c r="CC78" s="102">
        <f t="shared" ca="1" si="27"/>
        <v>0</v>
      </c>
      <c r="CD78" s="102">
        <f t="shared" ca="1" si="27"/>
        <v>0</v>
      </c>
      <c r="CE78" s="102">
        <f t="shared" ca="1" si="27"/>
        <v>0</v>
      </c>
      <c r="CF78" s="102">
        <f t="shared" ca="1" si="27"/>
        <v>0</v>
      </c>
      <c r="CG78" s="102">
        <f t="shared" ca="1" si="27"/>
        <v>0</v>
      </c>
      <c r="CH78" s="101">
        <f ca="1">COUNTIF(BZ78:CG78,"&lt;"&amp;MAX(BZ78:CG78))+IF(Calcs[[#This Row],[RL1]]=0,0,1)</f>
        <v>0</v>
      </c>
      <c r="CI7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8" s="103">
        <f ca="1">IFERROR(OFFSET(CJ78,-1,0)+0,0)+IF(INDEX(INDIRECT(RangeContrQty),MATCH(Calcs[[#This Row],[Line]],OFFSET(Items[Line],0,0,ROW(Proposed[])-ROW(Items[])+ROWS(Proposed[]),1),0)),1,0)</f>
        <v>0</v>
      </c>
    </row>
    <row r="79" spans="1:88" x14ac:dyDescent="0.15">
      <c r="A79" s="6">
        <f ca="1">IFERROR(OFFSET(A79,-1,0)+0,0)+MAX(IF(LEN(Calcs[[#This Row],[Line]])&gt;0,1,0),Calcs[[#This Row],[DL]],Calcs[[#This Row],[RL]])</f>
        <v>10</v>
      </c>
      <c r="B79" s="94" t="str">
        <f ca="1">IFERROR(INDEX(OFFSET(Items[Line],0,0,ROW(Proposed[])-ROW(Items[])+ROWS(Proposed[]),1),MATCH(ROW(B79)-ROW(B$3),INDIRECT(RangeCount),0)),"")</f>
        <v/>
      </c>
      <c r="C79" s="94" t="str">
        <f ca="1">IF(LEN(Calcs[[#This Row],[Line]])&gt;0,TRIM(IFERROR(INDEX(Items[Description],MATCH(Calcs[[#This Row],[Line]],Items[Line],0))&amp;INDEX(Items[Description2],MATCH(Calcs[[#This Row],[Line]],Items[Line],0)),INDEX(Proposed[Description],MATCH(Calcs[[#This Row],[Line]],Proposed[Line],0)))),"")</f>
        <v/>
      </c>
      <c r="D79" s="96">
        <f t="shared" ca="1" si="30"/>
        <v>0</v>
      </c>
      <c r="E79" s="97">
        <f t="shared" ca="1" si="30"/>
        <v>0</v>
      </c>
      <c r="F79" s="97">
        <f t="shared" ca="1" si="30"/>
        <v>0</v>
      </c>
      <c r="G79" s="97">
        <f t="shared" ca="1" si="30"/>
        <v>0</v>
      </c>
      <c r="H79" s="97">
        <f t="shared" ca="1" si="30"/>
        <v>0</v>
      </c>
      <c r="I79" s="97">
        <f t="shared" ca="1" si="30"/>
        <v>0</v>
      </c>
      <c r="J79" s="97">
        <f t="shared" ca="1" si="30"/>
        <v>0</v>
      </c>
      <c r="K79" s="97">
        <f t="shared" ca="1" si="30"/>
        <v>0</v>
      </c>
      <c r="L79" s="97">
        <f t="shared" ca="1" si="30"/>
        <v>0</v>
      </c>
      <c r="M79" s="97">
        <f t="shared" ca="1" si="30"/>
        <v>0</v>
      </c>
      <c r="N79" s="97">
        <f t="shared" ca="1" si="30"/>
        <v>0</v>
      </c>
      <c r="O79" s="97">
        <f t="shared" ca="1" si="30"/>
        <v>0</v>
      </c>
      <c r="P79" s="97">
        <f t="shared" ca="1" si="30"/>
        <v>0</v>
      </c>
      <c r="Q79" s="97">
        <f t="shared" ca="1" si="30"/>
        <v>0</v>
      </c>
      <c r="R79" s="97">
        <f t="shared" ca="1" si="30"/>
        <v>0</v>
      </c>
      <c r="S79" s="97">
        <f t="shared" ca="1" si="30"/>
        <v>0</v>
      </c>
      <c r="T79" s="97">
        <f t="shared" ca="1" si="28"/>
        <v>0</v>
      </c>
      <c r="U79" s="97">
        <f t="shared" ca="1" si="28"/>
        <v>0</v>
      </c>
      <c r="V79" s="97">
        <f t="shared" ca="1" si="28"/>
        <v>0</v>
      </c>
      <c r="W79" s="97">
        <f t="shared" ca="1" si="28"/>
        <v>0</v>
      </c>
      <c r="X79" s="97">
        <f t="shared" ca="1" si="28"/>
        <v>0</v>
      </c>
      <c r="Y79" s="97">
        <f t="shared" ca="1" si="28"/>
        <v>0</v>
      </c>
      <c r="Z79" s="97">
        <f t="shared" ca="1" si="28"/>
        <v>0</v>
      </c>
      <c r="AA79" s="97">
        <f t="shared" ca="1" si="28"/>
        <v>0</v>
      </c>
      <c r="AB79" s="97">
        <f t="shared" ca="1" si="28"/>
        <v>0</v>
      </c>
      <c r="AC79" s="97">
        <f t="shared" ca="1" si="28"/>
        <v>0</v>
      </c>
      <c r="AD79" s="97">
        <f t="shared" ca="1" si="28"/>
        <v>0</v>
      </c>
      <c r="AE79" s="97">
        <f t="shared" ca="1" si="28"/>
        <v>0</v>
      </c>
      <c r="AF79" s="97">
        <f t="shared" ca="1" si="28"/>
        <v>0</v>
      </c>
      <c r="AG79" s="97">
        <f t="shared" ca="1" si="28"/>
        <v>0</v>
      </c>
      <c r="AH79" s="97">
        <f t="shared" ca="1" si="28"/>
        <v>0</v>
      </c>
      <c r="AI79" s="97">
        <f t="shared" ca="1" si="32"/>
        <v>0</v>
      </c>
      <c r="AJ79" s="98">
        <f t="shared" ca="1" si="26"/>
        <v>0</v>
      </c>
      <c r="AK79" s="97">
        <f t="shared" ca="1" si="26"/>
        <v>0</v>
      </c>
      <c r="AL79" s="97">
        <f t="shared" ca="1" si="26"/>
        <v>0</v>
      </c>
      <c r="AM79" s="97">
        <f t="shared" ca="1" si="26"/>
        <v>0</v>
      </c>
      <c r="AN79" s="97">
        <f t="shared" ca="1" si="26"/>
        <v>0</v>
      </c>
      <c r="AO79" s="97">
        <f t="shared" ca="1" si="26"/>
        <v>0</v>
      </c>
      <c r="AP79" s="97">
        <f t="shared" ca="1" si="26"/>
        <v>0</v>
      </c>
      <c r="AQ79" s="97">
        <f t="shared" ca="1" si="26"/>
        <v>0</v>
      </c>
      <c r="AR79" s="99">
        <f ca="1">COUNTIF(AJ79:AQ79,"&lt;"&amp;MAX(AJ79:AQ79))+IF(Calcs[[#This Row],[DL1]]=0,0,1)</f>
        <v>0</v>
      </c>
      <c r="AS79" s="100" t="str">
        <f ca="1">IF(LEN(Calcs[[#This Row],[Line]])&gt;0,IF(RIGHT(Calcs[[#This Row],[Remark]],3)=".  ",LEFT(Calcs[[#This Row],[Remark]],LEN(Calcs[[#This Row],[Remark]])-3),Calcs[[#This Row],[Remark]]),"")</f>
        <v/>
      </c>
      <c r="AT79" s="96">
        <f t="shared" ca="1" si="31"/>
        <v>0</v>
      </c>
      <c r="AU79" s="102">
        <f t="shared" ca="1" si="31"/>
        <v>0</v>
      </c>
      <c r="AV79" s="102">
        <f t="shared" ca="1" si="31"/>
        <v>0</v>
      </c>
      <c r="AW79" s="102">
        <f t="shared" ca="1" si="31"/>
        <v>0</v>
      </c>
      <c r="AX79" s="102">
        <f t="shared" ca="1" si="31"/>
        <v>0</v>
      </c>
      <c r="AY79" s="102">
        <f t="shared" ca="1" si="31"/>
        <v>0</v>
      </c>
      <c r="AZ79" s="102">
        <f t="shared" ca="1" si="31"/>
        <v>0</v>
      </c>
      <c r="BA79" s="102">
        <f t="shared" ca="1" si="31"/>
        <v>0</v>
      </c>
      <c r="BB79" s="102">
        <f t="shared" ca="1" si="31"/>
        <v>0</v>
      </c>
      <c r="BC79" s="102">
        <f t="shared" ca="1" si="31"/>
        <v>0</v>
      </c>
      <c r="BD79" s="102">
        <f t="shared" ca="1" si="31"/>
        <v>0</v>
      </c>
      <c r="BE79" s="102">
        <f t="shared" ca="1" si="31"/>
        <v>0</v>
      </c>
      <c r="BF79" s="102">
        <f t="shared" ca="1" si="31"/>
        <v>0</v>
      </c>
      <c r="BG79" s="102">
        <f t="shared" ca="1" si="31"/>
        <v>0</v>
      </c>
      <c r="BH79" s="102">
        <f t="shared" ca="1" si="31"/>
        <v>0</v>
      </c>
      <c r="BI79" s="102">
        <f t="shared" ca="1" si="31"/>
        <v>0</v>
      </c>
      <c r="BJ79" s="102">
        <f t="shared" ca="1" si="29"/>
        <v>0</v>
      </c>
      <c r="BK79" s="102">
        <f t="shared" ca="1" si="29"/>
        <v>0</v>
      </c>
      <c r="BL79" s="102">
        <f t="shared" ca="1" si="29"/>
        <v>0</v>
      </c>
      <c r="BM79" s="102">
        <f t="shared" ca="1" si="29"/>
        <v>0</v>
      </c>
      <c r="BN79" s="102">
        <f t="shared" ca="1" si="29"/>
        <v>0</v>
      </c>
      <c r="BO79" s="102">
        <f t="shared" ca="1" si="29"/>
        <v>0</v>
      </c>
      <c r="BP79" s="102">
        <f t="shared" ca="1" si="29"/>
        <v>0</v>
      </c>
      <c r="BQ79" s="102">
        <f t="shared" ca="1" si="29"/>
        <v>0</v>
      </c>
      <c r="BR79" s="102">
        <f t="shared" ca="1" si="29"/>
        <v>0</v>
      </c>
      <c r="BS79" s="102">
        <f t="shared" ca="1" si="29"/>
        <v>0</v>
      </c>
      <c r="BT79" s="102">
        <f t="shared" ca="1" si="29"/>
        <v>0</v>
      </c>
      <c r="BU79" s="102">
        <f t="shared" ca="1" si="29"/>
        <v>0</v>
      </c>
      <c r="BV79" s="102">
        <f t="shared" ca="1" si="29"/>
        <v>0</v>
      </c>
      <c r="BW79" s="102">
        <f t="shared" ca="1" si="29"/>
        <v>0</v>
      </c>
      <c r="BX79" s="102">
        <f t="shared" ca="1" si="29"/>
        <v>0</v>
      </c>
      <c r="BY79" s="102">
        <f t="shared" ca="1" si="33"/>
        <v>0</v>
      </c>
      <c r="BZ79" s="98">
        <f t="shared" ca="1" si="27"/>
        <v>0</v>
      </c>
      <c r="CA79" s="102">
        <f t="shared" ca="1" si="27"/>
        <v>0</v>
      </c>
      <c r="CB79" s="102">
        <f t="shared" ca="1" si="27"/>
        <v>0</v>
      </c>
      <c r="CC79" s="102">
        <f t="shared" ca="1" si="27"/>
        <v>0</v>
      </c>
      <c r="CD79" s="102">
        <f t="shared" ca="1" si="27"/>
        <v>0</v>
      </c>
      <c r="CE79" s="102">
        <f t="shared" ca="1" si="27"/>
        <v>0</v>
      </c>
      <c r="CF79" s="102">
        <f t="shared" ca="1" si="27"/>
        <v>0</v>
      </c>
      <c r="CG79" s="102">
        <f t="shared" ca="1" si="27"/>
        <v>0</v>
      </c>
      <c r="CH79" s="101">
        <f ca="1">COUNTIF(BZ79:CG79,"&lt;"&amp;MAX(BZ79:CG79))+IF(Calcs[[#This Row],[RL1]]=0,0,1)</f>
        <v>0</v>
      </c>
      <c r="CI7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9" s="103">
        <f ca="1">IFERROR(OFFSET(CJ79,-1,0)+0,0)+IF(INDEX(INDIRECT(RangeContrQty),MATCH(Calcs[[#This Row],[Line]],OFFSET(Items[Line],0,0,ROW(Proposed[])-ROW(Items[])+ROWS(Proposed[]),1),0)),1,0)</f>
        <v>0</v>
      </c>
    </row>
    <row r="80" spans="1:88" x14ac:dyDescent="0.15">
      <c r="A80" s="6">
        <f ca="1">IFERROR(OFFSET(A80,-1,0)+0,0)+MAX(IF(LEN(Calcs[[#This Row],[Line]])&gt;0,1,0),Calcs[[#This Row],[DL]],Calcs[[#This Row],[RL]])</f>
        <v>10</v>
      </c>
      <c r="B80" s="94" t="str">
        <f ca="1">IFERROR(INDEX(OFFSET(Items[Line],0,0,ROW(Proposed[])-ROW(Items[])+ROWS(Proposed[]),1),MATCH(ROW(B80)-ROW(B$3),INDIRECT(RangeCount),0)),"")</f>
        <v/>
      </c>
      <c r="C80" s="94" t="str">
        <f ca="1">IF(LEN(Calcs[[#This Row],[Line]])&gt;0,TRIM(IFERROR(INDEX(Items[Description],MATCH(Calcs[[#This Row],[Line]],Items[Line],0))&amp;INDEX(Items[Description2],MATCH(Calcs[[#This Row],[Line]],Items[Line],0)),INDEX(Proposed[Description],MATCH(Calcs[[#This Row],[Line]],Proposed[Line],0)))),"")</f>
        <v/>
      </c>
      <c r="D80" s="96">
        <f t="shared" ca="1" si="30"/>
        <v>0</v>
      </c>
      <c r="E80" s="97">
        <f t="shared" ca="1" si="30"/>
        <v>0</v>
      </c>
      <c r="F80" s="97">
        <f t="shared" ca="1" si="30"/>
        <v>0</v>
      </c>
      <c r="G80" s="97">
        <f t="shared" ca="1" si="30"/>
        <v>0</v>
      </c>
      <c r="H80" s="97">
        <f t="shared" ca="1" si="30"/>
        <v>0</v>
      </c>
      <c r="I80" s="97">
        <f t="shared" ca="1" si="30"/>
        <v>0</v>
      </c>
      <c r="J80" s="97">
        <f t="shared" ca="1" si="30"/>
        <v>0</v>
      </c>
      <c r="K80" s="97">
        <f t="shared" ca="1" si="30"/>
        <v>0</v>
      </c>
      <c r="L80" s="97">
        <f t="shared" ca="1" si="30"/>
        <v>0</v>
      </c>
      <c r="M80" s="97">
        <f t="shared" ca="1" si="30"/>
        <v>0</v>
      </c>
      <c r="N80" s="97">
        <f t="shared" ca="1" si="30"/>
        <v>0</v>
      </c>
      <c r="O80" s="97">
        <f t="shared" ca="1" si="30"/>
        <v>0</v>
      </c>
      <c r="P80" s="97">
        <f t="shared" ca="1" si="30"/>
        <v>0</v>
      </c>
      <c r="Q80" s="97">
        <f t="shared" ca="1" si="30"/>
        <v>0</v>
      </c>
      <c r="R80" s="97">
        <f t="shared" ca="1" si="30"/>
        <v>0</v>
      </c>
      <c r="S80" s="97">
        <f t="shared" ca="1" si="30"/>
        <v>0</v>
      </c>
      <c r="T80" s="97">
        <f t="shared" ca="1" si="28"/>
        <v>0</v>
      </c>
      <c r="U80" s="97">
        <f t="shared" ca="1" si="28"/>
        <v>0</v>
      </c>
      <c r="V80" s="97">
        <f t="shared" ca="1" si="28"/>
        <v>0</v>
      </c>
      <c r="W80" s="97">
        <f t="shared" ca="1" si="28"/>
        <v>0</v>
      </c>
      <c r="X80" s="97">
        <f t="shared" ca="1" si="28"/>
        <v>0</v>
      </c>
      <c r="Y80" s="97">
        <f t="shared" ca="1" si="28"/>
        <v>0</v>
      </c>
      <c r="Z80" s="97">
        <f t="shared" ca="1" si="28"/>
        <v>0</v>
      </c>
      <c r="AA80" s="97">
        <f t="shared" ca="1" si="28"/>
        <v>0</v>
      </c>
      <c r="AB80" s="97">
        <f t="shared" ca="1" si="28"/>
        <v>0</v>
      </c>
      <c r="AC80" s="97">
        <f t="shared" ca="1" si="28"/>
        <v>0</v>
      </c>
      <c r="AD80" s="97">
        <f t="shared" ca="1" si="28"/>
        <v>0</v>
      </c>
      <c r="AE80" s="97">
        <f t="shared" ca="1" si="28"/>
        <v>0</v>
      </c>
      <c r="AF80" s="97">
        <f t="shared" ca="1" si="28"/>
        <v>0</v>
      </c>
      <c r="AG80" s="97">
        <f t="shared" ca="1" si="28"/>
        <v>0</v>
      </c>
      <c r="AH80" s="97">
        <f t="shared" ca="1" si="28"/>
        <v>0</v>
      </c>
      <c r="AI80" s="97">
        <f t="shared" ca="1" si="32"/>
        <v>0</v>
      </c>
      <c r="AJ80" s="98">
        <f t="shared" ca="1" si="26"/>
        <v>0</v>
      </c>
      <c r="AK80" s="97">
        <f t="shared" ca="1" si="26"/>
        <v>0</v>
      </c>
      <c r="AL80" s="97">
        <f t="shared" ca="1" si="26"/>
        <v>0</v>
      </c>
      <c r="AM80" s="97">
        <f t="shared" ca="1" si="26"/>
        <v>0</v>
      </c>
      <c r="AN80" s="97">
        <f t="shared" ca="1" si="26"/>
        <v>0</v>
      </c>
      <c r="AO80" s="97">
        <f t="shared" ca="1" si="26"/>
        <v>0</v>
      </c>
      <c r="AP80" s="97">
        <f t="shared" ca="1" si="26"/>
        <v>0</v>
      </c>
      <c r="AQ80" s="97">
        <f t="shared" ca="1" si="26"/>
        <v>0</v>
      </c>
      <c r="AR80" s="99">
        <f ca="1">COUNTIF(AJ80:AQ80,"&lt;"&amp;MAX(AJ80:AQ80))+IF(Calcs[[#This Row],[DL1]]=0,0,1)</f>
        <v>0</v>
      </c>
      <c r="AS80" s="100" t="str">
        <f ca="1">IF(LEN(Calcs[[#This Row],[Line]])&gt;0,IF(RIGHT(Calcs[[#This Row],[Remark]],3)=".  ",LEFT(Calcs[[#This Row],[Remark]],LEN(Calcs[[#This Row],[Remark]])-3),Calcs[[#This Row],[Remark]]),"")</f>
        <v/>
      </c>
      <c r="AT80" s="96">
        <f t="shared" ca="1" si="31"/>
        <v>0</v>
      </c>
      <c r="AU80" s="102">
        <f t="shared" ca="1" si="31"/>
        <v>0</v>
      </c>
      <c r="AV80" s="102">
        <f t="shared" ca="1" si="31"/>
        <v>0</v>
      </c>
      <c r="AW80" s="102">
        <f t="shared" ca="1" si="31"/>
        <v>0</v>
      </c>
      <c r="AX80" s="102">
        <f t="shared" ca="1" si="31"/>
        <v>0</v>
      </c>
      <c r="AY80" s="102">
        <f t="shared" ca="1" si="31"/>
        <v>0</v>
      </c>
      <c r="AZ80" s="102">
        <f t="shared" ca="1" si="31"/>
        <v>0</v>
      </c>
      <c r="BA80" s="102">
        <f t="shared" ca="1" si="31"/>
        <v>0</v>
      </c>
      <c r="BB80" s="102">
        <f t="shared" ca="1" si="31"/>
        <v>0</v>
      </c>
      <c r="BC80" s="102">
        <f t="shared" ca="1" si="31"/>
        <v>0</v>
      </c>
      <c r="BD80" s="102">
        <f t="shared" ca="1" si="31"/>
        <v>0</v>
      </c>
      <c r="BE80" s="102">
        <f t="shared" ca="1" si="31"/>
        <v>0</v>
      </c>
      <c r="BF80" s="102">
        <f t="shared" ca="1" si="31"/>
        <v>0</v>
      </c>
      <c r="BG80" s="102">
        <f t="shared" ca="1" si="31"/>
        <v>0</v>
      </c>
      <c r="BH80" s="102">
        <f t="shared" ca="1" si="31"/>
        <v>0</v>
      </c>
      <c r="BI80" s="102">
        <f t="shared" ca="1" si="31"/>
        <v>0</v>
      </c>
      <c r="BJ80" s="102">
        <f t="shared" ca="1" si="29"/>
        <v>0</v>
      </c>
      <c r="BK80" s="102">
        <f t="shared" ca="1" si="29"/>
        <v>0</v>
      </c>
      <c r="BL80" s="102">
        <f t="shared" ca="1" si="29"/>
        <v>0</v>
      </c>
      <c r="BM80" s="102">
        <f t="shared" ca="1" si="29"/>
        <v>0</v>
      </c>
      <c r="BN80" s="102">
        <f t="shared" ca="1" si="29"/>
        <v>0</v>
      </c>
      <c r="BO80" s="102">
        <f t="shared" ca="1" si="29"/>
        <v>0</v>
      </c>
      <c r="BP80" s="102">
        <f t="shared" ca="1" si="29"/>
        <v>0</v>
      </c>
      <c r="BQ80" s="102">
        <f t="shared" ca="1" si="29"/>
        <v>0</v>
      </c>
      <c r="BR80" s="102">
        <f t="shared" ca="1" si="29"/>
        <v>0</v>
      </c>
      <c r="BS80" s="102">
        <f t="shared" ca="1" si="29"/>
        <v>0</v>
      </c>
      <c r="BT80" s="102">
        <f t="shared" ca="1" si="29"/>
        <v>0</v>
      </c>
      <c r="BU80" s="102">
        <f t="shared" ca="1" si="29"/>
        <v>0</v>
      </c>
      <c r="BV80" s="102">
        <f t="shared" ca="1" si="29"/>
        <v>0</v>
      </c>
      <c r="BW80" s="102">
        <f t="shared" ca="1" si="29"/>
        <v>0</v>
      </c>
      <c r="BX80" s="102">
        <f t="shared" ca="1" si="29"/>
        <v>0</v>
      </c>
      <c r="BY80" s="102">
        <f t="shared" ca="1" si="33"/>
        <v>0</v>
      </c>
      <c r="BZ80" s="98">
        <f t="shared" ca="1" si="27"/>
        <v>0</v>
      </c>
      <c r="CA80" s="102">
        <f t="shared" ca="1" si="27"/>
        <v>0</v>
      </c>
      <c r="CB80" s="102">
        <f t="shared" ca="1" si="27"/>
        <v>0</v>
      </c>
      <c r="CC80" s="102">
        <f t="shared" ca="1" si="27"/>
        <v>0</v>
      </c>
      <c r="CD80" s="102">
        <f t="shared" ca="1" si="27"/>
        <v>0</v>
      </c>
      <c r="CE80" s="102">
        <f t="shared" ca="1" si="27"/>
        <v>0</v>
      </c>
      <c r="CF80" s="102">
        <f t="shared" ca="1" si="27"/>
        <v>0</v>
      </c>
      <c r="CG80" s="102">
        <f t="shared" ca="1" si="27"/>
        <v>0</v>
      </c>
      <c r="CH80" s="101">
        <f ca="1">COUNTIF(BZ80:CG80,"&lt;"&amp;MAX(BZ80:CG80))+IF(Calcs[[#This Row],[RL1]]=0,0,1)</f>
        <v>0</v>
      </c>
      <c r="CI8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0" s="103">
        <f ca="1">IFERROR(OFFSET(CJ80,-1,0)+0,0)+IF(INDEX(INDIRECT(RangeContrQty),MATCH(Calcs[[#This Row],[Line]],OFFSET(Items[Line],0,0,ROW(Proposed[])-ROW(Items[])+ROWS(Proposed[]),1),0)),1,0)</f>
        <v>0</v>
      </c>
    </row>
    <row r="81" spans="1:88" x14ac:dyDescent="0.15">
      <c r="A81" s="6">
        <f ca="1">IFERROR(OFFSET(A81,-1,0)+0,0)+MAX(IF(LEN(Calcs[[#This Row],[Line]])&gt;0,1,0),Calcs[[#This Row],[DL]],Calcs[[#This Row],[RL]])</f>
        <v>10</v>
      </c>
      <c r="B81" s="94" t="str">
        <f ca="1">IFERROR(INDEX(OFFSET(Items[Line],0,0,ROW(Proposed[])-ROW(Items[])+ROWS(Proposed[]),1),MATCH(ROW(B81)-ROW(B$3),INDIRECT(RangeCount),0)),"")</f>
        <v/>
      </c>
      <c r="C81" s="94" t="str">
        <f ca="1">IF(LEN(Calcs[[#This Row],[Line]])&gt;0,TRIM(IFERROR(INDEX(Items[Description],MATCH(Calcs[[#This Row],[Line]],Items[Line],0))&amp;INDEX(Items[Description2],MATCH(Calcs[[#This Row],[Line]],Items[Line],0)),INDEX(Proposed[Description],MATCH(Calcs[[#This Row],[Line]],Proposed[Line],0)))),"")</f>
        <v/>
      </c>
      <c r="D81" s="96">
        <f t="shared" ca="1" si="30"/>
        <v>0</v>
      </c>
      <c r="E81" s="97">
        <f t="shared" ca="1" si="30"/>
        <v>0</v>
      </c>
      <c r="F81" s="97">
        <f t="shared" ca="1" si="30"/>
        <v>0</v>
      </c>
      <c r="G81" s="97">
        <f t="shared" ca="1" si="30"/>
        <v>0</v>
      </c>
      <c r="H81" s="97">
        <f t="shared" ca="1" si="30"/>
        <v>0</v>
      </c>
      <c r="I81" s="97">
        <f t="shared" ca="1" si="30"/>
        <v>0</v>
      </c>
      <c r="J81" s="97">
        <f t="shared" ca="1" si="30"/>
        <v>0</v>
      </c>
      <c r="K81" s="97">
        <f t="shared" ca="1" si="30"/>
        <v>0</v>
      </c>
      <c r="L81" s="97">
        <f t="shared" ca="1" si="30"/>
        <v>0</v>
      </c>
      <c r="M81" s="97">
        <f t="shared" ca="1" si="30"/>
        <v>0</v>
      </c>
      <c r="N81" s="97">
        <f t="shared" ca="1" si="30"/>
        <v>0</v>
      </c>
      <c r="O81" s="97">
        <f t="shared" ca="1" si="30"/>
        <v>0</v>
      </c>
      <c r="P81" s="97">
        <f t="shared" ca="1" si="30"/>
        <v>0</v>
      </c>
      <c r="Q81" s="97">
        <f t="shared" ca="1" si="30"/>
        <v>0</v>
      </c>
      <c r="R81" s="97">
        <f t="shared" ca="1" si="30"/>
        <v>0</v>
      </c>
      <c r="S81" s="97">
        <f t="shared" ca="1" si="30"/>
        <v>0</v>
      </c>
      <c r="T81" s="97">
        <f t="shared" ca="1" si="28"/>
        <v>0</v>
      </c>
      <c r="U81" s="97">
        <f t="shared" ca="1" si="28"/>
        <v>0</v>
      </c>
      <c r="V81" s="97">
        <f t="shared" ca="1" si="28"/>
        <v>0</v>
      </c>
      <c r="W81" s="97">
        <f t="shared" ca="1" si="28"/>
        <v>0</v>
      </c>
      <c r="X81" s="97">
        <f t="shared" ca="1" si="28"/>
        <v>0</v>
      </c>
      <c r="Y81" s="97">
        <f t="shared" ca="1" si="28"/>
        <v>0</v>
      </c>
      <c r="Z81" s="97">
        <f t="shared" ca="1" si="28"/>
        <v>0</v>
      </c>
      <c r="AA81" s="97">
        <f t="shared" ca="1" si="28"/>
        <v>0</v>
      </c>
      <c r="AB81" s="97">
        <f t="shared" ca="1" si="28"/>
        <v>0</v>
      </c>
      <c r="AC81" s="97">
        <f t="shared" ca="1" si="28"/>
        <v>0</v>
      </c>
      <c r="AD81" s="97">
        <f t="shared" ca="1" si="28"/>
        <v>0</v>
      </c>
      <c r="AE81" s="97">
        <f t="shared" ca="1" si="28"/>
        <v>0</v>
      </c>
      <c r="AF81" s="97">
        <f t="shared" ca="1" si="28"/>
        <v>0</v>
      </c>
      <c r="AG81" s="97">
        <f t="shared" ca="1" si="28"/>
        <v>0</v>
      </c>
      <c r="AH81" s="97">
        <f t="shared" ca="1" si="28"/>
        <v>0</v>
      </c>
      <c r="AI81" s="97">
        <f t="shared" ca="1" si="32"/>
        <v>0</v>
      </c>
      <c r="AJ81" s="98">
        <f t="shared" ca="1" si="26"/>
        <v>0</v>
      </c>
      <c r="AK81" s="97">
        <f t="shared" ca="1" si="26"/>
        <v>0</v>
      </c>
      <c r="AL81" s="97">
        <f t="shared" ca="1" si="26"/>
        <v>0</v>
      </c>
      <c r="AM81" s="97">
        <f t="shared" ca="1" si="26"/>
        <v>0</v>
      </c>
      <c r="AN81" s="97">
        <f t="shared" ca="1" si="26"/>
        <v>0</v>
      </c>
      <c r="AO81" s="97">
        <f t="shared" ca="1" si="26"/>
        <v>0</v>
      </c>
      <c r="AP81" s="97">
        <f t="shared" ca="1" si="26"/>
        <v>0</v>
      </c>
      <c r="AQ81" s="97">
        <f t="shared" ca="1" si="26"/>
        <v>0</v>
      </c>
      <c r="AR81" s="99">
        <f ca="1">COUNTIF(AJ81:AQ81,"&lt;"&amp;MAX(AJ81:AQ81))+IF(Calcs[[#This Row],[DL1]]=0,0,1)</f>
        <v>0</v>
      </c>
      <c r="AS81" s="100" t="str">
        <f ca="1">IF(LEN(Calcs[[#This Row],[Line]])&gt;0,IF(RIGHT(Calcs[[#This Row],[Remark]],3)=".  ",LEFT(Calcs[[#This Row],[Remark]],LEN(Calcs[[#This Row],[Remark]])-3),Calcs[[#This Row],[Remark]]),"")</f>
        <v/>
      </c>
      <c r="AT81" s="96">
        <f t="shared" ca="1" si="31"/>
        <v>0</v>
      </c>
      <c r="AU81" s="102">
        <f t="shared" ca="1" si="31"/>
        <v>0</v>
      </c>
      <c r="AV81" s="102">
        <f t="shared" ca="1" si="31"/>
        <v>0</v>
      </c>
      <c r="AW81" s="102">
        <f t="shared" ca="1" si="31"/>
        <v>0</v>
      </c>
      <c r="AX81" s="102">
        <f t="shared" ca="1" si="31"/>
        <v>0</v>
      </c>
      <c r="AY81" s="102">
        <f t="shared" ca="1" si="31"/>
        <v>0</v>
      </c>
      <c r="AZ81" s="102">
        <f t="shared" ca="1" si="31"/>
        <v>0</v>
      </c>
      <c r="BA81" s="102">
        <f t="shared" ca="1" si="31"/>
        <v>0</v>
      </c>
      <c r="BB81" s="102">
        <f t="shared" ca="1" si="31"/>
        <v>0</v>
      </c>
      <c r="BC81" s="102">
        <f t="shared" ca="1" si="31"/>
        <v>0</v>
      </c>
      <c r="BD81" s="102">
        <f t="shared" ca="1" si="31"/>
        <v>0</v>
      </c>
      <c r="BE81" s="102">
        <f t="shared" ca="1" si="31"/>
        <v>0</v>
      </c>
      <c r="BF81" s="102">
        <f t="shared" ca="1" si="31"/>
        <v>0</v>
      </c>
      <c r="BG81" s="102">
        <f t="shared" ca="1" si="31"/>
        <v>0</v>
      </c>
      <c r="BH81" s="102">
        <f t="shared" ca="1" si="31"/>
        <v>0</v>
      </c>
      <c r="BI81" s="102">
        <f t="shared" ca="1" si="31"/>
        <v>0</v>
      </c>
      <c r="BJ81" s="102">
        <f t="shared" ca="1" si="29"/>
        <v>0</v>
      </c>
      <c r="BK81" s="102">
        <f t="shared" ca="1" si="29"/>
        <v>0</v>
      </c>
      <c r="BL81" s="102">
        <f t="shared" ca="1" si="29"/>
        <v>0</v>
      </c>
      <c r="BM81" s="102">
        <f t="shared" ca="1" si="29"/>
        <v>0</v>
      </c>
      <c r="BN81" s="102">
        <f t="shared" ca="1" si="29"/>
        <v>0</v>
      </c>
      <c r="BO81" s="102">
        <f t="shared" ca="1" si="29"/>
        <v>0</v>
      </c>
      <c r="BP81" s="102">
        <f t="shared" ca="1" si="29"/>
        <v>0</v>
      </c>
      <c r="BQ81" s="102">
        <f t="shared" ca="1" si="29"/>
        <v>0</v>
      </c>
      <c r="BR81" s="102">
        <f t="shared" ca="1" si="29"/>
        <v>0</v>
      </c>
      <c r="BS81" s="102">
        <f t="shared" ca="1" si="29"/>
        <v>0</v>
      </c>
      <c r="BT81" s="102">
        <f t="shared" ca="1" si="29"/>
        <v>0</v>
      </c>
      <c r="BU81" s="102">
        <f t="shared" ca="1" si="29"/>
        <v>0</v>
      </c>
      <c r="BV81" s="102">
        <f t="shared" ca="1" si="29"/>
        <v>0</v>
      </c>
      <c r="BW81" s="102">
        <f t="shared" ca="1" si="29"/>
        <v>0</v>
      </c>
      <c r="BX81" s="102">
        <f t="shared" ca="1" si="29"/>
        <v>0</v>
      </c>
      <c r="BY81" s="102">
        <f t="shared" ca="1" si="33"/>
        <v>0</v>
      </c>
      <c r="BZ81" s="98">
        <f t="shared" ca="1" si="27"/>
        <v>0</v>
      </c>
      <c r="CA81" s="102">
        <f t="shared" ca="1" si="27"/>
        <v>0</v>
      </c>
      <c r="CB81" s="102">
        <f t="shared" ca="1" si="27"/>
        <v>0</v>
      </c>
      <c r="CC81" s="102">
        <f t="shared" ca="1" si="27"/>
        <v>0</v>
      </c>
      <c r="CD81" s="102">
        <f t="shared" ca="1" si="27"/>
        <v>0</v>
      </c>
      <c r="CE81" s="102">
        <f t="shared" ca="1" si="27"/>
        <v>0</v>
      </c>
      <c r="CF81" s="102">
        <f t="shared" ca="1" si="27"/>
        <v>0</v>
      </c>
      <c r="CG81" s="102">
        <f t="shared" ca="1" si="27"/>
        <v>0</v>
      </c>
      <c r="CH81" s="101">
        <f ca="1">COUNTIF(BZ81:CG81,"&lt;"&amp;MAX(BZ81:CG81))+IF(Calcs[[#This Row],[RL1]]=0,0,1)</f>
        <v>0</v>
      </c>
      <c r="CI8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1" s="103">
        <f ca="1">IFERROR(OFFSET(CJ81,-1,0)+0,0)+IF(INDEX(INDIRECT(RangeContrQty),MATCH(Calcs[[#This Row],[Line]],OFFSET(Items[Line],0,0,ROW(Proposed[])-ROW(Items[])+ROWS(Proposed[]),1),0)),1,0)</f>
        <v>0</v>
      </c>
    </row>
    <row r="82" spans="1:88" x14ac:dyDescent="0.15">
      <c r="A82" s="6">
        <f ca="1">IFERROR(OFFSET(A82,-1,0)+0,0)+MAX(IF(LEN(Calcs[[#This Row],[Line]])&gt;0,1,0),Calcs[[#This Row],[DL]],Calcs[[#This Row],[RL]])</f>
        <v>10</v>
      </c>
      <c r="B82" s="94" t="str">
        <f ca="1">IFERROR(INDEX(OFFSET(Items[Line],0,0,ROW(Proposed[])-ROW(Items[])+ROWS(Proposed[]),1),MATCH(ROW(B82)-ROW(B$3),INDIRECT(RangeCount),0)),"")</f>
        <v/>
      </c>
      <c r="C82" s="94" t="str">
        <f ca="1">IF(LEN(Calcs[[#This Row],[Line]])&gt;0,TRIM(IFERROR(INDEX(Items[Description],MATCH(Calcs[[#This Row],[Line]],Items[Line],0))&amp;INDEX(Items[Description2],MATCH(Calcs[[#This Row],[Line]],Items[Line],0)),INDEX(Proposed[Description],MATCH(Calcs[[#This Row],[Line]],Proposed[Line],0)))),"")</f>
        <v/>
      </c>
      <c r="D82" s="96">
        <f t="shared" ca="1" si="30"/>
        <v>0</v>
      </c>
      <c r="E82" s="97">
        <f t="shared" ca="1" si="30"/>
        <v>0</v>
      </c>
      <c r="F82" s="97">
        <f t="shared" ca="1" si="30"/>
        <v>0</v>
      </c>
      <c r="G82" s="97">
        <f t="shared" ca="1" si="30"/>
        <v>0</v>
      </c>
      <c r="H82" s="97">
        <f t="shared" ca="1" si="30"/>
        <v>0</v>
      </c>
      <c r="I82" s="97">
        <f t="shared" ca="1" si="30"/>
        <v>0</v>
      </c>
      <c r="J82" s="97">
        <f t="shared" ca="1" si="30"/>
        <v>0</v>
      </c>
      <c r="K82" s="97">
        <f t="shared" ca="1" si="30"/>
        <v>0</v>
      </c>
      <c r="L82" s="97">
        <f t="shared" ca="1" si="30"/>
        <v>0</v>
      </c>
      <c r="M82" s="97">
        <f t="shared" ca="1" si="30"/>
        <v>0</v>
      </c>
      <c r="N82" s="97">
        <f t="shared" ca="1" si="30"/>
        <v>0</v>
      </c>
      <c r="O82" s="97">
        <f t="shared" ca="1" si="30"/>
        <v>0</v>
      </c>
      <c r="P82" s="97">
        <f t="shared" ca="1" si="30"/>
        <v>0</v>
      </c>
      <c r="Q82" s="97">
        <f t="shared" ca="1" si="30"/>
        <v>0</v>
      </c>
      <c r="R82" s="97">
        <f t="shared" ca="1" si="30"/>
        <v>0</v>
      </c>
      <c r="S82" s="97">
        <f t="shared" ca="1" si="30"/>
        <v>0</v>
      </c>
      <c r="T82" s="97">
        <f t="shared" ca="1" si="28"/>
        <v>0</v>
      </c>
      <c r="U82" s="97">
        <f t="shared" ca="1" si="28"/>
        <v>0</v>
      </c>
      <c r="V82" s="97">
        <f t="shared" ca="1" si="28"/>
        <v>0</v>
      </c>
      <c r="W82" s="97">
        <f t="shared" ca="1" si="28"/>
        <v>0</v>
      </c>
      <c r="X82" s="97">
        <f t="shared" ca="1" si="28"/>
        <v>0</v>
      </c>
      <c r="Y82" s="97">
        <f t="shared" ca="1" si="28"/>
        <v>0</v>
      </c>
      <c r="Z82" s="97">
        <f t="shared" ca="1" si="28"/>
        <v>0</v>
      </c>
      <c r="AA82" s="97">
        <f t="shared" ca="1" si="28"/>
        <v>0</v>
      </c>
      <c r="AB82" s="97">
        <f t="shared" ca="1" si="28"/>
        <v>0</v>
      </c>
      <c r="AC82" s="97">
        <f t="shared" ca="1" si="28"/>
        <v>0</v>
      </c>
      <c r="AD82" s="97">
        <f t="shared" ca="1" si="28"/>
        <v>0</v>
      </c>
      <c r="AE82" s="97">
        <f t="shared" ca="1" si="28"/>
        <v>0</v>
      </c>
      <c r="AF82" s="97">
        <f t="shared" ca="1" si="28"/>
        <v>0</v>
      </c>
      <c r="AG82" s="97">
        <f t="shared" ca="1" si="28"/>
        <v>0</v>
      </c>
      <c r="AH82" s="97">
        <f t="shared" ca="1" si="28"/>
        <v>0</v>
      </c>
      <c r="AI82" s="97">
        <f t="shared" ca="1" si="32"/>
        <v>0</v>
      </c>
      <c r="AJ82" s="98">
        <f t="shared" ca="1" si="26"/>
        <v>0</v>
      </c>
      <c r="AK82" s="97">
        <f t="shared" ca="1" si="26"/>
        <v>0</v>
      </c>
      <c r="AL82" s="97">
        <f t="shared" ca="1" si="26"/>
        <v>0</v>
      </c>
      <c r="AM82" s="97">
        <f t="shared" ca="1" si="26"/>
        <v>0</v>
      </c>
      <c r="AN82" s="97">
        <f t="shared" ca="1" si="26"/>
        <v>0</v>
      </c>
      <c r="AO82" s="97">
        <f t="shared" ca="1" si="26"/>
        <v>0</v>
      </c>
      <c r="AP82" s="97">
        <f t="shared" ca="1" si="26"/>
        <v>0</v>
      </c>
      <c r="AQ82" s="97">
        <f t="shared" ca="1" si="26"/>
        <v>0</v>
      </c>
      <c r="AR82" s="99">
        <f ca="1">COUNTIF(AJ82:AQ82,"&lt;"&amp;MAX(AJ82:AQ82))+IF(Calcs[[#This Row],[DL1]]=0,0,1)</f>
        <v>0</v>
      </c>
      <c r="AS82" s="100" t="str">
        <f ca="1">IF(LEN(Calcs[[#This Row],[Line]])&gt;0,IF(RIGHT(Calcs[[#This Row],[Remark]],3)=".  ",LEFT(Calcs[[#This Row],[Remark]],LEN(Calcs[[#This Row],[Remark]])-3),Calcs[[#This Row],[Remark]]),"")</f>
        <v/>
      </c>
      <c r="AT82" s="96">
        <f t="shared" ca="1" si="31"/>
        <v>0</v>
      </c>
      <c r="AU82" s="102">
        <f t="shared" ca="1" si="31"/>
        <v>0</v>
      </c>
      <c r="AV82" s="102">
        <f t="shared" ca="1" si="31"/>
        <v>0</v>
      </c>
      <c r="AW82" s="102">
        <f t="shared" ca="1" si="31"/>
        <v>0</v>
      </c>
      <c r="AX82" s="102">
        <f t="shared" ca="1" si="31"/>
        <v>0</v>
      </c>
      <c r="AY82" s="102">
        <f t="shared" ca="1" si="31"/>
        <v>0</v>
      </c>
      <c r="AZ82" s="102">
        <f t="shared" ca="1" si="31"/>
        <v>0</v>
      </c>
      <c r="BA82" s="102">
        <f t="shared" ca="1" si="31"/>
        <v>0</v>
      </c>
      <c r="BB82" s="102">
        <f t="shared" ca="1" si="31"/>
        <v>0</v>
      </c>
      <c r="BC82" s="102">
        <f t="shared" ca="1" si="31"/>
        <v>0</v>
      </c>
      <c r="BD82" s="102">
        <f t="shared" ca="1" si="31"/>
        <v>0</v>
      </c>
      <c r="BE82" s="102">
        <f t="shared" ca="1" si="31"/>
        <v>0</v>
      </c>
      <c r="BF82" s="102">
        <f t="shared" ca="1" si="31"/>
        <v>0</v>
      </c>
      <c r="BG82" s="102">
        <f t="shared" ca="1" si="31"/>
        <v>0</v>
      </c>
      <c r="BH82" s="102">
        <f t="shared" ca="1" si="31"/>
        <v>0</v>
      </c>
      <c r="BI82" s="102">
        <f t="shared" ca="1" si="31"/>
        <v>0</v>
      </c>
      <c r="BJ82" s="102">
        <f t="shared" ca="1" si="29"/>
        <v>0</v>
      </c>
      <c r="BK82" s="102">
        <f t="shared" ca="1" si="29"/>
        <v>0</v>
      </c>
      <c r="BL82" s="102">
        <f t="shared" ca="1" si="29"/>
        <v>0</v>
      </c>
      <c r="BM82" s="102">
        <f t="shared" ca="1" si="29"/>
        <v>0</v>
      </c>
      <c r="BN82" s="102">
        <f t="shared" ca="1" si="29"/>
        <v>0</v>
      </c>
      <c r="BO82" s="102">
        <f t="shared" ca="1" si="29"/>
        <v>0</v>
      </c>
      <c r="BP82" s="102">
        <f t="shared" ca="1" si="29"/>
        <v>0</v>
      </c>
      <c r="BQ82" s="102">
        <f t="shared" ca="1" si="29"/>
        <v>0</v>
      </c>
      <c r="BR82" s="102">
        <f t="shared" ca="1" si="29"/>
        <v>0</v>
      </c>
      <c r="BS82" s="102">
        <f t="shared" ca="1" si="29"/>
        <v>0</v>
      </c>
      <c r="BT82" s="102">
        <f t="shared" ca="1" si="29"/>
        <v>0</v>
      </c>
      <c r="BU82" s="102">
        <f t="shared" ca="1" si="29"/>
        <v>0</v>
      </c>
      <c r="BV82" s="102">
        <f t="shared" ca="1" si="29"/>
        <v>0</v>
      </c>
      <c r="BW82" s="102">
        <f t="shared" ca="1" si="29"/>
        <v>0</v>
      </c>
      <c r="BX82" s="102">
        <f t="shared" ca="1" si="29"/>
        <v>0</v>
      </c>
      <c r="BY82" s="102">
        <f t="shared" ca="1" si="33"/>
        <v>0</v>
      </c>
      <c r="BZ82" s="98">
        <f t="shared" ca="1" si="27"/>
        <v>0</v>
      </c>
      <c r="CA82" s="102">
        <f t="shared" ca="1" si="27"/>
        <v>0</v>
      </c>
      <c r="CB82" s="102">
        <f t="shared" ca="1" si="27"/>
        <v>0</v>
      </c>
      <c r="CC82" s="102">
        <f t="shared" ca="1" si="27"/>
        <v>0</v>
      </c>
      <c r="CD82" s="102">
        <f t="shared" ca="1" si="27"/>
        <v>0</v>
      </c>
      <c r="CE82" s="102">
        <f t="shared" ca="1" si="27"/>
        <v>0</v>
      </c>
      <c r="CF82" s="102">
        <f t="shared" ca="1" si="27"/>
        <v>0</v>
      </c>
      <c r="CG82" s="102">
        <f t="shared" ca="1" si="27"/>
        <v>0</v>
      </c>
      <c r="CH82" s="101">
        <f ca="1">COUNTIF(BZ82:CG82,"&lt;"&amp;MAX(BZ82:CG82))+IF(Calcs[[#This Row],[RL1]]=0,0,1)</f>
        <v>0</v>
      </c>
      <c r="CI8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2" s="103">
        <f ca="1">IFERROR(OFFSET(CJ82,-1,0)+0,0)+IF(INDEX(INDIRECT(RangeContrQty),MATCH(Calcs[[#This Row],[Line]],OFFSET(Items[Line],0,0,ROW(Proposed[])-ROW(Items[])+ROWS(Proposed[]),1),0)),1,0)</f>
        <v>0</v>
      </c>
    </row>
    <row r="83" spans="1:88" x14ac:dyDescent="0.15">
      <c r="A83" s="6">
        <f ca="1">IFERROR(OFFSET(A83,-1,0)+0,0)+MAX(IF(LEN(Calcs[[#This Row],[Line]])&gt;0,1,0),Calcs[[#This Row],[DL]],Calcs[[#This Row],[RL]])</f>
        <v>10</v>
      </c>
      <c r="B83" s="94" t="str">
        <f ca="1">IFERROR(INDEX(OFFSET(Items[Line],0,0,ROW(Proposed[])-ROW(Items[])+ROWS(Proposed[]),1),MATCH(ROW(B83)-ROW(B$3),INDIRECT(RangeCount),0)),"")</f>
        <v/>
      </c>
      <c r="C83" s="94" t="str">
        <f ca="1">IF(LEN(Calcs[[#This Row],[Line]])&gt;0,TRIM(IFERROR(INDEX(Items[Description],MATCH(Calcs[[#This Row],[Line]],Items[Line],0))&amp;INDEX(Items[Description2],MATCH(Calcs[[#This Row],[Line]],Items[Line],0)),INDEX(Proposed[Description],MATCH(Calcs[[#This Row],[Line]],Proposed[Line],0)))),"")</f>
        <v/>
      </c>
      <c r="D83" s="96">
        <f t="shared" ca="1" si="30"/>
        <v>0</v>
      </c>
      <c r="E83" s="97">
        <f t="shared" ca="1" si="30"/>
        <v>0</v>
      </c>
      <c r="F83" s="97">
        <f t="shared" ca="1" si="30"/>
        <v>0</v>
      </c>
      <c r="G83" s="97">
        <f t="shared" ca="1" si="30"/>
        <v>0</v>
      </c>
      <c r="H83" s="97">
        <f t="shared" ca="1" si="30"/>
        <v>0</v>
      </c>
      <c r="I83" s="97">
        <f t="shared" ca="1" si="30"/>
        <v>0</v>
      </c>
      <c r="J83" s="97">
        <f t="shared" ca="1" si="30"/>
        <v>0</v>
      </c>
      <c r="K83" s="97">
        <f t="shared" ca="1" si="30"/>
        <v>0</v>
      </c>
      <c r="L83" s="97">
        <f t="shared" ca="1" si="30"/>
        <v>0</v>
      </c>
      <c r="M83" s="97">
        <f t="shared" ca="1" si="30"/>
        <v>0</v>
      </c>
      <c r="N83" s="97">
        <f t="shared" ca="1" si="30"/>
        <v>0</v>
      </c>
      <c r="O83" s="97">
        <f t="shared" ca="1" si="30"/>
        <v>0</v>
      </c>
      <c r="P83" s="97">
        <f t="shared" ca="1" si="30"/>
        <v>0</v>
      </c>
      <c r="Q83" s="97">
        <f t="shared" ca="1" si="30"/>
        <v>0</v>
      </c>
      <c r="R83" s="97">
        <f t="shared" ca="1" si="30"/>
        <v>0</v>
      </c>
      <c r="S83" s="97">
        <f t="shared" ref="N83:AC91" ca="1" si="34">IFERROR(FIND(" ",$C83,IFERROR(OFFSET(S83,0,-1)+1,1)),LEN($C83))</f>
        <v>0</v>
      </c>
      <c r="T83" s="97">
        <f t="shared" ca="1" si="34"/>
        <v>0</v>
      </c>
      <c r="U83" s="97">
        <f t="shared" ca="1" si="34"/>
        <v>0</v>
      </c>
      <c r="V83" s="97">
        <f t="shared" ca="1" si="34"/>
        <v>0</v>
      </c>
      <c r="W83" s="97">
        <f t="shared" ca="1" si="34"/>
        <v>0</v>
      </c>
      <c r="X83" s="97">
        <f t="shared" ca="1" si="28"/>
        <v>0</v>
      </c>
      <c r="Y83" s="97">
        <f t="shared" ca="1" si="28"/>
        <v>0</v>
      </c>
      <c r="Z83" s="97">
        <f t="shared" ca="1" si="28"/>
        <v>0</v>
      </c>
      <c r="AA83" s="97">
        <f t="shared" ca="1" si="28"/>
        <v>0</v>
      </c>
      <c r="AB83" s="97">
        <f t="shared" ca="1" si="28"/>
        <v>0</v>
      </c>
      <c r="AC83" s="97">
        <f t="shared" ca="1" si="28"/>
        <v>0</v>
      </c>
      <c r="AD83" s="97">
        <f t="shared" ca="1" si="28"/>
        <v>0</v>
      </c>
      <c r="AE83" s="97">
        <f t="shared" ca="1" si="28"/>
        <v>0</v>
      </c>
      <c r="AF83" s="97">
        <f t="shared" ca="1" si="28"/>
        <v>0</v>
      </c>
      <c r="AG83" s="97">
        <f t="shared" ca="1" si="28"/>
        <v>0</v>
      </c>
      <c r="AH83" s="97">
        <f t="shared" ca="1" si="28"/>
        <v>0</v>
      </c>
      <c r="AI83" s="97">
        <f t="shared" ca="1" si="32"/>
        <v>0</v>
      </c>
      <c r="AJ83" s="98">
        <f t="shared" ca="1" si="26"/>
        <v>0</v>
      </c>
      <c r="AK83" s="97">
        <f t="shared" ca="1" si="26"/>
        <v>0</v>
      </c>
      <c r="AL83" s="97">
        <f t="shared" ca="1" si="26"/>
        <v>0</v>
      </c>
      <c r="AM83" s="97">
        <f t="shared" ca="1" si="26"/>
        <v>0</v>
      </c>
      <c r="AN83" s="97">
        <f t="shared" ca="1" si="26"/>
        <v>0</v>
      </c>
      <c r="AO83" s="97">
        <f t="shared" ca="1" si="26"/>
        <v>0</v>
      </c>
      <c r="AP83" s="97">
        <f t="shared" ca="1" si="26"/>
        <v>0</v>
      </c>
      <c r="AQ83" s="97">
        <f t="shared" ca="1" si="26"/>
        <v>0</v>
      </c>
      <c r="AR83" s="99">
        <f ca="1">COUNTIF(AJ83:AQ83,"&lt;"&amp;MAX(AJ83:AQ83))+IF(Calcs[[#This Row],[DL1]]=0,0,1)</f>
        <v>0</v>
      </c>
      <c r="AS83" s="100" t="str">
        <f ca="1">IF(LEN(Calcs[[#This Row],[Line]])&gt;0,IF(RIGHT(Calcs[[#This Row],[Remark]],3)=".  ",LEFT(Calcs[[#This Row],[Remark]],LEN(Calcs[[#This Row],[Remark]])-3),Calcs[[#This Row],[Remark]]),"")</f>
        <v/>
      </c>
      <c r="AT83" s="96">
        <f t="shared" ca="1" si="31"/>
        <v>0</v>
      </c>
      <c r="AU83" s="102">
        <f t="shared" ca="1" si="31"/>
        <v>0</v>
      </c>
      <c r="AV83" s="102">
        <f t="shared" ca="1" si="31"/>
        <v>0</v>
      </c>
      <c r="AW83" s="102">
        <f t="shared" ca="1" si="31"/>
        <v>0</v>
      </c>
      <c r="AX83" s="102">
        <f t="shared" ca="1" si="31"/>
        <v>0</v>
      </c>
      <c r="AY83" s="102">
        <f t="shared" ca="1" si="31"/>
        <v>0</v>
      </c>
      <c r="AZ83" s="102">
        <f t="shared" ca="1" si="31"/>
        <v>0</v>
      </c>
      <c r="BA83" s="102">
        <f t="shared" ca="1" si="31"/>
        <v>0</v>
      </c>
      <c r="BB83" s="102">
        <f t="shared" ca="1" si="31"/>
        <v>0</v>
      </c>
      <c r="BC83" s="102">
        <f t="shared" ca="1" si="31"/>
        <v>0</v>
      </c>
      <c r="BD83" s="102">
        <f t="shared" ca="1" si="31"/>
        <v>0</v>
      </c>
      <c r="BE83" s="102">
        <f t="shared" ca="1" si="31"/>
        <v>0</v>
      </c>
      <c r="BF83" s="102">
        <f t="shared" ca="1" si="31"/>
        <v>0</v>
      </c>
      <c r="BG83" s="102">
        <f t="shared" ca="1" si="31"/>
        <v>0</v>
      </c>
      <c r="BH83" s="102">
        <f t="shared" ca="1" si="31"/>
        <v>0</v>
      </c>
      <c r="BI83" s="102">
        <f t="shared" ref="BD83:BS91" ca="1" si="35">IFERROR(FIND(" ",$AS83,IFERROR(OFFSET(BI83,0,-1)+1,1)),LEN($AS83))</f>
        <v>0</v>
      </c>
      <c r="BJ83" s="102">
        <f t="shared" ca="1" si="35"/>
        <v>0</v>
      </c>
      <c r="BK83" s="102">
        <f t="shared" ca="1" si="35"/>
        <v>0</v>
      </c>
      <c r="BL83" s="102">
        <f t="shared" ca="1" si="35"/>
        <v>0</v>
      </c>
      <c r="BM83" s="102">
        <f t="shared" ca="1" si="35"/>
        <v>0</v>
      </c>
      <c r="BN83" s="102">
        <f t="shared" ca="1" si="29"/>
        <v>0</v>
      </c>
      <c r="BO83" s="102">
        <f t="shared" ca="1" si="29"/>
        <v>0</v>
      </c>
      <c r="BP83" s="102">
        <f t="shared" ca="1" si="29"/>
        <v>0</v>
      </c>
      <c r="BQ83" s="102">
        <f t="shared" ca="1" si="29"/>
        <v>0</v>
      </c>
      <c r="BR83" s="102">
        <f t="shared" ca="1" si="29"/>
        <v>0</v>
      </c>
      <c r="BS83" s="102">
        <f t="shared" ca="1" si="29"/>
        <v>0</v>
      </c>
      <c r="BT83" s="102">
        <f t="shared" ca="1" si="29"/>
        <v>0</v>
      </c>
      <c r="BU83" s="102">
        <f t="shared" ca="1" si="29"/>
        <v>0</v>
      </c>
      <c r="BV83" s="102">
        <f t="shared" ca="1" si="29"/>
        <v>0</v>
      </c>
      <c r="BW83" s="102">
        <f t="shared" ca="1" si="29"/>
        <v>0</v>
      </c>
      <c r="BX83" s="102">
        <f t="shared" ca="1" si="29"/>
        <v>0</v>
      </c>
      <c r="BY83" s="102">
        <f t="shared" ca="1" si="33"/>
        <v>0</v>
      </c>
      <c r="BZ83" s="98">
        <f t="shared" ca="1" si="27"/>
        <v>0</v>
      </c>
      <c r="CA83" s="102">
        <f t="shared" ca="1" si="27"/>
        <v>0</v>
      </c>
      <c r="CB83" s="102">
        <f t="shared" ca="1" si="27"/>
        <v>0</v>
      </c>
      <c r="CC83" s="102">
        <f t="shared" ca="1" si="27"/>
        <v>0</v>
      </c>
      <c r="CD83" s="102">
        <f t="shared" ca="1" si="27"/>
        <v>0</v>
      </c>
      <c r="CE83" s="102">
        <f t="shared" ca="1" si="27"/>
        <v>0</v>
      </c>
      <c r="CF83" s="102">
        <f t="shared" ca="1" si="27"/>
        <v>0</v>
      </c>
      <c r="CG83" s="102">
        <f t="shared" ca="1" si="27"/>
        <v>0</v>
      </c>
      <c r="CH83" s="101">
        <f ca="1">COUNTIF(BZ83:CG83,"&lt;"&amp;MAX(BZ83:CG83))+IF(Calcs[[#This Row],[RL1]]=0,0,1)</f>
        <v>0</v>
      </c>
      <c r="CI8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3" s="103">
        <f ca="1">IFERROR(OFFSET(CJ83,-1,0)+0,0)+IF(INDEX(INDIRECT(RangeContrQty),MATCH(Calcs[[#This Row],[Line]],OFFSET(Items[Line],0,0,ROW(Proposed[])-ROW(Items[])+ROWS(Proposed[]),1),0)),1,0)</f>
        <v>0</v>
      </c>
    </row>
    <row r="84" spans="1:88" x14ac:dyDescent="0.15">
      <c r="A84" s="6">
        <f ca="1">IFERROR(OFFSET(A84,-1,0)+0,0)+MAX(IF(LEN(Calcs[[#This Row],[Line]])&gt;0,1,0),Calcs[[#This Row],[DL]],Calcs[[#This Row],[RL]])</f>
        <v>10</v>
      </c>
      <c r="B84" s="94" t="str">
        <f ca="1">IFERROR(INDEX(OFFSET(Items[Line],0,0,ROW(Proposed[])-ROW(Items[])+ROWS(Proposed[]),1),MATCH(ROW(B84)-ROW(B$3),INDIRECT(RangeCount),0)),"")</f>
        <v/>
      </c>
      <c r="C84" s="94" t="str">
        <f ca="1">IF(LEN(Calcs[[#This Row],[Line]])&gt;0,TRIM(IFERROR(INDEX(Items[Description],MATCH(Calcs[[#This Row],[Line]],Items[Line],0))&amp;INDEX(Items[Description2],MATCH(Calcs[[#This Row],[Line]],Items[Line],0)),INDEX(Proposed[Description],MATCH(Calcs[[#This Row],[Line]],Proposed[Line],0)))),"")</f>
        <v/>
      </c>
      <c r="D84" s="96">
        <f t="shared" ref="D84:M91" ca="1" si="36">IFERROR(FIND(" ",$C84,IFERROR(OFFSET(D84,0,-1)+1,1)),LEN($C84))</f>
        <v>0</v>
      </c>
      <c r="E84" s="97">
        <f t="shared" ca="1" si="36"/>
        <v>0</v>
      </c>
      <c r="F84" s="97">
        <f t="shared" ca="1" si="36"/>
        <v>0</v>
      </c>
      <c r="G84" s="97">
        <f t="shared" ca="1" si="36"/>
        <v>0</v>
      </c>
      <c r="H84" s="97">
        <f t="shared" ca="1" si="36"/>
        <v>0</v>
      </c>
      <c r="I84" s="97">
        <f t="shared" ca="1" si="36"/>
        <v>0</v>
      </c>
      <c r="J84" s="97">
        <f t="shared" ca="1" si="36"/>
        <v>0</v>
      </c>
      <c r="K84" s="97">
        <f t="shared" ca="1" si="36"/>
        <v>0</v>
      </c>
      <c r="L84" s="97">
        <f t="shared" ca="1" si="36"/>
        <v>0</v>
      </c>
      <c r="M84" s="97">
        <f t="shared" ca="1" si="36"/>
        <v>0</v>
      </c>
      <c r="N84" s="97">
        <f t="shared" ca="1" si="34"/>
        <v>0</v>
      </c>
      <c r="O84" s="97">
        <f t="shared" ca="1" si="34"/>
        <v>0</v>
      </c>
      <c r="P84" s="97">
        <f t="shared" ca="1" si="34"/>
        <v>0</v>
      </c>
      <c r="Q84" s="97">
        <f t="shared" ca="1" si="34"/>
        <v>0</v>
      </c>
      <c r="R84" s="97">
        <f t="shared" ca="1" si="34"/>
        <v>0</v>
      </c>
      <c r="S84" s="97">
        <f t="shared" ca="1" si="34"/>
        <v>0</v>
      </c>
      <c r="T84" s="97">
        <f t="shared" ca="1" si="34"/>
        <v>0</v>
      </c>
      <c r="U84" s="97">
        <f t="shared" ca="1" si="34"/>
        <v>0</v>
      </c>
      <c r="V84" s="97">
        <f t="shared" ca="1" si="34"/>
        <v>0</v>
      </c>
      <c r="W84" s="97">
        <f t="shared" ca="1" si="34"/>
        <v>0</v>
      </c>
      <c r="X84" s="97">
        <f t="shared" ca="1" si="28"/>
        <v>0</v>
      </c>
      <c r="Y84" s="97">
        <f t="shared" ca="1" si="28"/>
        <v>0</v>
      </c>
      <c r="Z84" s="97">
        <f t="shared" ca="1" si="28"/>
        <v>0</v>
      </c>
      <c r="AA84" s="97">
        <f t="shared" ca="1" si="28"/>
        <v>0</v>
      </c>
      <c r="AB84" s="97">
        <f t="shared" ca="1" si="28"/>
        <v>0</v>
      </c>
      <c r="AC84" s="97">
        <f t="shared" ca="1" si="28"/>
        <v>0</v>
      </c>
      <c r="AD84" s="97">
        <f t="shared" ca="1" si="28"/>
        <v>0</v>
      </c>
      <c r="AE84" s="97">
        <f t="shared" ca="1" si="28"/>
        <v>0</v>
      </c>
      <c r="AF84" s="97">
        <f t="shared" ca="1" si="28"/>
        <v>0</v>
      </c>
      <c r="AG84" s="97">
        <f t="shared" ca="1" si="28"/>
        <v>0</v>
      </c>
      <c r="AH84" s="97">
        <f t="shared" ca="1" si="28"/>
        <v>0</v>
      </c>
      <c r="AI84" s="97">
        <f t="shared" ca="1" si="32"/>
        <v>0</v>
      </c>
      <c r="AJ84" s="98">
        <f t="shared" ca="1" si="26"/>
        <v>0</v>
      </c>
      <c r="AK84" s="97">
        <f t="shared" ca="1" si="26"/>
        <v>0</v>
      </c>
      <c r="AL84" s="97">
        <f t="shared" ca="1" si="26"/>
        <v>0</v>
      </c>
      <c r="AM84" s="97">
        <f t="shared" ca="1" si="26"/>
        <v>0</v>
      </c>
      <c r="AN84" s="97">
        <f t="shared" ca="1" si="26"/>
        <v>0</v>
      </c>
      <c r="AO84" s="97">
        <f t="shared" ca="1" si="26"/>
        <v>0</v>
      </c>
      <c r="AP84" s="97">
        <f t="shared" ca="1" si="26"/>
        <v>0</v>
      </c>
      <c r="AQ84" s="97">
        <f t="shared" ca="1" si="26"/>
        <v>0</v>
      </c>
      <c r="AR84" s="99">
        <f ca="1">COUNTIF(AJ84:AQ84,"&lt;"&amp;MAX(AJ84:AQ84))+IF(Calcs[[#This Row],[DL1]]=0,0,1)</f>
        <v>0</v>
      </c>
      <c r="AS84" s="100" t="str">
        <f ca="1">IF(LEN(Calcs[[#This Row],[Line]])&gt;0,IF(RIGHT(Calcs[[#This Row],[Remark]],3)=".  ",LEFT(Calcs[[#This Row],[Remark]],LEN(Calcs[[#This Row],[Remark]])-3),Calcs[[#This Row],[Remark]]),"")</f>
        <v/>
      </c>
      <c r="AT84" s="96">
        <f t="shared" ref="AT84:BC91" ca="1" si="37">IFERROR(FIND(" ",$AS84,IFERROR(OFFSET(AT84,0,-1)+1,1)),LEN($AS84))</f>
        <v>0</v>
      </c>
      <c r="AU84" s="102">
        <f t="shared" ca="1" si="37"/>
        <v>0</v>
      </c>
      <c r="AV84" s="102">
        <f t="shared" ca="1" si="37"/>
        <v>0</v>
      </c>
      <c r="AW84" s="102">
        <f t="shared" ca="1" si="37"/>
        <v>0</v>
      </c>
      <c r="AX84" s="102">
        <f t="shared" ca="1" si="37"/>
        <v>0</v>
      </c>
      <c r="AY84" s="102">
        <f t="shared" ca="1" si="37"/>
        <v>0</v>
      </c>
      <c r="AZ84" s="102">
        <f t="shared" ca="1" si="37"/>
        <v>0</v>
      </c>
      <c r="BA84" s="102">
        <f t="shared" ca="1" si="37"/>
        <v>0</v>
      </c>
      <c r="BB84" s="102">
        <f t="shared" ca="1" si="37"/>
        <v>0</v>
      </c>
      <c r="BC84" s="102">
        <f t="shared" ca="1" si="37"/>
        <v>0</v>
      </c>
      <c r="BD84" s="102">
        <f t="shared" ca="1" si="35"/>
        <v>0</v>
      </c>
      <c r="BE84" s="102">
        <f t="shared" ca="1" si="35"/>
        <v>0</v>
      </c>
      <c r="BF84" s="102">
        <f t="shared" ca="1" si="35"/>
        <v>0</v>
      </c>
      <c r="BG84" s="102">
        <f t="shared" ca="1" si="35"/>
        <v>0</v>
      </c>
      <c r="BH84" s="102">
        <f t="shared" ca="1" si="35"/>
        <v>0</v>
      </c>
      <c r="BI84" s="102">
        <f t="shared" ca="1" si="35"/>
        <v>0</v>
      </c>
      <c r="BJ84" s="102">
        <f t="shared" ca="1" si="35"/>
        <v>0</v>
      </c>
      <c r="BK84" s="102">
        <f t="shared" ca="1" si="35"/>
        <v>0</v>
      </c>
      <c r="BL84" s="102">
        <f t="shared" ca="1" si="35"/>
        <v>0</v>
      </c>
      <c r="BM84" s="102">
        <f t="shared" ca="1" si="35"/>
        <v>0</v>
      </c>
      <c r="BN84" s="102">
        <f t="shared" ca="1" si="29"/>
        <v>0</v>
      </c>
      <c r="BO84" s="102">
        <f t="shared" ca="1" si="29"/>
        <v>0</v>
      </c>
      <c r="BP84" s="102">
        <f t="shared" ca="1" si="29"/>
        <v>0</v>
      </c>
      <c r="BQ84" s="102">
        <f t="shared" ca="1" si="29"/>
        <v>0</v>
      </c>
      <c r="BR84" s="102">
        <f t="shared" ca="1" si="29"/>
        <v>0</v>
      </c>
      <c r="BS84" s="102">
        <f t="shared" ca="1" si="29"/>
        <v>0</v>
      </c>
      <c r="BT84" s="102">
        <f t="shared" ca="1" si="29"/>
        <v>0</v>
      </c>
      <c r="BU84" s="102">
        <f t="shared" ca="1" si="29"/>
        <v>0</v>
      </c>
      <c r="BV84" s="102">
        <f t="shared" ca="1" si="29"/>
        <v>0</v>
      </c>
      <c r="BW84" s="102">
        <f t="shared" ca="1" si="29"/>
        <v>0</v>
      </c>
      <c r="BX84" s="102">
        <f t="shared" ca="1" si="29"/>
        <v>0</v>
      </c>
      <c r="BY84" s="102">
        <f t="shared" ca="1" si="33"/>
        <v>0</v>
      </c>
      <c r="BZ84" s="98">
        <f t="shared" ca="1" si="27"/>
        <v>0</v>
      </c>
      <c r="CA84" s="102">
        <f t="shared" ca="1" si="27"/>
        <v>0</v>
      </c>
      <c r="CB84" s="102">
        <f t="shared" ca="1" si="27"/>
        <v>0</v>
      </c>
      <c r="CC84" s="102">
        <f t="shared" ca="1" si="27"/>
        <v>0</v>
      </c>
      <c r="CD84" s="102">
        <f t="shared" ca="1" si="27"/>
        <v>0</v>
      </c>
      <c r="CE84" s="102">
        <f t="shared" ca="1" si="27"/>
        <v>0</v>
      </c>
      <c r="CF84" s="102">
        <f t="shared" ca="1" si="27"/>
        <v>0</v>
      </c>
      <c r="CG84" s="102">
        <f t="shared" ca="1" si="27"/>
        <v>0</v>
      </c>
      <c r="CH84" s="101">
        <f ca="1">COUNTIF(BZ84:CG84,"&lt;"&amp;MAX(BZ84:CG84))+IF(Calcs[[#This Row],[RL1]]=0,0,1)</f>
        <v>0</v>
      </c>
      <c r="CI8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4" s="103">
        <f ca="1">IFERROR(OFFSET(CJ84,-1,0)+0,0)+IF(INDEX(INDIRECT(RangeContrQty),MATCH(Calcs[[#This Row],[Line]],OFFSET(Items[Line],0,0,ROW(Proposed[])-ROW(Items[])+ROWS(Proposed[]),1),0)),1,0)</f>
        <v>0</v>
      </c>
    </row>
    <row r="85" spans="1:88" x14ac:dyDescent="0.15">
      <c r="A85" s="6">
        <f ca="1">IFERROR(OFFSET(A85,-1,0)+0,0)+MAX(IF(LEN(Calcs[[#This Row],[Line]])&gt;0,1,0),Calcs[[#This Row],[DL]],Calcs[[#This Row],[RL]])</f>
        <v>10</v>
      </c>
      <c r="B85" s="94" t="str">
        <f ca="1">IFERROR(INDEX(OFFSET(Items[Line],0,0,ROW(Proposed[])-ROW(Items[])+ROWS(Proposed[]),1),MATCH(ROW(B85)-ROW(B$3),INDIRECT(RangeCount),0)),"")</f>
        <v/>
      </c>
      <c r="C85" s="94" t="str">
        <f ca="1">IF(LEN(Calcs[[#This Row],[Line]])&gt;0,TRIM(IFERROR(INDEX(Items[Description],MATCH(Calcs[[#This Row],[Line]],Items[Line],0))&amp;INDEX(Items[Description2],MATCH(Calcs[[#This Row],[Line]],Items[Line],0)),INDEX(Proposed[Description],MATCH(Calcs[[#This Row],[Line]],Proposed[Line],0)))),"")</f>
        <v/>
      </c>
      <c r="D85" s="96">
        <f t="shared" ca="1" si="36"/>
        <v>0</v>
      </c>
      <c r="E85" s="97">
        <f t="shared" ca="1" si="36"/>
        <v>0</v>
      </c>
      <c r="F85" s="97">
        <f t="shared" ca="1" si="36"/>
        <v>0</v>
      </c>
      <c r="G85" s="97">
        <f t="shared" ca="1" si="36"/>
        <v>0</v>
      </c>
      <c r="H85" s="97">
        <f t="shared" ca="1" si="36"/>
        <v>0</v>
      </c>
      <c r="I85" s="97">
        <f t="shared" ca="1" si="36"/>
        <v>0</v>
      </c>
      <c r="J85" s="97">
        <f t="shared" ca="1" si="36"/>
        <v>0</v>
      </c>
      <c r="K85" s="97">
        <f t="shared" ca="1" si="36"/>
        <v>0</v>
      </c>
      <c r="L85" s="97">
        <f t="shared" ca="1" si="36"/>
        <v>0</v>
      </c>
      <c r="M85" s="97">
        <f t="shared" ca="1" si="36"/>
        <v>0</v>
      </c>
      <c r="N85" s="97">
        <f t="shared" ca="1" si="34"/>
        <v>0</v>
      </c>
      <c r="O85" s="97">
        <f t="shared" ca="1" si="34"/>
        <v>0</v>
      </c>
      <c r="P85" s="97">
        <f t="shared" ca="1" si="34"/>
        <v>0</v>
      </c>
      <c r="Q85" s="97">
        <f t="shared" ca="1" si="34"/>
        <v>0</v>
      </c>
      <c r="R85" s="97">
        <f t="shared" ca="1" si="34"/>
        <v>0</v>
      </c>
      <c r="S85" s="97">
        <f t="shared" ca="1" si="34"/>
        <v>0</v>
      </c>
      <c r="T85" s="97">
        <f t="shared" ca="1" si="34"/>
        <v>0</v>
      </c>
      <c r="U85" s="97">
        <f t="shared" ca="1" si="34"/>
        <v>0</v>
      </c>
      <c r="V85" s="97">
        <f t="shared" ca="1" si="34"/>
        <v>0</v>
      </c>
      <c r="W85" s="97">
        <f t="shared" ca="1" si="34"/>
        <v>0</v>
      </c>
      <c r="X85" s="97">
        <f t="shared" ca="1" si="28"/>
        <v>0</v>
      </c>
      <c r="Y85" s="97">
        <f t="shared" ca="1" si="28"/>
        <v>0</v>
      </c>
      <c r="Z85" s="97">
        <f t="shared" ca="1" si="28"/>
        <v>0</v>
      </c>
      <c r="AA85" s="97">
        <f t="shared" ca="1" si="28"/>
        <v>0</v>
      </c>
      <c r="AB85" s="97">
        <f t="shared" ca="1" si="28"/>
        <v>0</v>
      </c>
      <c r="AC85" s="97">
        <f t="shared" ca="1" si="28"/>
        <v>0</v>
      </c>
      <c r="AD85" s="97">
        <f t="shared" ca="1" si="28"/>
        <v>0</v>
      </c>
      <c r="AE85" s="97">
        <f t="shared" ca="1" si="28"/>
        <v>0</v>
      </c>
      <c r="AF85" s="97">
        <f t="shared" ca="1" si="28"/>
        <v>0</v>
      </c>
      <c r="AG85" s="97">
        <f t="shared" ca="1" si="28"/>
        <v>0</v>
      </c>
      <c r="AH85" s="97">
        <f t="shared" ca="1" si="28"/>
        <v>0</v>
      </c>
      <c r="AI85" s="97">
        <f t="shared" ca="1" si="32"/>
        <v>0</v>
      </c>
      <c r="AJ85" s="98">
        <f t="shared" ca="1" si="26"/>
        <v>0</v>
      </c>
      <c r="AK85" s="97">
        <f t="shared" ca="1" si="26"/>
        <v>0</v>
      </c>
      <c r="AL85" s="97">
        <f t="shared" ca="1" si="26"/>
        <v>0</v>
      </c>
      <c r="AM85" s="97">
        <f t="shared" ca="1" si="26"/>
        <v>0</v>
      </c>
      <c r="AN85" s="97">
        <f t="shared" ca="1" si="26"/>
        <v>0</v>
      </c>
      <c r="AO85" s="97">
        <f t="shared" ca="1" si="26"/>
        <v>0</v>
      </c>
      <c r="AP85" s="97">
        <f t="shared" ca="1" si="26"/>
        <v>0</v>
      </c>
      <c r="AQ85" s="97">
        <f t="shared" ca="1" si="26"/>
        <v>0</v>
      </c>
      <c r="AR85" s="99">
        <f ca="1">COUNTIF(AJ85:AQ85,"&lt;"&amp;MAX(AJ85:AQ85))+IF(Calcs[[#This Row],[DL1]]=0,0,1)</f>
        <v>0</v>
      </c>
      <c r="AS85" s="100" t="str">
        <f ca="1">IF(LEN(Calcs[[#This Row],[Line]])&gt;0,IF(RIGHT(Calcs[[#This Row],[Remark]],3)=".  ",LEFT(Calcs[[#This Row],[Remark]],LEN(Calcs[[#This Row],[Remark]])-3),Calcs[[#This Row],[Remark]]),"")</f>
        <v/>
      </c>
      <c r="AT85" s="96">
        <f t="shared" ca="1" si="37"/>
        <v>0</v>
      </c>
      <c r="AU85" s="102">
        <f t="shared" ca="1" si="37"/>
        <v>0</v>
      </c>
      <c r="AV85" s="102">
        <f t="shared" ca="1" si="37"/>
        <v>0</v>
      </c>
      <c r="AW85" s="102">
        <f t="shared" ca="1" si="37"/>
        <v>0</v>
      </c>
      <c r="AX85" s="102">
        <f t="shared" ca="1" si="37"/>
        <v>0</v>
      </c>
      <c r="AY85" s="102">
        <f t="shared" ca="1" si="37"/>
        <v>0</v>
      </c>
      <c r="AZ85" s="102">
        <f t="shared" ca="1" si="37"/>
        <v>0</v>
      </c>
      <c r="BA85" s="102">
        <f t="shared" ca="1" si="37"/>
        <v>0</v>
      </c>
      <c r="BB85" s="102">
        <f t="shared" ca="1" si="37"/>
        <v>0</v>
      </c>
      <c r="BC85" s="102">
        <f t="shared" ca="1" si="37"/>
        <v>0</v>
      </c>
      <c r="BD85" s="102">
        <f t="shared" ca="1" si="35"/>
        <v>0</v>
      </c>
      <c r="BE85" s="102">
        <f t="shared" ca="1" si="35"/>
        <v>0</v>
      </c>
      <c r="BF85" s="102">
        <f t="shared" ca="1" si="35"/>
        <v>0</v>
      </c>
      <c r="BG85" s="102">
        <f t="shared" ca="1" si="35"/>
        <v>0</v>
      </c>
      <c r="BH85" s="102">
        <f t="shared" ca="1" si="35"/>
        <v>0</v>
      </c>
      <c r="BI85" s="102">
        <f t="shared" ca="1" si="35"/>
        <v>0</v>
      </c>
      <c r="BJ85" s="102">
        <f t="shared" ca="1" si="35"/>
        <v>0</v>
      </c>
      <c r="BK85" s="102">
        <f t="shared" ca="1" si="35"/>
        <v>0</v>
      </c>
      <c r="BL85" s="102">
        <f t="shared" ca="1" si="35"/>
        <v>0</v>
      </c>
      <c r="BM85" s="102">
        <f t="shared" ca="1" si="35"/>
        <v>0</v>
      </c>
      <c r="BN85" s="102">
        <f t="shared" ca="1" si="29"/>
        <v>0</v>
      </c>
      <c r="BO85" s="102">
        <f t="shared" ca="1" si="29"/>
        <v>0</v>
      </c>
      <c r="BP85" s="102">
        <f t="shared" ca="1" si="29"/>
        <v>0</v>
      </c>
      <c r="BQ85" s="102">
        <f t="shared" ca="1" si="29"/>
        <v>0</v>
      </c>
      <c r="BR85" s="102">
        <f t="shared" ca="1" si="29"/>
        <v>0</v>
      </c>
      <c r="BS85" s="102">
        <f t="shared" ca="1" si="29"/>
        <v>0</v>
      </c>
      <c r="BT85" s="102">
        <f t="shared" ca="1" si="29"/>
        <v>0</v>
      </c>
      <c r="BU85" s="102">
        <f t="shared" ca="1" si="29"/>
        <v>0</v>
      </c>
      <c r="BV85" s="102">
        <f t="shared" ca="1" si="29"/>
        <v>0</v>
      </c>
      <c r="BW85" s="102">
        <f t="shared" ca="1" si="29"/>
        <v>0</v>
      </c>
      <c r="BX85" s="102">
        <f t="shared" ca="1" si="29"/>
        <v>0</v>
      </c>
      <c r="BY85" s="102">
        <f t="shared" ca="1" si="33"/>
        <v>0</v>
      </c>
      <c r="BZ85" s="98">
        <f t="shared" ca="1" si="27"/>
        <v>0</v>
      </c>
      <c r="CA85" s="102">
        <f t="shared" ca="1" si="27"/>
        <v>0</v>
      </c>
      <c r="CB85" s="102">
        <f t="shared" ca="1" si="27"/>
        <v>0</v>
      </c>
      <c r="CC85" s="102">
        <f t="shared" ca="1" si="27"/>
        <v>0</v>
      </c>
      <c r="CD85" s="102">
        <f t="shared" ca="1" si="27"/>
        <v>0</v>
      </c>
      <c r="CE85" s="102">
        <f t="shared" ca="1" si="27"/>
        <v>0</v>
      </c>
      <c r="CF85" s="102">
        <f t="shared" ca="1" si="27"/>
        <v>0</v>
      </c>
      <c r="CG85" s="102">
        <f t="shared" ca="1" si="27"/>
        <v>0</v>
      </c>
      <c r="CH85" s="101">
        <f ca="1">COUNTIF(BZ85:CG85,"&lt;"&amp;MAX(BZ85:CG85))+IF(Calcs[[#This Row],[RL1]]=0,0,1)</f>
        <v>0</v>
      </c>
      <c r="CI8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5" s="103">
        <f ca="1">IFERROR(OFFSET(CJ85,-1,0)+0,0)+IF(INDEX(INDIRECT(RangeContrQty),MATCH(Calcs[[#This Row],[Line]],OFFSET(Items[Line],0,0,ROW(Proposed[])-ROW(Items[])+ROWS(Proposed[]),1),0)),1,0)</f>
        <v>0</v>
      </c>
    </row>
    <row r="86" spans="1:88" x14ac:dyDescent="0.15">
      <c r="A86" s="6">
        <f ca="1">IFERROR(OFFSET(A86,-1,0)+0,0)+MAX(IF(LEN(Calcs[[#This Row],[Line]])&gt;0,1,0),Calcs[[#This Row],[DL]],Calcs[[#This Row],[RL]])</f>
        <v>10</v>
      </c>
      <c r="B86" s="94" t="str">
        <f ca="1">IFERROR(INDEX(OFFSET(Items[Line],0,0,ROW(Proposed[])-ROW(Items[])+ROWS(Proposed[]),1),MATCH(ROW(B86)-ROW(B$3),INDIRECT(RangeCount),0)),"")</f>
        <v/>
      </c>
      <c r="C86" s="94" t="str">
        <f ca="1">IF(LEN(Calcs[[#This Row],[Line]])&gt;0,TRIM(IFERROR(INDEX(Items[Description],MATCH(Calcs[[#This Row],[Line]],Items[Line],0))&amp;INDEX(Items[Description2],MATCH(Calcs[[#This Row],[Line]],Items[Line],0)),INDEX(Proposed[Description],MATCH(Calcs[[#This Row],[Line]],Proposed[Line],0)))),"")</f>
        <v/>
      </c>
      <c r="D86" s="96">
        <f t="shared" ca="1" si="36"/>
        <v>0</v>
      </c>
      <c r="E86" s="97">
        <f t="shared" ca="1" si="36"/>
        <v>0</v>
      </c>
      <c r="F86" s="97">
        <f t="shared" ca="1" si="36"/>
        <v>0</v>
      </c>
      <c r="G86" s="97">
        <f t="shared" ca="1" si="36"/>
        <v>0</v>
      </c>
      <c r="H86" s="97">
        <f t="shared" ca="1" si="36"/>
        <v>0</v>
      </c>
      <c r="I86" s="97">
        <f t="shared" ca="1" si="36"/>
        <v>0</v>
      </c>
      <c r="J86" s="97">
        <f t="shared" ca="1" si="36"/>
        <v>0</v>
      </c>
      <c r="K86" s="97">
        <f t="shared" ca="1" si="36"/>
        <v>0</v>
      </c>
      <c r="L86" s="97">
        <f t="shared" ca="1" si="36"/>
        <v>0</v>
      </c>
      <c r="M86" s="97">
        <f t="shared" ca="1" si="36"/>
        <v>0</v>
      </c>
      <c r="N86" s="97">
        <f t="shared" ca="1" si="34"/>
        <v>0</v>
      </c>
      <c r="O86" s="97">
        <f t="shared" ca="1" si="34"/>
        <v>0</v>
      </c>
      <c r="P86" s="97">
        <f t="shared" ca="1" si="34"/>
        <v>0</v>
      </c>
      <c r="Q86" s="97">
        <f t="shared" ca="1" si="34"/>
        <v>0</v>
      </c>
      <c r="R86" s="97">
        <f t="shared" ca="1" si="34"/>
        <v>0</v>
      </c>
      <c r="S86" s="97">
        <f t="shared" ca="1" si="34"/>
        <v>0</v>
      </c>
      <c r="T86" s="97">
        <f t="shared" ca="1" si="34"/>
        <v>0</v>
      </c>
      <c r="U86" s="97">
        <f t="shared" ca="1" si="34"/>
        <v>0</v>
      </c>
      <c r="V86" s="97">
        <f t="shared" ca="1" si="34"/>
        <v>0</v>
      </c>
      <c r="W86" s="97">
        <f t="shared" ca="1" si="34"/>
        <v>0</v>
      </c>
      <c r="X86" s="97">
        <f t="shared" ca="1" si="28"/>
        <v>0</v>
      </c>
      <c r="Y86" s="97">
        <f t="shared" ca="1" si="28"/>
        <v>0</v>
      </c>
      <c r="Z86" s="97">
        <f t="shared" ca="1" si="28"/>
        <v>0</v>
      </c>
      <c r="AA86" s="97">
        <f t="shared" ca="1" si="28"/>
        <v>0</v>
      </c>
      <c r="AB86" s="97">
        <f t="shared" ca="1" si="28"/>
        <v>0</v>
      </c>
      <c r="AC86" s="97">
        <f t="shared" ca="1" si="28"/>
        <v>0</v>
      </c>
      <c r="AD86" s="97">
        <f t="shared" ca="1" si="28"/>
        <v>0</v>
      </c>
      <c r="AE86" s="97">
        <f t="shared" ca="1" si="28"/>
        <v>0</v>
      </c>
      <c r="AF86" s="97">
        <f t="shared" ca="1" si="28"/>
        <v>0</v>
      </c>
      <c r="AG86" s="97">
        <f t="shared" ca="1" si="28"/>
        <v>0</v>
      </c>
      <c r="AH86" s="97">
        <f t="shared" ca="1" si="28"/>
        <v>0</v>
      </c>
      <c r="AI86" s="97">
        <f t="shared" ca="1" si="32"/>
        <v>0</v>
      </c>
      <c r="AJ86" s="98">
        <f t="shared" ca="1" si="26"/>
        <v>0</v>
      </c>
      <c r="AK86" s="97">
        <f t="shared" ca="1" si="26"/>
        <v>0</v>
      </c>
      <c r="AL86" s="97">
        <f t="shared" ca="1" si="26"/>
        <v>0</v>
      </c>
      <c r="AM86" s="97">
        <f t="shared" ca="1" si="26"/>
        <v>0</v>
      </c>
      <c r="AN86" s="97">
        <f t="shared" ca="1" si="26"/>
        <v>0</v>
      </c>
      <c r="AO86" s="97">
        <f t="shared" ca="1" si="26"/>
        <v>0</v>
      </c>
      <c r="AP86" s="97">
        <f t="shared" ca="1" si="26"/>
        <v>0</v>
      </c>
      <c r="AQ86" s="97">
        <f t="shared" ca="1" si="26"/>
        <v>0</v>
      </c>
      <c r="AR86" s="99">
        <f ca="1">COUNTIF(AJ86:AQ86,"&lt;"&amp;MAX(AJ86:AQ86))+IF(Calcs[[#This Row],[DL1]]=0,0,1)</f>
        <v>0</v>
      </c>
      <c r="AS86" s="100" t="str">
        <f ca="1">IF(LEN(Calcs[[#This Row],[Line]])&gt;0,IF(RIGHT(Calcs[[#This Row],[Remark]],3)=".  ",LEFT(Calcs[[#This Row],[Remark]],LEN(Calcs[[#This Row],[Remark]])-3),Calcs[[#This Row],[Remark]]),"")</f>
        <v/>
      </c>
      <c r="AT86" s="96">
        <f t="shared" ca="1" si="37"/>
        <v>0</v>
      </c>
      <c r="AU86" s="102">
        <f t="shared" ca="1" si="37"/>
        <v>0</v>
      </c>
      <c r="AV86" s="102">
        <f t="shared" ca="1" si="37"/>
        <v>0</v>
      </c>
      <c r="AW86" s="102">
        <f t="shared" ca="1" si="37"/>
        <v>0</v>
      </c>
      <c r="AX86" s="102">
        <f t="shared" ca="1" si="37"/>
        <v>0</v>
      </c>
      <c r="AY86" s="102">
        <f t="shared" ca="1" si="37"/>
        <v>0</v>
      </c>
      <c r="AZ86" s="102">
        <f t="shared" ca="1" si="37"/>
        <v>0</v>
      </c>
      <c r="BA86" s="102">
        <f t="shared" ca="1" si="37"/>
        <v>0</v>
      </c>
      <c r="BB86" s="102">
        <f t="shared" ca="1" si="37"/>
        <v>0</v>
      </c>
      <c r="BC86" s="102">
        <f t="shared" ca="1" si="37"/>
        <v>0</v>
      </c>
      <c r="BD86" s="102">
        <f t="shared" ca="1" si="35"/>
        <v>0</v>
      </c>
      <c r="BE86" s="102">
        <f t="shared" ca="1" si="35"/>
        <v>0</v>
      </c>
      <c r="BF86" s="102">
        <f t="shared" ca="1" si="35"/>
        <v>0</v>
      </c>
      <c r="BG86" s="102">
        <f t="shared" ca="1" si="35"/>
        <v>0</v>
      </c>
      <c r="BH86" s="102">
        <f t="shared" ca="1" si="35"/>
        <v>0</v>
      </c>
      <c r="BI86" s="102">
        <f t="shared" ca="1" si="35"/>
        <v>0</v>
      </c>
      <c r="BJ86" s="102">
        <f t="shared" ca="1" si="35"/>
        <v>0</v>
      </c>
      <c r="BK86" s="102">
        <f t="shared" ca="1" si="35"/>
        <v>0</v>
      </c>
      <c r="BL86" s="102">
        <f t="shared" ca="1" si="35"/>
        <v>0</v>
      </c>
      <c r="BM86" s="102">
        <f t="shared" ca="1" si="35"/>
        <v>0</v>
      </c>
      <c r="BN86" s="102">
        <f t="shared" ca="1" si="29"/>
        <v>0</v>
      </c>
      <c r="BO86" s="102">
        <f t="shared" ca="1" si="29"/>
        <v>0</v>
      </c>
      <c r="BP86" s="102">
        <f t="shared" ca="1" si="29"/>
        <v>0</v>
      </c>
      <c r="BQ86" s="102">
        <f t="shared" ca="1" si="29"/>
        <v>0</v>
      </c>
      <c r="BR86" s="102">
        <f t="shared" ca="1" si="29"/>
        <v>0</v>
      </c>
      <c r="BS86" s="102">
        <f t="shared" ca="1" si="29"/>
        <v>0</v>
      </c>
      <c r="BT86" s="102">
        <f t="shared" ca="1" si="29"/>
        <v>0</v>
      </c>
      <c r="BU86" s="102">
        <f t="shared" ca="1" si="29"/>
        <v>0</v>
      </c>
      <c r="BV86" s="102">
        <f t="shared" ca="1" si="29"/>
        <v>0</v>
      </c>
      <c r="BW86" s="102">
        <f t="shared" ca="1" si="29"/>
        <v>0</v>
      </c>
      <c r="BX86" s="102">
        <f t="shared" ca="1" si="29"/>
        <v>0</v>
      </c>
      <c r="BY86" s="102">
        <f t="shared" ca="1" si="33"/>
        <v>0</v>
      </c>
      <c r="BZ86" s="98">
        <f t="shared" ca="1" si="27"/>
        <v>0</v>
      </c>
      <c r="CA86" s="102">
        <f t="shared" ca="1" si="27"/>
        <v>0</v>
      </c>
      <c r="CB86" s="102">
        <f t="shared" ca="1" si="27"/>
        <v>0</v>
      </c>
      <c r="CC86" s="102">
        <f t="shared" ca="1" si="27"/>
        <v>0</v>
      </c>
      <c r="CD86" s="102">
        <f t="shared" ca="1" si="27"/>
        <v>0</v>
      </c>
      <c r="CE86" s="102">
        <f t="shared" ca="1" si="27"/>
        <v>0</v>
      </c>
      <c r="CF86" s="102">
        <f t="shared" ca="1" si="27"/>
        <v>0</v>
      </c>
      <c r="CG86" s="102">
        <f t="shared" ca="1" si="27"/>
        <v>0</v>
      </c>
      <c r="CH86" s="101">
        <f ca="1">COUNTIF(BZ86:CG86,"&lt;"&amp;MAX(BZ86:CG86))+IF(Calcs[[#This Row],[RL1]]=0,0,1)</f>
        <v>0</v>
      </c>
      <c r="CI8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6" s="103">
        <f ca="1">IFERROR(OFFSET(CJ86,-1,0)+0,0)+IF(INDEX(INDIRECT(RangeContrQty),MATCH(Calcs[[#This Row],[Line]],OFFSET(Items[Line],0,0,ROW(Proposed[])-ROW(Items[])+ROWS(Proposed[]),1),0)),1,0)</f>
        <v>0</v>
      </c>
    </row>
    <row r="87" spans="1:88" x14ac:dyDescent="0.15">
      <c r="A87" s="6">
        <f ca="1">IFERROR(OFFSET(A87,-1,0)+0,0)+MAX(IF(LEN(Calcs[[#This Row],[Line]])&gt;0,1,0),Calcs[[#This Row],[DL]],Calcs[[#This Row],[RL]])</f>
        <v>10</v>
      </c>
      <c r="B87" s="94" t="str">
        <f ca="1">IFERROR(INDEX(OFFSET(Items[Line],0,0,ROW(Proposed[])-ROW(Items[])+ROWS(Proposed[]),1),MATCH(ROW(B87)-ROW(B$3),INDIRECT(RangeCount),0)),"")</f>
        <v/>
      </c>
      <c r="C87" s="94" t="str">
        <f ca="1">IF(LEN(Calcs[[#This Row],[Line]])&gt;0,TRIM(IFERROR(INDEX(Items[Description],MATCH(Calcs[[#This Row],[Line]],Items[Line],0))&amp;INDEX(Items[Description2],MATCH(Calcs[[#This Row],[Line]],Items[Line],0)),INDEX(Proposed[Description],MATCH(Calcs[[#This Row],[Line]],Proposed[Line],0)))),"")</f>
        <v/>
      </c>
      <c r="D87" s="96">
        <f t="shared" ca="1" si="36"/>
        <v>0</v>
      </c>
      <c r="E87" s="97">
        <f t="shared" ca="1" si="36"/>
        <v>0</v>
      </c>
      <c r="F87" s="97">
        <f t="shared" ca="1" si="36"/>
        <v>0</v>
      </c>
      <c r="G87" s="97">
        <f t="shared" ca="1" si="36"/>
        <v>0</v>
      </c>
      <c r="H87" s="97">
        <f t="shared" ca="1" si="36"/>
        <v>0</v>
      </c>
      <c r="I87" s="97">
        <f t="shared" ca="1" si="36"/>
        <v>0</v>
      </c>
      <c r="J87" s="97">
        <f t="shared" ca="1" si="36"/>
        <v>0</v>
      </c>
      <c r="K87" s="97">
        <f t="shared" ca="1" si="36"/>
        <v>0</v>
      </c>
      <c r="L87" s="97">
        <f t="shared" ca="1" si="36"/>
        <v>0</v>
      </c>
      <c r="M87" s="97">
        <f t="shared" ca="1" si="36"/>
        <v>0</v>
      </c>
      <c r="N87" s="97">
        <f t="shared" ca="1" si="34"/>
        <v>0</v>
      </c>
      <c r="O87" s="97">
        <f t="shared" ca="1" si="34"/>
        <v>0</v>
      </c>
      <c r="P87" s="97">
        <f t="shared" ca="1" si="34"/>
        <v>0</v>
      </c>
      <c r="Q87" s="97">
        <f t="shared" ca="1" si="34"/>
        <v>0</v>
      </c>
      <c r="R87" s="97">
        <f t="shared" ca="1" si="34"/>
        <v>0</v>
      </c>
      <c r="S87" s="97">
        <f t="shared" ca="1" si="34"/>
        <v>0</v>
      </c>
      <c r="T87" s="97">
        <f t="shared" ca="1" si="34"/>
        <v>0</v>
      </c>
      <c r="U87" s="97">
        <f t="shared" ca="1" si="34"/>
        <v>0</v>
      </c>
      <c r="V87" s="97">
        <f t="shared" ca="1" si="34"/>
        <v>0</v>
      </c>
      <c r="W87" s="97">
        <f t="shared" ca="1" si="34"/>
        <v>0</v>
      </c>
      <c r="X87" s="97">
        <f t="shared" ca="1" si="28"/>
        <v>0</v>
      </c>
      <c r="Y87" s="97">
        <f t="shared" ca="1" si="28"/>
        <v>0</v>
      </c>
      <c r="Z87" s="97">
        <f t="shared" ca="1" si="28"/>
        <v>0</v>
      </c>
      <c r="AA87" s="97">
        <f t="shared" ca="1" si="28"/>
        <v>0</v>
      </c>
      <c r="AB87" s="97">
        <f t="shared" ca="1" si="28"/>
        <v>0</v>
      </c>
      <c r="AC87" s="97">
        <f t="shared" ca="1" si="28"/>
        <v>0</v>
      </c>
      <c r="AD87" s="97">
        <f t="shared" ca="1" si="28"/>
        <v>0</v>
      </c>
      <c r="AE87" s="97">
        <f t="shared" ca="1" si="28"/>
        <v>0</v>
      </c>
      <c r="AF87" s="97">
        <f t="shared" ca="1" si="28"/>
        <v>0</v>
      </c>
      <c r="AG87" s="97">
        <f t="shared" ca="1" si="28"/>
        <v>0</v>
      </c>
      <c r="AH87" s="97">
        <f t="shared" ca="1" si="28"/>
        <v>0</v>
      </c>
      <c r="AI87" s="97">
        <f t="shared" ca="1" si="32"/>
        <v>0</v>
      </c>
      <c r="AJ87" s="98">
        <f t="shared" ca="1" si="26"/>
        <v>0</v>
      </c>
      <c r="AK87" s="97">
        <f t="shared" ca="1" si="26"/>
        <v>0</v>
      </c>
      <c r="AL87" s="97">
        <f t="shared" ca="1" si="26"/>
        <v>0</v>
      </c>
      <c r="AM87" s="97">
        <f t="shared" ca="1" si="26"/>
        <v>0</v>
      </c>
      <c r="AN87" s="97">
        <f t="shared" ca="1" si="26"/>
        <v>0</v>
      </c>
      <c r="AO87" s="97">
        <f t="shared" ca="1" si="26"/>
        <v>0</v>
      </c>
      <c r="AP87" s="97">
        <f t="shared" ca="1" si="26"/>
        <v>0</v>
      </c>
      <c r="AQ87" s="97">
        <f t="shared" ca="1" si="26"/>
        <v>0</v>
      </c>
      <c r="AR87" s="99">
        <f ca="1">COUNTIF(AJ87:AQ87,"&lt;"&amp;MAX(AJ87:AQ87))+IF(Calcs[[#This Row],[DL1]]=0,0,1)</f>
        <v>0</v>
      </c>
      <c r="AS87" s="100" t="str">
        <f ca="1">IF(LEN(Calcs[[#This Row],[Line]])&gt;0,IF(RIGHT(Calcs[[#This Row],[Remark]],3)=".  ",LEFT(Calcs[[#This Row],[Remark]],LEN(Calcs[[#This Row],[Remark]])-3),Calcs[[#This Row],[Remark]]),"")</f>
        <v/>
      </c>
      <c r="AT87" s="96">
        <f t="shared" ca="1" si="37"/>
        <v>0</v>
      </c>
      <c r="AU87" s="102">
        <f t="shared" ca="1" si="37"/>
        <v>0</v>
      </c>
      <c r="AV87" s="102">
        <f t="shared" ca="1" si="37"/>
        <v>0</v>
      </c>
      <c r="AW87" s="102">
        <f t="shared" ca="1" si="37"/>
        <v>0</v>
      </c>
      <c r="AX87" s="102">
        <f t="shared" ca="1" si="37"/>
        <v>0</v>
      </c>
      <c r="AY87" s="102">
        <f t="shared" ca="1" si="37"/>
        <v>0</v>
      </c>
      <c r="AZ87" s="102">
        <f t="shared" ca="1" si="37"/>
        <v>0</v>
      </c>
      <c r="BA87" s="102">
        <f t="shared" ca="1" si="37"/>
        <v>0</v>
      </c>
      <c r="BB87" s="102">
        <f t="shared" ca="1" si="37"/>
        <v>0</v>
      </c>
      <c r="BC87" s="102">
        <f t="shared" ca="1" si="37"/>
        <v>0</v>
      </c>
      <c r="BD87" s="102">
        <f t="shared" ca="1" si="35"/>
        <v>0</v>
      </c>
      <c r="BE87" s="102">
        <f t="shared" ca="1" si="35"/>
        <v>0</v>
      </c>
      <c r="BF87" s="102">
        <f t="shared" ca="1" si="35"/>
        <v>0</v>
      </c>
      <c r="BG87" s="102">
        <f t="shared" ca="1" si="35"/>
        <v>0</v>
      </c>
      <c r="BH87" s="102">
        <f t="shared" ca="1" si="35"/>
        <v>0</v>
      </c>
      <c r="BI87" s="102">
        <f t="shared" ca="1" si="35"/>
        <v>0</v>
      </c>
      <c r="BJ87" s="102">
        <f t="shared" ca="1" si="35"/>
        <v>0</v>
      </c>
      <c r="BK87" s="102">
        <f t="shared" ca="1" si="35"/>
        <v>0</v>
      </c>
      <c r="BL87" s="102">
        <f t="shared" ca="1" si="35"/>
        <v>0</v>
      </c>
      <c r="BM87" s="102">
        <f t="shared" ca="1" si="35"/>
        <v>0</v>
      </c>
      <c r="BN87" s="102">
        <f t="shared" ca="1" si="29"/>
        <v>0</v>
      </c>
      <c r="BO87" s="102">
        <f t="shared" ca="1" si="29"/>
        <v>0</v>
      </c>
      <c r="BP87" s="102">
        <f t="shared" ca="1" si="29"/>
        <v>0</v>
      </c>
      <c r="BQ87" s="102">
        <f t="shared" ca="1" si="29"/>
        <v>0</v>
      </c>
      <c r="BR87" s="102">
        <f t="shared" ca="1" si="29"/>
        <v>0</v>
      </c>
      <c r="BS87" s="102">
        <f t="shared" ca="1" si="29"/>
        <v>0</v>
      </c>
      <c r="BT87" s="102">
        <f t="shared" ca="1" si="29"/>
        <v>0</v>
      </c>
      <c r="BU87" s="102">
        <f t="shared" ca="1" si="29"/>
        <v>0</v>
      </c>
      <c r="BV87" s="102">
        <f t="shared" ca="1" si="29"/>
        <v>0</v>
      </c>
      <c r="BW87" s="102">
        <f t="shared" ca="1" si="29"/>
        <v>0</v>
      </c>
      <c r="BX87" s="102">
        <f t="shared" ca="1" si="29"/>
        <v>0</v>
      </c>
      <c r="BY87" s="102">
        <f t="shared" ca="1" si="33"/>
        <v>0</v>
      </c>
      <c r="BZ87" s="98">
        <f t="shared" ca="1" si="27"/>
        <v>0</v>
      </c>
      <c r="CA87" s="102">
        <f t="shared" ca="1" si="27"/>
        <v>0</v>
      </c>
      <c r="CB87" s="102">
        <f t="shared" ca="1" si="27"/>
        <v>0</v>
      </c>
      <c r="CC87" s="102">
        <f t="shared" ca="1" si="27"/>
        <v>0</v>
      </c>
      <c r="CD87" s="102">
        <f t="shared" ca="1" si="27"/>
        <v>0</v>
      </c>
      <c r="CE87" s="102">
        <f t="shared" ca="1" si="27"/>
        <v>0</v>
      </c>
      <c r="CF87" s="102">
        <f t="shared" ca="1" si="27"/>
        <v>0</v>
      </c>
      <c r="CG87" s="102">
        <f t="shared" ca="1" si="27"/>
        <v>0</v>
      </c>
      <c r="CH87" s="101">
        <f ca="1">COUNTIF(BZ87:CG87,"&lt;"&amp;MAX(BZ87:CG87))+IF(Calcs[[#This Row],[RL1]]=0,0,1)</f>
        <v>0</v>
      </c>
      <c r="CI8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7" s="103">
        <f ca="1">IFERROR(OFFSET(CJ87,-1,0)+0,0)+IF(INDEX(INDIRECT(RangeContrQty),MATCH(Calcs[[#This Row],[Line]],OFFSET(Items[Line],0,0,ROW(Proposed[])-ROW(Items[])+ROWS(Proposed[]),1),0)),1,0)</f>
        <v>0</v>
      </c>
    </row>
    <row r="88" spans="1:88" x14ac:dyDescent="0.15">
      <c r="A88" s="6">
        <f ca="1">IFERROR(OFFSET(A88,-1,0)+0,0)+MAX(IF(LEN(Calcs[[#This Row],[Line]])&gt;0,1,0),Calcs[[#This Row],[DL]],Calcs[[#This Row],[RL]])</f>
        <v>10</v>
      </c>
      <c r="B88" s="94" t="str">
        <f ca="1">IFERROR(INDEX(OFFSET(Items[Line],0,0,ROW(Proposed[])-ROW(Items[])+ROWS(Proposed[]),1),MATCH(ROW(B88)-ROW(B$3),INDIRECT(RangeCount),0)),"")</f>
        <v/>
      </c>
      <c r="C88" s="94" t="str">
        <f ca="1">IF(LEN(Calcs[[#This Row],[Line]])&gt;0,TRIM(IFERROR(INDEX(Items[Description],MATCH(Calcs[[#This Row],[Line]],Items[Line],0))&amp;INDEX(Items[Description2],MATCH(Calcs[[#This Row],[Line]],Items[Line],0)),INDEX(Proposed[Description],MATCH(Calcs[[#This Row],[Line]],Proposed[Line],0)))),"")</f>
        <v/>
      </c>
      <c r="D88" s="96">
        <f t="shared" ca="1" si="36"/>
        <v>0</v>
      </c>
      <c r="E88" s="97">
        <f t="shared" ca="1" si="36"/>
        <v>0</v>
      </c>
      <c r="F88" s="97">
        <f t="shared" ca="1" si="36"/>
        <v>0</v>
      </c>
      <c r="G88" s="97">
        <f t="shared" ca="1" si="36"/>
        <v>0</v>
      </c>
      <c r="H88" s="97">
        <f t="shared" ca="1" si="36"/>
        <v>0</v>
      </c>
      <c r="I88" s="97">
        <f t="shared" ca="1" si="36"/>
        <v>0</v>
      </c>
      <c r="J88" s="97">
        <f t="shared" ca="1" si="36"/>
        <v>0</v>
      </c>
      <c r="K88" s="97">
        <f t="shared" ca="1" si="36"/>
        <v>0</v>
      </c>
      <c r="L88" s="97">
        <f t="shared" ca="1" si="36"/>
        <v>0</v>
      </c>
      <c r="M88" s="97">
        <f t="shared" ca="1" si="36"/>
        <v>0</v>
      </c>
      <c r="N88" s="97">
        <f t="shared" ca="1" si="34"/>
        <v>0</v>
      </c>
      <c r="O88" s="97">
        <f t="shared" ca="1" si="34"/>
        <v>0</v>
      </c>
      <c r="P88" s="97">
        <f t="shared" ca="1" si="34"/>
        <v>0</v>
      </c>
      <c r="Q88" s="97">
        <f t="shared" ca="1" si="34"/>
        <v>0</v>
      </c>
      <c r="R88" s="97">
        <f t="shared" ca="1" si="34"/>
        <v>0</v>
      </c>
      <c r="S88" s="97">
        <f t="shared" ca="1" si="34"/>
        <v>0</v>
      </c>
      <c r="T88" s="97">
        <f t="shared" ca="1" si="34"/>
        <v>0</v>
      </c>
      <c r="U88" s="97">
        <f t="shared" ca="1" si="34"/>
        <v>0</v>
      </c>
      <c r="V88" s="97">
        <f t="shared" ca="1" si="34"/>
        <v>0</v>
      </c>
      <c r="W88" s="97">
        <f t="shared" ca="1" si="34"/>
        <v>0</v>
      </c>
      <c r="X88" s="97">
        <f t="shared" ca="1" si="28"/>
        <v>0</v>
      </c>
      <c r="Y88" s="97">
        <f t="shared" ca="1" si="28"/>
        <v>0</v>
      </c>
      <c r="Z88" s="97">
        <f t="shared" ca="1" si="28"/>
        <v>0</v>
      </c>
      <c r="AA88" s="97">
        <f t="shared" ca="1" si="28"/>
        <v>0</v>
      </c>
      <c r="AB88" s="97">
        <f t="shared" ca="1" si="28"/>
        <v>0</v>
      </c>
      <c r="AC88" s="97">
        <f t="shared" ca="1" si="28"/>
        <v>0</v>
      </c>
      <c r="AD88" s="97">
        <f t="shared" ca="1" si="28"/>
        <v>0</v>
      </c>
      <c r="AE88" s="97">
        <f t="shared" ca="1" si="28"/>
        <v>0</v>
      </c>
      <c r="AF88" s="97">
        <f t="shared" ca="1" si="28"/>
        <v>0</v>
      </c>
      <c r="AG88" s="97">
        <f t="shared" ca="1" si="28"/>
        <v>0</v>
      </c>
      <c r="AH88" s="97">
        <f t="shared" ca="1" si="28"/>
        <v>0</v>
      </c>
      <c r="AI88" s="97">
        <f t="shared" ca="1" si="32"/>
        <v>0</v>
      </c>
      <c r="AJ88" s="98">
        <f t="shared" ca="1" si="26"/>
        <v>0</v>
      </c>
      <c r="AK88" s="97">
        <f t="shared" ca="1" si="26"/>
        <v>0</v>
      </c>
      <c r="AL88" s="97">
        <f t="shared" ca="1" si="26"/>
        <v>0</v>
      </c>
      <c r="AM88" s="97">
        <f t="shared" ca="1" si="26"/>
        <v>0</v>
      </c>
      <c r="AN88" s="97">
        <f t="shared" ca="1" si="26"/>
        <v>0</v>
      </c>
      <c r="AO88" s="97">
        <f t="shared" ca="1" si="26"/>
        <v>0</v>
      </c>
      <c r="AP88" s="97">
        <f t="shared" ca="1" si="26"/>
        <v>0</v>
      </c>
      <c r="AQ88" s="97">
        <f t="shared" ca="1" si="26"/>
        <v>0</v>
      </c>
      <c r="AR88" s="99">
        <f ca="1">COUNTIF(AJ88:AQ88,"&lt;"&amp;MAX(AJ88:AQ88))+IF(Calcs[[#This Row],[DL1]]=0,0,1)</f>
        <v>0</v>
      </c>
      <c r="AS88" s="100" t="str">
        <f ca="1">IF(LEN(Calcs[[#This Row],[Line]])&gt;0,IF(RIGHT(Calcs[[#This Row],[Remark]],3)=".  ",LEFT(Calcs[[#This Row],[Remark]],LEN(Calcs[[#This Row],[Remark]])-3),Calcs[[#This Row],[Remark]]),"")</f>
        <v/>
      </c>
      <c r="AT88" s="96">
        <f t="shared" ca="1" si="37"/>
        <v>0</v>
      </c>
      <c r="AU88" s="102">
        <f t="shared" ca="1" si="37"/>
        <v>0</v>
      </c>
      <c r="AV88" s="102">
        <f t="shared" ca="1" si="37"/>
        <v>0</v>
      </c>
      <c r="AW88" s="102">
        <f t="shared" ca="1" si="37"/>
        <v>0</v>
      </c>
      <c r="AX88" s="102">
        <f t="shared" ca="1" si="37"/>
        <v>0</v>
      </c>
      <c r="AY88" s="102">
        <f t="shared" ca="1" si="37"/>
        <v>0</v>
      </c>
      <c r="AZ88" s="102">
        <f t="shared" ca="1" si="37"/>
        <v>0</v>
      </c>
      <c r="BA88" s="102">
        <f t="shared" ca="1" si="37"/>
        <v>0</v>
      </c>
      <c r="BB88" s="102">
        <f t="shared" ca="1" si="37"/>
        <v>0</v>
      </c>
      <c r="BC88" s="102">
        <f t="shared" ca="1" si="37"/>
        <v>0</v>
      </c>
      <c r="BD88" s="102">
        <f t="shared" ca="1" si="35"/>
        <v>0</v>
      </c>
      <c r="BE88" s="102">
        <f t="shared" ca="1" si="35"/>
        <v>0</v>
      </c>
      <c r="BF88" s="102">
        <f t="shared" ca="1" si="35"/>
        <v>0</v>
      </c>
      <c r="BG88" s="102">
        <f t="shared" ca="1" si="35"/>
        <v>0</v>
      </c>
      <c r="BH88" s="102">
        <f t="shared" ca="1" si="35"/>
        <v>0</v>
      </c>
      <c r="BI88" s="102">
        <f t="shared" ca="1" si="35"/>
        <v>0</v>
      </c>
      <c r="BJ88" s="102">
        <f t="shared" ca="1" si="35"/>
        <v>0</v>
      </c>
      <c r="BK88" s="102">
        <f t="shared" ca="1" si="35"/>
        <v>0</v>
      </c>
      <c r="BL88" s="102">
        <f t="shared" ca="1" si="35"/>
        <v>0</v>
      </c>
      <c r="BM88" s="102">
        <f t="shared" ca="1" si="35"/>
        <v>0</v>
      </c>
      <c r="BN88" s="102">
        <f t="shared" ca="1" si="29"/>
        <v>0</v>
      </c>
      <c r="BO88" s="102">
        <f t="shared" ca="1" si="29"/>
        <v>0</v>
      </c>
      <c r="BP88" s="102">
        <f t="shared" ca="1" si="29"/>
        <v>0</v>
      </c>
      <c r="BQ88" s="102">
        <f t="shared" ca="1" si="29"/>
        <v>0</v>
      </c>
      <c r="BR88" s="102">
        <f t="shared" ca="1" si="29"/>
        <v>0</v>
      </c>
      <c r="BS88" s="102">
        <f t="shared" ca="1" si="29"/>
        <v>0</v>
      </c>
      <c r="BT88" s="102">
        <f t="shared" ca="1" si="29"/>
        <v>0</v>
      </c>
      <c r="BU88" s="102">
        <f t="shared" ca="1" si="29"/>
        <v>0</v>
      </c>
      <c r="BV88" s="102">
        <f t="shared" ca="1" si="29"/>
        <v>0</v>
      </c>
      <c r="BW88" s="102">
        <f t="shared" ca="1" si="29"/>
        <v>0</v>
      </c>
      <c r="BX88" s="102">
        <f t="shared" ca="1" si="29"/>
        <v>0</v>
      </c>
      <c r="BY88" s="102">
        <f t="shared" ca="1" si="33"/>
        <v>0</v>
      </c>
      <c r="BZ88" s="98">
        <f t="shared" ca="1" si="27"/>
        <v>0</v>
      </c>
      <c r="CA88" s="102">
        <f t="shared" ca="1" si="27"/>
        <v>0</v>
      </c>
      <c r="CB88" s="102">
        <f t="shared" ca="1" si="27"/>
        <v>0</v>
      </c>
      <c r="CC88" s="102">
        <f t="shared" ca="1" si="27"/>
        <v>0</v>
      </c>
      <c r="CD88" s="102">
        <f t="shared" ca="1" si="27"/>
        <v>0</v>
      </c>
      <c r="CE88" s="102">
        <f t="shared" ca="1" si="27"/>
        <v>0</v>
      </c>
      <c r="CF88" s="102">
        <f t="shared" ca="1" si="27"/>
        <v>0</v>
      </c>
      <c r="CG88" s="102">
        <f t="shared" ca="1" si="27"/>
        <v>0</v>
      </c>
      <c r="CH88" s="101">
        <f ca="1">COUNTIF(BZ88:CG88,"&lt;"&amp;MAX(BZ88:CG88))+IF(Calcs[[#This Row],[RL1]]=0,0,1)</f>
        <v>0</v>
      </c>
      <c r="CI8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8" s="103">
        <f ca="1">IFERROR(OFFSET(CJ88,-1,0)+0,0)+IF(INDEX(INDIRECT(RangeContrQty),MATCH(Calcs[[#This Row],[Line]],OFFSET(Items[Line],0,0,ROW(Proposed[])-ROW(Items[])+ROWS(Proposed[]),1),0)),1,0)</f>
        <v>0</v>
      </c>
    </row>
    <row r="89" spans="1:88" x14ac:dyDescent="0.15">
      <c r="A89" s="6">
        <f ca="1">IFERROR(OFFSET(A89,-1,0)+0,0)+MAX(IF(LEN(Calcs[[#This Row],[Line]])&gt;0,1,0),Calcs[[#This Row],[DL]],Calcs[[#This Row],[RL]])</f>
        <v>10</v>
      </c>
      <c r="B89" s="94" t="str">
        <f ca="1">IFERROR(INDEX(OFFSET(Items[Line],0,0,ROW(Proposed[])-ROW(Items[])+ROWS(Proposed[]),1),MATCH(ROW(B89)-ROW(B$3),INDIRECT(RangeCount),0)),"")</f>
        <v/>
      </c>
      <c r="C89" s="94" t="str">
        <f ca="1">IF(LEN(Calcs[[#This Row],[Line]])&gt;0,TRIM(IFERROR(INDEX(Items[Description],MATCH(Calcs[[#This Row],[Line]],Items[Line],0))&amp;INDEX(Items[Description2],MATCH(Calcs[[#This Row],[Line]],Items[Line],0)),INDEX(Proposed[Description],MATCH(Calcs[[#This Row],[Line]],Proposed[Line],0)))),"")</f>
        <v/>
      </c>
      <c r="D89" s="96">
        <f t="shared" ca="1" si="36"/>
        <v>0</v>
      </c>
      <c r="E89" s="97">
        <f t="shared" ca="1" si="36"/>
        <v>0</v>
      </c>
      <c r="F89" s="97">
        <f t="shared" ca="1" si="36"/>
        <v>0</v>
      </c>
      <c r="G89" s="97">
        <f t="shared" ca="1" si="36"/>
        <v>0</v>
      </c>
      <c r="H89" s="97">
        <f t="shared" ca="1" si="36"/>
        <v>0</v>
      </c>
      <c r="I89" s="97">
        <f t="shared" ca="1" si="36"/>
        <v>0</v>
      </c>
      <c r="J89" s="97">
        <f t="shared" ca="1" si="36"/>
        <v>0</v>
      </c>
      <c r="K89" s="97">
        <f t="shared" ca="1" si="36"/>
        <v>0</v>
      </c>
      <c r="L89" s="97">
        <f t="shared" ca="1" si="36"/>
        <v>0</v>
      </c>
      <c r="M89" s="97">
        <f t="shared" ca="1" si="36"/>
        <v>0</v>
      </c>
      <c r="N89" s="97">
        <f t="shared" ca="1" si="34"/>
        <v>0</v>
      </c>
      <c r="O89" s="97">
        <f t="shared" ca="1" si="34"/>
        <v>0</v>
      </c>
      <c r="P89" s="97">
        <f t="shared" ca="1" si="34"/>
        <v>0</v>
      </c>
      <c r="Q89" s="97">
        <f t="shared" ca="1" si="34"/>
        <v>0</v>
      </c>
      <c r="R89" s="97">
        <f t="shared" ca="1" si="34"/>
        <v>0</v>
      </c>
      <c r="S89" s="97">
        <f t="shared" ca="1" si="34"/>
        <v>0</v>
      </c>
      <c r="T89" s="97">
        <f t="shared" ca="1" si="34"/>
        <v>0</v>
      </c>
      <c r="U89" s="97">
        <f t="shared" ca="1" si="34"/>
        <v>0</v>
      </c>
      <c r="V89" s="97">
        <f t="shared" ca="1" si="34"/>
        <v>0</v>
      </c>
      <c r="W89" s="97">
        <f t="shared" ca="1" si="34"/>
        <v>0</v>
      </c>
      <c r="X89" s="97">
        <f t="shared" ca="1" si="28"/>
        <v>0</v>
      </c>
      <c r="Y89" s="97">
        <f t="shared" ca="1" si="28"/>
        <v>0</v>
      </c>
      <c r="Z89" s="97">
        <f t="shared" ca="1" si="28"/>
        <v>0</v>
      </c>
      <c r="AA89" s="97">
        <f t="shared" ca="1" si="28"/>
        <v>0</v>
      </c>
      <c r="AB89" s="97">
        <f t="shared" ca="1" si="28"/>
        <v>0</v>
      </c>
      <c r="AC89" s="97">
        <f t="shared" ca="1" si="28"/>
        <v>0</v>
      </c>
      <c r="AD89" s="97">
        <f t="shared" ca="1" si="28"/>
        <v>0</v>
      </c>
      <c r="AE89" s="97">
        <f t="shared" ca="1" si="28"/>
        <v>0</v>
      </c>
      <c r="AF89" s="97">
        <f t="shared" ca="1" si="28"/>
        <v>0</v>
      </c>
      <c r="AG89" s="97">
        <f t="shared" ca="1" si="28"/>
        <v>0</v>
      </c>
      <c r="AH89" s="97">
        <f t="shared" ca="1" si="28"/>
        <v>0</v>
      </c>
      <c r="AI89" s="97">
        <f t="shared" ca="1" si="32"/>
        <v>0</v>
      </c>
      <c r="AJ89" s="98">
        <f t="shared" ca="1" si="26"/>
        <v>0</v>
      </c>
      <c r="AK89" s="97">
        <f t="shared" ca="1" si="26"/>
        <v>0</v>
      </c>
      <c r="AL89" s="97">
        <f t="shared" ca="1" si="26"/>
        <v>0</v>
      </c>
      <c r="AM89" s="97">
        <f t="shared" ca="1" si="26"/>
        <v>0</v>
      </c>
      <c r="AN89" s="97">
        <f t="shared" ca="1" si="26"/>
        <v>0</v>
      </c>
      <c r="AO89" s="97">
        <f t="shared" ca="1" si="26"/>
        <v>0</v>
      </c>
      <c r="AP89" s="97">
        <f t="shared" ca="1" si="26"/>
        <v>0</v>
      </c>
      <c r="AQ89" s="97">
        <f t="shared" ca="1" si="26"/>
        <v>0</v>
      </c>
      <c r="AR89" s="99">
        <f ca="1">COUNTIF(AJ89:AQ89,"&lt;"&amp;MAX(AJ89:AQ89))+IF(Calcs[[#This Row],[DL1]]=0,0,1)</f>
        <v>0</v>
      </c>
      <c r="AS89" s="100" t="str">
        <f ca="1">IF(LEN(Calcs[[#This Row],[Line]])&gt;0,IF(RIGHT(Calcs[[#This Row],[Remark]],3)=".  ",LEFT(Calcs[[#This Row],[Remark]],LEN(Calcs[[#This Row],[Remark]])-3),Calcs[[#This Row],[Remark]]),"")</f>
        <v/>
      </c>
      <c r="AT89" s="96">
        <f t="shared" ca="1" si="37"/>
        <v>0</v>
      </c>
      <c r="AU89" s="102">
        <f t="shared" ca="1" si="37"/>
        <v>0</v>
      </c>
      <c r="AV89" s="102">
        <f t="shared" ca="1" si="37"/>
        <v>0</v>
      </c>
      <c r="AW89" s="102">
        <f t="shared" ca="1" si="37"/>
        <v>0</v>
      </c>
      <c r="AX89" s="102">
        <f t="shared" ca="1" si="37"/>
        <v>0</v>
      </c>
      <c r="AY89" s="102">
        <f t="shared" ca="1" si="37"/>
        <v>0</v>
      </c>
      <c r="AZ89" s="102">
        <f t="shared" ca="1" si="37"/>
        <v>0</v>
      </c>
      <c r="BA89" s="102">
        <f t="shared" ca="1" si="37"/>
        <v>0</v>
      </c>
      <c r="BB89" s="102">
        <f t="shared" ca="1" si="37"/>
        <v>0</v>
      </c>
      <c r="BC89" s="102">
        <f t="shared" ca="1" si="37"/>
        <v>0</v>
      </c>
      <c r="BD89" s="102">
        <f t="shared" ca="1" si="35"/>
        <v>0</v>
      </c>
      <c r="BE89" s="102">
        <f t="shared" ca="1" si="35"/>
        <v>0</v>
      </c>
      <c r="BF89" s="102">
        <f t="shared" ca="1" si="35"/>
        <v>0</v>
      </c>
      <c r="BG89" s="102">
        <f t="shared" ca="1" si="35"/>
        <v>0</v>
      </c>
      <c r="BH89" s="102">
        <f t="shared" ca="1" si="35"/>
        <v>0</v>
      </c>
      <c r="BI89" s="102">
        <f t="shared" ca="1" si="35"/>
        <v>0</v>
      </c>
      <c r="BJ89" s="102">
        <f t="shared" ca="1" si="35"/>
        <v>0</v>
      </c>
      <c r="BK89" s="102">
        <f t="shared" ca="1" si="35"/>
        <v>0</v>
      </c>
      <c r="BL89" s="102">
        <f t="shared" ca="1" si="35"/>
        <v>0</v>
      </c>
      <c r="BM89" s="102">
        <f t="shared" ca="1" si="35"/>
        <v>0</v>
      </c>
      <c r="BN89" s="102">
        <f t="shared" ca="1" si="29"/>
        <v>0</v>
      </c>
      <c r="BO89" s="102">
        <f t="shared" ca="1" si="29"/>
        <v>0</v>
      </c>
      <c r="BP89" s="102">
        <f t="shared" ca="1" si="29"/>
        <v>0</v>
      </c>
      <c r="BQ89" s="102">
        <f t="shared" ca="1" si="29"/>
        <v>0</v>
      </c>
      <c r="BR89" s="102">
        <f t="shared" ca="1" si="29"/>
        <v>0</v>
      </c>
      <c r="BS89" s="102">
        <f t="shared" ca="1" si="29"/>
        <v>0</v>
      </c>
      <c r="BT89" s="102">
        <f t="shared" ca="1" si="29"/>
        <v>0</v>
      </c>
      <c r="BU89" s="102">
        <f t="shared" ca="1" si="29"/>
        <v>0</v>
      </c>
      <c r="BV89" s="102">
        <f t="shared" ca="1" si="29"/>
        <v>0</v>
      </c>
      <c r="BW89" s="102">
        <f t="shared" ca="1" si="29"/>
        <v>0</v>
      </c>
      <c r="BX89" s="102">
        <f t="shared" ca="1" si="29"/>
        <v>0</v>
      </c>
      <c r="BY89" s="102">
        <f t="shared" ca="1" si="33"/>
        <v>0</v>
      </c>
      <c r="BZ89" s="98">
        <f t="shared" ca="1" si="27"/>
        <v>0</v>
      </c>
      <c r="CA89" s="102">
        <f t="shared" ca="1" si="27"/>
        <v>0</v>
      </c>
      <c r="CB89" s="102">
        <f t="shared" ca="1" si="27"/>
        <v>0</v>
      </c>
      <c r="CC89" s="102">
        <f t="shared" ca="1" si="27"/>
        <v>0</v>
      </c>
      <c r="CD89" s="102">
        <f t="shared" ca="1" si="27"/>
        <v>0</v>
      </c>
      <c r="CE89" s="102">
        <f t="shared" ca="1" si="27"/>
        <v>0</v>
      </c>
      <c r="CF89" s="102">
        <f t="shared" ca="1" si="27"/>
        <v>0</v>
      </c>
      <c r="CG89" s="102">
        <f t="shared" ca="1" si="27"/>
        <v>0</v>
      </c>
      <c r="CH89" s="101">
        <f ca="1">COUNTIF(BZ89:CG89,"&lt;"&amp;MAX(BZ89:CG89))+IF(Calcs[[#This Row],[RL1]]=0,0,1)</f>
        <v>0</v>
      </c>
      <c r="CI8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9" s="103">
        <f ca="1">IFERROR(OFFSET(CJ89,-1,0)+0,0)+IF(INDEX(INDIRECT(RangeContrQty),MATCH(Calcs[[#This Row],[Line]],OFFSET(Items[Line],0,0,ROW(Proposed[])-ROW(Items[])+ROWS(Proposed[]),1),0)),1,0)</f>
        <v>0</v>
      </c>
    </row>
    <row r="90" spans="1:88" x14ac:dyDescent="0.15">
      <c r="A90" s="6">
        <f ca="1">IFERROR(OFFSET(A90,-1,0)+0,0)+MAX(IF(LEN(Calcs[[#This Row],[Line]])&gt;0,1,0),Calcs[[#This Row],[DL]],Calcs[[#This Row],[RL]])</f>
        <v>10</v>
      </c>
      <c r="B90" s="94" t="str">
        <f ca="1">IFERROR(INDEX(OFFSET(Items[Line],0,0,ROW(Proposed[])-ROW(Items[])+ROWS(Proposed[]),1),MATCH(ROW(B90)-ROW(B$3),INDIRECT(RangeCount),0)),"")</f>
        <v/>
      </c>
      <c r="C90" s="94" t="str">
        <f ca="1">IF(LEN(Calcs[[#This Row],[Line]])&gt;0,TRIM(IFERROR(INDEX(Items[Description],MATCH(Calcs[[#This Row],[Line]],Items[Line],0))&amp;INDEX(Items[Description2],MATCH(Calcs[[#This Row],[Line]],Items[Line],0)),INDEX(Proposed[Description],MATCH(Calcs[[#This Row],[Line]],Proposed[Line],0)))),"")</f>
        <v/>
      </c>
      <c r="D90" s="96">
        <f t="shared" ca="1" si="36"/>
        <v>0</v>
      </c>
      <c r="E90" s="97">
        <f t="shared" ca="1" si="36"/>
        <v>0</v>
      </c>
      <c r="F90" s="97">
        <f t="shared" ca="1" si="36"/>
        <v>0</v>
      </c>
      <c r="G90" s="97">
        <f t="shared" ca="1" si="36"/>
        <v>0</v>
      </c>
      <c r="H90" s="97">
        <f t="shared" ca="1" si="36"/>
        <v>0</v>
      </c>
      <c r="I90" s="97">
        <f t="shared" ca="1" si="36"/>
        <v>0</v>
      </c>
      <c r="J90" s="97">
        <f t="shared" ca="1" si="36"/>
        <v>0</v>
      </c>
      <c r="K90" s="97">
        <f t="shared" ca="1" si="36"/>
        <v>0</v>
      </c>
      <c r="L90" s="97">
        <f t="shared" ca="1" si="36"/>
        <v>0</v>
      </c>
      <c r="M90" s="97">
        <f t="shared" ca="1" si="36"/>
        <v>0</v>
      </c>
      <c r="N90" s="97">
        <f t="shared" ca="1" si="34"/>
        <v>0</v>
      </c>
      <c r="O90" s="97">
        <f t="shared" ca="1" si="34"/>
        <v>0</v>
      </c>
      <c r="P90" s="97">
        <f t="shared" ca="1" si="34"/>
        <v>0</v>
      </c>
      <c r="Q90" s="97">
        <f t="shared" ca="1" si="34"/>
        <v>0</v>
      </c>
      <c r="R90" s="97">
        <f t="shared" ca="1" si="34"/>
        <v>0</v>
      </c>
      <c r="S90" s="97">
        <f t="shared" ca="1" si="34"/>
        <v>0</v>
      </c>
      <c r="T90" s="97">
        <f t="shared" ca="1" si="34"/>
        <v>0</v>
      </c>
      <c r="U90" s="97">
        <f t="shared" ca="1" si="34"/>
        <v>0</v>
      </c>
      <c r="V90" s="97">
        <f t="shared" ca="1" si="34"/>
        <v>0</v>
      </c>
      <c r="W90" s="97">
        <f t="shared" ca="1" si="34"/>
        <v>0</v>
      </c>
      <c r="X90" s="97">
        <f t="shared" ca="1" si="28"/>
        <v>0</v>
      </c>
      <c r="Y90" s="97">
        <f t="shared" ca="1" si="28"/>
        <v>0</v>
      </c>
      <c r="Z90" s="97">
        <f t="shared" ca="1" si="28"/>
        <v>0</v>
      </c>
      <c r="AA90" s="97">
        <f t="shared" ca="1" si="28"/>
        <v>0</v>
      </c>
      <c r="AB90" s="97">
        <f t="shared" ca="1" si="28"/>
        <v>0</v>
      </c>
      <c r="AC90" s="97">
        <f t="shared" ca="1" si="28"/>
        <v>0</v>
      </c>
      <c r="AD90" s="97">
        <f t="shared" ca="1" si="28"/>
        <v>0</v>
      </c>
      <c r="AE90" s="97">
        <f t="shared" ca="1" si="28"/>
        <v>0</v>
      </c>
      <c r="AF90" s="97">
        <f t="shared" ref="AF90:AI90" ca="1" si="38">IFERROR(FIND(" ",$C90,IFERROR(OFFSET(AF90,0,-1)+1,1)),LEN($C90))</f>
        <v>0</v>
      </c>
      <c r="AG90" s="97">
        <f t="shared" ca="1" si="38"/>
        <v>0</v>
      </c>
      <c r="AH90" s="97">
        <f t="shared" ca="1" si="38"/>
        <v>0</v>
      </c>
      <c r="AI90" s="97">
        <f t="shared" ca="1" si="38"/>
        <v>0</v>
      </c>
      <c r="AJ90" s="98">
        <f t="shared" ca="1" si="26"/>
        <v>0</v>
      </c>
      <c r="AK90" s="97">
        <f t="shared" ca="1" si="26"/>
        <v>0</v>
      </c>
      <c r="AL90" s="97">
        <f t="shared" ca="1" si="26"/>
        <v>0</v>
      </c>
      <c r="AM90" s="97">
        <f t="shared" ca="1" si="26"/>
        <v>0</v>
      </c>
      <c r="AN90" s="97">
        <f t="shared" ca="1" si="26"/>
        <v>0</v>
      </c>
      <c r="AO90" s="97">
        <f t="shared" ca="1" si="26"/>
        <v>0</v>
      </c>
      <c r="AP90" s="97">
        <f t="shared" ca="1" si="26"/>
        <v>0</v>
      </c>
      <c r="AQ90" s="97">
        <f t="shared" ca="1" si="26"/>
        <v>0</v>
      </c>
      <c r="AR90" s="99">
        <f ca="1">COUNTIF(AJ90:AQ90,"&lt;"&amp;MAX(AJ90:AQ90))+IF(Calcs[[#This Row],[DL1]]=0,0,1)</f>
        <v>0</v>
      </c>
      <c r="AS90" s="100" t="str">
        <f ca="1">IF(LEN(Calcs[[#This Row],[Line]])&gt;0,IF(RIGHT(Calcs[[#This Row],[Remark]],3)=".  ",LEFT(Calcs[[#This Row],[Remark]],LEN(Calcs[[#This Row],[Remark]])-3),Calcs[[#This Row],[Remark]]),"")</f>
        <v/>
      </c>
      <c r="AT90" s="96">
        <f t="shared" ca="1" si="37"/>
        <v>0</v>
      </c>
      <c r="AU90" s="102">
        <f t="shared" ca="1" si="37"/>
        <v>0</v>
      </c>
      <c r="AV90" s="102">
        <f t="shared" ca="1" si="37"/>
        <v>0</v>
      </c>
      <c r="AW90" s="102">
        <f t="shared" ca="1" si="37"/>
        <v>0</v>
      </c>
      <c r="AX90" s="102">
        <f t="shared" ca="1" si="37"/>
        <v>0</v>
      </c>
      <c r="AY90" s="102">
        <f t="shared" ca="1" si="37"/>
        <v>0</v>
      </c>
      <c r="AZ90" s="102">
        <f t="shared" ca="1" si="37"/>
        <v>0</v>
      </c>
      <c r="BA90" s="102">
        <f t="shared" ca="1" si="37"/>
        <v>0</v>
      </c>
      <c r="BB90" s="102">
        <f t="shared" ca="1" si="37"/>
        <v>0</v>
      </c>
      <c r="BC90" s="102">
        <f t="shared" ca="1" si="37"/>
        <v>0</v>
      </c>
      <c r="BD90" s="102">
        <f t="shared" ca="1" si="35"/>
        <v>0</v>
      </c>
      <c r="BE90" s="102">
        <f t="shared" ca="1" si="35"/>
        <v>0</v>
      </c>
      <c r="BF90" s="102">
        <f t="shared" ca="1" si="35"/>
        <v>0</v>
      </c>
      <c r="BG90" s="102">
        <f t="shared" ca="1" si="35"/>
        <v>0</v>
      </c>
      <c r="BH90" s="102">
        <f t="shared" ca="1" si="35"/>
        <v>0</v>
      </c>
      <c r="BI90" s="102">
        <f t="shared" ca="1" si="35"/>
        <v>0</v>
      </c>
      <c r="BJ90" s="102">
        <f t="shared" ca="1" si="35"/>
        <v>0</v>
      </c>
      <c r="BK90" s="102">
        <f t="shared" ca="1" si="35"/>
        <v>0</v>
      </c>
      <c r="BL90" s="102">
        <f t="shared" ca="1" si="35"/>
        <v>0</v>
      </c>
      <c r="BM90" s="102">
        <f t="shared" ca="1" si="35"/>
        <v>0</v>
      </c>
      <c r="BN90" s="102">
        <f t="shared" ca="1" si="29"/>
        <v>0</v>
      </c>
      <c r="BO90" s="102">
        <f t="shared" ca="1" si="29"/>
        <v>0</v>
      </c>
      <c r="BP90" s="102">
        <f t="shared" ca="1" si="29"/>
        <v>0</v>
      </c>
      <c r="BQ90" s="102">
        <f t="shared" ca="1" si="29"/>
        <v>0</v>
      </c>
      <c r="BR90" s="102">
        <f t="shared" ca="1" si="29"/>
        <v>0</v>
      </c>
      <c r="BS90" s="102">
        <f t="shared" ca="1" si="29"/>
        <v>0</v>
      </c>
      <c r="BT90" s="102">
        <f t="shared" ca="1" si="29"/>
        <v>0</v>
      </c>
      <c r="BU90" s="102">
        <f t="shared" ca="1" si="29"/>
        <v>0</v>
      </c>
      <c r="BV90" s="102">
        <f t="shared" ref="BV90:BY90" ca="1" si="39">IFERROR(FIND(" ",$AS90,IFERROR(OFFSET(BV90,0,-1)+1,1)),LEN($AS90))</f>
        <v>0</v>
      </c>
      <c r="BW90" s="102">
        <f t="shared" ca="1" si="39"/>
        <v>0</v>
      </c>
      <c r="BX90" s="102">
        <f t="shared" ca="1" si="39"/>
        <v>0</v>
      </c>
      <c r="BY90" s="102">
        <f t="shared" ca="1" si="39"/>
        <v>0</v>
      </c>
      <c r="BZ90" s="98">
        <f t="shared" ca="1" si="27"/>
        <v>0</v>
      </c>
      <c r="CA90" s="102">
        <f t="shared" ca="1" si="27"/>
        <v>0</v>
      </c>
      <c r="CB90" s="102">
        <f t="shared" ca="1" si="27"/>
        <v>0</v>
      </c>
      <c r="CC90" s="102">
        <f t="shared" ca="1" si="27"/>
        <v>0</v>
      </c>
      <c r="CD90" s="102">
        <f t="shared" ca="1" si="27"/>
        <v>0</v>
      </c>
      <c r="CE90" s="102">
        <f t="shared" ca="1" si="27"/>
        <v>0</v>
      </c>
      <c r="CF90" s="102">
        <f t="shared" ca="1" si="27"/>
        <v>0</v>
      </c>
      <c r="CG90" s="102">
        <f t="shared" ca="1" si="27"/>
        <v>0</v>
      </c>
      <c r="CH90" s="101">
        <f ca="1">COUNTIF(BZ90:CG90,"&lt;"&amp;MAX(BZ90:CG90))+IF(Calcs[[#This Row],[RL1]]=0,0,1)</f>
        <v>0</v>
      </c>
      <c r="CI9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0" s="103">
        <f ca="1">IFERROR(OFFSET(CJ90,-1,0)+0,0)+IF(INDEX(INDIRECT(RangeContrQty),MATCH(Calcs[[#This Row],[Line]],OFFSET(Items[Line],0,0,ROW(Proposed[])-ROW(Items[])+ROWS(Proposed[]),1),0)),1,0)</f>
        <v>0</v>
      </c>
    </row>
    <row r="91" spans="1:88" x14ac:dyDescent="0.15">
      <c r="A91" s="6">
        <f ca="1">IFERROR(OFFSET(A91,-1,0)+0,0)+MAX(IF(LEN(Calcs[[#This Row],[Line]])&gt;0,1,0),Calcs[[#This Row],[DL]],Calcs[[#This Row],[RL]])</f>
        <v>10</v>
      </c>
      <c r="B91" s="94" t="str">
        <f ca="1">IFERROR(INDEX(OFFSET(Items[Line],0,0,ROW(Proposed[])-ROW(Items[])+ROWS(Proposed[]),1),MATCH(ROW(B91)-ROW(B$3),INDIRECT(RangeCount),0)),"")</f>
        <v/>
      </c>
      <c r="C91" s="94" t="str">
        <f ca="1">IF(LEN(Calcs[[#This Row],[Line]])&gt;0,TRIM(IFERROR(INDEX(Items[Description],MATCH(Calcs[[#This Row],[Line]],Items[Line],0))&amp;INDEX(Items[Description2],MATCH(Calcs[[#This Row],[Line]],Items[Line],0)),INDEX(Proposed[Description],MATCH(Calcs[[#This Row],[Line]],Proposed[Line],0)))),"")</f>
        <v/>
      </c>
      <c r="D91" s="96">
        <f t="shared" ca="1" si="36"/>
        <v>0</v>
      </c>
      <c r="E91" s="97">
        <f t="shared" ca="1" si="36"/>
        <v>0</v>
      </c>
      <c r="F91" s="97">
        <f t="shared" ca="1" si="36"/>
        <v>0</v>
      </c>
      <c r="G91" s="97">
        <f t="shared" ca="1" si="36"/>
        <v>0</v>
      </c>
      <c r="H91" s="97">
        <f t="shared" ca="1" si="36"/>
        <v>0</v>
      </c>
      <c r="I91" s="97">
        <f t="shared" ca="1" si="36"/>
        <v>0</v>
      </c>
      <c r="J91" s="97">
        <f t="shared" ca="1" si="36"/>
        <v>0</v>
      </c>
      <c r="K91" s="97">
        <f t="shared" ca="1" si="36"/>
        <v>0</v>
      </c>
      <c r="L91" s="97">
        <f t="shared" ca="1" si="36"/>
        <v>0</v>
      </c>
      <c r="M91" s="97">
        <f t="shared" ca="1" si="36"/>
        <v>0</v>
      </c>
      <c r="N91" s="97">
        <f t="shared" ca="1" si="34"/>
        <v>0</v>
      </c>
      <c r="O91" s="97">
        <f t="shared" ca="1" si="34"/>
        <v>0</v>
      </c>
      <c r="P91" s="97">
        <f t="shared" ca="1" si="34"/>
        <v>0</v>
      </c>
      <c r="Q91" s="97">
        <f t="shared" ca="1" si="34"/>
        <v>0</v>
      </c>
      <c r="R91" s="97">
        <f t="shared" ca="1" si="34"/>
        <v>0</v>
      </c>
      <c r="S91" s="97">
        <f t="shared" ca="1" si="34"/>
        <v>0</v>
      </c>
      <c r="T91" s="97">
        <f t="shared" ca="1" si="34"/>
        <v>0</v>
      </c>
      <c r="U91" s="97">
        <f t="shared" ca="1" si="34"/>
        <v>0</v>
      </c>
      <c r="V91" s="97">
        <f t="shared" ca="1" si="34"/>
        <v>0</v>
      </c>
      <c r="W91" s="97">
        <f t="shared" ca="1" si="34"/>
        <v>0</v>
      </c>
      <c r="X91" s="97">
        <f t="shared" ca="1" si="34"/>
        <v>0</v>
      </c>
      <c r="Y91" s="97">
        <f t="shared" ca="1" si="34"/>
        <v>0</v>
      </c>
      <c r="Z91" s="97">
        <f t="shared" ca="1" si="34"/>
        <v>0</v>
      </c>
      <c r="AA91" s="97">
        <f t="shared" ca="1" si="34"/>
        <v>0</v>
      </c>
      <c r="AB91" s="97">
        <f t="shared" ca="1" si="34"/>
        <v>0</v>
      </c>
      <c r="AC91" s="97">
        <f t="shared" ca="1" si="34"/>
        <v>0</v>
      </c>
      <c r="AD91" s="97">
        <f t="shared" ref="AD91:AI91" ca="1" si="40">IFERROR(FIND(" ",$C91,IFERROR(OFFSET(AD91,0,-1)+1,1)),LEN($C91))</f>
        <v>0</v>
      </c>
      <c r="AE91" s="97">
        <f t="shared" ca="1" si="40"/>
        <v>0</v>
      </c>
      <c r="AF91" s="97">
        <f t="shared" ca="1" si="40"/>
        <v>0</v>
      </c>
      <c r="AG91" s="97">
        <f t="shared" ca="1" si="40"/>
        <v>0</v>
      </c>
      <c r="AH91" s="97">
        <f t="shared" ca="1" si="40"/>
        <v>0</v>
      </c>
      <c r="AI91" s="97">
        <f t="shared" ca="1" si="40"/>
        <v>0</v>
      </c>
      <c r="AJ91" s="98">
        <f t="shared" ca="1" si="26"/>
        <v>0</v>
      </c>
      <c r="AK91" s="97">
        <f t="shared" ca="1" si="26"/>
        <v>0</v>
      </c>
      <c r="AL91" s="97">
        <f t="shared" ca="1" si="26"/>
        <v>0</v>
      </c>
      <c r="AM91" s="97">
        <f t="shared" ca="1" si="26"/>
        <v>0</v>
      </c>
      <c r="AN91" s="97">
        <f t="shared" ca="1" si="26"/>
        <v>0</v>
      </c>
      <c r="AO91" s="97">
        <f t="shared" ca="1" si="26"/>
        <v>0</v>
      </c>
      <c r="AP91" s="97">
        <f t="shared" ca="1" si="26"/>
        <v>0</v>
      </c>
      <c r="AQ91" s="97">
        <f t="shared" ca="1" si="26"/>
        <v>0</v>
      </c>
      <c r="AR91" s="99">
        <f ca="1">COUNTIF(AJ91:AQ91,"&lt;"&amp;MAX(AJ91:AQ91))+IF(Calcs[[#This Row],[DL1]]=0,0,1)</f>
        <v>0</v>
      </c>
      <c r="AS91" s="100" t="str">
        <f ca="1">IF(LEN(Calcs[[#This Row],[Line]])&gt;0,IF(RIGHT(Calcs[[#This Row],[Remark]],3)=".  ",LEFT(Calcs[[#This Row],[Remark]],LEN(Calcs[[#This Row],[Remark]])-3),Calcs[[#This Row],[Remark]]),"")</f>
        <v/>
      </c>
      <c r="AT91" s="96">
        <f t="shared" ca="1" si="37"/>
        <v>0</v>
      </c>
      <c r="AU91" s="102">
        <f t="shared" ca="1" si="37"/>
        <v>0</v>
      </c>
      <c r="AV91" s="102">
        <f t="shared" ca="1" si="37"/>
        <v>0</v>
      </c>
      <c r="AW91" s="102">
        <f t="shared" ca="1" si="37"/>
        <v>0</v>
      </c>
      <c r="AX91" s="102">
        <f t="shared" ca="1" si="37"/>
        <v>0</v>
      </c>
      <c r="AY91" s="102">
        <f t="shared" ca="1" si="37"/>
        <v>0</v>
      </c>
      <c r="AZ91" s="102">
        <f t="shared" ca="1" si="37"/>
        <v>0</v>
      </c>
      <c r="BA91" s="102">
        <f t="shared" ca="1" si="37"/>
        <v>0</v>
      </c>
      <c r="BB91" s="102">
        <f t="shared" ca="1" si="37"/>
        <v>0</v>
      </c>
      <c r="BC91" s="102">
        <f t="shared" ca="1" si="37"/>
        <v>0</v>
      </c>
      <c r="BD91" s="102">
        <f t="shared" ca="1" si="35"/>
        <v>0</v>
      </c>
      <c r="BE91" s="102">
        <f t="shared" ca="1" si="35"/>
        <v>0</v>
      </c>
      <c r="BF91" s="102">
        <f t="shared" ca="1" si="35"/>
        <v>0</v>
      </c>
      <c r="BG91" s="102">
        <f t="shared" ca="1" si="35"/>
        <v>0</v>
      </c>
      <c r="BH91" s="102">
        <f t="shared" ca="1" si="35"/>
        <v>0</v>
      </c>
      <c r="BI91" s="102">
        <f t="shared" ca="1" si="35"/>
        <v>0</v>
      </c>
      <c r="BJ91" s="102">
        <f t="shared" ca="1" si="35"/>
        <v>0</v>
      </c>
      <c r="BK91" s="102">
        <f t="shared" ca="1" si="35"/>
        <v>0</v>
      </c>
      <c r="BL91" s="102">
        <f t="shared" ca="1" si="35"/>
        <v>0</v>
      </c>
      <c r="BM91" s="102">
        <f t="shared" ca="1" si="35"/>
        <v>0</v>
      </c>
      <c r="BN91" s="102">
        <f t="shared" ca="1" si="35"/>
        <v>0</v>
      </c>
      <c r="BO91" s="102">
        <f t="shared" ca="1" si="35"/>
        <v>0</v>
      </c>
      <c r="BP91" s="102">
        <f t="shared" ca="1" si="35"/>
        <v>0</v>
      </c>
      <c r="BQ91" s="102">
        <f t="shared" ca="1" si="35"/>
        <v>0</v>
      </c>
      <c r="BR91" s="102">
        <f t="shared" ca="1" si="35"/>
        <v>0</v>
      </c>
      <c r="BS91" s="102">
        <f t="shared" ca="1" si="35"/>
        <v>0</v>
      </c>
      <c r="BT91" s="102">
        <f t="shared" ref="BT91:BY91" ca="1" si="41">IFERROR(FIND(" ",$AS91,IFERROR(OFFSET(BT91,0,-1)+1,1)),LEN($AS91))</f>
        <v>0</v>
      </c>
      <c r="BU91" s="102">
        <f t="shared" ca="1" si="41"/>
        <v>0</v>
      </c>
      <c r="BV91" s="102">
        <f t="shared" ca="1" si="41"/>
        <v>0</v>
      </c>
      <c r="BW91" s="102">
        <f t="shared" ca="1" si="41"/>
        <v>0</v>
      </c>
      <c r="BX91" s="102">
        <f t="shared" ca="1" si="41"/>
        <v>0</v>
      </c>
      <c r="BY91" s="102">
        <f t="shared" ca="1" si="41"/>
        <v>0</v>
      </c>
      <c r="BZ91" s="98">
        <f t="shared" ca="1" si="27"/>
        <v>0</v>
      </c>
      <c r="CA91" s="102">
        <f t="shared" ca="1" si="27"/>
        <v>0</v>
      </c>
      <c r="CB91" s="102">
        <f t="shared" ca="1" si="27"/>
        <v>0</v>
      </c>
      <c r="CC91" s="102">
        <f t="shared" ca="1" si="27"/>
        <v>0</v>
      </c>
      <c r="CD91" s="102">
        <f t="shared" ca="1" si="27"/>
        <v>0</v>
      </c>
      <c r="CE91" s="102">
        <f t="shared" ca="1" si="27"/>
        <v>0</v>
      </c>
      <c r="CF91" s="102">
        <f t="shared" ca="1" si="27"/>
        <v>0</v>
      </c>
      <c r="CG91" s="102">
        <f t="shared" ca="1" si="27"/>
        <v>0</v>
      </c>
      <c r="CH91" s="101">
        <f ca="1">COUNTIF(BZ91:CG91,"&lt;"&amp;MAX(BZ91:CG91))+IF(Calcs[[#This Row],[RL1]]=0,0,1)</f>
        <v>0</v>
      </c>
      <c r="CI9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1" s="103">
        <f ca="1">IFERROR(OFFSET(CJ91,-1,0)+0,0)+IF(INDEX(INDIRECT(RangeContrQty),MATCH(Calcs[[#This Row],[Line]],OFFSET(Items[Line],0,0,ROW(Proposed[])-ROW(Items[])+ROWS(Proposed[]),1),0)),1,0)</f>
        <v>0</v>
      </c>
    </row>
    <row r="92" spans="1:88" x14ac:dyDescent="0.15">
      <c r="A92" s="64">
        <f ca="1">IFERROR(OFFSET(A92,-1,0)+0,0)+MAX(IF(LEN(Calcs[[#This Row],[Line]])&gt;0,1,0),Calcs[[#This Row],[DL]],Calcs[[#This Row],[RL]])</f>
        <v>10</v>
      </c>
      <c r="B92" s="90" t="str">
        <f ca="1">IFERROR(INDEX(OFFSET(Items[Line],0,0,ROW(Proposed[])-ROW(Items[])+ROWS(Proposed[]),1),MATCH(ROW(B92)-ROW(B$3),INDIRECT(RangeCount),0)),"")</f>
        <v/>
      </c>
      <c r="C92" s="90" t="str">
        <f ca="1">IF(LEN(Calcs[[#This Row],[Line]])&gt;0,TRIM(IFERROR(INDEX(Items[Description],MATCH(Calcs[[#This Row],[Line]],Items[Line],0))&amp;INDEX(Items[Description2],MATCH(Calcs[[#This Row],[Line]],Items[Line],0)),INDEX(Proposed[Description],MATCH(Calcs[[#This Row],[Line]],Proposed[Line],0)))),"")</f>
        <v/>
      </c>
      <c r="D92" s="96">
        <f t="shared" ref="D92:D155" ca="1" si="42">IFERROR(FIND(" ",$C92,IFERROR(OFFSET(D92,0,-1)+1,1)),LEN($C92))</f>
        <v>0</v>
      </c>
      <c r="E92" s="103">
        <f t="shared" ref="E92:E155" ca="1" si="43">IFERROR(FIND(" ",$C92,IFERROR(OFFSET(E92,0,-1)+1,1)),LEN($C92))</f>
        <v>0</v>
      </c>
      <c r="F92" s="103">
        <f t="shared" ref="F92:F155" ca="1" si="44">IFERROR(FIND(" ",$C92,IFERROR(OFFSET(F92,0,-1)+1,1)),LEN($C92))</f>
        <v>0</v>
      </c>
      <c r="G92" s="103">
        <f t="shared" ref="G92:G155" ca="1" si="45">IFERROR(FIND(" ",$C92,IFERROR(OFFSET(G92,0,-1)+1,1)),LEN($C92))</f>
        <v>0</v>
      </c>
      <c r="H92" s="103">
        <f t="shared" ref="H92:H155" ca="1" si="46">IFERROR(FIND(" ",$C92,IFERROR(OFFSET(H92,0,-1)+1,1)),LEN($C92))</f>
        <v>0</v>
      </c>
      <c r="I92" s="103">
        <f t="shared" ref="I92:I155" ca="1" si="47">IFERROR(FIND(" ",$C92,IFERROR(OFFSET(I92,0,-1)+1,1)),LEN($C92))</f>
        <v>0</v>
      </c>
      <c r="J92" s="103">
        <f t="shared" ref="J92:J155" ca="1" si="48">IFERROR(FIND(" ",$C92,IFERROR(OFFSET(J92,0,-1)+1,1)),LEN($C92))</f>
        <v>0</v>
      </c>
      <c r="K92" s="103">
        <f t="shared" ref="K92:K155" ca="1" si="49">IFERROR(FIND(" ",$C92,IFERROR(OFFSET(K92,0,-1)+1,1)),LEN($C92))</f>
        <v>0</v>
      </c>
      <c r="L92" s="103">
        <f t="shared" ref="L92:L155" ca="1" si="50">IFERROR(FIND(" ",$C92,IFERROR(OFFSET(L92,0,-1)+1,1)),LEN($C92))</f>
        <v>0</v>
      </c>
      <c r="M92" s="103">
        <f t="shared" ref="M92:M155" ca="1" si="51">IFERROR(FIND(" ",$C92,IFERROR(OFFSET(M92,0,-1)+1,1)),LEN($C92))</f>
        <v>0</v>
      </c>
      <c r="N92" s="103">
        <f t="shared" ref="N92:N155" ca="1" si="52">IFERROR(FIND(" ",$C92,IFERROR(OFFSET(N92,0,-1)+1,1)),LEN($C92))</f>
        <v>0</v>
      </c>
      <c r="O92" s="103">
        <f t="shared" ref="O92:O155" ca="1" si="53">IFERROR(FIND(" ",$C92,IFERROR(OFFSET(O92,0,-1)+1,1)),LEN($C92))</f>
        <v>0</v>
      </c>
      <c r="P92" s="103">
        <f t="shared" ref="P92:P155" ca="1" si="54">IFERROR(FIND(" ",$C92,IFERROR(OFFSET(P92,0,-1)+1,1)),LEN($C92))</f>
        <v>0</v>
      </c>
      <c r="Q92" s="103">
        <f t="shared" ref="Q92:Q155" ca="1" si="55">IFERROR(FIND(" ",$C92,IFERROR(OFFSET(Q92,0,-1)+1,1)),LEN($C92))</f>
        <v>0</v>
      </c>
      <c r="R92" s="103">
        <f t="shared" ref="R92:R155" ca="1" si="56">IFERROR(FIND(" ",$C92,IFERROR(OFFSET(R92,0,-1)+1,1)),LEN($C92))</f>
        <v>0</v>
      </c>
      <c r="S92" s="103">
        <f t="shared" ref="S92:S155" ca="1" si="57">IFERROR(FIND(" ",$C92,IFERROR(OFFSET(S92,0,-1)+1,1)),LEN($C92))</f>
        <v>0</v>
      </c>
      <c r="T92" s="103">
        <f t="shared" ref="T92:T155" ca="1" si="58">IFERROR(FIND(" ",$C92,IFERROR(OFFSET(T92,0,-1)+1,1)),LEN($C92))</f>
        <v>0</v>
      </c>
      <c r="U92" s="103">
        <f t="shared" ref="U92:U155" ca="1" si="59">IFERROR(FIND(" ",$C92,IFERROR(OFFSET(U92,0,-1)+1,1)),LEN($C92))</f>
        <v>0</v>
      </c>
      <c r="V92" s="103">
        <f t="shared" ref="V92:V155" ca="1" si="60">IFERROR(FIND(" ",$C92,IFERROR(OFFSET(V92,0,-1)+1,1)),LEN($C92))</f>
        <v>0</v>
      </c>
      <c r="W92" s="103">
        <f t="shared" ref="W92:W155" ca="1" si="61">IFERROR(FIND(" ",$C92,IFERROR(OFFSET(W92,0,-1)+1,1)),LEN($C92))</f>
        <v>0</v>
      </c>
      <c r="X92" s="103">
        <f t="shared" ref="X92:X155" ca="1" si="62">IFERROR(FIND(" ",$C92,IFERROR(OFFSET(X92,0,-1)+1,1)),LEN($C92))</f>
        <v>0</v>
      </c>
      <c r="Y92" s="103">
        <f t="shared" ref="Y92:Y155" ca="1" si="63">IFERROR(FIND(" ",$C92,IFERROR(OFFSET(Y92,0,-1)+1,1)),LEN($C92))</f>
        <v>0</v>
      </c>
      <c r="Z92" s="103">
        <f t="shared" ref="Z92:Z155" ca="1" si="64">IFERROR(FIND(" ",$C92,IFERROR(OFFSET(Z92,0,-1)+1,1)),LEN($C92))</f>
        <v>0</v>
      </c>
      <c r="AA92" s="103">
        <f t="shared" ref="AA92:AA155" ca="1" si="65">IFERROR(FIND(" ",$C92,IFERROR(OFFSET(AA92,0,-1)+1,1)),LEN($C92))</f>
        <v>0</v>
      </c>
      <c r="AB92" s="103">
        <f t="shared" ref="AB92:AB155" ca="1" si="66">IFERROR(FIND(" ",$C92,IFERROR(OFFSET(AB92,0,-1)+1,1)),LEN($C92))</f>
        <v>0</v>
      </c>
      <c r="AC92" s="103">
        <f t="shared" ref="AC92:AC155" ca="1" si="67">IFERROR(FIND(" ",$C92,IFERROR(OFFSET(AC92,0,-1)+1,1)),LEN($C92))</f>
        <v>0</v>
      </c>
      <c r="AD92" s="103">
        <f t="shared" ref="AD92:AD155" ca="1" si="68">IFERROR(FIND(" ",$C92,IFERROR(OFFSET(AD92,0,-1)+1,1)),LEN($C92))</f>
        <v>0</v>
      </c>
      <c r="AE92" s="103">
        <f t="shared" ref="AE92:AE155" ca="1" si="69">IFERROR(FIND(" ",$C92,IFERROR(OFFSET(AE92,0,-1)+1,1)),LEN($C92))</f>
        <v>0</v>
      </c>
      <c r="AF92" s="103">
        <f t="shared" ref="AF92:AF155" ca="1" si="70">IFERROR(FIND(" ",$C92,IFERROR(OFFSET(AF92,0,-1)+1,1)),LEN($C92))</f>
        <v>0</v>
      </c>
      <c r="AG92" s="103">
        <f t="shared" ref="AG92:AG155" ca="1" si="71">IFERROR(FIND(" ",$C92,IFERROR(OFFSET(AG92,0,-1)+1,1)),LEN($C92))</f>
        <v>0</v>
      </c>
      <c r="AH92" s="103">
        <f t="shared" ref="AH92:AH155" ca="1" si="72">IFERROR(FIND(" ",$C92,IFERROR(OFFSET(AH92,0,-1)+1,1)),LEN($C92))</f>
        <v>0</v>
      </c>
      <c r="AI92" s="103">
        <f t="shared" ref="AI92:AI155" ca="1" si="73">IFERROR(FIND(" ",$C92,IFERROR(OFFSET(AI92,0,-1)+1,1)),LEN($C92))</f>
        <v>0</v>
      </c>
      <c r="AJ92" s="98">
        <f t="shared" ref="AJ92:AQ101" ca="1" si="74">HLOOKUP(IF(COLUMN(AJ92)-COLUMN($AJ$3)=0,0,OFFSET(AJ92,0,-1))+widthPayItem,$D92:$AI92,1)</f>
        <v>0</v>
      </c>
      <c r="AK92" s="103">
        <f t="shared" ca="1" si="74"/>
        <v>0</v>
      </c>
      <c r="AL92" s="103">
        <f t="shared" ca="1" si="74"/>
        <v>0</v>
      </c>
      <c r="AM92" s="103">
        <f t="shared" ca="1" si="74"/>
        <v>0</v>
      </c>
      <c r="AN92" s="103">
        <f t="shared" ca="1" si="74"/>
        <v>0</v>
      </c>
      <c r="AO92" s="103">
        <f t="shared" ca="1" si="74"/>
        <v>0</v>
      </c>
      <c r="AP92" s="103">
        <f t="shared" ca="1" si="74"/>
        <v>0</v>
      </c>
      <c r="AQ92" s="103">
        <f t="shared" ca="1" si="74"/>
        <v>0</v>
      </c>
      <c r="AR92" s="104">
        <f ca="1">COUNTIF(AJ92:AQ92,"&lt;"&amp;MAX(AJ92:AQ92))+IF(Calcs[[#This Row],[DL1]]=0,0,1)</f>
        <v>0</v>
      </c>
      <c r="AS92" s="105" t="str">
        <f ca="1">IF(LEN(Calcs[[#This Row],[Line]])&gt;0,IF(RIGHT(Calcs[[#This Row],[Remark]],3)=".  ",LEFT(Calcs[[#This Row],[Remark]],LEN(Calcs[[#This Row],[Remark]])-3),Calcs[[#This Row],[Remark]]),"")</f>
        <v/>
      </c>
      <c r="AT92" s="96">
        <f t="shared" ref="AT92:AT155" ca="1" si="75">IFERROR(FIND(" ",$AS92,IFERROR(OFFSET(AT92,0,-1)+1,1)),LEN($AS92))</f>
        <v>0</v>
      </c>
      <c r="AU92" s="103">
        <f t="shared" ref="AU92:AU155" ca="1" si="76">IFERROR(FIND(" ",$AS92,IFERROR(OFFSET(AU92,0,-1)+1,1)),LEN($AS92))</f>
        <v>0</v>
      </c>
      <c r="AV92" s="103">
        <f t="shared" ref="AV92:AV155" ca="1" si="77">IFERROR(FIND(" ",$AS92,IFERROR(OFFSET(AV92,0,-1)+1,1)),LEN($AS92))</f>
        <v>0</v>
      </c>
      <c r="AW92" s="103">
        <f t="shared" ref="AW92:AW155" ca="1" si="78">IFERROR(FIND(" ",$AS92,IFERROR(OFFSET(AW92,0,-1)+1,1)),LEN($AS92))</f>
        <v>0</v>
      </c>
      <c r="AX92" s="103">
        <f t="shared" ref="AX92:AX155" ca="1" si="79">IFERROR(FIND(" ",$AS92,IFERROR(OFFSET(AX92,0,-1)+1,1)),LEN($AS92))</f>
        <v>0</v>
      </c>
      <c r="AY92" s="103">
        <f t="shared" ref="AY92:AY155" ca="1" si="80">IFERROR(FIND(" ",$AS92,IFERROR(OFFSET(AY92,0,-1)+1,1)),LEN($AS92))</f>
        <v>0</v>
      </c>
      <c r="AZ92" s="103">
        <f t="shared" ref="AZ92:AZ155" ca="1" si="81">IFERROR(FIND(" ",$AS92,IFERROR(OFFSET(AZ92,0,-1)+1,1)),LEN($AS92))</f>
        <v>0</v>
      </c>
      <c r="BA92" s="103">
        <f t="shared" ref="BA92:BA155" ca="1" si="82">IFERROR(FIND(" ",$AS92,IFERROR(OFFSET(BA92,0,-1)+1,1)),LEN($AS92))</f>
        <v>0</v>
      </c>
      <c r="BB92" s="103">
        <f t="shared" ref="BB92:BB155" ca="1" si="83">IFERROR(FIND(" ",$AS92,IFERROR(OFFSET(BB92,0,-1)+1,1)),LEN($AS92))</f>
        <v>0</v>
      </c>
      <c r="BC92" s="103">
        <f t="shared" ref="BC92:BC155" ca="1" si="84">IFERROR(FIND(" ",$AS92,IFERROR(OFFSET(BC92,0,-1)+1,1)),LEN($AS92))</f>
        <v>0</v>
      </c>
      <c r="BD92" s="103">
        <f t="shared" ref="BD92:BD155" ca="1" si="85">IFERROR(FIND(" ",$AS92,IFERROR(OFFSET(BD92,0,-1)+1,1)),LEN($AS92))</f>
        <v>0</v>
      </c>
      <c r="BE92" s="103">
        <f t="shared" ref="BE92:BE155" ca="1" si="86">IFERROR(FIND(" ",$AS92,IFERROR(OFFSET(BE92,0,-1)+1,1)),LEN($AS92))</f>
        <v>0</v>
      </c>
      <c r="BF92" s="103">
        <f t="shared" ref="BF92:BF155" ca="1" si="87">IFERROR(FIND(" ",$AS92,IFERROR(OFFSET(BF92,0,-1)+1,1)),LEN($AS92))</f>
        <v>0</v>
      </c>
      <c r="BG92" s="103">
        <f t="shared" ref="BG92:BG155" ca="1" si="88">IFERROR(FIND(" ",$AS92,IFERROR(OFFSET(BG92,0,-1)+1,1)),LEN($AS92))</f>
        <v>0</v>
      </c>
      <c r="BH92" s="103">
        <f t="shared" ref="BH92:BH155" ca="1" si="89">IFERROR(FIND(" ",$AS92,IFERROR(OFFSET(BH92,0,-1)+1,1)),LEN($AS92))</f>
        <v>0</v>
      </c>
      <c r="BI92" s="103">
        <f t="shared" ref="BI92:BI155" ca="1" si="90">IFERROR(FIND(" ",$AS92,IFERROR(OFFSET(BI92,0,-1)+1,1)),LEN($AS92))</f>
        <v>0</v>
      </c>
      <c r="BJ92" s="103">
        <f t="shared" ref="BJ92:BJ155" ca="1" si="91">IFERROR(FIND(" ",$AS92,IFERROR(OFFSET(BJ92,0,-1)+1,1)),LEN($AS92))</f>
        <v>0</v>
      </c>
      <c r="BK92" s="103">
        <f t="shared" ref="BK92:BK155" ca="1" si="92">IFERROR(FIND(" ",$AS92,IFERROR(OFFSET(BK92,0,-1)+1,1)),LEN($AS92))</f>
        <v>0</v>
      </c>
      <c r="BL92" s="103">
        <f t="shared" ref="BL92:BL155" ca="1" si="93">IFERROR(FIND(" ",$AS92,IFERROR(OFFSET(BL92,0,-1)+1,1)),LEN($AS92))</f>
        <v>0</v>
      </c>
      <c r="BM92" s="103">
        <f t="shared" ref="BM92:BM155" ca="1" si="94">IFERROR(FIND(" ",$AS92,IFERROR(OFFSET(BM92,0,-1)+1,1)),LEN($AS92))</f>
        <v>0</v>
      </c>
      <c r="BN92" s="103">
        <f t="shared" ref="BN92:BN155" ca="1" si="95">IFERROR(FIND(" ",$AS92,IFERROR(OFFSET(BN92,0,-1)+1,1)),LEN($AS92))</f>
        <v>0</v>
      </c>
      <c r="BO92" s="103">
        <f t="shared" ref="BO92:BO155" ca="1" si="96">IFERROR(FIND(" ",$AS92,IFERROR(OFFSET(BO92,0,-1)+1,1)),LEN($AS92))</f>
        <v>0</v>
      </c>
      <c r="BP92" s="103">
        <f t="shared" ref="BP92:BP155" ca="1" si="97">IFERROR(FIND(" ",$AS92,IFERROR(OFFSET(BP92,0,-1)+1,1)),LEN($AS92))</f>
        <v>0</v>
      </c>
      <c r="BQ92" s="103">
        <f t="shared" ref="BQ92:BQ155" ca="1" si="98">IFERROR(FIND(" ",$AS92,IFERROR(OFFSET(BQ92,0,-1)+1,1)),LEN($AS92))</f>
        <v>0</v>
      </c>
      <c r="BR92" s="103">
        <f t="shared" ref="BR92:BR155" ca="1" si="99">IFERROR(FIND(" ",$AS92,IFERROR(OFFSET(BR92,0,-1)+1,1)),LEN($AS92))</f>
        <v>0</v>
      </c>
      <c r="BS92" s="103">
        <f t="shared" ref="BS92:BS155" ca="1" si="100">IFERROR(FIND(" ",$AS92,IFERROR(OFFSET(BS92,0,-1)+1,1)),LEN($AS92))</f>
        <v>0</v>
      </c>
      <c r="BT92" s="103">
        <f t="shared" ref="BT92:BT155" ca="1" si="101">IFERROR(FIND(" ",$AS92,IFERROR(OFFSET(BT92,0,-1)+1,1)),LEN($AS92))</f>
        <v>0</v>
      </c>
      <c r="BU92" s="103">
        <f t="shared" ref="BU92:BU155" ca="1" si="102">IFERROR(FIND(" ",$AS92,IFERROR(OFFSET(BU92,0,-1)+1,1)),LEN($AS92))</f>
        <v>0</v>
      </c>
      <c r="BV92" s="103">
        <f t="shared" ref="BV92:BV155" ca="1" si="103">IFERROR(FIND(" ",$AS92,IFERROR(OFFSET(BV92,0,-1)+1,1)),LEN($AS92))</f>
        <v>0</v>
      </c>
      <c r="BW92" s="103">
        <f t="shared" ref="BW92:BW155" ca="1" si="104">IFERROR(FIND(" ",$AS92,IFERROR(OFFSET(BW92,0,-1)+1,1)),LEN($AS92))</f>
        <v>0</v>
      </c>
      <c r="BX92" s="103">
        <f t="shared" ref="BX92:BX155" ca="1" si="105">IFERROR(FIND(" ",$AS92,IFERROR(OFFSET(BX92,0,-1)+1,1)),LEN($AS92))</f>
        <v>0</v>
      </c>
      <c r="BY92" s="103">
        <f t="shared" ref="BY92:BY155" ca="1" si="106">IFERROR(FIND(" ",$AS92,IFERROR(OFFSET(BY92,0,-1)+1,1)),LEN($AS92))</f>
        <v>0</v>
      </c>
      <c r="BZ92" s="98">
        <f t="shared" ref="BZ92:CG101" ca="1" si="107">HLOOKUP(IF(COLUMN(BZ92)-COLUMN($BZ$3)=0,0,OFFSET(BZ92,0,-1))+widthRemarks,$AT92:$BY92,1)</f>
        <v>0</v>
      </c>
      <c r="CA92" s="103">
        <f t="shared" ca="1" si="107"/>
        <v>0</v>
      </c>
      <c r="CB92" s="103">
        <f t="shared" ca="1" si="107"/>
        <v>0</v>
      </c>
      <c r="CC92" s="103">
        <f t="shared" ca="1" si="107"/>
        <v>0</v>
      </c>
      <c r="CD92" s="103">
        <f t="shared" ca="1" si="107"/>
        <v>0</v>
      </c>
      <c r="CE92" s="103">
        <f t="shared" ca="1" si="107"/>
        <v>0</v>
      </c>
      <c r="CF92" s="103">
        <f t="shared" ca="1" si="107"/>
        <v>0</v>
      </c>
      <c r="CG92" s="103">
        <f t="shared" ca="1" si="107"/>
        <v>0</v>
      </c>
      <c r="CH92" s="106">
        <f ca="1">COUNTIF(BZ92:CG92,"&lt;"&amp;MAX(BZ92:CG92))+IF(Calcs[[#This Row],[RL1]]=0,0,1)</f>
        <v>0</v>
      </c>
      <c r="CI9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2" s="103">
        <f ca="1">IFERROR(OFFSET(CJ92,-1,0)+0,0)+IF(INDEX(INDIRECT(RangeContrQty),MATCH(Calcs[[#This Row],[Line]],OFFSET(Items[Line],0,0,ROW(Proposed[])-ROW(Items[])+ROWS(Proposed[]),1),0)),1,0)</f>
        <v>0</v>
      </c>
    </row>
    <row r="93" spans="1:88" x14ac:dyDescent="0.15">
      <c r="A93" s="64">
        <f ca="1">IFERROR(OFFSET(A93,-1,0)+0,0)+MAX(IF(LEN(Calcs[[#This Row],[Line]])&gt;0,1,0),Calcs[[#This Row],[DL]],Calcs[[#This Row],[RL]])</f>
        <v>10</v>
      </c>
      <c r="B93" s="90" t="str">
        <f ca="1">IFERROR(INDEX(OFFSET(Items[Line],0,0,ROW(Proposed[])-ROW(Items[])+ROWS(Proposed[]),1),MATCH(ROW(B93)-ROW(B$3),INDIRECT(RangeCount),0)),"")</f>
        <v/>
      </c>
      <c r="C93" s="90" t="str">
        <f ca="1">IF(LEN(Calcs[[#This Row],[Line]])&gt;0,TRIM(IFERROR(INDEX(Items[Description],MATCH(Calcs[[#This Row],[Line]],Items[Line],0))&amp;INDEX(Items[Description2],MATCH(Calcs[[#This Row],[Line]],Items[Line],0)),INDEX(Proposed[Description],MATCH(Calcs[[#This Row],[Line]],Proposed[Line],0)))),"")</f>
        <v/>
      </c>
      <c r="D93" s="96">
        <f t="shared" ca="1" si="42"/>
        <v>0</v>
      </c>
      <c r="E93" s="103">
        <f t="shared" ca="1" si="43"/>
        <v>0</v>
      </c>
      <c r="F93" s="103">
        <f t="shared" ca="1" si="44"/>
        <v>0</v>
      </c>
      <c r="G93" s="103">
        <f t="shared" ca="1" si="45"/>
        <v>0</v>
      </c>
      <c r="H93" s="103">
        <f t="shared" ca="1" si="46"/>
        <v>0</v>
      </c>
      <c r="I93" s="103">
        <f t="shared" ca="1" si="47"/>
        <v>0</v>
      </c>
      <c r="J93" s="103">
        <f t="shared" ca="1" si="48"/>
        <v>0</v>
      </c>
      <c r="K93" s="103">
        <f t="shared" ca="1" si="49"/>
        <v>0</v>
      </c>
      <c r="L93" s="103">
        <f t="shared" ca="1" si="50"/>
        <v>0</v>
      </c>
      <c r="M93" s="103">
        <f t="shared" ca="1" si="51"/>
        <v>0</v>
      </c>
      <c r="N93" s="103">
        <f t="shared" ca="1" si="52"/>
        <v>0</v>
      </c>
      <c r="O93" s="103">
        <f t="shared" ca="1" si="53"/>
        <v>0</v>
      </c>
      <c r="P93" s="103">
        <f t="shared" ca="1" si="54"/>
        <v>0</v>
      </c>
      <c r="Q93" s="103">
        <f t="shared" ca="1" si="55"/>
        <v>0</v>
      </c>
      <c r="R93" s="103">
        <f t="shared" ca="1" si="56"/>
        <v>0</v>
      </c>
      <c r="S93" s="103">
        <f t="shared" ca="1" si="57"/>
        <v>0</v>
      </c>
      <c r="T93" s="103">
        <f t="shared" ca="1" si="58"/>
        <v>0</v>
      </c>
      <c r="U93" s="103">
        <f t="shared" ca="1" si="59"/>
        <v>0</v>
      </c>
      <c r="V93" s="103">
        <f t="shared" ca="1" si="60"/>
        <v>0</v>
      </c>
      <c r="W93" s="103">
        <f t="shared" ca="1" si="61"/>
        <v>0</v>
      </c>
      <c r="X93" s="103">
        <f t="shared" ca="1" si="62"/>
        <v>0</v>
      </c>
      <c r="Y93" s="103">
        <f t="shared" ca="1" si="63"/>
        <v>0</v>
      </c>
      <c r="Z93" s="103">
        <f t="shared" ca="1" si="64"/>
        <v>0</v>
      </c>
      <c r="AA93" s="103">
        <f t="shared" ca="1" si="65"/>
        <v>0</v>
      </c>
      <c r="AB93" s="103">
        <f t="shared" ca="1" si="66"/>
        <v>0</v>
      </c>
      <c r="AC93" s="103">
        <f t="shared" ca="1" si="67"/>
        <v>0</v>
      </c>
      <c r="AD93" s="103">
        <f t="shared" ca="1" si="68"/>
        <v>0</v>
      </c>
      <c r="AE93" s="103">
        <f t="shared" ca="1" si="69"/>
        <v>0</v>
      </c>
      <c r="AF93" s="103">
        <f t="shared" ca="1" si="70"/>
        <v>0</v>
      </c>
      <c r="AG93" s="103">
        <f t="shared" ca="1" si="71"/>
        <v>0</v>
      </c>
      <c r="AH93" s="103">
        <f t="shared" ca="1" si="72"/>
        <v>0</v>
      </c>
      <c r="AI93" s="103">
        <f t="shared" ca="1" si="73"/>
        <v>0</v>
      </c>
      <c r="AJ93" s="98">
        <f t="shared" ca="1" si="74"/>
        <v>0</v>
      </c>
      <c r="AK93" s="103">
        <f t="shared" ca="1" si="74"/>
        <v>0</v>
      </c>
      <c r="AL93" s="103">
        <f t="shared" ca="1" si="74"/>
        <v>0</v>
      </c>
      <c r="AM93" s="103">
        <f t="shared" ca="1" si="74"/>
        <v>0</v>
      </c>
      <c r="AN93" s="103">
        <f t="shared" ca="1" si="74"/>
        <v>0</v>
      </c>
      <c r="AO93" s="103">
        <f t="shared" ca="1" si="74"/>
        <v>0</v>
      </c>
      <c r="AP93" s="103">
        <f t="shared" ca="1" si="74"/>
        <v>0</v>
      </c>
      <c r="AQ93" s="103">
        <f t="shared" ca="1" si="74"/>
        <v>0</v>
      </c>
      <c r="AR93" s="104">
        <f ca="1">COUNTIF(AJ93:AQ93,"&lt;"&amp;MAX(AJ93:AQ93))+IF(Calcs[[#This Row],[DL1]]=0,0,1)</f>
        <v>0</v>
      </c>
      <c r="AS93" s="105" t="str">
        <f ca="1">IF(LEN(Calcs[[#This Row],[Line]])&gt;0,IF(RIGHT(Calcs[[#This Row],[Remark]],3)=".  ",LEFT(Calcs[[#This Row],[Remark]],LEN(Calcs[[#This Row],[Remark]])-3),Calcs[[#This Row],[Remark]]),"")</f>
        <v/>
      </c>
      <c r="AT93" s="96">
        <f t="shared" ca="1" si="75"/>
        <v>0</v>
      </c>
      <c r="AU93" s="103">
        <f t="shared" ca="1" si="76"/>
        <v>0</v>
      </c>
      <c r="AV93" s="103">
        <f t="shared" ca="1" si="77"/>
        <v>0</v>
      </c>
      <c r="AW93" s="103">
        <f t="shared" ca="1" si="78"/>
        <v>0</v>
      </c>
      <c r="AX93" s="103">
        <f t="shared" ca="1" si="79"/>
        <v>0</v>
      </c>
      <c r="AY93" s="103">
        <f t="shared" ca="1" si="80"/>
        <v>0</v>
      </c>
      <c r="AZ93" s="103">
        <f t="shared" ca="1" si="81"/>
        <v>0</v>
      </c>
      <c r="BA93" s="103">
        <f t="shared" ca="1" si="82"/>
        <v>0</v>
      </c>
      <c r="BB93" s="103">
        <f t="shared" ca="1" si="83"/>
        <v>0</v>
      </c>
      <c r="BC93" s="103">
        <f t="shared" ca="1" si="84"/>
        <v>0</v>
      </c>
      <c r="BD93" s="103">
        <f t="shared" ca="1" si="85"/>
        <v>0</v>
      </c>
      <c r="BE93" s="103">
        <f t="shared" ca="1" si="86"/>
        <v>0</v>
      </c>
      <c r="BF93" s="103">
        <f t="shared" ca="1" si="87"/>
        <v>0</v>
      </c>
      <c r="BG93" s="103">
        <f t="shared" ca="1" si="88"/>
        <v>0</v>
      </c>
      <c r="BH93" s="103">
        <f t="shared" ca="1" si="89"/>
        <v>0</v>
      </c>
      <c r="BI93" s="103">
        <f t="shared" ca="1" si="90"/>
        <v>0</v>
      </c>
      <c r="BJ93" s="103">
        <f t="shared" ca="1" si="91"/>
        <v>0</v>
      </c>
      <c r="BK93" s="103">
        <f t="shared" ca="1" si="92"/>
        <v>0</v>
      </c>
      <c r="BL93" s="103">
        <f t="shared" ca="1" si="93"/>
        <v>0</v>
      </c>
      <c r="BM93" s="103">
        <f t="shared" ca="1" si="94"/>
        <v>0</v>
      </c>
      <c r="BN93" s="103">
        <f t="shared" ca="1" si="95"/>
        <v>0</v>
      </c>
      <c r="BO93" s="103">
        <f t="shared" ca="1" si="96"/>
        <v>0</v>
      </c>
      <c r="BP93" s="103">
        <f t="shared" ca="1" si="97"/>
        <v>0</v>
      </c>
      <c r="BQ93" s="103">
        <f t="shared" ca="1" si="98"/>
        <v>0</v>
      </c>
      <c r="BR93" s="103">
        <f t="shared" ca="1" si="99"/>
        <v>0</v>
      </c>
      <c r="BS93" s="103">
        <f t="shared" ca="1" si="100"/>
        <v>0</v>
      </c>
      <c r="BT93" s="103">
        <f t="shared" ca="1" si="101"/>
        <v>0</v>
      </c>
      <c r="BU93" s="103">
        <f t="shared" ca="1" si="102"/>
        <v>0</v>
      </c>
      <c r="BV93" s="103">
        <f t="shared" ca="1" si="103"/>
        <v>0</v>
      </c>
      <c r="BW93" s="103">
        <f t="shared" ca="1" si="104"/>
        <v>0</v>
      </c>
      <c r="BX93" s="103">
        <f t="shared" ca="1" si="105"/>
        <v>0</v>
      </c>
      <c r="BY93" s="103">
        <f t="shared" ca="1" si="106"/>
        <v>0</v>
      </c>
      <c r="BZ93" s="98">
        <f t="shared" ca="1" si="107"/>
        <v>0</v>
      </c>
      <c r="CA93" s="103">
        <f t="shared" ca="1" si="107"/>
        <v>0</v>
      </c>
      <c r="CB93" s="103">
        <f t="shared" ca="1" si="107"/>
        <v>0</v>
      </c>
      <c r="CC93" s="103">
        <f t="shared" ca="1" si="107"/>
        <v>0</v>
      </c>
      <c r="CD93" s="103">
        <f t="shared" ca="1" si="107"/>
        <v>0</v>
      </c>
      <c r="CE93" s="103">
        <f t="shared" ca="1" si="107"/>
        <v>0</v>
      </c>
      <c r="CF93" s="103">
        <f t="shared" ca="1" si="107"/>
        <v>0</v>
      </c>
      <c r="CG93" s="103">
        <f t="shared" ca="1" si="107"/>
        <v>0</v>
      </c>
      <c r="CH93" s="106">
        <f ca="1">COUNTIF(BZ93:CG93,"&lt;"&amp;MAX(BZ93:CG93))+IF(Calcs[[#This Row],[RL1]]=0,0,1)</f>
        <v>0</v>
      </c>
      <c r="CI9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3" s="103">
        <f ca="1">IFERROR(OFFSET(CJ93,-1,0)+0,0)+IF(INDEX(INDIRECT(RangeContrQty),MATCH(Calcs[[#This Row],[Line]],OFFSET(Items[Line],0,0,ROW(Proposed[])-ROW(Items[])+ROWS(Proposed[]),1),0)),1,0)</f>
        <v>0</v>
      </c>
    </row>
    <row r="94" spans="1:88" x14ac:dyDescent="0.15">
      <c r="A94" s="64">
        <f ca="1">IFERROR(OFFSET(A94,-1,0)+0,0)+MAX(IF(LEN(Calcs[[#This Row],[Line]])&gt;0,1,0),Calcs[[#This Row],[DL]],Calcs[[#This Row],[RL]])</f>
        <v>10</v>
      </c>
      <c r="B94" s="90" t="str">
        <f ca="1">IFERROR(INDEX(OFFSET(Items[Line],0,0,ROW(Proposed[])-ROW(Items[])+ROWS(Proposed[]),1),MATCH(ROW(B94)-ROW(B$3),INDIRECT(RangeCount),0)),"")</f>
        <v/>
      </c>
      <c r="C94" s="90" t="str">
        <f ca="1">IF(LEN(Calcs[[#This Row],[Line]])&gt;0,TRIM(IFERROR(INDEX(Items[Description],MATCH(Calcs[[#This Row],[Line]],Items[Line],0))&amp;INDEX(Items[Description2],MATCH(Calcs[[#This Row],[Line]],Items[Line],0)),INDEX(Proposed[Description],MATCH(Calcs[[#This Row],[Line]],Proposed[Line],0)))),"")</f>
        <v/>
      </c>
      <c r="D94" s="96">
        <f t="shared" ca="1" si="42"/>
        <v>0</v>
      </c>
      <c r="E94" s="103">
        <f t="shared" ca="1" si="43"/>
        <v>0</v>
      </c>
      <c r="F94" s="103">
        <f t="shared" ca="1" si="44"/>
        <v>0</v>
      </c>
      <c r="G94" s="103">
        <f t="shared" ca="1" si="45"/>
        <v>0</v>
      </c>
      <c r="H94" s="103">
        <f t="shared" ca="1" si="46"/>
        <v>0</v>
      </c>
      <c r="I94" s="103">
        <f t="shared" ca="1" si="47"/>
        <v>0</v>
      </c>
      <c r="J94" s="103">
        <f t="shared" ca="1" si="48"/>
        <v>0</v>
      </c>
      <c r="K94" s="103">
        <f t="shared" ca="1" si="49"/>
        <v>0</v>
      </c>
      <c r="L94" s="103">
        <f t="shared" ca="1" si="50"/>
        <v>0</v>
      </c>
      <c r="M94" s="103">
        <f t="shared" ca="1" si="51"/>
        <v>0</v>
      </c>
      <c r="N94" s="103">
        <f t="shared" ca="1" si="52"/>
        <v>0</v>
      </c>
      <c r="O94" s="103">
        <f t="shared" ca="1" si="53"/>
        <v>0</v>
      </c>
      <c r="P94" s="103">
        <f t="shared" ca="1" si="54"/>
        <v>0</v>
      </c>
      <c r="Q94" s="103">
        <f t="shared" ca="1" si="55"/>
        <v>0</v>
      </c>
      <c r="R94" s="103">
        <f t="shared" ca="1" si="56"/>
        <v>0</v>
      </c>
      <c r="S94" s="103">
        <f t="shared" ca="1" si="57"/>
        <v>0</v>
      </c>
      <c r="T94" s="103">
        <f t="shared" ca="1" si="58"/>
        <v>0</v>
      </c>
      <c r="U94" s="103">
        <f t="shared" ca="1" si="59"/>
        <v>0</v>
      </c>
      <c r="V94" s="103">
        <f t="shared" ca="1" si="60"/>
        <v>0</v>
      </c>
      <c r="W94" s="103">
        <f t="shared" ca="1" si="61"/>
        <v>0</v>
      </c>
      <c r="X94" s="103">
        <f t="shared" ca="1" si="62"/>
        <v>0</v>
      </c>
      <c r="Y94" s="103">
        <f t="shared" ca="1" si="63"/>
        <v>0</v>
      </c>
      <c r="Z94" s="103">
        <f t="shared" ca="1" si="64"/>
        <v>0</v>
      </c>
      <c r="AA94" s="103">
        <f t="shared" ca="1" si="65"/>
        <v>0</v>
      </c>
      <c r="AB94" s="103">
        <f t="shared" ca="1" si="66"/>
        <v>0</v>
      </c>
      <c r="AC94" s="103">
        <f t="shared" ca="1" si="67"/>
        <v>0</v>
      </c>
      <c r="AD94" s="103">
        <f t="shared" ca="1" si="68"/>
        <v>0</v>
      </c>
      <c r="AE94" s="103">
        <f t="shared" ca="1" si="69"/>
        <v>0</v>
      </c>
      <c r="AF94" s="103">
        <f t="shared" ca="1" si="70"/>
        <v>0</v>
      </c>
      <c r="AG94" s="103">
        <f t="shared" ca="1" si="71"/>
        <v>0</v>
      </c>
      <c r="AH94" s="103">
        <f t="shared" ca="1" si="72"/>
        <v>0</v>
      </c>
      <c r="AI94" s="103">
        <f t="shared" ca="1" si="73"/>
        <v>0</v>
      </c>
      <c r="AJ94" s="98">
        <f t="shared" ca="1" si="74"/>
        <v>0</v>
      </c>
      <c r="AK94" s="103">
        <f t="shared" ca="1" si="74"/>
        <v>0</v>
      </c>
      <c r="AL94" s="103">
        <f t="shared" ca="1" si="74"/>
        <v>0</v>
      </c>
      <c r="AM94" s="103">
        <f t="shared" ca="1" si="74"/>
        <v>0</v>
      </c>
      <c r="AN94" s="103">
        <f t="shared" ca="1" si="74"/>
        <v>0</v>
      </c>
      <c r="AO94" s="103">
        <f t="shared" ca="1" si="74"/>
        <v>0</v>
      </c>
      <c r="AP94" s="103">
        <f t="shared" ca="1" si="74"/>
        <v>0</v>
      </c>
      <c r="AQ94" s="103">
        <f t="shared" ca="1" si="74"/>
        <v>0</v>
      </c>
      <c r="AR94" s="104">
        <f ca="1">COUNTIF(AJ94:AQ94,"&lt;"&amp;MAX(AJ94:AQ94))+IF(Calcs[[#This Row],[DL1]]=0,0,1)</f>
        <v>0</v>
      </c>
      <c r="AS94" s="105" t="str">
        <f ca="1">IF(LEN(Calcs[[#This Row],[Line]])&gt;0,IF(RIGHT(Calcs[[#This Row],[Remark]],3)=".  ",LEFT(Calcs[[#This Row],[Remark]],LEN(Calcs[[#This Row],[Remark]])-3),Calcs[[#This Row],[Remark]]),"")</f>
        <v/>
      </c>
      <c r="AT94" s="96">
        <f t="shared" ca="1" si="75"/>
        <v>0</v>
      </c>
      <c r="AU94" s="103">
        <f t="shared" ca="1" si="76"/>
        <v>0</v>
      </c>
      <c r="AV94" s="103">
        <f t="shared" ca="1" si="77"/>
        <v>0</v>
      </c>
      <c r="AW94" s="103">
        <f t="shared" ca="1" si="78"/>
        <v>0</v>
      </c>
      <c r="AX94" s="103">
        <f t="shared" ca="1" si="79"/>
        <v>0</v>
      </c>
      <c r="AY94" s="103">
        <f t="shared" ca="1" si="80"/>
        <v>0</v>
      </c>
      <c r="AZ94" s="103">
        <f t="shared" ca="1" si="81"/>
        <v>0</v>
      </c>
      <c r="BA94" s="103">
        <f t="shared" ca="1" si="82"/>
        <v>0</v>
      </c>
      <c r="BB94" s="103">
        <f t="shared" ca="1" si="83"/>
        <v>0</v>
      </c>
      <c r="BC94" s="103">
        <f t="shared" ca="1" si="84"/>
        <v>0</v>
      </c>
      <c r="BD94" s="103">
        <f t="shared" ca="1" si="85"/>
        <v>0</v>
      </c>
      <c r="BE94" s="103">
        <f t="shared" ca="1" si="86"/>
        <v>0</v>
      </c>
      <c r="BF94" s="103">
        <f t="shared" ca="1" si="87"/>
        <v>0</v>
      </c>
      <c r="BG94" s="103">
        <f t="shared" ca="1" si="88"/>
        <v>0</v>
      </c>
      <c r="BH94" s="103">
        <f t="shared" ca="1" si="89"/>
        <v>0</v>
      </c>
      <c r="BI94" s="103">
        <f t="shared" ca="1" si="90"/>
        <v>0</v>
      </c>
      <c r="BJ94" s="103">
        <f t="shared" ca="1" si="91"/>
        <v>0</v>
      </c>
      <c r="BK94" s="103">
        <f t="shared" ca="1" si="92"/>
        <v>0</v>
      </c>
      <c r="BL94" s="103">
        <f t="shared" ca="1" si="93"/>
        <v>0</v>
      </c>
      <c r="BM94" s="103">
        <f t="shared" ca="1" si="94"/>
        <v>0</v>
      </c>
      <c r="BN94" s="103">
        <f t="shared" ca="1" si="95"/>
        <v>0</v>
      </c>
      <c r="BO94" s="103">
        <f t="shared" ca="1" si="96"/>
        <v>0</v>
      </c>
      <c r="BP94" s="103">
        <f t="shared" ca="1" si="97"/>
        <v>0</v>
      </c>
      <c r="BQ94" s="103">
        <f t="shared" ca="1" si="98"/>
        <v>0</v>
      </c>
      <c r="BR94" s="103">
        <f t="shared" ca="1" si="99"/>
        <v>0</v>
      </c>
      <c r="BS94" s="103">
        <f t="shared" ca="1" si="100"/>
        <v>0</v>
      </c>
      <c r="BT94" s="103">
        <f t="shared" ca="1" si="101"/>
        <v>0</v>
      </c>
      <c r="BU94" s="103">
        <f t="shared" ca="1" si="102"/>
        <v>0</v>
      </c>
      <c r="BV94" s="103">
        <f t="shared" ca="1" si="103"/>
        <v>0</v>
      </c>
      <c r="BW94" s="103">
        <f t="shared" ca="1" si="104"/>
        <v>0</v>
      </c>
      <c r="BX94" s="103">
        <f t="shared" ca="1" si="105"/>
        <v>0</v>
      </c>
      <c r="BY94" s="103">
        <f t="shared" ca="1" si="106"/>
        <v>0</v>
      </c>
      <c r="BZ94" s="98">
        <f t="shared" ca="1" si="107"/>
        <v>0</v>
      </c>
      <c r="CA94" s="103">
        <f t="shared" ca="1" si="107"/>
        <v>0</v>
      </c>
      <c r="CB94" s="103">
        <f t="shared" ca="1" si="107"/>
        <v>0</v>
      </c>
      <c r="CC94" s="103">
        <f t="shared" ca="1" si="107"/>
        <v>0</v>
      </c>
      <c r="CD94" s="103">
        <f t="shared" ca="1" si="107"/>
        <v>0</v>
      </c>
      <c r="CE94" s="103">
        <f t="shared" ca="1" si="107"/>
        <v>0</v>
      </c>
      <c r="CF94" s="103">
        <f t="shared" ca="1" si="107"/>
        <v>0</v>
      </c>
      <c r="CG94" s="103">
        <f t="shared" ca="1" si="107"/>
        <v>0</v>
      </c>
      <c r="CH94" s="106">
        <f ca="1">COUNTIF(BZ94:CG94,"&lt;"&amp;MAX(BZ94:CG94))+IF(Calcs[[#This Row],[RL1]]=0,0,1)</f>
        <v>0</v>
      </c>
      <c r="CI9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4" s="103">
        <f ca="1">IFERROR(OFFSET(CJ94,-1,0)+0,0)+IF(INDEX(INDIRECT(RangeContrQty),MATCH(Calcs[[#This Row],[Line]],OFFSET(Items[Line],0,0,ROW(Proposed[])-ROW(Items[])+ROWS(Proposed[]),1),0)),1,0)</f>
        <v>0</v>
      </c>
    </row>
    <row r="95" spans="1:88" x14ac:dyDescent="0.15">
      <c r="A95" s="64">
        <f ca="1">IFERROR(OFFSET(A95,-1,0)+0,0)+MAX(IF(LEN(Calcs[[#This Row],[Line]])&gt;0,1,0),Calcs[[#This Row],[DL]],Calcs[[#This Row],[RL]])</f>
        <v>10</v>
      </c>
      <c r="B95" s="90" t="str">
        <f ca="1">IFERROR(INDEX(OFFSET(Items[Line],0,0,ROW(Proposed[])-ROW(Items[])+ROWS(Proposed[]),1),MATCH(ROW(B95)-ROW(B$3),INDIRECT(RangeCount),0)),"")</f>
        <v/>
      </c>
      <c r="C95" s="90" t="str">
        <f ca="1">IF(LEN(Calcs[[#This Row],[Line]])&gt;0,TRIM(IFERROR(INDEX(Items[Description],MATCH(Calcs[[#This Row],[Line]],Items[Line],0))&amp;INDEX(Items[Description2],MATCH(Calcs[[#This Row],[Line]],Items[Line],0)),INDEX(Proposed[Description],MATCH(Calcs[[#This Row],[Line]],Proposed[Line],0)))),"")</f>
        <v/>
      </c>
      <c r="D95" s="96">
        <f t="shared" ca="1" si="42"/>
        <v>0</v>
      </c>
      <c r="E95" s="103">
        <f t="shared" ca="1" si="43"/>
        <v>0</v>
      </c>
      <c r="F95" s="103">
        <f t="shared" ca="1" si="44"/>
        <v>0</v>
      </c>
      <c r="G95" s="103">
        <f t="shared" ca="1" si="45"/>
        <v>0</v>
      </c>
      <c r="H95" s="103">
        <f t="shared" ca="1" si="46"/>
        <v>0</v>
      </c>
      <c r="I95" s="103">
        <f t="shared" ca="1" si="47"/>
        <v>0</v>
      </c>
      <c r="J95" s="103">
        <f t="shared" ca="1" si="48"/>
        <v>0</v>
      </c>
      <c r="K95" s="103">
        <f t="shared" ca="1" si="49"/>
        <v>0</v>
      </c>
      <c r="L95" s="103">
        <f t="shared" ca="1" si="50"/>
        <v>0</v>
      </c>
      <c r="M95" s="103">
        <f t="shared" ca="1" si="51"/>
        <v>0</v>
      </c>
      <c r="N95" s="103">
        <f t="shared" ca="1" si="52"/>
        <v>0</v>
      </c>
      <c r="O95" s="103">
        <f t="shared" ca="1" si="53"/>
        <v>0</v>
      </c>
      <c r="P95" s="103">
        <f t="shared" ca="1" si="54"/>
        <v>0</v>
      </c>
      <c r="Q95" s="103">
        <f t="shared" ca="1" si="55"/>
        <v>0</v>
      </c>
      <c r="R95" s="103">
        <f t="shared" ca="1" si="56"/>
        <v>0</v>
      </c>
      <c r="S95" s="103">
        <f t="shared" ca="1" si="57"/>
        <v>0</v>
      </c>
      <c r="T95" s="103">
        <f t="shared" ca="1" si="58"/>
        <v>0</v>
      </c>
      <c r="U95" s="103">
        <f t="shared" ca="1" si="59"/>
        <v>0</v>
      </c>
      <c r="V95" s="103">
        <f t="shared" ca="1" si="60"/>
        <v>0</v>
      </c>
      <c r="W95" s="103">
        <f t="shared" ca="1" si="61"/>
        <v>0</v>
      </c>
      <c r="X95" s="103">
        <f t="shared" ca="1" si="62"/>
        <v>0</v>
      </c>
      <c r="Y95" s="103">
        <f t="shared" ca="1" si="63"/>
        <v>0</v>
      </c>
      <c r="Z95" s="103">
        <f t="shared" ca="1" si="64"/>
        <v>0</v>
      </c>
      <c r="AA95" s="103">
        <f t="shared" ca="1" si="65"/>
        <v>0</v>
      </c>
      <c r="AB95" s="103">
        <f t="shared" ca="1" si="66"/>
        <v>0</v>
      </c>
      <c r="AC95" s="103">
        <f t="shared" ca="1" si="67"/>
        <v>0</v>
      </c>
      <c r="AD95" s="103">
        <f t="shared" ca="1" si="68"/>
        <v>0</v>
      </c>
      <c r="AE95" s="103">
        <f t="shared" ca="1" si="69"/>
        <v>0</v>
      </c>
      <c r="AF95" s="103">
        <f t="shared" ca="1" si="70"/>
        <v>0</v>
      </c>
      <c r="AG95" s="103">
        <f t="shared" ca="1" si="71"/>
        <v>0</v>
      </c>
      <c r="AH95" s="103">
        <f t="shared" ca="1" si="72"/>
        <v>0</v>
      </c>
      <c r="AI95" s="103">
        <f t="shared" ca="1" si="73"/>
        <v>0</v>
      </c>
      <c r="AJ95" s="98">
        <f t="shared" ca="1" si="74"/>
        <v>0</v>
      </c>
      <c r="AK95" s="103">
        <f t="shared" ca="1" si="74"/>
        <v>0</v>
      </c>
      <c r="AL95" s="103">
        <f t="shared" ca="1" si="74"/>
        <v>0</v>
      </c>
      <c r="AM95" s="103">
        <f t="shared" ca="1" si="74"/>
        <v>0</v>
      </c>
      <c r="AN95" s="103">
        <f t="shared" ca="1" si="74"/>
        <v>0</v>
      </c>
      <c r="AO95" s="103">
        <f t="shared" ca="1" si="74"/>
        <v>0</v>
      </c>
      <c r="AP95" s="103">
        <f t="shared" ca="1" si="74"/>
        <v>0</v>
      </c>
      <c r="AQ95" s="103">
        <f t="shared" ca="1" si="74"/>
        <v>0</v>
      </c>
      <c r="AR95" s="104">
        <f ca="1">COUNTIF(AJ95:AQ95,"&lt;"&amp;MAX(AJ95:AQ95))+IF(Calcs[[#This Row],[DL1]]=0,0,1)</f>
        <v>0</v>
      </c>
      <c r="AS95" s="105" t="str">
        <f ca="1">IF(LEN(Calcs[[#This Row],[Line]])&gt;0,IF(RIGHT(Calcs[[#This Row],[Remark]],3)=".  ",LEFT(Calcs[[#This Row],[Remark]],LEN(Calcs[[#This Row],[Remark]])-3),Calcs[[#This Row],[Remark]]),"")</f>
        <v/>
      </c>
      <c r="AT95" s="96">
        <f t="shared" ca="1" si="75"/>
        <v>0</v>
      </c>
      <c r="AU95" s="103">
        <f t="shared" ca="1" si="76"/>
        <v>0</v>
      </c>
      <c r="AV95" s="103">
        <f t="shared" ca="1" si="77"/>
        <v>0</v>
      </c>
      <c r="AW95" s="103">
        <f t="shared" ca="1" si="78"/>
        <v>0</v>
      </c>
      <c r="AX95" s="103">
        <f t="shared" ca="1" si="79"/>
        <v>0</v>
      </c>
      <c r="AY95" s="103">
        <f t="shared" ca="1" si="80"/>
        <v>0</v>
      </c>
      <c r="AZ95" s="103">
        <f t="shared" ca="1" si="81"/>
        <v>0</v>
      </c>
      <c r="BA95" s="103">
        <f t="shared" ca="1" si="82"/>
        <v>0</v>
      </c>
      <c r="BB95" s="103">
        <f t="shared" ca="1" si="83"/>
        <v>0</v>
      </c>
      <c r="BC95" s="103">
        <f t="shared" ca="1" si="84"/>
        <v>0</v>
      </c>
      <c r="BD95" s="103">
        <f t="shared" ca="1" si="85"/>
        <v>0</v>
      </c>
      <c r="BE95" s="103">
        <f t="shared" ca="1" si="86"/>
        <v>0</v>
      </c>
      <c r="BF95" s="103">
        <f t="shared" ca="1" si="87"/>
        <v>0</v>
      </c>
      <c r="BG95" s="103">
        <f t="shared" ca="1" si="88"/>
        <v>0</v>
      </c>
      <c r="BH95" s="103">
        <f t="shared" ca="1" si="89"/>
        <v>0</v>
      </c>
      <c r="BI95" s="103">
        <f t="shared" ca="1" si="90"/>
        <v>0</v>
      </c>
      <c r="BJ95" s="103">
        <f t="shared" ca="1" si="91"/>
        <v>0</v>
      </c>
      <c r="BK95" s="103">
        <f t="shared" ca="1" si="92"/>
        <v>0</v>
      </c>
      <c r="BL95" s="103">
        <f t="shared" ca="1" si="93"/>
        <v>0</v>
      </c>
      <c r="BM95" s="103">
        <f t="shared" ca="1" si="94"/>
        <v>0</v>
      </c>
      <c r="BN95" s="103">
        <f t="shared" ca="1" si="95"/>
        <v>0</v>
      </c>
      <c r="BO95" s="103">
        <f t="shared" ca="1" si="96"/>
        <v>0</v>
      </c>
      <c r="BP95" s="103">
        <f t="shared" ca="1" si="97"/>
        <v>0</v>
      </c>
      <c r="BQ95" s="103">
        <f t="shared" ca="1" si="98"/>
        <v>0</v>
      </c>
      <c r="BR95" s="103">
        <f t="shared" ca="1" si="99"/>
        <v>0</v>
      </c>
      <c r="BS95" s="103">
        <f t="shared" ca="1" si="100"/>
        <v>0</v>
      </c>
      <c r="BT95" s="103">
        <f t="shared" ca="1" si="101"/>
        <v>0</v>
      </c>
      <c r="BU95" s="103">
        <f t="shared" ca="1" si="102"/>
        <v>0</v>
      </c>
      <c r="BV95" s="103">
        <f t="shared" ca="1" si="103"/>
        <v>0</v>
      </c>
      <c r="BW95" s="103">
        <f t="shared" ca="1" si="104"/>
        <v>0</v>
      </c>
      <c r="BX95" s="103">
        <f t="shared" ca="1" si="105"/>
        <v>0</v>
      </c>
      <c r="BY95" s="103">
        <f t="shared" ca="1" si="106"/>
        <v>0</v>
      </c>
      <c r="BZ95" s="98">
        <f t="shared" ca="1" si="107"/>
        <v>0</v>
      </c>
      <c r="CA95" s="103">
        <f t="shared" ca="1" si="107"/>
        <v>0</v>
      </c>
      <c r="CB95" s="103">
        <f t="shared" ca="1" si="107"/>
        <v>0</v>
      </c>
      <c r="CC95" s="103">
        <f t="shared" ca="1" si="107"/>
        <v>0</v>
      </c>
      <c r="CD95" s="103">
        <f t="shared" ca="1" si="107"/>
        <v>0</v>
      </c>
      <c r="CE95" s="103">
        <f t="shared" ca="1" si="107"/>
        <v>0</v>
      </c>
      <c r="CF95" s="103">
        <f t="shared" ca="1" si="107"/>
        <v>0</v>
      </c>
      <c r="CG95" s="103">
        <f t="shared" ca="1" si="107"/>
        <v>0</v>
      </c>
      <c r="CH95" s="106">
        <f ca="1">COUNTIF(BZ95:CG95,"&lt;"&amp;MAX(BZ95:CG95))+IF(Calcs[[#This Row],[RL1]]=0,0,1)</f>
        <v>0</v>
      </c>
      <c r="CI9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5" s="103">
        <f ca="1">IFERROR(OFFSET(CJ95,-1,0)+0,0)+IF(INDEX(INDIRECT(RangeContrQty),MATCH(Calcs[[#This Row],[Line]],OFFSET(Items[Line],0,0,ROW(Proposed[])-ROW(Items[])+ROWS(Proposed[]),1),0)),1,0)</f>
        <v>0</v>
      </c>
    </row>
    <row r="96" spans="1:88" x14ac:dyDescent="0.15">
      <c r="A96" s="64">
        <f ca="1">IFERROR(OFFSET(A96,-1,0)+0,0)+MAX(IF(LEN(Calcs[[#This Row],[Line]])&gt;0,1,0),Calcs[[#This Row],[DL]],Calcs[[#This Row],[RL]])</f>
        <v>10</v>
      </c>
      <c r="B96" s="90" t="str">
        <f ca="1">IFERROR(INDEX(OFFSET(Items[Line],0,0,ROW(Proposed[])-ROW(Items[])+ROWS(Proposed[]),1),MATCH(ROW(B96)-ROW(B$3),INDIRECT(RangeCount),0)),"")</f>
        <v/>
      </c>
      <c r="C96" s="90" t="str">
        <f ca="1">IF(LEN(Calcs[[#This Row],[Line]])&gt;0,TRIM(IFERROR(INDEX(Items[Description],MATCH(Calcs[[#This Row],[Line]],Items[Line],0))&amp;INDEX(Items[Description2],MATCH(Calcs[[#This Row],[Line]],Items[Line],0)),INDEX(Proposed[Description],MATCH(Calcs[[#This Row],[Line]],Proposed[Line],0)))),"")</f>
        <v/>
      </c>
      <c r="D96" s="96">
        <f t="shared" ca="1" si="42"/>
        <v>0</v>
      </c>
      <c r="E96" s="103">
        <f t="shared" ca="1" si="43"/>
        <v>0</v>
      </c>
      <c r="F96" s="103">
        <f t="shared" ca="1" si="44"/>
        <v>0</v>
      </c>
      <c r="G96" s="103">
        <f t="shared" ca="1" si="45"/>
        <v>0</v>
      </c>
      <c r="H96" s="103">
        <f t="shared" ca="1" si="46"/>
        <v>0</v>
      </c>
      <c r="I96" s="103">
        <f t="shared" ca="1" si="47"/>
        <v>0</v>
      </c>
      <c r="J96" s="103">
        <f t="shared" ca="1" si="48"/>
        <v>0</v>
      </c>
      <c r="K96" s="103">
        <f t="shared" ca="1" si="49"/>
        <v>0</v>
      </c>
      <c r="L96" s="103">
        <f t="shared" ca="1" si="50"/>
        <v>0</v>
      </c>
      <c r="M96" s="103">
        <f t="shared" ca="1" si="51"/>
        <v>0</v>
      </c>
      <c r="N96" s="103">
        <f t="shared" ca="1" si="52"/>
        <v>0</v>
      </c>
      <c r="O96" s="103">
        <f t="shared" ca="1" si="53"/>
        <v>0</v>
      </c>
      <c r="P96" s="103">
        <f t="shared" ca="1" si="54"/>
        <v>0</v>
      </c>
      <c r="Q96" s="103">
        <f t="shared" ca="1" si="55"/>
        <v>0</v>
      </c>
      <c r="R96" s="103">
        <f t="shared" ca="1" si="56"/>
        <v>0</v>
      </c>
      <c r="S96" s="103">
        <f t="shared" ca="1" si="57"/>
        <v>0</v>
      </c>
      <c r="T96" s="103">
        <f t="shared" ca="1" si="58"/>
        <v>0</v>
      </c>
      <c r="U96" s="103">
        <f t="shared" ca="1" si="59"/>
        <v>0</v>
      </c>
      <c r="V96" s="103">
        <f t="shared" ca="1" si="60"/>
        <v>0</v>
      </c>
      <c r="W96" s="103">
        <f t="shared" ca="1" si="61"/>
        <v>0</v>
      </c>
      <c r="X96" s="103">
        <f t="shared" ca="1" si="62"/>
        <v>0</v>
      </c>
      <c r="Y96" s="103">
        <f t="shared" ca="1" si="63"/>
        <v>0</v>
      </c>
      <c r="Z96" s="103">
        <f t="shared" ca="1" si="64"/>
        <v>0</v>
      </c>
      <c r="AA96" s="103">
        <f t="shared" ca="1" si="65"/>
        <v>0</v>
      </c>
      <c r="AB96" s="103">
        <f t="shared" ca="1" si="66"/>
        <v>0</v>
      </c>
      <c r="AC96" s="103">
        <f t="shared" ca="1" si="67"/>
        <v>0</v>
      </c>
      <c r="AD96" s="103">
        <f t="shared" ca="1" si="68"/>
        <v>0</v>
      </c>
      <c r="AE96" s="103">
        <f t="shared" ca="1" si="69"/>
        <v>0</v>
      </c>
      <c r="AF96" s="103">
        <f t="shared" ca="1" si="70"/>
        <v>0</v>
      </c>
      <c r="AG96" s="103">
        <f t="shared" ca="1" si="71"/>
        <v>0</v>
      </c>
      <c r="AH96" s="103">
        <f t="shared" ca="1" si="72"/>
        <v>0</v>
      </c>
      <c r="AI96" s="103">
        <f t="shared" ca="1" si="73"/>
        <v>0</v>
      </c>
      <c r="AJ96" s="98">
        <f t="shared" ca="1" si="74"/>
        <v>0</v>
      </c>
      <c r="AK96" s="103">
        <f t="shared" ca="1" si="74"/>
        <v>0</v>
      </c>
      <c r="AL96" s="103">
        <f t="shared" ca="1" si="74"/>
        <v>0</v>
      </c>
      <c r="AM96" s="103">
        <f t="shared" ca="1" si="74"/>
        <v>0</v>
      </c>
      <c r="AN96" s="103">
        <f t="shared" ca="1" si="74"/>
        <v>0</v>
      </c>
      <c r="AO96" s="103">
        <f t="shared" ca="1" si="74"/>
        <v>0</v>
      </c>
      <c r="AP96" s="103">
        <f t="shared" ca="1" si="74"/>
        <v>0</v>
      </c>
      <c r="AQ96" s="103">
        <f t="shared" ca="1" si="74"/>
        <v>0</v>
      </c>
      <c r="AR96" s="104">
        <f ca="1">COUNTIF(AJ96:AQ96,"&lt;"&amp;MAX(AJ96:AQ96))+IF(Calcs[[#This Row],[DL1]]=0,0,1)</f>
        <v>0</v>
      </c>
      <c r="AS96" s="105" t="str">
        <f ca="1">IF(LEN(Calcs[[#This Row],[Line]])&gt;0,IF(RIGHT(Calcs[[#This Row],[Remark]],3)=".  ",LEFT(Calcs[[#This Row],[Remark]],LEN(Calcs[[#This Row],[Remark]])-3),Calcs[[#This Row],[Remark]]),"")</f>
        <v/>
      </c>
      <c r="AT96" s="96">
        <f t="shared" ca="1" si="75"/>
        <v>0</v>
      </c>
      <c r="AU96" s="103">
        <f t="shared" ca="1" si="76"/>
        <v>0</v>
      </c>
      <c r="AV96" s="103">
        <f t="shared" ca="1" si="77"/>
        <v>0</v>
      </c>
      <c r="AW96" s="103">
        <f t="shared" ca="1" si="78"/>
        <v>0</v>
      </c>
      <c r="AX96" s="103">
        <f t="shared" ca="1" si="79"/>
        <v>0</v>
      </c>
      <c r="AY96" s="103">
        <f t="shared" ca="1" si="80"/>
        <v>0</v>
      </c>
      <c r="AZ96" s="103">
        <f t="shared" ca="1" si="81"/>
        <v>0</v>
      </c>
      <c r="BA96" s="103">
        <f t="shared" ca="1" si="82"/>
        <v>0</v>
      </c>
      <c r="BB96" s="103">
        <f t="shared" ca="1" si="83"/>
        <v>0</v>
      </c>
      <c r="BC96" s="103">
        <f t="shared" ca="1" si="84"/>
        <v>0</v>
      </c>
      <c r="BD96" s="103">
        <f t="shared" ca="1" si="85"/>
        <v>0</v>
      </c>
      <c r="BE96" s="103">
        <f t="shared" ca="1" si="86"/>
        <v>0</v>
      </c>
      <c r="BF96" s="103">
        <f t="shared" ca="1" si="87"/>
        <v>0</v>
      </c>
      <c r="BG96" s="103">
        <f t="shared" ca="1" si="88"/>
        <v>0</v>
      </c>
      <c r="BH96" s="103">
        <f t="shared" ca="1" si="89"/>
        <v>0</v>
      </c>
      <c r="BI96" s="103">
        <f t="shared" ca="1" si="90"/>
        <v>0</v>
      </c>
      <c r="BJ96" s="103">
        <f t="shared" ca="1" si="91"/>
        <v>0</v>
      </c>
      <c r="BK96" s="103">
        <f t="shared" ca="1" si="92"/>
        <v>0</v>
      </c>
      <c r="BL96" s="103">
        <f t="shared" ca="1" si="93"/>
        <v>0</v>
      </c>
      <c r="BM96" s="103">
        <f t="shared" ca="1" si="94"/>
        <v>0</v>
      </c>
      <c r="BN96" s="103">
        <f t="shared" ca="1" si="95"/>
        <v>0</v>
      </c>
      <c r="BO96" s="103">
        <f t="shared" ca="1" si="96"/>
        <v>0</v>
      </c>
      <c r="BP96" s="103">
        <f t="shared" ca="1" si="97"/>
        <v>0</v>
      </c>
      <c r="BQ96" s="103">
        <f t="shared" ca="1" si="98"/>
        <v>0</v>
      </c>
      <c r="BR96" s="103">
        <f t="shared" ca="1" si="99"/>
        <v>0</v>
      </c>
      <c r="BS96" s="103">
        <f t="shared" ca="1" si="100"/>
        <v>0</v>
      </c>
      <c r="BT96" s="103">
        <f t="shared" ca="1" si="101"/>
        <v>0</v>
      </c>
      <c r="BU96" s="103">
        <f t="shared" ca="1" si="102"/>
        <v>0</v>
      </c>
      <c r="BV96" s="103">
        <f t="shared" ca="1" si="103"/>
        <v>0</v>
      </c>
      <c r="BW96" s="103">
        <f t="shared" ca="1" si="104"/>
        <v>0</v>
      </c>
      <c r="BX96" s="103">
        <f t="shared" ca="1" si="105"/>
        <v>0</v>
      </c>
      <c r="BY96" s="103">
        <f t="shared" ca="1" si="106"/>
        <v>0</v>
      </c>
      <c r="BZ96" s="98">
        <f t="shared" ca="1" si="107"/>
        <v>0</v>
      </c>
      <c r="CA96" s="103">
        <f t="shared" ca="1" si="107"/>
        <v>0</v>
      </c>
      <c r="CB96" s="103">
        <f t="shared" ca="1" si="107"/>
        <v>0</v>
      </c>
      <c r="CC96" s="103">
        <f t="shared" ca="1" si="107"/>
        <v>0</v>
      </c>
      <c r="CD96" s="103">
        <f t="shared" ca="1" si="107"/>
        <v>0</v>
      </c>
      <c r="CE96" s="103">
        <f t="shared" ca="1" si="107"/>
        <v>0</v>
      </c>
      <c r="CF96" s="103">
        <f t="shared" ca="1" si="107"/>
        <v>0</v>
      </c>
      <c r="CG96" s="103">
        <f t="shared" ca="1" si="107"/>
        <v>0</v>
      </c>
      <c r="CH96" s="106">
        <f ca="1">COUNTIF(BZ96:CG96,"&lt;"&amp;MAX(BZ96:CG96))+IF(Calcs[[#This Row],[RL1]]=0,0,1)</f>
        <v>0</v>
      </c>
      <c r="CI9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6" s="103">
        <f ca="1">IFERROR(OFFSET(CJ96,-1,0)+0,0)+IF(INDEX(INDIRECT(RangeContrQty),MATCH(Calcs[[#This Row],[Line]],OFFSET(Items[Line],0,0,ROW(Proposed[])-ROW(Items[])+ROWS(Proposed[]),1),0)),1,0)</f>
        <v>0</v>
      </c>
    </row>
    <row r="97" spans="1:88" x14ac:dyDescent="0.15">
      <c r="A97" s="64">
        <f ca="1">IFERROR(OFFSET(A97,-1,0)+0,0)+MAX(IF(LEN(Calcs[[#This Row],[Line]])&gt;0,1,0),Calcs[[#This Row],[DL]],Calcs[[#This Row],[RL]])</f>
        <v>10</v>
      </c>
      <c r="B97" s="90" t="str">
        <f ca="1">IFERROR(INDEX(OFFSET(Items[Line],0,0,ROW(Proposed[])-ROW(Items[])+ROWS(Proposed[]),1),MATCH(ROW(B97)-ROW(B$3),INDIRECT(RangeCount),0)),"")</f>
        <v/>
      </c>
      <c r="C97" s="90" t="str">
        <f ca="1">IF(LEN(Calcs[[#This Row],[Line]])&gt;0,TRIM(IFERROR(INDEX(Items[Description],MATCH(Calcs[[#This Row],[Line]],Items[Line],0))&amp;INDEX(Items[Description2],MATCH(Calcs[[#This Row],[Line]],Items[Line],0)),INDEX(Proposed[Description],MATCH(Calcs[[#This Row],[Line]],Proposed[Line],0)))),"")</f>
        <v/>
      </c>
      <c r="D97" s="96">
        <f t="shared" ca="1" si="42"/>
        <v>0</v>
      </c>
      <c r="E97" s="103">
        <f t="shared" ca="1" si="43"/>
        <v>0</v>
      </c>
      <c r="F97" s="103">
        <f t="shared" ca="1" si="44"/>
        <v>0</v>
      </c>
      <c r="G97" s="103">
        <f t="shared" ca="1" si="45"/>
        <v>0</v>
      </c>
      <c r="H97" s="103">
        <f t="shared" ca="1" si="46"/>
        <v>0</v>
      </c>
      <c r="I97" s="103">
        <f t="shared" ca="1" si="47"/>
        <v>0</v>
      </c>
      <c r="J97" s="103">
        <f t="shared" ca="1" si="48"/>
        <v>0</v>
      </c>
      <c r="K97" s="103">
        <f t="shared" ca="1" si="49"/>
        <v>0</v>
      </c>
      <c r="L97" s="103">
        <f t="shared" ca="1" si="50"/>
        <v>0</v>
      </c>
      <c r="M97" s="103">
        <f t="shared" ca="1" si="51"/>
        <v>0</v>
      </c>
      <c r="N97" s="103">
        <f t="shared" ca="1" si="52"/>
        <v>0</v>
      </c>
      <c r="O97" s="103">
        <f t="shared" ca="1" si="53"/>
        <v>0</v>
      </c>
      <c r="P97" s="103">
        <f t="shared" ca="1" si="54"/>
        <v>0</v>
      </c>
      <c r="Q97" s="103">
        <f t="shared" ca="1" si="55"/>
        <v>0</v>
      </c>
      <c r="R97" s="103">
        <f t="shared" ca="1" si="56"/>
        <v>0</v>
      </c>
      <c r="S97" s="103">
        <f t="shared" ca="1" si="57"/>
        <v>0</v>
      </c>
      <c r="T97" s="103">
        <f t="shared" ca="1" si="58"/>
        <v>0</v>
      </c>
      <c r="U97" s="103">
        <f t="shared" ca="1" si="59"/>
        <v>0</v>
      </c>
      <c r="V97" s="103">
        <f t="shared" ca="1" si="60"/>
        <v>0</v>
      </c>
      <c r="W97" s="103">
        <f t="shared" ca="1" si="61"/>
        <v>0</v>
      </c>
      <c r="X97" s="103">
        <f t="shared" ca="1" si="62"/>
        <v>0</v>
      </c>
      <c r="Y97" s="103">
        <f t="shared" ca="1" si="63"/>
        <v>0</v>
      </c>
      <c r="Z97" s="103">
        <f t="shared" ca="1" si="64"/>
        <v>0</v>
      </c>
      <c r="AA97" s="103">
        <f t="shared" ca="1" si="65"/>
        <v>0</v>
      </c>
      <c r="AB97" s="103">
        <f t="shared" ca="1" si="66"/>
        <v>0</v>
      </c>
      <c r="AC97" s="103">
        <f t="shared" ca="1" si="67"/>
        <v>0</v>
      </c>
      <c r="AD97" s="103">
        <f t="shared" ca="1" si="68"/>
        <v>0</v>
      </c>
      <c r="AE97" s="103">
        <f t="shared" ca="1" si="69"/>
        <v>0</v>
      </c>
      <c r="AF97" s="103">
        <f t="shared" ca="1" si="70"/>
        <v>0</v>
      </c>
      <c r="AG97" s="103">
        <f t="shared" ca="1" si="71"/>
        <v>0</v>
      </c>
      <c r="AH97" s="103">
        <f t="shared" ca="1" si="72"/>
        <v>0</v>
      </c>
      <c r="AI97" s="103">
        <f t="shared" ca="1" si="73"/>
        <v>0</v>
      </c>
      <c r="AJ97" s="98">
        <f t="shared" ca="1" si="74"/>
        <v>0</v>
      </c>
      <c r="AK97" s="103">
        <f t="shared" ca="1" si="74"/>
        <v>0</v>
      </c>
      <c r="AL97" s="103">
        <f t="shared" ca="1" si="74"/>
        <v>0</v>
      </c>
      <c r="AM97" s="103">
        <f t="shared" ca="1" si="74"/>
        <v>0</v>
      </c>
      <c r="AN97" s="103">
        <f t="shared" ca="1" si="74"/>
        <v>0</v>
      </c>
      <c r="AO97" s="103">
        <f t="shared" ca="1" si="74"/>
        <v>0</v>
      </c>
      <c r="AP97" s="103">
        <f t="shared" ca="1" si="74"/>
        <v>0</v>
      </c>
      <c r="AQ97" s="103">
        <f t="shared" ca="1" si="74"/>
        <v>0</v>
      </c>
      <c r="AR97" s="104">
        <f ca="1">COUNTIF(AJ97:AQ97,"&lt;"&amp;MAX(AJ97:AQ97))+IF(Calcs[[#This Row],[DL1]]=0,0,1)</f>
        <v>0</v>
      </c>
      <c r="AS97" s="105" t="str">
        <f ca="1">IF(LEN(Calcs[[#This Row],[Line]])&gt;0,IF(RIGHT(Calcs[[#This Row],[Remark]],3)=".  ",LEFT(Calcs[[#This Row],[Remark]],LEN(Calcs[[#This Row],[Remark]])-3),Calcs[[#This Row],[Remark]]),"")</f>
        <v/>
      </c>
      <c r="AT97" s="96">
        <f t="shared" ca="1" si="75"/>
        <v>0</v>
      </c>
      <c r="AU97" s="103">
        <f t="shared" ca="1" si="76"/>
        <v>0</v>
      </c>
      <c r="AV97" s="103">
        <f t="shared" ca="1" si="77"/>
        <v>0</v>
      </c>
      <c r="AW97" s="103">
        <f t="shared" ca="1" si="78"/>
        <v>0</v>
      </c>
      <c r="AX97" s="103">
        <f t="shared" ca="1" si="79"/>
        <v>0</v>
      </c>
      <c r="AY97" s="103">
        <f t="shared" ca="1" si="80"/>
        <v>0</v>
      </c>
      <c r="AZ97" s="103">
        <f t="shared" ca="1" si="81"/>
        <v>0</v>
      </c>
      <c r="BA97" s="103">
        <f t="shared" ca="1" si="82"/>
        <v>0</v>
      </c>
      <c r="BB97" s="103">
        <f t="shared" ca="1" si="83"/>
        <v>0</v>
      </c>
      <c r="BC97" s="103">
        <f t="shared" ca="1" si="84"/>
        <v>0</v>
      </c>
      <c r="BD97" s="103">
        <f t="shared" ca="1" si="85"/>
        <v>0</v>
      </c>
      <c r="BE97" s="103">
        <f t="shared" ca="1" si="86"/>
        <v>0</v>
      </c>
      <c r="BF97" s="103">
        <f t="shared" ca="1" si="87"/>
        <v>0</v>
      </c>
      <c r="BG97" s="103">
        <f t="shared" ca="1" si="88"/>
        <v>0</v>
      </c>
      <c r="BH97" s="103">
        <f t="shared" ca="1" si="89"/>
        <v>0</v>
      </c>
      <c r="BI97" s="103">
        <f t="shared" ca="1" si="90"/>
        <v>0</v>
      </c>
      <c r="BJ97" s="103">
        <f t="shared" ca="1" si="91"/>
        <v>0</v>
      </c>
      <c r="BK97" s="103">
        <f t="shared" ca="1" si="92"/>
        <v>0</v>
      </c>
      <c r="BL97" s="103">
        <f t="shared" ca="1" si="93"/>
        <v>0</v>
      </c>
      <c r="BM97" s="103">
        <f t="shared" ca="1" si="94"/>
        <v>0</v>
      </c>
      <c r="BN97" s="103">
        <f t="shared" ca="1" si="95"/>
        <v>0</v>
      </c>
      <c r="BO97" s="103">
        <f t="shared" ca="1" si="96"/>
        <v>0</v>
      </c>
      <c r="BP97" s="103">
        <f t="shared" ca="1" si="97"/>
        <v>0</v>
      </c>
      <c r="BQ97" s="103">
        <f t="shared" ca="1" si="98"/>
        <v>0</v>
      </c>
      <c r="BR97" s="103">
        <f t="shared" ca="1" si="99"/>
        <v>0</v>
      </c>
      <c r="BS97" s="103">
        <f t="shared" ca="1" si="100"/>
        <v>0</v>
      </c>
      <c r="BT97" s="103">
        <f t="shared" ca="1" si="101"/>
        <v>0</v>
      </c>
      <c r="BU97" s="103">
        <f t="shared" ca="1" si="102"/>
        <v>0</v>
      </c>
      <c r="BV97" s="103">
        <f t="shared" ca="1" si="103"/>
        <v>0</v>
      </c>
      <c r="BW97" s="103">
        <f t="shared" ca="1" si="104"/>
        <v>0</v>
      </c>
      <c r="BX97" s="103">
        <f t="shared" ca="1" si="105"/>
        <v>0</v>
      </c>
      <c r="BY97" s="103">
        <f t="shared" ca="1" si="106"/>
        <v>0</v>
      </c>
      <c r="BZ97" s="98">
        <f t="shared" ca="1" si="107"/>
        <v>0</v>
      </c>
      <c r="CA97" s="103">
        <f t="shared" ca="1" si="107"/>
        <v>0</v>
      </c>
      <c r="CB97" s="103">
        <f t="shared" ca="1" si="107"/>
        <v>0</v>
      </c>
      <c r="CC97" s="103">
        <f t="shared" ca="1" si="107"/>
        <v>0</v>
      </c>
      <c r="CD97" s="103">
        <f t="shared" ca="1" si="107"/>
        <v>0</v>
      </c>
      <c r="CE97" s="103">
        <f t="shared" ca="1" si="107"/>
        <v>0</v>
      </c>
      <c r="CF97" s="103">
        <f t="shared" ca="1" si="107"/>
        <v>0</v>
      </c>
      <c r="CG97" s="103">
        <f t="shared" ca="1" si="107"/>
        <v>0</v>
      </c>
      <c r="CH97" s="106">
        <f ca="1">COUNTIF(BZ97:CG97,"&lt;"&amp;MAX(BZ97:CG97))+IF(Calcs[[#This Row],[RL1]]=0,0,1)</f>
        <v>0</v>
      </c>
      <c r="CI9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7" s="103">
        <f ca="1">IFERROR(OFFSET(CJ97,-1,0)+0,0)+IF(INDEX(INDIRECT(RangeContrQty),MATCH(Calcs[[#This Row],[Line]],OFFSET(Items[Line],0,0,ROW(Proposed[])-ROW(Items[])+ROWS(Proposed[]),1),0)),1,0)</f>
        <v>0</v>
      </c>
    </row>
    <row r="98" spans="1:88" x14ac:dyDescent="0.15">
      <c r="A98" s="64">
        <f ca="1">IFERROR(OFFSET(A98,-1,0)+0,0)+MAX(IF(LEN(Calcs[[#This Row],[Line]])&gt;0,1,0),Calcs[[#This Row],[DL]],Calcs[[#This Row],[RL]])</f>
        <v>10</v>
      </c>
      <c r="B98" s="90" t="str">
        <f ca="1">IFERROR(INDEX(OFFSET(Items[Line],0,0,ROW(Proposed[])-ROW(Items[])+ROWS(Proposed[]),1),MATCH(ROW(B98)-ROW(B$3),INDIRECT(RangeCount),0)),"")</f>
        <v/>
      </c>
      <c r="C98" s="90" t="str">
        <f ca="1">IF(LEN(Calcs[[#This Row],[Line]])&gt;0,TRIM(IFERROR(INDEX(Items[Description],MATCH(Calcs[[#This Row],[Line]],Items[Line],0))&amp;INDEX(Items[Description2],MATCH(Calcs[[#This Row],[Line]],Items[Line],0)),INDEX(Proposed[Description],MATCH(Calcs[[#This Row],[Line]],Proposed[Line],0)))),"")</f>
        <v/>
      </c>
      <c r="D98" s="96">
        <f t="shared" ca="1" si="42"/>
        <v>0</v>
      </c>
      <c r="E98" s="103">
        <f t="shared" ca="1" si="43"/>
        <v>0</v>
      </c>
      <c r="F98" s="103">
        <f t="shared" ca="1" si="44"/>
        <v>0</v>
      </c>
      <c r="G98" s="103">
        <f t="shared" ca="1" si="45"/>
        <v>0</v>
      </c>
      <c r="H98" s="103">
        <f t="shared" ca="1" si="46"/>
        <v>0</v>
      </c>
      <c r="I98" s="103">
        <f t="shared" ca="1" si="47"/>
        <v>0</v>
      </c>
      <c r="J98" s="103">
        <f t="shared" ca="1" si="48"/>
        <v>0</v>
      </c>
      <c r="K98" s="103">
        <f t="shared" ca="1" si="49"/>
        <v>0</v>
      </c>
      <c r="L98" s="103">
        <f t="shared" ca="1" si="50"/>
        <v>0</v>
      </c>
      <c r="M98" s="103">
        <f t="shared" ca="1" si="51"/>
        <v>0</v>
      </c>
      <c r="N98" s="103">
        <f t="shared" ca="1" si="52"/>
        <v>0</v>
      </c>
      <c r="O98" s="103">
        <f t="shared" ca="1" si="53"/>
        <v>0</v>
      </c>
      <c r="P98" s="103">
        <f t="shared" ca="1" si="54"/>
        <v>0</v>
      </c>
      <c r="Q98" s="103">
        <f t="shared" ca="1" si="55"/>
        <v>0</v>
      </c>
      <c r="R98" s="103">
        <f t="shared" ca="1" si="56"/>
        <v>0</v>
      </c>
      <c r="S98" s="103">
        <f t="shared" ca="1" si="57"/>
        <v>0</v>
      </c>
      <c r="T98" s="103">
        <f t="shared" ca="1" si="58"/>
        <v>0</v>
      </c>
      <c r="U98" s="103">
        <f t="shared" ca="1" si="59"/>
        <v>0</v>
      </c>
      <c r="V98" s="103">
        <f t="shared" ca="1" si="60"/>
        <v>0</v>
      </c>
      <c r="W98" s="103">
        <f t="shared" ca="1" si="61"/>
        <v>0</v>
      </c>
      <c r="X98" s="103">
        <f t="shared" ca="1" si="62"/>
        <v>0</v>
      </c>
      <c r="Y98" s="103">
        <f t="shared" ca="1" si="63"/>
        <v>0</v>
      </c>
      <c r="Z98" s="103">
        <f t="shared" ca="1" si="64"/>
        <v>0</v>
      </c>
      <c r="AA98" s="103">
        <f t="shared" ca="1" si="65"/>
        <v>0</v>
      </c>
      <c r="AB98" s="103">
        <f t="shared" ca="1" si="66"/>
        <v>0</v>
      </c>
      <c r="AC98" s="103">
        <f t="shared" ca="1" si="67"/>
        <v>0</v>
      </c>
      <c r="AD98" s="103">
        <f t="shared" ca="1" si="68"/>
        <v>0</v>
      </c>
      <c r="AE98" s="103">
        <f t="shared" ca="1" si="69"/>
        <v>0</v>
      </c>
      <c r="AF98" s="103">
        <f t="shared" ca="1" si="70"/>
        <v>0</v>
      </c>
      <c r="AG98" s="103">
        <f t="shared" ca="1" si="71"/>
        <v>0</v>
      </c>
      <c r="AH98" s="103">
        <f t="shared" ca="1" si="72"/>
        <v>0</v>
      </c>
      <c r="AI98" s="103">
        <f t="shared" ca="1" si="73"/>
        <v>0</v>
      </c>
      <c r="AJ98" s="98">
        <f t="shared" ca="1" si="74"/>
        <v>0</v>
      </c>
      <c r="AK98" s="103">
        <f t="shared" ca="1" si="74"/>
        <v>0</v>
      </c>
      <c r="AL98" s="103">
        <f t="shared" ca="1" si="74"/>
        <v>0</v>
      </c>
      <c r="AM98" s="103">
        <f t="shared" ca="1" si="74"/>
        <v>0</v>
      </c>
      <c r="AN98" s="103">
        <f t="shared" ca="1" si="74"/>
        <v>0</v>
      </c>
      <c r="AO98" s="103">
        <f t="shared" ca="1" si="74"/>
        <v>0</v>
      </c>
      <c r="AP98" s="103">
        <f t="shared" ca="1" si="74"/>
        <v>0</v>
      </c>
      <c r="AQ98" s="103">
        <f t="shared" ca="1" si="74"/>
        <v>0</v>
      </c>
      <c r="AR98" s="104">
        <f ca="1">COUNTIF(AJ98:AQ98,"&lt;"&amp;MAX(AJ98:AQ98))+IF(Calcs[[#This Row],[DL1]]=0,0,1)</f>
        <v>0</v>
      </c>
      <c r="AS98" s="105" t="str">
        <f ca="1">IF(LEN(Calcs[[#This Row],[Line]])&gt;0,IF(RIGHT(Calcs[[#This Row],[Remark]],3)=".  ",LEFT(Calcs[[#This Row],[Remark]],LEN(Calcs[[#This Row],[Remark]])-3),Calcs[[#This Row],[Remark]]),"")</f>
        <v/>
      </c>
      <c r="AT98" s="96">
        <f t="shared" ca="1" si="75"/>
        <v>0</v>
      </c>
      <c r="AU98" s="103">
        <f t="shared" ca="1" si="76"/>
        <v>0</v>
      </c>
      <c r="AV98" s="103">
        <f t="shared" ca="1" si="77"/>
        <v>0</v>
      </c>
      <c r="AW98" s="103">
        <f t="shared" ca="1" si="78"/>
        <v>0</v>
      </c>
      <c r="AX98" s="103">
        <f t="shared" ca="1" si="79"/>
        <v>0</v>
      </c>
      <c r="AY98" s="103">
        <f t="shared" ca="1" si="80"/>
        <v>0</v>
      </c>
      <c r="AZ98" s="103">
        <f t="shared" ca="1" si="81"/>
        <v>0</v>
      </c>
      <c r="BA98" s="103">
        <f t="shared" ca="1" si="82"/>
        <v>0</v>
      </c>
      <c r="BB98" s="103">
        <f t="shared" ca="1" si="83"/>
        <v>0</v>
      </c>
      <c r="BC98" s="103">
        <f t="shared" ca="1" si="84"/>
        <v>0</v>
      </c>
      <c r="BD98" s="103">
        <f t="shared" ca="1" si="85"/>
        <v>0</v>
      </c>
      <c r="BE98" s="103">
        <f t="shared" ca="1" si="86"/>
        <v>0</v>
      </c>
      <c r="BF98" s="103">
        <f t="shared" ca="1" si="87"/>
        <v>0</v>
      </c>
      <c r="BG98" s="103">
        <f t="shared" ca="1" si="88"/>
        <v>0</v>
      </c>
      <c r="BH98" s="103">
        <f t="shared" ca="1" si="89"/>
        <v>0</v>
      </c>
      <c r="BI98" s="103">
        <f t="shared" ca="1" si="90"/>
        <v>0</v>
      </c>
      <c r="BJ98" s="103">
        <f t="shared" ca="1" si="91"/>
        <v>0</v>
      </c>
      <c r="BK98" s="103">
        <f t="shared" ca="1" si="92"/>
        <v>0</v>
      </c>
      <c r="BL98" s="103">
        <f t="shared" ca="1" si="93"/>
        <v>0</v>
      </c>
      <c r="BM98" s="103">
        <f t="shared" ca="1" si="94"/>
        <v>0</v>
      </c>
      <c r="BN98" s="103">
        <f t="shared" ca="1" si="95"/>
        <v>0</v>
      </c>
      <c r="BO98" s="103">
        <f t="shared" ca="1" si="96"/>
        <v>0</v>
      </c>
      <c r="BP98" s="103">
        <f t="shared" ca="1" si="97"/>
        <v>0</v>
      </c>
      <c r="BQ98" s="103">
        <f t="shared" ca="1" si="98"/>
        <v>0</v>
      </c>
      <c r="BR98" s="103">
        <f t="shared" ca="1" si="99"/>
        <v>0</v>
      </c>
      <c r="BS98" s="103">
        <f t="shared" ca="1" si="100"/>
        <v>0</v>
      </c>
      <c r="BT98" s="103">
        <f t="shared" ca="1" si="101"/>
        <v>0</v>
      </c>
      <c r="BU98" s="103">
        <f t="shared" ca="1" si="102"/>
        <v>0</v>
      </c>
      <c r="BV98" s="103">
        <f t="shared" ca="1" si="103"/>
        <v>0</v>
      </c>
      <c r="BW98" s="103">
        <f t="shared" ca="1" si="104"/>
        <v>0</v>
      </c>
      <c r="BX98" s="103">
        <f t="shared" ca="1" si="105"/>
        <v>0</v>
      </c>
      <c r="BY98" s="103">
        <f t="shared" ca="1" si="106"/>
        <v>0</v>
      </c>
      <c r="BZ98" s="98">
        <f t="shared" ca="1" si="107"/>
        <v>0</v>
      </c>
      <c r="CA98" s="103">
        <f t="shared" ca="1" si="107"/>
        <v>0</v>
      </c>
      <c r="CB98" s="103">
        <f t="shared" ca="1" si="107"/>
        <v>0</v>
      </c>
      <c r="CC98" s="103">
        <f t="shared" ca="1" si="107"/>
        <v>0</v>
      </c>
      <c r="CD98" s="103">
        <f t="shared" ca="1" si="107"/>
        <v>0</v>
      </c>
      <c r="CE98" s="103">
        <f t="shared" ca="1" si="107"/>
        <v>0</v>
      </c>
      <c r="CF98" s="103">
        <f t="shared" ca="1" si="107"/>
        <v>0</v>
      </c>
      <c r="CG98" s="103">
        <f t="shared" ca="1" si="107"/>
        <v>0</v>
      </c>
      <c r="CH98" s="106">
        <f ca="1">COUNTIF(BZ98:CG98,"&lt;"&amp;MAX(BZ98:CG98))+IF(Calcs[[#This Row],[RL1]]=0,0,1)</f>
        <v>0</v>
      </c>
      <c r="CI9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8" s="103">
        <f ca="1">IFERROR(OFFSET(CJ98,-1,0)+0,0)+IF(INDEX(INDIRECT(RangeContrQty),MATCH(Calcs[[#This Row],[Line]],OFFSET(Items[Line],0,0,ROW(Proposed[])-ROW(Items[])+ROWS(Proposed[]),1),0)),1,0)</f>
        <v>0</v>
      </c>
    </row>
    <row r="99" spans="1:88" x14ac:dyDescent="0.15">
      <c r="A99" s="64">
        <f ca="1">IFERROR(OFFSET(A99,-1,0)+0,0)+MAX(IF(LEN(Calcs[[#This Row],[Line]])&gt;0,1,0),Calcs[[#This Row],[DL]],Calcs[[#This Row],[RL]])</f>
        <v>10</v>
      </c>
      <c r="B99" s="90" t="str">
        <f ca="1">IFERROR(INDEX(OFFSET(Items[Line],0,0,ROW(Proposed[])-ROW(Items[])+ROWS(Proposed[]),1),MATCH(ROW(B99)-ROW(B$3),INDIRECT(RangeCount),0)),"")</f>
        <v/>
      </c>
      <c r="C99" s="90" t="str">
        <f ca="1">IF(LEN(Calcs[[#This Row],[Line]])&gt;0,TRIM(IFERROR(INDEX(Items[Description],MATCH(Calcs[[#This Row],[Line]],Items[Line],0))&amp;INDEX(Items[Description2],MATCH(Calcs[[#This Row],[Line]],Items[Line],0)),INDEX(Proposed[Description],MATCH(Calcs[[#This Row],[Line]],Proposed[Line],0)))),"")</f>
        <v/>
      </c>
      <c r="D99" s="96">
        <f t="shared" ca="1" si="42"/>
        <v>0</v>
      </c>
      <c r="E99" s="103">
        <f t="shared" ca="1" si="43"/>
        <v>0</v>
      </c>
      <c r="F99" s="103">
        <f t="shared" ca="1" si="44"/>
        <v>0</v>
      </c>
      <c r="G99" s="103">
        <f t="shared" ca="1" si="45"/>
        <v>0</v>
      </c>
      <c r="H99" s="103">
        <f t="shared" ca="1" si="46"/>
        <v>0</v>
      </c>
      <c r="I99" s="103">
        <f t="shared" ca="1" si="47"/>
        <v>0</v>
      </c>
      <c r="J99" s="103">
        <f t="shared" ca="1" si="48"/>
        <v>0</v>
      </c>
      <c r="K99" s="103">
        <f t="shared" ca="1" si="49"/>
        <v>0</v>
      </c>
      <c r="L99" s="103">
        <f t="shared" ca="1" si="50"/>
        <v>0</v>
      </c>
      <c r="M99" s="103">
        <f t="shared" ca="1" si="51"/>
        <v>0</v>
      </c>
      <c r="N99" s="103">
        <f t="shared" ca="1" si="52"/>
        <v>0</v>
      </c>
      <c r="O99" s="103">
        <f t="shared" ca="1" si="53"/>
        <v>0</v>
      </c>
      <c r="P99" s="103">
        <f t="shared" ca="1" si="54"/>
        <v>0</v>
      </c>
      <c r="Q99" s="103">
        <f t="shared" ca="1" si="55"/>
        <v>0</v>
      </c>
      <c r="R99" s="103">
        <f t="shared" ca="1" si="56"/>
        <v>0</v>
      </c>
      <c r="S99" s="103">
        <f t="shared" ca="1" si="57"/>
        <v>0</v>
      </c>
      <c r="T99" s="103">
        <f t="shared" ca="1" si="58"/>
        <v>0</v>
      </c>
      <c r="U99" s="103">
        <f t="shared" ca="1" si="59"/>
        <v>0</v>
      </c>
      <c r="V99" s="103">
        <f t="shared" ca="1" si="60"/>
        <v>0</v>
      </c>
      <c r="W99" s="103">
        <f t="shared" ca="1" si="61"/>
        <v>0</v>
      </c>
      <c r="X99" s="103">
        <f t="shared" ca="1" si="62"/>
        <v>0</v>
      </c>
      <c r="Y99" s="103">
        <f t="shared" ca="1" si="63"/>
        <v>0</v>
      </c>
      <c r="Z99" s="103">
        <f t="shared" ca="1" si="64"/>
        <v>0</v>
      </c>
      <c r="AA99" s="103">
        <f t="shared" ca="1" si="65"/>
        <v>0</v>
      </c>
      <c r="AB99" s="103">
        <f t="shared" ca="1" si="66"/>
        <v>0</v>
      </c>
      <c r="AC99" s="103">
        <f t="shared" ca="1" si="67"/>
        <v>0</v>
      </c>
      <c r="AD99" s="103">
        <f t="shared" ca="1" si="68"/>
        <v>0</v>
      </c>
      <c r="AE99" s="103">
        <f t="shared" ca="1" si="69"/>
        <v>0</v>
      </c>
      <c r="AF99" s="103">
        <f t="shared" ca="1" si="70"/>
        <v>0</v>
      </c>
      <c r="AG99" s="103">
        <f t="shared" ca="1" si="71"/>
        <v>0</v>
      </c>
      <c r="AH99" s="103">
        <f t="shared" ca="1" si="72"/>
        <v>0</v>
      </c>
      <c r="AI99" s="103">
        <f t="shared" ca="1" si="73"/>
        <v>0</v>
      </c>
      <c r="AJ99" s="98">
        <f t="shared" ca="1" si="74"/>
        <v>0</v>
      </c>
      <c r="AK99" s="103">
        <f t="shared" ca="1" si="74"/>
        <v>0</v>
      </c>
      <c r="AL99" s="103">
        <f t="shared" ca="1" si="74"/>
        <v>0</v>
      </c>
      <c r="AM99" s="103">
        <f t="shared" ca="1" si="74"/>
        <v>0</v>
      </c>
      <c r="AN99" s="103">
        <f t="shared" ca="1" si="74"/>
        <v>0</v>
      </c>
      <c r="AO99" s="103">
        <f t="shared" ca="1" si="74"/>
        <v>0</v>
      </c>
      <c r="AP99" s="103">
        <f t="shared" ca="1" si="74"/>
        <v>0</v>
      </c>
      <c r="AQ99" s="103">
        <f t="shared" ca="1" si="74"/>
        <v>0</v>
      </c>
      <c r="AR99" s="104">
        <f ca="1">COUNTIF(AJ99:AQ99,"&lt;"&amp;MAX(AJ99:AQ99))+IF(Calcs[[#This Row],[DL1]]=0,0,1)</f>
        <v>0</v>
      </c>
      <c r="AS99" s="105" t="str">
        <f ca="1">IF(LEN(Calcs[[#This Row],[Line]])&gt;0,IF(RIGHT(Calcs[[#This Row],[Remark]],3)=".  ",LEFT(Calcs[[#This Row],[Remark]],LEN(Calcs[[#This Row],[Remark]])-3),Calcs[[#This Row],[Remark]]),"")</f>
        <v/>
      </c>
      <c r="AT99" s="96">
        <f t="shared" ca="1" si="75"/>
        <v>0</v>
      </c>
      <c r="AU99" s="103">
        <f t="shared" ca="1" si="76"/>
        <v>0</v>
      </c>
      <c r="AV99" s="103">
        <f t="shared" ca="1" si="77"/>
        <v>0</v>
      </c>
      <c r="AW99" s="103">
        <f t="shared" ca="1" si="78"/>
        <v>0</v>
      </c>
      <c r="AX99" s="103">
        <f t="shared" ca="1" si="79"/>
        <v>0</v>
      </c>
      <c r="AY99" s="103">
        <f t="shared" ca="1" si="80"/>
        <v>0</v>
      </c>
      <c r="AZ99" s="103">
        <f t="shared" ca="1" si="81"/>
        <v>0</v>
      </c>
      <c r="BA99" s="103">
        <f t="shared" ca="1" si="82"/>
        <v>0</v>
      </c>
      <c r="BB99" s="103">
        <f t="shared" ca="1" si="83"/>
        <v>0</v>
      </c>
      <c r="BC99" s="103">
        <f t="shared" ca="1" si="84"/>
        <v>0</v>
      </c>
      <c r="BD99" s="103">
        <f t="shared" ca="1" si="85"/>
        <v>0</v>
      </c>
      <c r="BE99" s="103">
        <f t="shared" ca="1" si="86"/>
        <v>0</v>
      </c>
      <c r="BF99" s="103">
        <f t="shared" ca="1" si="87"/>
        <v>0</v>
      </c>
      <c r="BG99" s="103">
        <f t="shared" ca="1" si="88"/>
        <v>0</v>
      </c>
      <c r="BH99" s="103">
        <f t="shared" ca="1" si="89"/>
        <v>0</v>
      </c>
      <c r="BI99" s="103">
        <f t="shared" ca="1" si="90"/>
        <v>0</v>
      </c>
      <c r="BJ99" s="103">
        <f t="shared" ca="1" si="91"/>
        <v>0</v>
      </c>
      <c r="BK99" s="103">
        <f t="shared" ca="1" si="92"/>
        <v>0</v>
      </c>
      <c r="BL99" s="103">
        <f t="shared" ca="1" si="93"/>
        <v>0</v>
      </c>
      <c r="BM99" s="103">
        <f t="shared" ca="1" si="94"/>
        <v>0</v>
      </c>
      <c r="BN99" s="103">
        <f t="shared" ca="1" si="95"/>
        <v>0</v>
      </c>
      <c r="BO99" s="103">
        <f t="shared" ca="1" si="96"/>
        <v>0</v>
      </c>
      <c r="BP99" s="103">
        <f t="shared" ca="1" si="97"/>
        <v>0</v>
      </c>
      <c r="BQ99" s="103">
        <f t="shared" ca="1" si="98"/>
        <v>0</v>
      </c>
      <c r="BR99" s="103">
        <f t="shared" ca="1" si="99"/>
        <v>0</v>
      </c>
      <c r="BS99" s="103">
        <f t="shared" ca="1" si="100"/>
        <v>0</v>
      </c>
      <c r="BT99" s="103">
        <f t="shared" ca="1" si="101"/>
        <v>0</v>
      </c>
      <c r="BU99" s="103">
        <f t="shared" ca="1" si="102"/>
        <v>0</v>
      </c>
      <c r="BV99" s="103">
        <f t="shared" ca="1" si="103"/>
        <v>0</v>
      </c>
      <c r="BW99" s="103">
        <f t="shared" ca="1" si="104"/>
        <v>0</v>
      </c>
      <c r="BX99" s="103">
        <f t="shared" ca="1" si="105"/>
        <v>0</v>
      </c>
      <c r="BY99" s="103">
        <f t="shared" ca="1" si="106"/>
        <v>0</v>
      </c>
      <c r="BZ99" s="98">
        <f t="shared" ca="1" si="107"/>
        <v>0</v>
      </c>
      <c r="CA99" s="103">
        <f t="shared" ca="1" si="107"/>
        <v>0</v>
      </c>
      <c r="CB99" s="103">
        <f t="shared" ca="1" si="107"/>
        <v>0</v>
      </c>
      <c r="CC99" s="103">
        <f t="shared" ca="1" si="107"/>
        <v>0</v>
      </c>
      <c r="CD99" s="103">
        <f t="shared" ca="1" si="107"/>
        <v>0</v>
      </c>
      <c r="CE99" s="103">
        <f t="shared" ca="1" si="107"/>
        <v>0</v>
      </c>
      <c r="CF99" s="103">
        <f t="shared" ca="1" si="107"/>
        <v>0</v>
      </c>
      <c r="CG99" s="103">
        <f t="shared" ca="1" si="107"/>
        <v>0</v>
      </c>
      <c r="CH99" s="106">
        <f ca="1">COUNTIF(BZ99:CG99,"&lt;"&amp;MAX(BZ99:CG99))+IF(Calcs[[#This Row],[RL1]]=0,0,1)</f>
        <v>0</v>
      </c>
      <c r="CI9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9" s="103">
        <f ca="1">IFERROR(OFFSET(CJ99,-1,0)+0,0)+IF(INDEX(INDIRECT(RangeContrQty),MATCH(Calcs[[#This Row],[Line]],OFFSET(Items[Line],0,0,ROW(Proposed[])-ROW(Items[])+ROWS(Proposed[]),1),0)),1,0)</f>
        <v>0</v>
      </c>
    </row>
    <row r="100" spans="1:88" x14ac:dyDescent="0.15">
      <c r="A100" s="64">
        <f ca="1">IFERROR(OFFSET(A100,-1,0)+0,0)+MAX(IF(LEN(Calcs[[#This Row],[Line]])&gt;0,1,0),Calcs[[#This Row],[DL]],Calcs[[#This Row],[RL]])</f>
        <v>10</v>
      </c>
      <c r="B100" s="90" t="str">
        <f ca="1">IFERROR(INDEX(OFFSET(Items[Line],0,0,ROW(Proposed[])-ROW(Items[])+ROWS(Proposed[]),1),MATCH(ROW(B100)-ROW(B$3),INDIRECT(RangeCount),0)),"")</f>
        <v/>
      </c>
      <c r="C100" s="90" t="str">
        <f ca="1">IF(LEN(Calcs[[#This Row],[Line]])&gt;0,TRIM(IFERROR(INDEX(Items[Description],MATCH(Calcs[[#This Row],[Line]],Items[Line],0))&amp;INDEX(Items[Description2],MATCH(Calcs[[#This Row],[Line]],Items[Line],0)),INDEX(Proposed[Description],MATCH(Calcs[[#This Row],[Line]],Proposed[Line],0)))),"")</f>
        <v/>
      </c>
      <c r="D100" s="96">
        <f t="shared" ca="1" si="42"/>
        <v>0</v>
      </c>
      <c r="E100" s="103">
        <f t="shared" ca="1" si="43"/>
        <v>0</v>
      </c>
      <c r="F100" s="103">
        <f t="shared" ca="1" si="44"/>
        <v>0</v>
      </c>
      <c r="G100" s="103">
        <f t="shared" ca="1" si="45"/>
        <v>0</v>
      </c>
      <c r="H100" s="103">
        <f t="shared" ca="1" si="46"/>
        <v>0</v>
      </c>
      <c r="I100" s="103">
        <f t="shared" ca="1" si="47"/>
        <v>0</v>
      </c>
      <c r="J100" s="103">
        <f t="shared" ca="1" si="48"/>
        <v>0</v>
      </c>
      <c r="K100" s="103">
        <f t="shared" ca="1" si="49"/>
        <v>0</v>
      </c>
      <c r="L100" s="103">
        <f t="shared" ca="1" si="50"/>
        <v>0</v>
      </c>
      <c r="M100" s="103">
        <f t="shared" ca="1" si="51"/>
        <v>0</v>
      </c>
      <c r="N100" s="103">
        <f t="shared" ca="1" si="52"/>
        <v>0</v>
      </c>
      <c r="O100" s="103">
        <f t="shared" ca="1" si="53"/>
        <v>0</v>
      </c>
      <c r="P100" s="103">
        <f t="shared" ca="1" si="54"/>
        <v>0</v>
      </c>
      <c r="Q100" s="103">
        <f t="shared" ca="1" si="55"/>
        <v>0</v>
      </c>
      <c r="R100" s="103">
        <f t="shared" ca="1" si="56"/>
        <v>0</v>
      </c>
      <c r="S100" s="103">
        <f t="shared" ca="1" si="57"/>
        <v>0</v>
      </c>
      <c r="T100" s="103">
        <f t="shared" ca="1" si="58"/>
        <v>0</v>
      </c>
      <c r="U100" s="103">
        <f t="shared" ca="1" si="59"/>
        <v>0</v>
      </c>
      <c r="V100" s="103">
        <f t="shared" ca="1" si="60"/>
        <v>0</v>
      </c>
      <c r="W100" s="103">
        <f t="shared" ca="1" si="61"/>
        <v>0</v>
      </c>
      <c r="X100" s="103">
        <f t="shared" ca="1" si="62"/>
        <v>0</v>
      </c>
      <c r="Y100" s="103">
        <f t="shared" ca="1" si="63"/>
        <v>0</v>
      </c>
      <c r="Z100" s="103">
        <f t="shared" ca="1" si="64"/>
        <v>0</v>
      </c>
      <c r="AA100" s="103">
        <f t="shared" ca="1" si="65"/>
        <v>0</v>
      </c>
      <c r="AB100" s="103">
        <f t="shared" ca="1" si="66"/>
        <v>0</v>
      </c>
      <c r="AC100" s="103">
        <f t="shared" ca="1" si="67"/>
        <v>0</v>
      </c>
      <c r="AD100" s="103">
        <f t="shared" ca="1" si="68"/>
        <v>0</v>
      </c>
      <c r="AE100" s="103">
        <f t="shared" ca="1" si="69"/>
        <v>0</v>
      </c>
      <c r="AF100" s="103">
        <f t="shared" ca="1" si="70"/>
        <v>0</v>
      </c>
      <c r="AG100" s="103">
        <f t="shared" ca="1" si="71"/>
        <v>0</v>
      </c>
      <c r="AH100" s="103">
        <f t="shared" ca="1" si="72"/>
        <v>0</v>
      </c>
      <c r="AI100" s="103">
        <f t="shared" ca="1" si="73"/>
        <v>0</v>
      </c>
      <c r="AJ100" s="98">
        <f t="shared" ca="1" si="74"/>
        <v>0</v>
      </c>
      <c r="AK100" s="103">
        <f t="shared" ca="1" si="74"/>
        <v>0</v>
      </c>
      <c r="AL100" s="103">
        <f t="shared" ca="1" si="74"/>
        <v>0</v>
      </c>
      <c r="AM100" s="103">
        <f t="shared" ca="1" si="74"/>
        <v>0</v>
      </c>
      <c r="AN100" s="103">
        <f t="shared" ca="1" si="74"/>
        <v>0</v>
      </c>
      <c r="AO100" s="103">
        <f t="shared" ca="1" si="74"/>
        <v>0</v>
      </c>
      <c r="AP100" s="103">
        <f t="shared" ca="1" si="74"/>
        <v>0</v>
      </c>
      <c r="AQ100" s="103">
        <f t="shared" ca="1" si="74"/>
        <v>0</v>
      </c>
      <c r="AR100" s="104">
        <f ca="1">COUNTIF(AJ100:AQ100,"&lt;"&amp;MAX(AJ100:AQ100))+IF(Calcs[[#This Row],[DL1]]=0,0,1)</f>
        <v>0</v>
      </c>
      <c r="AS100" s="105" t="str">
        <f ca="1">IF(LEN(Calcs[[#This Row],[Line]])&gt;0,IF(RIGHT(Calcs[[#This Row],[Remark]],3)=".  ",LEFT(Calcs[[#This Row],[Remark]],LEN(Calcs[[#This Row],[Remark]])-3),Calcs[[#This Row],[Remark]]),"")</f>
        <v/>
      </c>
      <c r="AT100" s="96">
        <f t="shared" ca="1" si="75"/>
        <v>0</v>
      </c>
      <c r="AU100" s="103">
        <f t="shared" ca="1" si="76"/>
        <v>0</v>
      </c>
      <c r="AV100" s="103">
        <f t="shared" ca="1" si="77"/>
        <v>0</v>
      </c>
      <c r="AW100" s="103">
        <f t="shared" ca="1" si="78"/>
        <v>0</v>
      </c>
      <c r="AX100" s="103">
        <f t="shared" ca="1" si="79"/>
        <v>0</v>
      </c>
      <c r="AY100" s="103">
        <f t="shared" ca="1" si="80"/>
        <v>0</v>
      </c>
      <c r="AZ100" s="103">
        <f t="shared" ca="1" si="81"/>
        <v>0</v>
      </c>
      <c r="BA100" s="103">
        <f t="shared" ca="1" si="82"/>
        <v>0</v>
      </c>
      <c r="BB100" s="103">
        <f t="shared" ca="1" si="83"/>
        <v>0</v>
      </c>
      <c r="BC100" s="103">
        <f t="shared" ca="1" si="84"/>
        <v>0</v>
      </c>
      <c r="BD100" s="103">
        <f t="shared" ca="1" si="85"/>
        <v>0</v>
      </c>
      <c r="BE100" s="103">
        <f t="shared" ca="1" si="86"/>
        <v>0</v>
      </c>
      <c r="BF100" s="103">
        <f t="shared" ca="1" si="87"/>
        <v>0</v>
      </c>
      <c r="BG100" s="103">
        <f t="shared" ca="1" si="88"/>
        <v>0</v>
      </c>
      <c r="BH100" s="103">
        <f t="shared" ca="1" si="89"/>
        <v>0</v>
      </c>
      <c r="BI100" s="103">
        <f t="shared" ca="1" si="90"/>
        <v>0</v>
      </c>
      <c r="BJ100" s="103">
        <f t="shared" ca="1" si="91"/>
        <v>0</v>
      </c>
      <c r="BK100" s="103">
        <f t="shared" ca="1" si="92"/>
        <v>0</v>
      </c>
      <c r="BL100" s="103">
        <f t="shared" ca="1" si="93"/>
        <v>0</v>
      </c>
      <c r="BM100" s="103">
        <f t="shared" ca="1" si="94"/>
        <v>0</v>
      </c>
      <c r="BN100" s="103">
        <f t="shared" ca="1" si="95"/>
        <v>0</v>
      </c>
      <c r="BO100" s="103">
        <f t="shared" ca="1" si="96"/>
        <v>0</v>
      </c>
      <c r="BP100" s="103">
        <f t="shared" ca="1" si="97"/>
        <v>0</v>
      </c>
      <c r="BQ100" s="103">
        <f t="shared" ca="1" si="98"/>
        <v>0</v>
      </c>
      <c r="BR100" s="103">
        <f t="shared" ca="1" si="99"/>
        <v>0</v>
      </c>
      <c r="BS100" s="103">
        <f t="shared" ca="1" si="100"/>
        <v>0</v>
      </c>
      <c r="BT100" s="103">
        <f t="shared" ca="1" si="101"/>
        <v>0</v>
      </c>
      <c r="BU100" s="103">
        <f t="shared" ca="1" si="102"/>
        <v>0</v>
      </c>
      <c r="BV100" s="103">
        <f t="shared" ca="1" si="103"/>
        <v>0</v>
      </c>
      <c r="BW100" s="103">
        <f t="shared" ca="1" si="104"/>
        <v>0</v>
      </c>
      <c r="BX100" s="103">
        <f t="shared" ca="1" si="105"/>
        <v>0</v>
      </c>
      <c r="BY100" s="103">
        <f t="shared" ca="1" si="106"/>
        <v>0</v>
      </c>
      <c r="BZ100" s="98">
        <f t="shared" ca="1" si="107"/>
        <v>0</v>
      </c>
      <c r="CA100" s="103">
        <f t="shared" ca="1" si="107"/>
        <v>0</v>
      </c>
      <c r="CB100" s="103">
        <f t="shared" ca="1" si="107"/>
        <v>0</v>
      </c>
      <c r="CC100" s="103">
        <f t="shared" ca="1" si="107"/>
        <v>0</v>
      </c>
      <c r="CD100" s="103">
        <f t="shared" ca="1" si="107"/>
        <v>0</v>
      </c>
      <c r="CE100" s="103">
        <f t="shared" ca="1" si="107"/>
        <v>0</v>
      </c>
      <c r="CF100" s="103">
        <f t="shared" ca="1" si="107"/>
        <v>0</v>
      </c>
      <c r="CG100" s="103">
        <f t="shared" ca="1" si="107"/>
        <v>0</v>
      </c>
      <c r="CH100" s="106">
        <f ca="1">COUNTIF(BZ100:CG100,"&lt;"&amp;MAX(BZ100:CG100))+IF(Calcs[[#This Row],[RL1]]=0,0,1)</f>
        <v>0</v>
      </c>
      <c r="CI10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0" s="103">
        <f ca="1">IFERROR(OFFSET(CJ100,-1,0)+0,0)+IF(INDEX(INDIRECT(RangeContrQty),MATCH(Calcs[[#This Row],[Line]],OFFSET(Items[Line],0,0,ROW(Proposed[])-ROW(Items[])+ROWS(Proposed[]),1),0)),1,0)</f>
        <v>0</v>
      </c>
    </row>
    <row r="101" spans="1:88" x14ac:dyDescent="0.15">
      <c r="A101" s="64">
        <f ca="1">IFERROR(OFFSET(A101,-1,0)+0,0)+MAX(IF(LEN(Calcs[[#This Row],[Line]])&gt;0,1,0),Calcs[[#This Row],[DL]],Calcs[[#This Row],[RL]])</f>
        <v>10</v>
      </c>
      <c r="B101" s="90" t="str">
        <f ca="1">IFERROR(INDEX(OFFSET(Items[Line],0,0,ROW(Proposed[])-ROW(Items[])+ROWS(Proposed[]),1),MATCH(ROW(B101)-ROW(B$3),INDIRECT(RangeCount),0)),"")</f>
        <v/>
      </c>
      <c r="C101" s="90" t="str">
        <f ca="1">IF(LEN(Calcs[[#This Row],[Line]])&gt;0,TRIM(IFERROR(INDEX(Items[Description],MATCH(Calcs[[#This Row],[Line]],Items[Line],0))&amp;INDEX(Items[Description2],MATCH(Calcs[[#This Row],[Line]],Items[Line],0)),INDEX(Proposed[Description],MATCH(Calcs[[#This Row],[Line]],Proposed[Line],0)))),"")</f>
        <v/>
      </c>
      <c r="D101" s="96">
        <f t="shared" ca="1" si="42"/>
        <v>0</v>
      </c>
      <c r="E101" s="103">
        <f t="shared" ca="1" si="43"/>
        <v>0</v>
      </c>
      <c r="F101" s="103">
        <f t="shared" ca="1" si="44"/>
        <v>0</v>
      </c>
      <c r="G101" s="103">
        <f t="shared" ca="1" si="45"/>
        <v>0</v>
      </c>
      <c r="H101" s="103">
        <f t="shared" ca="1" si="46"/>
        <v>0</v>
      </c>
      <c r="I101" s="103">
        <f t="shared" ca="1" si="47"/>
        <v>0</v>
      </c>
      <c r="J101" s="103">
        <f t="shared" ca="1" si="48"/>
        <v>0</v>
      </c>
      <c r="K101" s="103">
        <f t="shared" ca="1" si="49"/>
        <v>0</v>
      </c>
      <c r="L101" s="103">
        <f t="shared" ca="1" si="50"/>
        <v>0</v>
      </c>
      <c r="M101" s="103">
        <f t="shared" ca="1" si="51"/>
        <v>0</v>
      </c>
      <c r="N101" s="103">
        <f t="shared" ca="1" si="52"/>
        <v>0</v>
      </c>
      <c r="O101" s="103">
        <f t="shared" ca="1" si="53"/>
        <v>0</v>
      </c>
      <c r="P101" s="103">
        <f t="shared" ca="1" si="54"/>
        <v>0</v>
      </c>
      <c r="Q101" s="103">
        <f t="shared" ca="1" si="55"/>
        <v>0</v>
      </c>
      <c r="R101" s="103">
        <f t="shared" ca="1" si="56"/>
        <v>0</v>
      </c>
      <c r="S101" s="103">
        <f t="shared" ca="1" si="57"/>
        <v>0</v>
      </c>
      <c r="T101" s="103">
        <f t="shared" ca="1" si="58"/>
        <v>0</v>
      </c>
      <c r="U101" s="103">
        <f t="shared" ca="1" si="59"/>
        <v>0</v>
      </c>
      <c r="V101" s="103">
        <f t="shared" ca="1" si="60"/>
        <v>0</v>
      </c>
      <c r="W101" s="103">
        <f t="shared" ca="1" si="61"/>
        <v>0</v>
      </c>
      <c r="X101" s="103">
        <f t="shared" ca="1" si="62"/>
        <v>0</v>
      </c>
      <c r="Y101" s="103">
        <f t="shared" ca="1" si="63"/>
        <v>0</v>
      </c>
      <c r="Z101" s="103">
        <f t="shared" ca="1" si="64"/>
        <v>0</v>
      </c>
      <c r="AA101" s="103">
        <f t="shared" ca="1" si="65"/>
        <v>0</v>
      </c>
      <c r="AB101" s="103">
        <f t="shared" ca="1" si="66"/>
        <v>0</v>
      </c>
      <c r="AC101" s="103">
        <f t="shared" ca="1" si="67"/>
        <v>0</v>
      </c>
      <c r="AD101" s="103">
        <f t="shared" ca="1" si="68"/>
        <v>0</v>
      </c>
      <c r="AE101" s="103">
        <f t="shared" ca="1" si="69"/>
        <v>0</v>
      </c>
      <c r="AF101" s="103">
        <f t="shared" ca="1" si="70"/>
        <v>0</v>
      </c>
      <c r="AG101" s="103">
        <f t="shared" ca="1" si="71"/>
        <v>0</v>
      </c>
      <c r="AH101" s="103">
        <f t="shared" ca="1" si="72"/>
        <v>0</v>
      </c>
      <c r="AI101" s="103">
        <f t="shared" ca="1" si="73"/>
        <v>0</v>
      </c>
      <c r="AJ101" s="98">
        <f t="shared" ca="1" si="74"/>
        <v>0</v>
      </c>
      <c r="AK101" s="103">
        <f t="shared" ca="1" si="74"/>
        <v>0</v>
      </c>
      <c r="AL101" s="103">
        <f t="shared" ca="1" si="74"/>
        <v>0</v>
      </c>
      <c r="AM101" s="103">
        <f t="shared" ca="1" si="74"/>
        <v>0</v>
      </c>
      <c r="AN101" s="103">
        <f t="shared" ca="1" si="74"/>
        <v>0</v>
      </c>
      <c r="AO101" s="103">
        <f t="shared" ca="1" si="74"/>
        <v>0</v>
      </c>
      <c r="AP101" s="103">
        <f t="shared" ca="1" si="74"/>
        <v>0</v>
      </c>
      <c r="AQ101" s="103">
        <f t="shared" ca="1" si="74"/>
        <v>0</v>
      </c>
      <c r="AR101" s="104">
        <f ca="1">COUNTIF(AJ101:AQ101,"&lt;"&amp;MAX(AJ101:AQ101))+IF(Calcs[[#This Row],[DL1]]=0,0,1)</f>
        <v>0</v>
      </c>
      <c r="AS101" s="105" t="str">
        <f ca="1">IF(LEN(Calcs[[#This Row],[Line]])&gt;0,IF(RIGHT(Calcs[[#This Row],[Remark]],3)=".  ",LEFT(Calcs[[#This Row],[Remark]],LEN(Calcs[[#This Row],[Remark]])-3),Calcs[[#This Row],[Remark]]),"")</f>
        <v/>
      </c>
      <c r="AT101" s="96">
        <f t="shared" ca="1" si="75"/>
        <v>0</v>
      </c>
      <c r="AU101" s="103">
        <f t="shared" ca="1" si="76"/>
        <v>0</v>
      </c>
      <c r="AV101" s="103">
        <f t="shared" ca="1" si="77"/>
        <v>0</v>
      </c>
      <c r="AW101" s="103">
        <f t="shared" ca="1" si="78"/>
        <v>0</v>
      </c>
      <c r="AX101" s="103">
        <f t="shared" ca="1" si="79"/>
        <v>0</v>
      </c>
      <c r="AY101" s="103">
        <f t="shared" ca="1" si="80"/>
        <v>0</v>
      </c>
      <c r="AZ101" s="103">
        <f t="shared" ca="1" si="81"/>
        <v>0</v>
      </c>
      <c r="BA101" s="103">
        <f t="shared" ca="1" si="82"/>
        <v>0</v>
      </c>
      <c r="BB101" s="103">
        <f t="shared" ca="1" si="83"/>
        <v>0</v>
      </c>
      <c r="BC101" s="103">
        <f t="shared" ca="1" si="84"/>
        <v>0</v>
      </c>
      <c r="BD101" s="103">
        <f t="shared" ca="1" si="85"/>
        <v>0</v>
      </c>
      <c r="BE101" s="103">
        <f t="shared" ca="1" si="86"/>
        <v>0</v>
      </c>
      <c r="BF101" s="103">
        <f t="shared" ca="1" si="87"/>
        <v>0</v>
      </c>
      <c r="BG101" s="103">
        <f t="shared" ca="1" si="88"/>
        <v>0</v>
      </c>
      <c r="BH101" s="103">
        <f t="shared" ca="1" si="89"/>
        <v>0</v>
      </c>
      <c r="BI101" s="103">
        <f t="shared" ca="1" si="90"/>
        <v>0</v>
      </c>
      <c r="BJ101" s="103">
        <f t="shared" ca="1" si="91"/>
        <v>0</v>
      </c>
      <c r="BK101" s="103">
        <f t="shared" ca="1" si="92"/>
        <v>0</v>
      </c>
      <c r="BL101" s="103">
        <f t="shared" ca="1" si="93"/>
        <v>0</v>
      </c>
      <c r="BM101" s="103">
        <f t="shared" ca="1" si="94"/>
        <v>0</v>
      </c>
      <c r="BN101" s="103">
        <f t="shared" ca="1" si="95"/>
        <v>0</v>
      </c>
      <c r="BO101" s="103">
        <f t="shared" ca="1" si="96"/>
        <v>0</v>
      </c>
      <c r="BP101" s="103">
        <f t="shared" ca="1" si="97"/>
        <v>0</v>
      </c>
      <c r="BQ101" s="103">
        <f t="shared" ca="1" si="98"/>
        <v>0</v>
      </c>
      <c r="BR101" s="103">
        <f t="shared" ca="1" si="99"/>
        <v>0</v>
      </c>
      <c r="BS101" s="103">
        <f t="shared" ca="1" si="100"/>
        <v>0</v>
      </c>
      <c r="BT101" s="103">
        <f t="shared" ca="1" si="101"/>
        <v>0</v>
      </c>
      <c r="BU101" s="103">
        <f t="shared" ca="1" si="102"/>
        <v>0</v>
      </c>
      <c r="BV101" s="103">
        <f t="shared" ca="1" si="103"/>
        <v>0</v>
      </c>
      <c r="BW101" s="103">
        <f t="shared" ca="1" si="104"/>
        <v>0</v>
      </c>
      <c r="BX101" s="103">
        <f t="shared" ca="1" si="105"/>
        <v>0</v>
      </c>
      <c r="BY101" s="103">
        <f t="shared" ca="1" si="106"/>
        <v>0</v>
      </c>
      <c r="BZ101" s="98">
        <f t="shared" ca="1" si="107"/>
        <v>0</v>
      </c>
      <c r="CA101" s="103">
        <f t="shared" ca="1" si="107"/>
        <v>0</v>
      </c>
      <c r="CB101" s="103">
        <f t="shared" ca="1" si="107"/>
        <v>0</v>
      </c>
      <c r="CC101" s="103">
        <f t="shared" ca="1" si="107"/>
        <v>0</v>
      </c>
      <c r="CD101" s="103">
        <f t="shared" ca="1" si="107"/>
        <v>0</v>
      </c>
      <c r="CE101" s="103">
        <f t="shared" ca="1" si="107"/>
        <v>0</v>
      </c>
      <c r="CF101" s="103">
        <f t="shared" ca="1" si="107"/>
        <v>0</v>
      </c>
      <c r="CG101" s="103">
        <f t="shared" ca="1" si="107"/>
        <v>0</v>
      </c>
      <c r="CH101" s="106">
        <f ca="1">COUNTIF(BZ101:CG101,"&lt;"&amp;MAX(BZ101:CG101))+IF(Calcs[[#This Row],[RL1]]=0,0,1)</f>
        <v>0</v>
      </c>
      <c r="CI10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1" s="103">
        <f ca="1">IFERROR(OFFSET(CJ101,-1,0)+0,0)+IF(INDEX(INDIRECT(RangeContrQty),MATCH(Calcs[[#This Row],[Line]],OFFSET(Items[Line],0,0,ROW(Proposed[])-ROW(Items[])+ROWS(Proposed[]),1),0)),1,0)</f>
        <v>0</v>
      </c>
    </row>
    <row r="102" spans="1:88" x14ac:dyDescent="0.15">
      <c r="A102" s="64">
        <f ca="1">IFERROR(OFFSET(A102,-1,0)+0,0)+MAX(IF(LEN(Calcs[[#This Row],[Line]])&gt;0,1,0),Calcs[[#This Row],[DL]],Calcs[[#This Row],[RL]])</f>
        <v>10</v>
      </c>
      <c r="B102" s="90" t="str">
        <f ca="1">IFERROR(INDEX(OFFSET(Items[Line],0,0,ROW(Proposed[])-ROW(Items[])+ROWS(Proposed[]),1),MATCH(ROW(B102)-ROW(B$3),INDIRECT(RangeCount),0)),"")</f>
        <v/>
      </c>
      <c r="C102" s="90" t="str">
        <f ca="1">IF(LEN(Calcs[[#This Row],[Line]])&gt;0,TRIM(IFERROR(INDEX(Items[Description],MATCH(Calcs[[#This Row],[Line]],Items[Line],0))&amp;INDEX(Items[Description2],MATCH(Calcs[[#This Row],[Line]],Items[Line],0)),INDEX(Proposed[Description],MATCH(Calcs[[#This Row],[Line]],Proposed[Line],0)))),"")</f>
        <v/>
      </c>
      <c r="D102" s="96">
        <f t="shared" ca="1" si="42"/>
        <v>0</v>
      </c>
      <c r="E102" s="103">
        <f t="shared" ca="1" si="43"/>
        <v>0</v>
      </c>
      <c r="F102" s="103">
        <f t="shared" ca="1" si="44"/>
        <v>0</v>
      </c>
      <c r="G102" s="103">
        <f t="shared" ca="1" si="45"/>
        <v>0</v>
      </c>
      <c r="H102" s="103">
        <f t="shared" ca="1" si="46"/>
        <v>0</v>
      </c>
      <c r="I102" s="103">
        <f t="shared" ca="1" si="47"/>
        <v>0</v>
      </c>
      <c r="J102" s="103">
        <f t="shared" ca="1" si="48"/>
        <v>0</v>
      </c>
      <c r="K102" s="103">
        <f t="shared" ca="1" si="49"/>
        <v>0</v>
      </c>
      <c r="L102" s="103">
        <f t="shared" ca="1" si="50"/>
        <v>0</v>
      </c>
      <c r="M102" s="103">
        <f t="shared" ca="1" si="51"/>
        <v>0</v>
      </c>
      <c r="N102" s="103">
        <f t="shared" ca="1" si="52"/>
        <v>0</v>
      </c>
      <c r="O102" s="103">
        <f t="shared" ca="1" si="53"/>
        <v>0</v>
      </c>
      <c r="P102" s="103">
        <f t="shared" ca="1" si="54"/>
        <v>0</v>
      </c>
      <c r="Q102" s="103">
        <f t="shared" ca="1" si="55"/>
        <v>0</v>
      </c>
      <c r="R102" s="103">
        <f t="shared" ca="1" si="56"/>
        <v>0</v>
      </c>
      <c r="S102" s="103">
        <f t="shared" ca="1" si="57"/>
        <v>0</v>
      </c>
      <c r="T102" s="103">
        <f t="shared" ca="1" si="58"/>
        <v>0</v>
      </c>
      <c r="U102" s="103">
        <f t="shared" ca="1" si="59"/>
        <v>0</v>
      </c>
      <c r="V102" s="103">
        <f t="shared" ca="1" si="60"/>
        <v>0</v>
      </c>
      <c r="W102" s="103">
        <f t="shared" ca="1" si="61"/>
        <v>0</v>
      </c>
      <c r="X102" s="103">
        <f t="shared" ca="1" si="62"/>
        <v>0</v>
      </c>
      <c r="Y102" s="103">
        <f t="shared" ca="1" si="63"/>
        <v>0</v>
      </c>
      <c r="Z102" s="103">
        <f t="shared" ca="1" si="64"/>
        <v>0</v>
      </c>
      <c r="AA102" s="103">
        <f t="shared" ca="1" si="65"/>
        <v>0</v>
      </c>
      <c r="AB102" s="103">
        <f t="shared" ca="1" si="66"/>
        <v>0</v>
      </c>
      <c r="AC102" s="103">
        <f t="shared" ca="1" si="67"/>
        <v>0</v>
      </c>
      <c r="AD102" s="103">
        <f t="shared" ca="1" si="68"/>
        <v>0</v>
      </c>
      <c r="AE102" s="103">
        <f t="shared" ca="1" si="69"/>
        <v>0</v>
      </c>
      <c r="AF102" s="103">
        <f t="shared" ca="1" si="70"/>
        <v>0</v>
      </c>
      <c r="AG102" s="103">
        <f t="shared" ca="1" si="71"/>
        <v>0</v>
      </c>
      <c r="AH102" s="103">
        <f t="shared" ca="1" si="72"/>
        <v>0</v>
      </c>
      <c r="AI102" s="103">
        <f t="shared" ca="1" si="73"/>
        <v>0</v>
      </c>
      <c r="AJ102" s="98">
        <f t="shared" ref="AJ102:AQ111" ca="1" si="108">HLOOKUP(IF(COLUMN(AJ102)-COLUMN($AJ$3)=0,0,OFFSET(AJ102,0,-1))+widthPayItem,$D102:$AI102,1)</f>
        <v>0</v>
      </c>
      <c r="AK102" s="103">
        <f t="shared" ca="1" si="108"/>
        <v>0</v>
      </c>
      <c r="AL102" s="103">
        <f t="shared" ca="1" si="108"/>
        <v>0</v>
      </c>
      <c r="AM102" s="103">
        <f t="shared" ca="1" si="108"/>
        <v>0</v>
      </c>
      <c r="AN102" s="103">
        <f t="shared" ca="1" si="108"/>
        <v>0</v>
      </c>
      <c r="AO102" s="103">
        <f t="shared" ca="1" si="108"/>
        <v>0</v>
      </c>
      <c r="AP102" s="103">
        <f t="shared" ca="1" si="108"/>
        <v>0</v>
      </c>
      <c r="AQ102" s="103">
        <f t="shared" ca="1" si="108"/>
        <v>0</v>
      </c>
      <c r="AR102" s="104">
        <f ca="1">COUNTIF(AJ102:AQ102,"&lt;"&amp;MAX(AJ102:AQ102))+IF(Calcs[[#This Row],[DL1]]=0,0,1)</f>
        <v>0</v>
      </c>
      <c r="AS102" s="105" t="str">
        <f ca="1">IF(LEN(Calcs[[#This Row],[Line]])&gt;0,IF(RIGHT(Calcs[[#This Row],[Remark]],3)=".  ",LEFT(Calcs[[#This Row],[Remark]],LEN(Calcs[[#This Row],[Remark]])-3),Calcs[[#This Row],[Remark]]),"")</f>
        <v/>
      </c>
      <c r="AT102" s="96">
        <f t="shared" ca="1" si="75"/>
        <v>0</v>
      </c>
      <c r="AU102" s="103">
        <f t="shared" ca="1" si="76"/>
        <v>0</v>
      </c>
      <c r="AV102" s="103">
        <f t="shared" ca="1" si="77"/>
        <v>0</v>
      </c>
      <c r="AW102" s="103">
        <f t="shared" ca="1" si="78"/>
        <v>0</v>
      </c>
      <c r="AX102" s="103">
        <f t="shared" ca="1" si="79"/>
        <v>0</v>
      </c>
      <c r="AY102" s="103">
        <f t="shared" ca="1" si="80"/>
        <v>0</v>
      </c>
      <c r="AZ102" s="103">
        <f t="shared" ca="1" si="81"/>
        <v>0</v>
      </c>
      <c r="BA102" s="103">
        <f t="shared" ca="1" si="82"/>
        <v>0</v>
      </c>
      <c r="BB102" s="103">
        <f t="shared" ca="1" si="83"/>
        <v>0</v>
      </c>
      <c r="BC102" s="103">
        <f t="shared" ca="1" si="84"/>
        <v>0</v>
      </c>
      <c r="BD102" s="103">
        <f t="shared" ca="1" si="85"/>
        <v>0</v>
      </c>
      <c r="BE102" s="103">
        <f t="shared" ca="1" si="86"/>
        <v>0</v>
      </c>
      <c r="BF102" s="103">
        <f t="shared" ca="1" si="87"/>
        <v>0</v>
      </c>
      <c r="BG102" s="103">
        <f t="shared" ca="1" si="88"/>
        <v>0</v>
      </c>
      <c r="BH102" s="103">
        <f t="shared" ca="1" si="89"/>
        <v>0</v>
      </c>
      <c r="BI102" s="103">
        <f t="shared" ca="1" si="90"/>
        <v>0</v>
      </c>
      <c r="BJ102" s="103">
        <f t="shared" ca="1" si="91"/>
        <v>0</v>
      </c>
      <c r="BK102" s="103">
        <f t="shared" ca="1" si="92"/>
        <v>0</v>
      </c>
      <c r="BL102" s="103">
        <f t="shared" ca="1" si="93"/>
        <v>0</v>
      </c>
      <c r="BM102" s="103">
        <f t="shared" ca="1" si="94"/>
        <v>0</v>
      </c>
      <c r="BN102" s="103">
        <f t="shared" ca="1" si="95"/>
        <v>0</v>
      </c>
      <c r="BO102" s="103">
        <f t="shared" ca="1" si="96"/>
        <v>0</v>
      </c>
      <c r="BP102" s="103">
        <f t="shared" ca="1" si="97"/>
        <v>0</v>
      </c>
      <c r="BQ102" s="103">
        <f t="shared" ca="1" si="98"/>
        <v>0</v>
      </c>
      <c r="BR102" s="103">
        <f t="shared" ca="1" si="99"/>
        <v>0</v>
      </c>
      <c r="BS102" s="103">
        <f t="shared" ca="1" si="100"/>
        <v>0</v>
      </c>
      <c r="BT102" s="103">
        <f t="shared" ca="1" si="101"/>
        <v>0</v>
      </c>
      <c r="BU102" s="103">
        <f t="shared" ca="1" si="102"/>
        <v>0</v>
      </c>
      <c r="BV102" s="103">
        <f t="shared" ca="1" si="103"/>
        <v>0</v>
      </c>
      <c r="BW102" s="103">
        <f t="shared" ca="1" si="104"/>
        <v>0</v>
      </c>
      <c r="BX102" s="103">
        <f t="shared" ca="1" si="105"/>
        <v>0</v>
      </c>
      <c r="BY102" s="103">
        <f t="shared" ca="1" si="106"/>
        <v>0</v>
      </c>
      <c r="BZ102" s="98">
        <f t="shared" ref="BZ102:CG111" ca="1" si="109">HLOOKUP(IF(COLUMN(BZ102)-COLUMN($BZ$3)=0,0,OFFSET(BZ102,0,-1))+widthRemarks,$AT102:$BY102,1)</f>
        <v>0</v>
      </c>
      <c r="CA102" s="103">
        <f t="shared" ca="1" si="109"/>
        <v>0</v>
      </c>
      <c r="CB102" s="103">
        <f t="shared" ca="1" si="109"/>
        <v>0</v>
      </c>
      <c r="CC102" s="103">
        <f t="shared" ca="1" si="109"/>
        <v>0</v>
      </c>
      <c r="CD102" s="103">
        <f t="shared" ca="1" si="109"/>
        <v>0</v>
      </c>
      <c r="CE102" s="103">
        <f t="shared" ca="1" si="109"/>
        <v>0</v>
      </c>
      <c r="CF102" s="103">
        <f t="shared" ca="1" si="109"/>
        <v>0</v>
      </c>
      <c r="CG102" s="103">
        <f t="shared" ca="1" si="109"/>
        <v>0</v>
      </c>
      <c r="CH102" s="106">
        <f ca="1">COUNTIF(BZ102:CG102,"&lt;"&amp;MAX(BZ102:CG102))+IF(Calcs[[#This Row],[RL1]]=0,0,1)</f>
        <v>0</v>
      </c>
      <c r="CI10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2" s="103">
        <f ca="1">IFERROR(OFFSET(CJ102,-1,0)+0,0)+IF(INDEX(INDIRECT(RangeContrQty),MATCH(Calcs[[#This Row],[Line]],OFFSET(Items[Line],0,0,ROW(Proposed[])-ROW(Items[])+ROWS(Proposed[]),1),0)),1,0)</f>
        <v>0</v>
      </c>
    </row>
    <row r="103" spans="1:88" x14ac:dyDescent="0.15">
      <c r="A103" s="64">
        <f ca="1">IFERROR(OFFSET(A103,-1,0)+0,0)+MAX(IF(LEN(Calcs[[#This Row],[Line]])&gt;0,1,0),Calcs[[#This Row],[DL]],Calcs[[#This Row],[RL]])</f>
        <v>10</v>
      </c>
      <c r="B103" s="90" t="str">
        <f ca="1">IFERROR(INDEX(OFFSET(Items[Line],0,0,ROW(Proposed[])-ROW(Items[])+ROWS(Proposed[]),1),MATCH(ROW(B103)-ROW(B$3),INDIRECT(RangeCount),0)),"")</f>
        <v/>
      </c>
      <c r="C103" s="90" t="str">
        <f ca="1">IF(LEN(Calcs[[#This Row],[Line]])&gt;0,TRIM(IFERROR(INDEX(Items[Description],MATCH(Calcs[[#This Row],[Line]],Items[Line],0))&amp;INDEX(Items[Description2],MATCH(Calcs[[#This Row],[Line]],Items[Line],0)),INDEX(Proposed[Description],MATCH(Calcs[[#This Row],[Line]],Proposed[Line],0)))),"")</f>
        <v/>
      </c>
      <c r="D103" s="96">
        <f t="shared" ca="1" si="42"/>
        <v>0</v>
      </c>
      <c r="E103" s="103">
        <f t="shared" ca="1" si="43"/>
        <v>0</v>
      </c>
      <c r="F103" s="103">
        <f t="shared" ca="1" si="44"/>
        <v>0</v>
      </c>
      <c r="G103" s="103">
        <f t="shared" ca="1" si="45"/>
        <v>0</v>
      </c>
      <c r="H103" s="103">
        <f t="shared" ca="1" si="46"/>
        <v>0</v>
      </c>
      <c r="I103" s="103">
        <f t="shared" ca="1" si="47"/>
        <v>0</v>
      </c>
      <c r="J103" s="103">
        <f t="shared" ca="1" si="48"/>
        <v>0</v>
      </c>
      <c r="K103" s="103">
        <f t="shared" ca="1" si="49"/>
        <v>0</v>
      </c>
      <c r="L103" s="103">
        <f t="shared" ca="1" si="50"/>
        <v>0</v>
      </c>
      <c r="M103" s="103">
        <f t="shared" ca="1" si="51"/>
        <v>0</v>
      </c>
      <c r="N103" s="103">
        <f t="shared" ca="1" si="52"/>
        <v>0</v>
      </c>
      <c r="O103" s="103">
        <f t="shared" ca="1" si="53"/>
        <v>0</v>
      </c>
      <c r="P103" s="103">
        <f t="shared" ca="1" si="54"/>
        <v>0</v>
      </c>
      <c r="Q103" s="103">
        <f t="shared" ca="1" si="55"/>
        <v>0</v>
      </c>
      <c r="R103" s="103">
        <f t="shared" ca="1" si="56"/>
        <v>0</v>
      </c>
      <c r="S103" s="103">
        <f t="shared" ca="1" si="57"/>
        <v>0</v>
      </c>
      <c r="T103" s="103">
        <f t="shared" ca="1" si="58"/>
        <v>0</v>
      </c>
      <c r="U103" s="103">
        <f t="shared" ca="1" si="59"/>
        <v>0</v>
      </c>
      <c r="V103" s="103">
        <f t="shared" ca="1" si="60"/>
        <v>0</v>
      </c>
      <c r="W103" s="103">
        <f t="shared" ca="1" si="61"/>
        <v>0</v>
      </c>
      <c r="X103" s="103">
        <f t="shared" ca="1" si="62"/>
        <v>0</v>
      </c>
      <c r="Y103" s="103">
        <f t="shared" ca="1" si="63"/>
        <v>0</v>
      </c>
      <c r="Z103" s="103">
        <f t="shared" ca="1" si="64"/>
        <v>0</v>
      </c>
      <c r="AA103" s="103">
        <f t="shared" ca="1" si="65"/>
        <v>0</v>
      </c>
      <c r="AB103" s="103">
        <f t="shared" ca="1" si="66"/>
        <v>0</v>
      </c>
      <c r="AC103" s="103">
        <f t="shared" ca="1" si="67"/>
        <v>0</v>
      </c>
      <c r="AD103" s="103">
        <f t="shared" ca="1" si="68"/>
        <v>0</v>
      </c>
      <c r="AE103" s="103">
        <f t="shared" ca="1" si="69"/>
        <v>0</v>
      </c>
      <c r="AF103" s="103">
        <f t="shared" ca="1" si="70"/>
        <v>0</v>
      </c>
      <c r="AG103" s="103">
        <f t="shared" ca="1" si="71"/>
        <v>0</v>
      </c>
      <c r="AH103" s="103">
        <f t="shared" ca="1" si="72"/>
        <v>0</v>
      </c>
      <c r="AI103" s="103">
        <f t="shared" ca="1" si="73"/>
        <v>0</v>
      </c>
      <c r="AJ103" s="98">
        <f t="shared" ca="1" si="108"/>
        <v>0</v>
      </c>
      <c r="AK103" s="103">
        <f t="shared" ca="1" si="108"/>
        <v>0</v>
      </c>
      <c r="AL103" s="103">
        <f t="shared" ca="1" si="108"/>
        <v>0</v>
      </c>
      <c r="AM103" s="103">
        <f t="shared" ca="1" si="108"/>
        <v>0</v>
      </c>
      <c r="AN103" s="103">
        <f t="shared" ca="1" si="108"/>
        <v>0</v>
      </c>
      <c r="AO103" s="103">
        <f t="shared" ca="1" si="108"/>
        <v>0</v>
      </c>
      <c r="AP103" s="103">
        <f t="shared" ca="1" si="108"/>
        <v>0</v>
      </c>
      <c r="AQ103" s="103">
        <f t="shared" ca="1" si="108"/>
        <v>0</v>
      </c>
      <c r="AR103" s="104">
        <f ca="1">COUNTIF(AJ103:AQ103,"&lt;"&amp;MAX(AJ103:AQ103))+IF(Calcs[[#This Row],[DL1]]=0,0,1)</f>
        <v>0</v>
      </c>
      <c r="AS103" s="105" t="str">
        <f ca="1">IF(LEN(Calcs[[#This Row],[Line]])&gt;0,IF(RIGHT(Calcs[[#This Row],[Remark]],3)=".  ",LEFT(Calcs[[#This Row],[Remark]],LEN(Calcs[[#This Row],[Remark]])-3),Calcs[[#This Row],[Remark]]),"")</f>
        <v/>
      </c>
      <c r="AT103" s="96">
        <f t="shared" ca="1" si="75"/>
        <v>0</v>
      </c>
      <c r="AU103" s="103">
        <f t="shared" ca="1" si="76"/>
        <v>0</v>
      </c>
      <c r="AV103" s="103">
        <f t="shared" ca="1" si="77"/>
        <v>0</v>
      </c>
      <c r="AW103" s="103">
        <f t="shared" ca="1" si="78"/>
        <v>0</v>
      </c>
      <c r="AX103" s="103">
        <f t="shared" ca="1" si="79"/>
        <v>0</v>
      </c>
      <c r="AY103" s="103">
        <f t="shared" ca="1" si="80"/>
        <v>0</v>
      </c>
      <c r="AZ103" s="103">
        <f t="shared" ca="1" si="81"/>
        <v>0</v>
      </c>
      <c r="BA103" s="103">
        <f t="shared" ca="1" si="82"/>
        <v>0</v>
      </c>
      <c r="BB103" s="103">
        <f t="shared" ca="1" si="83"/>
        <v>0</v>
      </c>
      <c r="BC103" s="103">
        <f t="shared" ca="1" si="84"/>
        <v>0</v>
      </c>
      <c r="BD103" s="103">
        <f t="shared" ca="1" si="85"/>
        <v>0</v>
      </c>
      <c r="BE103" s="103">
        <f t="shared" ca="1" si="86"/>
        <v>0</v>
      </c>
      <c r="BF103" s="103">
        <f t="shared" ca="1" si="87"/>
        <v>0</v>
      </c>
      <c r="BG103" s="103">
        <f t="shared" ca="1" si="88"/>
        <v>0</v>
      </c>
      <c r="BH103" s="103">
        <f t="shared" ca="1" si="89"/>
        <v>0</v>
      </c>
      <c r="BI103" s="103">
        <f t="shared" ca="1" si="90"/>
        <v>0</v>
      </c>
      <c r="BJ103" s="103">
        <f t="shared" ca="1" si="91"/>
        <v>0</v>
      </c>
      <c r="BK103" s="103">
        <f t="shared" ca="1" si="92"/>
        <v>0</v>
      </c>
      <c r="BL103" s="103">
        <f t="shared" ca="1" si="93"/>
        <v>0</v>
      </c>
      <c r="BM103" s="103">
        <f t="shared" ca="1" si="94"/>
        <v>0</v>
      </c>
      <c r="BN103" s="103">
        <f t="shared" ca="1" si="95"/>
        <v>0</v>
      </c>
      <c r="BO103" s="103">
        <f t="shared" ca="1" si="96"/>
        <v>0</v>
      </c>
      <c r="BP103" s="103">
        <f t="shared" ca="1" si="97"/>
        <v>0</v>
      </c>
      <c r="BQ103" s="103">
        <f t="shared" ca="1" si="98"/>
        <v>0</v>
      </c>
      <c r="BR103" s="103">
        <f t="shared" ca="1" si="99"/>
        <v>0</v>
      </c>
      <c r="BS103" s="103">
        <f t="shared" ca="1" si="100"/>
        <v>0</v>
      </c>
      <c r="BT103" s="103">
        <f t="shared" ca="1" si="101"/>
        <v>0</v>
      </c>
      <c r="BU103" s="103">
        <f t="shared" ca="1" si="102"/>
        <v>0</v>
      </c>
      <c r="BV103" s="103">
        <f t="shared" ca="1" si="103"/>
        <v>0</v>
      </c>
      <c r="BW103" s="103">
        <f t="shared" ca="1" si="104"/>
        <v>0</v>
      </c>
      <c r="BX103" s="103">
        <f t="shared" ca="1" si="105"/>
        <v>0</v>
      </c>
      <c r="BY103" s="103">
        <f t="shared" ca="1" si="106"/>
        <v>0</v>
      </c>
      <c r="BZ103" s="98">
        <f t="shared" ca="1" si="109"/>
        <v>0</v>
      </c>
      <c r="CA103" s="103">
        <f t="shared" ca="1" si="109"/>
        <v>0</v>
      </c>
      <c r="CB103" s="103">
        <f t="shared" ca="1" si="109"/>
        <v>0</v>
      </c>
      <c r="CC103" s="103">
        <f t="shared" ca="1" si="109"/>
        <v>0</v>
      </c>
      <c r="CD103" s="103">
        <f t="shared" ca="1" si="109"/>
        <v>0</v>
      </c>
      <c r="CE103" s="103">
        <f t="shared" ca="1" si="109"/>
        <v>0</v>
      </c>
      <c r="CF103" s="103">
        <f t="shared" ca="1" si="109"/>
        <v>0</v>
      </c>
      <c r="CG103" s="103">
        <f t="shared" ca="1" si="109"/>
        <v>0</v>
      </c>
      <c r="CH103" s="106">
        <f ca="1">COUNTIF(BZ103:CG103,"&lt;"&amp;MAX(BZ103:CG103))+IF(Calcs[[#This Row],[RL1]]=0,0,1)</f>
        <v>0</v>
      </c>
      <c r="CI10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3" s="103">
        <f ca="1">IFERROR(OFFSET(CJ103,-1,0)+0,0)+IF(INDEX(INDIRECT(RangeContrQty),MATCH(Calcs[[#This Row],[Line]],OFFSET(Items[Line],0,0,ROW(Proposed[])-ROW(Items[])+ROWS(Proposed[]),1),0)),1,0)</f>
        <v>0</v>
      </c>
    </row>
    <row r="104" spans="1:88" x14ac:dyDescent="0.15">
      <c r="A104" s="64">
        <f ca="1">IFERROR(OFFSET(A104,-1,0)+0,0)+MAX(IF(LEN(Calcs[[#This Row],[Line]])&gt;0,1,0),Calcs[[#This Row],[DL]],Calcs[[#This Row],[RL]])</f>
        <v>10</v>
      </c>
      <c r="B104" s="90" t="str">
        <f ca="1">IFERROR(INDEX(OFFSET(Items[Line],0,0,ROW(Proposed[])-ROW(Items[])+ROWS(Proposed[]),1),MATCH(ROW(B104)-ROW(B$3),INDIRECT(RangeCount),0)),"")</f>
        <v/>
      </c>
      <c r="C104" s="90" t="str">
        <f ca="1">IF(LEN(Calcs[[#This Row],[Line]])&gt;0,TRIM(IFERROR(INDEX(Items[Description],MATCH(Calcs[[#This Row],[Line]],Items[Line],0))&amp;INDEX(Items[Description2],MATCH(Calcs[[#This Row],[Line]],Items[Line],0)),INDEX(Proposed[Description],MATCH(Calcs[[#This Row],[Line]],Proposed[Line],0)))),"")</f>
        <v/>
      </c>
      <c r="D104" s="96">
        <f t="shared" ca="1" si="42"/>
        <v>0</v>
      </c>
      <c r="E104" s="103">
        <f t="shared" ca="1" si="43"/>
        <v>0</v>
      </c>
      <c r="F104" s="103">
        <f t="shared" ca="1" si="44"/>
        <v>0</v>
      </c>
      <c r="G104" s="103">
        <f t="shared" ca="1" si="45"/>
        <v>0</v>
      </c>
      <c r="H104" s="103">
        <f t="shared" ca="1" si="46"/>
        <v>0</v>
      </c>
      <c r="I104" s="103">
        <f t="shared" ca="1" si="47"/>
        <v>0</v>
      </c>
      <c r="J104" s="103">
        <f t="shared" ca="1" si="48"/>
        <v>0</v>
      </c>
      <c r="K104" s="103">
        <f t="shared" ca="1" si="49"/>
        <v>0</v>
      </c>
      <c r="L104" s="103">
        <f t="shared" ca="1" si="50"/>
        <v>0</v>
      </c>
      <c r="M104" s="103">
        <f t="shared" ca="1" si="51"/>
        <v>0</v>
      </c>
      <c r="N104" s="103">
        <f t="shared" ca="1" si="52"/>
        <v>0</v>
      </c>
      <c r="O104" s="103">
        <f t="shared" ca="1" si="53"/>
        <v>0</v>
      </c>
      <c r="P104" s="103">
        <f t="shared" ca="1" si="54"/>
        <v>0</v>
      </c>
      <c r="Q104" s="103">
        <f t="shared" ca="1" si="55"/>
        <v>0</v>
      </c>
      <c r="R104" s="103">
        <f t="shared" ca="1" si="56"/>
        <v>0</v>
      </c>
      <c r="S104" s="103">
        <f t="shared" ca="1" si="57"/>
        <v>0</v>
      </c>
      <c r="T104" s="103">
        <f t="shared" ca="1" si="58"/>
        <v>0</v>
      </c>
      <c r="U104" s="103">
        <f t="shared" ca="1" si="59"/>
        <v>0</v>
      </c>
      <c r="V104" s="103">
        <f t="shared" ca="1" si="60"/>
        <v>0</v>
      </c>
      <c r="W104" s="103">
        <f t="shared" ca="1" si="61"/>
        <v>0</v>
      </c>
      <c r="X104" s="103">
        <f t="shared" ca="1" si="62"/>
        <v>0</v>
      </c>
      <c r="Y104" s="103">
        <f t="shared" ca="1" si="63"/>
        <v>0</v>
      </c>
      <c r="Z104" s="103">
        <f t="shared" ca="1" si="64"/>
        <v>0</v>
      </c>
      <c r="AA104" s="103">
        <f t="shared" ca="1" si="65"/>
        <v>0</v>
      </c>
      <c r="AB104" s="103">
        <f t="shared" ca="1" si="66"/>
        <v>0</v>
      </c>
      <c r="AC104" s="103">
        <f t="shared" ca="1" si="67"/>
        <v>0</v>
      </c>
      <c r="AD104" s="103">
        <f t="shared" ca="1" si="68"/>
        <v>0</v>
      </c>
      <c r="AE104" s="103">
        <f t="shared" ca="1" si="69"/>
        <v>0</v>
      </c>
      <c r="AF104" s="103">
        <f t="shared" ca="1" si="70"/>
        <v>0</v>
      </c>
      <c r="AG104" s="103">
        <f t="shared" ca="1" si="71"/>
        <v>0</v>
      </c>
      <c r="AH104" s="103">
        <f t="shared" ca="1" si="72"/>
        <v>0</v>
      </c>
      <c r="AI104" s="103">
        <f t="shared" ca="1" si="73"/>
        <v>0</v>
      </c>
      <c r="AJ104" s="98">
        <f t="shared" ca="1" si="108"/>
        <v>0</v>
      </c>
      <c r="AK104" s="103">
        <f t="shared" ca="1" si="108"/>
        <v>0</v>
      </c>
      <c r="AL104" s="103">
        <f t="shared" ca="1" si="108"/>
        <v>0</v>
      </c>
      <c r="AM104" s="103">
        <f t="shared" ca="1" si="108"/>
        <v>0</v>
      </c>
      <c r="AN104" s="103">
        <f t="shared" ca="1" si="108"/>
        <v>0</v>
      </c>
      <c r="AO104" s="103">
        <f t="shared" ca="1" si="108"/>
        <v>0</v>
      </c>
      <c r="AP104" s="103">
        <f t="shared" ca="1" si="108"/>
        <v>0</v>
      </c>
      <c r="AQ104" s="103">
        <f t="shared" ca="1" si="108"/>
        <v>0</v>
      </c>
      <c r="AR104" s="104">
        <f ca="1">COUNTIF(AJ104:AQ104,"&lt;"&amp;MAX(AJ104:AQ104))+IF(Calcs[[#This Row],[DL1]]=0,0,1)</f>
        <v>0</v>
      </c>
      <c r="AS104" s="105" t="str">
        <f ca="1">IF(LEN(Calcs[[#This Row],[Line]])&gt;0,IF(RIGHT(Calcs[[#This Row],[Remark]],3)=".  ",LEFT(Calcs[[#This Row],[Remark]],LEN(Calcs[[#This Row],[Remark]])-3),Calcs[[#This Row],[Remark]]),"")</f>
        <v/>
      </c>
      <c r="AT104" s="96">
        <f t="shared" ca="1" si="75"/>
        <v>0</v>
      </c>
      <c r="AU104" s="103">
        <f t="shared" ca="1" si="76"/>
        <v>0</v>
      </c>
      <c r="AV104" s="103">
        <f t="shared" ca="1" si="77"/>
        <v>0</v>
      </c>
      <c r="AW104" s="103">
        <f t="shared" ca="1" si="78"/>
        <v>0</v>
      </c>
      <c r="AX104" s="103">
        <f t="shared" ca="1" si="79"/>
        <v>0</v>
      </c>
      <c r="AY104" s="103">
        <f t="shared" ca="1" si="80"/>
        <v>0</v>
      </c>
      <c r="AZ104" s="103">
        <f t="shared" ca="1" si="81"/>
        <v>0</v>
      </c>
      <c r="BA104" s="103">
        <f t="shared" ca="1" si="82"/>
        <v>0</v>
      </c>
      <c r="BB104" s="103">
        <f t="shared" ca="1" si="83"/>
        <v>0</v>
      </c>
      <c r="BC104" s="103">
        <f t="shared" ca="1" si="84"/>
        <v>0</v>
      </c>
      <c r="BD104" s="103">
        <f t="shared" ca="1" si="85"/>
        <v>0</v>
      </c>
      <c r="BE104" s="103">
        <f t="shared" ca="1" si="86"/>
        <v>0</v>
      </c>
      <c r="BF104" s="103">
        <f t="shared" ca="1" si="87"/>
        <v>0</v>
      </c>
      <c r="BG104" s="103">
        <f t="shared" ca="1" si="88"/>
        <v>0</v>
      </c>
      <c r="BH104" s="103">
        <f t="shared" ca="1" si="89"/>
        <v>0</v>
      </c>
      <c r="BI104" s="103">
        <f t="shared" ca="1" si="90"/>
        <v>0</v>
      </c>
      <c r="BJ104" s="103">
        <f t="shared" ca="1" si="91"/>
        <v>0</v>
      </c>
      <c r="BK104" s="103">
        <f t="shared" ca="1" si="92"/>
        <v>0</v>
      </c>
      <c r="BL104" s="103">
        <f t="shared" ca="1" si="93"/>
        <v>0</v>
      </c>
      <c r="BM104" s="103">
        <f t="shared" ca="1" si="94"/>
        <v>0</v>
      </c>
      <c r="BN104" s="103">
        <f t="shared" ca="1" si="95"/>
        <v>0</v>
      </c>
      <c r="BO104" s="103">
        <f t="shared" ca="1" si="96"/>
        <v>0</v>
      </c>
      <c r="BP104" s="103">
        <f t="shared" ca="1" si="97"/>
        <v>0</v>
      </c>
      <c r="BQ104" s="103">
        <f t="shared" ca="1" si="98"/>
        <v>0</v>
      </c>
      <c r="BR104" s="103">
        <f t="shared" ca="1" si="99"/>
        <v>0</v>
      </c>
      <c r="BS104" s="103">
        <f t="shared" ca="1" si="100"/>
        <v>0</v>
      </c>
      <c r="BT104" s="103">
        <f t="shared" ca="1" si="101"/>
        <v>0</v>
      </c>
      <c r="BU104" s="103">
        <f t="shared" ca="1" si="102"/>
        <v>0</v>
      </c>
      <c r="BV104" s="103">
        <f t="shared" ca="1" si="103"/>
        <v>0</v>
      </c>
      <c r="BW104" s="103">
        <f t="shared" ca="1" si="104"/>
        <v>0</v>
      </c>
      <c r="BX104" s="103">
        <f t="shared" ca="1" si="105"/>
        <v>0</v>
      </c>
      <c r="BY104" s="103">
        <f t="shared" ca="1" si="106"/>
        <v>0</v>
      </c>
      <c r="BZ104" s="98">
        <f t="shared" ca="1" si="109"/>
        <v>0</v>
      </c>
      <c r="CA104" s="103">
        <f t="shared" ca="1" si="109"/>
        <v>0</v>
      </c>
      <c r="CB104" s="103">
        <f t="shared" ca="1" si="109"/>
        <v>0</v>
      </c>
      <c r="CC104" s="103">
        <f t="shared" ca="1" si="109"/>
        <v>0</v>
      </c>
      <c r="CD104" s="103">
        <f t="shared" ca="1" si="109"/>
        <v>0</v>
      </c>
      <c r="CE104" s="103">
        <f t="shared" ca="1" si="109"/>
        <v>0</v>
      </c>
      <c r="CF104" s="103">
        <f t="shared" ca="1" si="109"/>
        <v>0</v>
      </c>
      <c r="CG104" s="103">
        <f t="shared" ca="1" si="109"/>
        <v>0</v>
      </c>
      <c r="CH104" s="106">
        <f ca="1">COUNTIF(BZ104:CG104,"&lt;"&amp;MAX(BZ104:CG104))+IF(Calcs[[#This Row],[RL1]]=0,0,1)</f>
        <v>0</v>
      </c>
      <c r="CI10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4" s="103">
        <f ca="1">IFERROR(OFFSET(CJ104,-1,0)+0,0)+IF(INDEX(INDIRECT(RangeContrQty),MATCH(Calcs[[#This Row],[Line]],OFFSET(Items[Line],0,0,ROW(Proposed[])-ROW(Items[])+ROWS(Proposed[]),1),0)),1,0)</f>
        <v>0</v>
      </c>
    </row>
    <row r="105" spans="1:88" x14ac:dyDescent="0.15">
      <c r="A105" s="64">
        <f ca="1">IFERROR(OFFSET(A105,-1,0)+0,0)+MAX(IF(LEN(Calcs[[#This Row],[Line]])&gt;0,1,0),Calcs[[#This Row],[DL]],Calcs[[#This Row],[RL]])</f>
        <v>10</v>
      </c>
      <c r="B105" s="90" t="str">
        <f ca="1">IFERROR(INDEX(OFFSET(Items[Line],0,0,ROW(Proposed[])-ROW(Items[])+ROWS(Proposed[]),1),MATCH(ROW(B105)-ROW(B$3),INDIRECT(RangeCount),0)),"")</f>
        <v/>
      </c>
      <c r="C105" s="90" t="str">
        <f ca="1">IF(LEN(Calcs[[#This Row],[Line]])&gt;0,TRIM(IFERROR(INDEX(Items[Description],MATCH(Calcs[[#This Row],[Line]],Items[Line],0))&amp;INDEX(Items[Description2],MATCH(Calcs[[#This Row],[Line]],Items[Line],0)),INDEX(Proposed[Description],MATCH(Calcs[[#This Row],[Line]],Proposed[Line],0)))),"")</f>
        <v/>
      </c>
      <c r="D105" s="96">
        <f t="shared" ca="1" si="42"/>
        <v>0</v>
      </c>
      <c r="E105" s="103">
        <f t="shared" ca="1" si="43"/>
        <v>0</v>
      </c>
      <c r="F105" s="103">
        <f t="shared" ca="1" si="44"/>
        <v>0</v>
      </c>
      <c r="G105" s="103">
        <f t="shared" ca="1" si="45"/>
        <v>0</v>
      </c>
      <c r="H105" s="103">
        <f t="shared" ca="1" si="46"/>
        <v>0</v>
      </c>
      <c r="I105" s="103">
        <f t="shared" ca="1" si="47"/>
        <v>0</v>
      </c>
      <c r="J105" s="103">
        <f t="shared" ca="1" si="48"/>
        <v>0</v>
      </c>
      <c r="K105" s="103">
        <f t="shared" ca="1" si="49"/>
        <v>0</v>
      </c>
      <c r="L105" s="103">
        <f t="shared" ca="1" si="50"/>
        <v>0</v>
      </c>
      <c r="M105" s="103">
        <f t="shared" ca="1" si="51"/>
        <v>0</v>
      </c>
      <c r="N105" s="103">
        <f t="shared" ca="1" si="52"/>
        <v>0</v>
      </c>
      <c r="O105" s="103">
        <f t="shared" ca="1" si="53"/>
        <v>0</v>
      </c>
      <c r="P105" s="103">
        <f t="shared" ca="1" si="54"/>
        <v>0</v>
      </c>
      <c r="Q105" s="103">
        <f t="shared" ca="1" si="55"/>
        <v>0</v>
      </c>
      <c r="R105" s="103">
        <f t="shared" ca="1" si="56"/>
        <v>0</v>
      </c>
      <c r="S105" s="103">
        <f t="shared" ca="1" si="57"/>
        <v>0</v>
      </c>
      <c r="T105" s="103">
        <f t="shared" ca="1" si="58"/>
        <v>0</v>
      </c>
      <c r="U105" s="103">
        <f t="shared" ca="1" si="59"/>
        <v>0</v>
      </c>
      <c r="V105" s="103">
        <f t="shared" ca="1" si="60"/>
        <v>0</v>
      </c>
      <c r="W105" s="103">
        <f t="shared" ca="1" si="61"/>
        <v>0</v>
      </c>
      <c r="X105" s="103">
        <f t="shared" ca="1" si="62"/>
        <v>0</v>
      </c>
      <c r="Y105" s="103">
        <f t="shared" ca="1" si="63"/>
        <v>0</v>
      </c>
      <c r="Z105" s="103">
        <f t="shared" ca="1" si="64"/>
        <v>0</v>
      </c>
      <c r="AA105" s="103">
        <f t="shared" ca="1" si="65"/>
        <v>0</v>
      </c>
      <c r="AB105" s="103">
        <f t="shared" ca="1" si="66"/>
        <v>0</v>
      </c>
      <c r="AC105" s="103">
        <f t="shared" ca="1" si="67"/>
        <v>0</v>
      </c>
      <c r="AD105" s="103">
        <f t="shared" ca="1" si="68"/>
        <v>0</v>
      </c>
      <c r="AE105" s="103">
        <f t="shared" ca="1" si="69"/>
        <v>0</v>
      </c>
      <c r="AF105" s="103">
        <f t="shared" ca="1" si="70"/>
        <v>0</v>
      </c>
      <c r="AG105" s="103">
        <f t="shared" ca="1" si="71"/>
        <v>0</v>
      </c>
      <c r="AH105" s="103">
        <f t="shared" ca="1" si="72"/>
        <v>0</v>
      </c>
      <c r="AI105" s="103">
        <f t="shared" ca="1" si="73"/>
        <v>0</v>
      </c>
      <c r="AJ105" s="98">
        <f t="shared" ca="1" si="108"/>
        <v>0</v>
      </c>
      <c r="AK105" s="103">
        <f t="shared" ca="1" si="108"/>
        <v>0</v>
      </c>
      <c r="AL105" s="103">
        <f t="shared" ca="1" si="108"/>
        <v>0</v>
      </c>
      <c r="AM105" s="103">
        <f t="shared" ca="1" si="108"/>
        <v>0</v>
      </c>
      <c r="AN105" s="103">
        <f t="shared" ca="1" si="108"/>
        <v>0</v>
      </c>
      <c r="AO105" s="103">
        <f t="shared" ca="1" si="108"/>
        <v>0</v>
      </c>
      <c r="AP105" s="103">
        <f t="shared" ca="1" si="108"/>
        <v>0</v>
      </c>
      <c r="AQ105" s="103">
        <f t="shared" ca="1" si="108"/>
        <v>0</v>
      </c>
      <c r="AR105" s="104">
        <f ca="1">COUNTIF(AJ105:AQ105,"&lt;"&amp;MAX(AJ105:AQ105))+IF(Calcs[[#This Row],[DL1]]=0,0,1)</f>
        <v>0</v>
      </c>
      <c r="AS105" s="105" t="str">
        <f ca="1">IF(LEN(Calcs[[#This Row],[Line]])&gt;0,IF(RIGHT(Calcs[[#This Row],[Remark]],3)=".  ",LEFT(Calcs[[#This Row],[Remark]],LEN(Calcs[[#This Row],[Remark]])-3),Calcs[[#This Row],[Remark]]),"")</f>
        <v/>
      </c>
      <c r="AT105" s="96">
        <f t="shared" ca="1" si="75"/>
        <v>0</v>
      </c>
      <c r="AU105" s="103">
        <f t="shared" ca="1" si="76"/>
        <v>0</v>
      </c>
      <c r="AV105" s="103">
        <f t="shared" ca="1" si="77"/>
        <v>0</v>
      </c>
      <c r="AW105" s="103">
        <f t="shared" ca="1" si="78"/>
        <v>0</v>
      </c>
      <c r="AX105" s="103">
        <f t="shared" ca="1" si="79"/>
        <v>0</v>
      </c>
      <c r="AY105" s="103">
        <f t="shared" ca="1" si="80"/>
        <v>0</v>
      </c>
      <c r="AZ105" s="103">
        <f t="shared" ca="1" si="81"/>
        <v>0</v>
      </c>
      <c r="BA105" s="103">
        <f t="shared" ca="1" si="82"/>
        <v>0</v>
      </c>
      <c r="BB105" s="103">
        <f t="shared" ca="1" si="83"/>
        <v>0</v>
      </c>
      <c r="BC105" s="103">
        <f t="shared" ca="1" si="84"/>
        <v>0</v>
      </c>
      <c r="BD105" s="103">
        <f t="shared" ca="1" si="85"/>
        <v>0</v>
      </c>
      <c r="BE105" s="103">
        <f t="shared" ca="1" si="86"/>
        <v>0</v>
      </c>
      <c r="BF105" s="103">
        <f t="shared" ca="1" si="87"/>
        <v>0</v>
      </c>
      <c r="BG105" s="103">
        <f t="shared" ca="1" si="88"/>
        <v>0</v>
      </c>
      <c r="BH105" s="103">
        <f t="shared" ca="1" si="89"/>
        <v>0</v>
      </c>
      <c r="BI105" s="103">
        <f t="shared" ca="1" si="90"/>
        <v>0</v>
      </c>
      <c r="BJ105" s="103">
        <f t="shared" ca="1" si="91"/>
        <v>0</v>
      </c>
      <c r="BK105" s="103">
        <f t="shared" ca="1" si="92"/>
        <v>0</v>
      </c>
      <c r="BL105" s="103">
        <f t="shared" ca="1" si="93"/>
        <v>0</v>
      </c>
      <c r="BM105" s="103">
        <f t="shared" ca="1" si="94"/>
        <v>0</v>
      </c>
      <c r="BN105" s="103">
        <f t="shared" ca="1" si="95"/>
        <v>0</v>
      </c>
      <c r="BO105" s="103">
        <f t="shared" ca="1" si="96"/>
        <v>0</v>
      </c>
      <c r="BP105" s="103">
        <f t="shared" ca="1" si="97"/>
        <v>0</v>
      </c>
      <c r="BQ105" s="103">
        <f t="shared" ca="1" si="98"/>
        <v>0</v>
      </c>
      <c r="BR105" s="103">
        <f t="shared" ca="1" si="99"/>
        <v>0</v>
      </c>
      <c r="BS105" s="103">
        <f t="shared" ca="1" si="100"/>
        <v>0</v>
      </c>
      <c r="BT105" s="103">
        <f t="shared" ca="1" si="101"/>
        <v>0</v>
      </c>
      <c r="BU105" s="103">
        <f t="shared" ca="1" si="102"/>
        <v>0</v>
      </c>
      <c r="BV105" s="103">
        <f t="shared" ca="1" si="103"/>
        <v>0</v>
      </c>
      <c r="BW105" s="103">
        <f t="shared" ca="1" si="104"/>
        <v>0</v>
      </c>
      <c r="BX105" s="103">
        <f t="shared" ca="1" si="105"/>
        <v>0</v>
      </c>
      <c r="BY105" s="103">
        <f t="shared" ca="1" si="106"/>
        <v>0</v>
      </c>
      <c r="BZ105" s="98">
        <f t="shared" ca="1" si="109"/>
        <v>0</v>
      </c>
      <c r="CA105" s="103">
        <f t="shared" ca="1" si="109"/>
        <v>0</v>
      </c>
      <c r="CB105" s="103">
        <f t="shared" ca="1" si="109"/>
        <v>0</v>
      </c>
      <c r="CC105" s="103">
        <f t="shared" ca="1" si="109"/>
        <v>0</v>
      </c>
      <c r="CD105" s="103">
        <f t="shared" ca="1" si="109"/>
        <v>0</v>
      </c>
      <c r="CE105" s="103">
        <f t="shared" ca="1" si="109"/>
        <v>0</v>
      </c>
      <c r="CF105" s="103">
        <f t="shared" ca="1" si="109"/>
        <v>0</v>
      </c>
      <c r="CG105" s="103">
        <f t="shared" ca="1" si="109"/>
        <v>0</v>
      </c>
      <c r="CH105" s="106">
        <f ca="1">COUNTIF(BZ105:CG105,"&lt;"&amp;MAX(BZ105:CG105))+IF(Calcs[[#This Row],[RL1]]=0,0,1)</f>
        <v>0</v>
      </c>
      <c r="CI10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5" s="103">
        <f ca="1">IFERROR(OFFSET(CJ105,-1,0)+0,0)+IF(INDEX(INDIRECT(RangeContrQty),MATCH(Calcs[[#This Row],[Line]],OFFSET(Items[Line],0,0,ROW(Proposed[])-ROW(Items[])+ROWS(Proposed[]),1),0)),1,0)</f>
        <v>0</v>
      </c>
    </row>
    <row r="106" spans="1:88" x14ac:dyDescent="0.15">
      <c r="A106" s="64">
        <f ca="1">IFERROR(OFFSET(A106,-1,0)+0,0)+MAX(IF(LEN(Calcs[[#This Row],[Line]])&gt;0,1,0),Calcs[[#This Row],[DL]],Calcs[[#This Row],[RL]])</f>
        <v>10</v>
      </c>
      <c r="B106" s="90" t="str">
        <f ca="1">IFERROR(INDEX(OFFSET(Items[Line],0,0,ROW(Proposed[])-ROW(Items[])+ROWS(Proposed[]),1),MATCH(ROW(B106)-ROW(B$3),INDIRECT(RangeCount),0)),"")</f>
        <v/>
      </c>
      <c r="C106" s="90" t="str">
        <f ca="1">IF(LEN(Calcs[[#This Row],[Line]])&gt;0,TRIM(IFERROR(INDEX(Items[Description],MATCH(Calcs[[#This Row],[Line]],Items[Line],0))&amp;INDEX(Items[Description2],MATCH(Calcs[[#This Row],[Line]],Items[Line],0)),INDEX(Proposed[Description],MATCH(Calcs[[#This Row],[Line]],Proposed[Line],0)))),"")</f>
        <v/>
      </c>
      <c r="D106" s="96">
        <f t="shared" ca="1" si="42"/>
        <v>0</v>
      </c>
      <c r="E106" s="103">
        <f t="shared" ca="1" si="43"/>
        <v>0</v>
      </c>
      <c r="F106" s="103">
        <f t="shared" ca="1" si="44"/>
        <v>0</v>
      </c>
      <c r="G106" s="103">
        <f t="shared" ca="1" si="45"/>
        <v>0</v>
      </c>
      <c r="H106" s="103">
        <f t="shared" ca="1" si="46"/>
        <v>0</v>
      </c>
      <c r="I106" s="103">
        <f t="shared" ca="1" si="47"/>
        <v>0</v>
      </c>
      <c r="J106" s="103">
        <f t="shared" ca="1" si="48"/>
        <v>0</v>
      </c>
      <c r="K106" s="103">
        <f t="shared" ca="1" si="49"/>
        <v>0</v>
      </c>
      <c r="L106" s="103">
        <f t="shared" ca="1" si="50"/>
        <v>0</v>
      </c>
      <c r="M106" s="103">
        <f t="shared" ca="1" si="51"/>
        <v>0</v>
      </c>
      <c r="N106" s="103">
        <f t="shared" ca="1" si="52"/>
        <v>0</v>
      </c>
      <c r="O106" s="103">
        <f t="shared" ca="1" si="53"/>
        <v>0</v>
      </c>
      <c r="P106" s="103">
        <f t="shared" ca="1" si="54"/>
        <v>0</v>
      </c>
      <c r="Q106" s="103">
        <f t="shared" ca="1" si="55"/>
        <v>0</v>
      </c>
      <c r="R106" s="103">
        <f t="shared" ca="1" si="56"/>
        <v>0</v>
      </c>
      <c r="S106" s="103">
        <f t="shared" ca="1" si="57"/>
        <v>0</v>
      </c>
      <c r="T106" s="103">
        <f t="shared" ca="1" si="58"/>
        <v>0</v>
      </c>
      <c r="U106" s="103">
        <f t="shared" ca="1" si="59"/>
        <v>0</v>
      </c>
      <c r="V106" s="103">
        <f t="shared" ca="1" si="60"/>
        <v>0</v>
      </c>
      <c r="W106" s="103">
        <f t="shared" ca="1" si="61"/>
        <v>0</v>
      </c>
      <c r="X106" s="103">
        <f t="shared" ca="1" si="62"/>
        <v>0</v>
      </c>
      <c r="Y106" s="103">
        <f t="shared" ca="1" si="63"/>
        <v>0</v>
      </c>
      <c r="Z106" s="103">
        <f t="shared" ca="1" si="64"/>
        <v>0</v>
      </c>
      <c r="AA106" s="103">
        <f t="shared" ca="1" si="65"/>
        <v>0</v>
      </c>
      <c r="AB106" s="103">
        <f t="shared" ca="1" si="66"/>
        <v>0</v>
      </c>
      <c r="AC106" s="103">
        <f t="shared" ca="1" si="67"/>
        <v>0</v>
      </c>
      <c r="AD106" s="103">
        <f t="shared" ca="1" si="68"/>
        <v>0</v>
      </c>
      <c r="AE106" s="103">
        <f t="shared" ca="1" si="69"/>
        <v>0</v>
      </c>
      <c r="AF106" s="103">
        <f t="shared" ca="1" si="70"/>
        <v>0</v>
      </c>
      <c r="AG106" s="103">
        <f t="shared" ca="1" si="71"/>
        <v>0</v>
      </c>
      <c r="AH106" s="103">
        <f t="shared" ca="1" si="72"/>
        <v>0</v>
      </c>
      <c r="AI106" s="103">
        <f t="shared" ca="1" si="73"/>
        <v>0</v>
      </c>
      <c r="AJ106" s="98">
        <f t="shared" ca="1" si="108"/>
        <v>0</v>
      </c>
      <c r="AK106" s="103">
        <f t="shared" ca="1" si="108"/>
        <v>0</v>
      </c>
      <c r="AL106" s="103">
        <f t="shared" ca="1" si="108"/>
        <v>0</v>
      </c>
      <c r="AM106" s="103">
        <f t="shared" ca="1" si="108"/>
        <v>0</v>
      </c>
      <c r="AN106" s="103">
        <f t="shared" ca="1" si="108"/>
        <v>0</v>
      </c>
      <c r="AO106" s="103">
        <f t="shared" ca="1" si="108"/>
        <v>0</v>
      </c>
      <c r="AP106" s="103">
        <f t="shared" ca="1" si="108"/>
        <v>0</v>
      </c>
      <c r="AQ106" s="103">
        <f t="shared" ca="1" si="108"/>
        <v>0</v>
      </c>
      <c r="AR106" s="104">
        <f ca="1">COUNTIF(AJ106:AQ106,"&lt;"&amp;MAX(AJ106:AQ106))+IF(Calcs[[#This Row],[DL1]]=0,0,1)</f>
        <v>0</v>
      </c>
      <c r="AS106" s="105" t="str">
        <f ca="1">IF(LEN(Calcs[[#This Row],[Line]])&gt;0,IF(RIGHT(Calcs[[#This Row],[Remark]],3)=".  ",LEFT(Calcs[[#This Row],[Remark]],LEN(Calcs[[#This Row],[Remark]])-3),Calcs[[#This Row],[Remark]]),"")</f>
        <v/>
      </c>
      <c r="AT106" s="96">
        <f t="shared" ca="1" si="75"/>
        <v>0</v>
      </c>
      <c r="AU106" s="103">
        <f t="shared" ca="1" si="76"/>
        <v>0</v>
      </c>
      <c r="AV106" s="103">
        <f t="shared" ca="1" si="77"/>
        <v>0</v>
      </c>
      <c r="AW106" s="103">
        <f t="shared" ca="1" si="78"/>
        <v>0</v>
      </c>
      <c r="AX106" s="103">
        <f t="shared" ca="1" si="79"/>
        <v>0</v>
      </c>
      <c r="AY106" s="103">
        <f t="shared" ca="1" si="80"/>
        <v>0</v>
      </c>
      <c r="AZ106" s="103">
        <f t="shared" ca="1" si="81"/>
        <v>0</v>
      </c>
      <c r="BA106" s="103">
        <f t="shared" ca="1" si="82"/>
        <v>0</v>
      </c>
      <c r="BB106" s="103">
        <f t="shared" ca="1" si="83"/>
        <v>0</v>
      </c>
      <c r="BC106" s="103">
        <f t="shared" ca="1" si="84"/>
        <v>0</v>
      </c>
      <c r="BD106" s="103">
        <f t="shared" ca="1" si="85"/>
        <v>0</v>
      </c>
      <c r="BE106" s="103">
        <f t="shared" ca="1" si="86"/>
        <v>0</v>
      </c>
      <c r="BF106" s="103">
        <f t="shared" ca="1" si="87"/>
        <v>0</v>
      </c>
      <c r="BG106" s="103">
        <f t="shared" ca="1" si="88"/>
        <v>0</v>
      </c>
      <c r="BH106" s="103">
        <f t="shared" ca="1" si="89"/>
        <v>0</v>
      </c>
      <c r="BI106" s="103">
        <f t="shared" ca="1" si="90"/>
        <v>0</v>
      </c>
      <c r="BJ106" s="103">
        <f t="shared" ca="1" si="91"/>
        <v>0</v>
      </c>
      <c r="BK106" s="103">
        <f t="shared" ca="1" si="92"/>
        <v>0</v>
      </c>
      <c r="BL106" s="103">
        <f t="shared" ca="1" si="93"/>
        <v>0</v>
      </c>
      <c r="BM106" s="103">
        <f t="shared" ca="1" si="94"/>
        <v>0</v>
      </c>
      <c r="BN106" s="103">
        <f t="shared" ca="1" si="95"/>
        <v>0</v>
      </c>
      <c r="BO106" s="103">
        <f t="shared" ca="1" si="96"/>
        <v>0</v>
      </c>
      <c r="BP106" s="103">
        <f t="shared" ca="1" si="97"/>
        <v>0</v>
      </c>
      <c r="BQ106" s="103">
        <f t="shared" ca="1" si="98"/>
        <v>0</v>
      </c>
      <c r="BR106" s="103">
        <f t="shared" ca="1" si="99"/>
        <v>0</v>
      </c>
      <c r="BS106" s="103">
        <f t="shared" ca="1" si="100"/>
        <v>0</v>
      </c>
      <c r="BT106" s="103">
        <f t="shared" ca="1" si="101"/>
        <v>0</v>
      </c>
      <c r="BU106" s="103">
        <f t="shared" ca="1" si="102"/>
        <v>0</v>
      </c>
      <c r="BV106" s="103">
        <f t="shared" ca="1" si="103"/>
        <v>0</v>
      </c>
      <c r="BW106" s="103">
        <f t="shared" ca="1" si="104"/>
        <v>0</v>
      </c>
      <c r="BX106" s="103">
        <f t="shared" ca="1" si="105"/>
        <v>0</v>
      </c>
      <c r="BY106" s="103">
        <f t="shared" ca="1" si="106"/>
        <v>0</v>
      </c>
      <c r="BZ106" s="98">
        <f t="shared" ca="1" si="109"/>
        <v>0</v>
      </c>
      <c r="CA106" s="103">
        <f t="shared" ca="1" si="109"/>
        <v>0</v>
      </c>
      <c r="CB106" s="103">
        <f t="shared" ca="1" si="109"/>
        <v>0</v>
      </c>
      <c r="CC106" s="103">
        <f t="shared" ca="1" si="109"/>
        <v>0</v>
      </c>
      <c r="CD106" s="103">
        <f t="shared" ca="1" si="109"/>
        <v>0</v>
      </c>
      <c r="CE106" s="103">
        <f t="shared" ca="1" si="109"/>
        <v>0</v>
      </c>
      <c r="CF106" s="103">
        <f t="shared" ca="1" si="109"/>
        <v>0</v>
      </c>
      <c r="CG106" s="103">
        <f t="shared" ca="1" si="109"/>
        <v>0</v>
      </c>
      <c r="CH106" s="106">
        <f ca="1">COUNTIF(BZ106:CG106,"&lt;"&amp;MAX(BZ106:CG106))+IF(Calcs[[#This Row],[RL1]]=0,0,1)</f>
        <v>0</v>
      </c>
      <c r="CI10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6" s="103">
        <f ca="1">IFERROR(OFFSET(CJ106,-1,0)+0,0)+IF(INDEX(INDIRECT(RangeContrQty),MATCH(Calcs[[#This Row],[Line]],OFFSET(Items[Line],0,0,ROW(Proposed[])-ROW(Items[])+ROWS(Proposed[]),1),0)),1,0)</f>
        <v>0</v>
      </c>
    </row>
    <row r="107" spans="1:88" x14ac:dyDescent="0.15">
      <c r="A107" s="64">
        <f ca="1">IFERROR(OFFSET(A107,-1,0)+0,0)+MAX(IF(LEN(Calcs[[#This Row],[Line]])&gt;0,1,0),Calcs[[#This Row],[DL]],Calcs[[#This Row],[RL]])</f>
        <v>10</v>
      </c>
      <c r="B107" s="90" t="str">
        <f ca="1">IFERROR(INDEX(OFFSET(Items[Line],0,0,ROW(Proposed[])-ROW(Items[])+ROWS(Proposed[]),1),MATCH(ROW(B107)-ROW(B$3),INDIRECT(RangeCount),0)),"")</f>
        <v/>
      </c>
      <c r="C107" s="90" t="str">
        <f ca="1">IF(LEN(Calcs[[#This Row],[Line]])&gt;0,TRIM(IFERROR(INDEX(Items[Description],MATCH(Calcs[[#This Row],[Line]],Items[Line],0))&amp;INDEX(Items[Description2],MATCH(Calcs[[#This Row],[Line]],Items[Line],0)),INDEX(Proposed[Description],MATCH(Calcs[[#This Row],[Line]],Proposed[Line],0)))),"")</f>
        <v/>
      </c>
      <c r="D107" s="96">
        <f t="shared" ca="1" si="42"/>
        <v>0</v>
      </c>
      <c r="E107" s="103">
        <f t="shared" ca="1" si="43"/>
        <v>0</v>
      </c>
      <c r="F107" s="103">
        <f t="shared" ca="1" si="44"/>
        <v>0</v>
      </c>
      <c r="G107" s="103">
        <f t="shared" ca="1" si="45"/>
        <v>0</v>
      </c>
      <c r="H107" s="103">
        <f t="shared" ca="1" si="46"/>
        <v>0</v>
      </c>
      <c r="I107" s="103">
        <f t="shared" ca="1" si="47"/>
        <v>0</v>
      </c>
      <c r="J107" s="103">
        <f t="shared" ca="1" si="48"/>
        <v>0</v>
      </c>
      <c r="K107" s="103">
        <f t="shared" ca="1" si="49"/>
        <v>0</v>
      </c>
      <c r="L107" s="103">
        <f t="shared" ca="1" si="50"/>
        <v>0</v>
      </c>
      <c r="M107" s="103">
        <f t="shared" ca="1" si="51"/>
        <v>0</v>
      </c>
      <c r="N107" s="103">
        <f t="shared" ca="1" si="52"/>
        <v>0</v>
      </c>
      <c r="O107" s="103">
        <f t="shared" ca="1" si="53"/>
        <v>0</v>
      </c>
      <c r="P107" s="103">
        <f t="shared" ca="1" si="54"/>
        <v>0</v>
      </c>
      <c r="Q107" s="103">
        <f t="shared" ca="1" si="55"/>
        <v>0</v>
      </c>
      <c r="R107" s="103">
        <f t="shared" ca="1" si="56"/>
        <v>0</v>
      </c>
      <c r="S107" s="103">
        <f t="shared" ca="1" si="57"/>
        <v>0</v>
      </c>
      <c r="T107" s="103">
        <f t="shared" ca="1" si="58"/>
        <v>0</v>
      </c>
      <c r="U107" s="103">
        <f t="shared" ca="1" si="59"/>
        <v>0</v>
      </c>
      <c r="V107" s="103">
        <f t="shared" ca="1" si="60"/>
        <v>0</v>
      </c>
      <c r="W107" s="103">
        <f t="shared" ca="1" si="61"/>
        <v>0</v>
      </c>
      <c r="X107" s="103">
        <f t="shared" ca="1" si="62"/>
        <v>0</v>
      </c>
      <c r="Y107" s="103">
        <f t="shared" ca="1" si="63"/>
        <v>0</v>
      </c>
      <c r="Z107" s="103">
        <f t="shared" ca="1" si="64"/>
        <v>0</v>
      </c>
      <c r="AA107" s="103">
        <f t="shared" ca="1" si="65"/>
        <v>0</v>
      </c>
      <c r="AB107" s="103">
        <f t="shared" ca="1" si="66"/>
        <v>0</v>
      </c>
      <c r="AC107" s="103">
        <f t="shared" ca="1" si="67"/>
        <v>0</v>
      </c>
      <c r="AD107" s="103">
        <f t="shared" ca="1" si="68"/>
        <v>0</v>
      </c>
      <c r="AE107" s="103">
        <f t="shared" ca="1" si="69"/>
        <v>0</v>
      </c>
      <c r="AF107" s="103">
        <f t="shared" ca="1" si="70"/>
        <v>0</v>
      </c>
      <c r="AG107" s="103">
        <f t="shared" ca="1" si="71"/>
        <v>0</v>
      </c>
      <c r="AH107" s="103">
        <f t="shared" ca="1" si="72"/>
        <v>0</v>
      </c>
      <c r="AI107" s="103">
        <f t="shared" ca="1" si="73"/>
        <v>0</v>
      </c>
      <c r="AJ107" s="98">
        <f t="shared" ca="1" si="108"/>
        <v>0</v>
      </c>
      <c r="AK107" s="103">
        <f t="shared" ca="1" si="108"/>
        <v>0</v>
      </c>
      <c r="AL107" s="103">
        <f t="shared" ca="1" si="108"/>
        <v>0</v>
      </c>
      <c r="AM107" s="103">
        <f t="shared" ca="1" si="108"/>
        <v>0</v>
      </c>
      <c r="AN107" s="103">
        <f t="shared" ca="1" si="108"/>
        <v>0</v>
      </c>
      <c r="AO107" s="103">
        <f t="shared" ca="1" si="108"/>
        <v>0</v>
      </c>
      <c r="AP107" s="103">
        <f t="shared" ca="1" si="108"/>
        <v>0</v>
      </c>
      <c r="AQ107" s="103">
        <f t="shared" ca="1" si="108"/>
        <v>0</v>
      </c>
      <c r="AR107" s="104">
        <f ca="1">COUNTIF(AJ107:AQ107,"&lt;"&amp;MAX(AJ107:AQ107))+IF(Calcs[[#This Row],[DL1]]=0,0,1)</f>
        <v>0</v>
      </c>
      <c r="AS107" s="105" t="str">
        <f ca="1">IF(LEN(Calcs[[#This Row],[Line]])&gt;0,IF(RIGHT(Calcs[[#This Row],[Remark]],3)=".  ",LEFT(Calcs[[#This Row],[Remark]],LEN(Calcs[[#This Row],[Remark]])-3),Calcs[[#This Row],[Remark]]),"")</f>
        <v/>
      </c>
      <c r="AT107" s="96">
        <f t="shared" ca="1" si="75"/>
        <v>0</v>
      </c>
      <c r="AU107" s="103">
        <f t="shared" ca="1" si="76"/>
        <v>0</v>
      </c>
      <c r="AV107" s="103">
        <f t="shared" ca="1" si="77"/>
        <v>0</v>
      </c>
      <c r="AW107" s="103">
        <f t="shared" ca="1" si="78"/>
        <v>0</v>
      </c>
      <c r="AX107" s="103">
        <f t="shared" ca="1" si="79"/>
        <v>0</v>
      </c>
      <c r="AY107" s="103">
        <f t="shared" ca="1" si="80"/>
        <v>0</v>
      </c>
      <c r="AZ107" s="103">
        <f t="shared" ca="1" si="81"/>
        <v>0</v>
      </c>
      <c r="BA107" s="103">
        <f t="shared" ca="1" si="82"/>
        <v>0</v>
      </c>
      <c r="BB107" s="103">
        <f t="shared" ca="1" si="83"/>
        <v>0</v>
      </c>
      <c r="BC107" s="103">
        <f t="shared" ca="1" si="84"/>
        <v>0</v>
      </c>
      <c r="BD107" s="103">
        <f t="shared" ca="1" si="85"/>
        <v>0</v>
      </c>
      <c r="BE107" s="103">
        <f t="shared" ca="1" si="86"/>
        <v>0</v>
      </c>
      <c r="BF107" s="103">
        <f t="shared" ca="1" si="87"/>
        <v>0</v>
      </c>
      <c r="BG107" s="103">
        <f t="shared" ca="1" si="88"/>
        <v>0</v>
      </c>
      <c r="BH107" s="103">
        <f t="shared" ca="1" si="89"/>
        <v>0</v>
      </c>
      <c r="BI107" s="103">
        <f t="shared" ca="1" si="90"/>
        <v>0</v>
      </c>
      <c r="BJ107" s="103">
        <f t="shared" ca="1" si="91"/>
        <v>0</v>
      </c>
      <c r="BK107" s="103">
        <f t="shared" ca="1" si="92"/>
        <v>0</v>
      </c>
      <c r="BL107" s="103">
        <f t="shared" ca="1" si="93"/>
        <v>0</v>
      </c>
      <c r="BM107" s="103">
        <f t="shared" ca="1" si="94"/>
        <v>0</v>
      </c>
      <c r="BN107" s="103">
        <f t="shared" ca="1" si="95"/>
        <v>0</v>
      </c>
      <c r="BO107" s="103">
        <f t="shared" ca="1" si="96"/>
        <v>0</v>
      </c>
      <c r="BP107" s="103">
        <f t="shared" ca="1" si="97"/>
        <v>0</v>
      </c>
      <c r="BQ107" s="103">
        <f t="shared" ca="1" si="98"/>
        <v>0</v>
      </c>
      <c r="BR107" s="103">
        <f t="shared" ca="1" si="99"/>
        <v>0</v>
      </c>
      <c r="BS107" s="103">
        <f t="shared" ca="1" si="100"/>
        <v>0</v>
      </c>
      <c r="BT107" s="103">
        <f t="shared" ca="1" si="101"/>
        <v>0</v>
      </c>
      <c r="BU107" s="103">
        <f t="shared" ca="1" si="102"/>
        <v>0</v>
      </c>
      <c r="BV107" s="103">
        <f t="shared" ca="1" si="103"/>
        <v>0</v>
      </c>
      <c r="BW107" s="103">
        <f t="shared" ca="1" si="104"/>
        <v>0</v>
      </c>
      <c r="BX107" s="103">
        <f t="shared" ca="1" si="105"/>
        <v>0</v>
      </c>
      <c r="BY107" s="103">
        <f t="shared" ca="1" si="106"/>
        <v>0</v>
      </c>
      <c r="BZ107" s="98">
        <f t="shared" ca="1" si="109"/>
        <v>0</v>
      </c>
      <c r="CA107" s="103">
        <f t="shared" ca="1" si="109"/>
        <v>0</v>
      </c>
      <c r="CB107" s="103">
        <f t="shared" ca="1" si="109"/>
        <v>0</v>
      </c>
      <c r="CC107" s="103">
        <f t="shared" ca="1" si="109"/>
        <v>0</v>
      </c>
      <c r="CD107" s="103">
        <f t="shared" ca="1" si="109"/>
        <v>0</v>
      </c>
      <c r="CE107" s="103">
        <f t="shared" ca="1" si="109"/>
        <v>0</v>
      </c>
      <c r="CF107" s="103">
        <f t="shared" ca="1" si="109"/>
        <v>0</v>
      </c>
      <c r="CG107" s="103">
        <f t="shared" ca="1" si="109"/>
        <v>0</v>
      </c>
      <c r="CH107" s="106">
        <f ca="1">COUNTIF(BZ107:CG107,"&lt;"&amp;MAX(BZ107:CG107))+IF(Calcs[[#This Row],[RL1]]=0,0,1)</f>
        <v>0</v>
      </c>
      <c r="CI10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7" s="103">
        <f ca="1">IFERROR(OFFSET(CJ107,-1,0)+0,0)+IF(INDEX(INDIRECT(RangeContrQty),MATCH(Calcs[[#This Row],[Line]],OFFSET(Items[Line],0,0,ROW(Proposed[])-ROW(Items[])+ROWS(Proposed[]),1),0)),1,0)</f>
        <v>0</v>
      </c>
    </row>
    <row r="108" spans="1:88" x14ac:dyDescent="0.15">
      <c r="A108" s="64">
        <f ca="1">IFERROR(OFFSET(A108,-1,0)+0,0)+MAX(IF(LEN(Calcs[[#This Row],[Line]])&gt;0,1,0),Calcs[[#This Row],[DL]],Calcs[[#This Row],[RL]])</f>
        <v>10</v>
      </c>
      <c r="B108" s="90" t="str">
        <f ca="1">IFERROR(INDEX(OFFSET(Items[Line],0,0,ROW(Proposed[])-ROW(Items[])+ROWS(Proposed[]),1),MATCH(ROW(B108)-ROW(B$3),INDIRECT(RangeCount),0)),"")</f>
        <v/>
      </c>
      <c r="C108" s="90" t="str">
        <f ca="1">IF(LEN(Calcs[[#This Row],[Line]])&gt;0,TRIM(IFERROR(INDEX(Items[Description],MATCH(Calcs[[#This Row],[Line]],Items[Line],0))&amp;INDEX(Items[Description2],MATCH(Calcs[[#This Row],[Line]],Items[Line],0)),INDEX(Proposed[Description],MATCH(Calcs[[#This Row],[Line]],Proposed[Line],0)))),"")</f>
        <v/>
      </c>
      <c r="D108" s="96">
        <f t="shared" ca="1" si="42"/>
        <v>0</v>
      </c>
      <c r="E108" s="103">
        <f t="shared" ca="1" si="43"/>
        <v>0</v>
      </c>
      <c r="F108" s="103">
        <f t="shared" ca="1" si="44"/>
        <v>0</v>
      </c>
      <c r="G108" s="103">
        <f t="shared" ca="1" si="45"/>
        <v>0</v>
      </c>
      <c r="H108" s="103">
        <f t="shared" ca="1" si="46"/>
        <v>0</v>
      </c>
      <c r="I108" s="103">
        <f t="shared" ca="1" si="47"/>
        <v>0</v>
      </c>
      <c r="J108" s="103">
        <f t="shared" ca="1" si="48"/>
        <v>0</v>
      </c>
      <c r="K108" s="103">
        <f t="shared" ca="1" si="49"/>
        <v>0</v>
      </c>
      <c r="L108" s="103">
        <f t="shared" ca="1" si="50"/>
        <v>0</v>
      </c>
      <c r="M108" s="103">
        <f t="shared" ca="1" si="51"/>
        <v>0</v>
      </c>
      <c r="N108" s="103">
        <f t="shared" ca="1" si="52"/>
        <v>0</v>
      </c>
      <c r="O108" s="103">
        <f t="shared" ca="1" si="53"/>
        <v>0</v>
      </c>
      <c r="P108" s="103">
        <f t="shared" ca="1" si="54"/>
        <v>0</v>
      </c>
      <c r="Q108" s="103">
        <f t="shared" ca="1" si="55"/>
        <v>0</v>
      </c>
      <c r="R108" s="103">
        <f t="shared" ca="1" si="56"/>
        <v>0</v>
      </c>
      <c r="S108" s="103">
        <f t="shared" ca="1" si="57"/>
        <v>0</v>
      </c>
      <c r="T108" s="103">
        <f t="shared" ca="1" si="58"/>
        <v>0</v>
      </c>
      <c r="U108" s="103">
        <f t="shared" ca="1" si="59"/>
        <v>0</v>
      </c>
      <c r="V108" s="103">
        <f t="shared" ca="1" si="60"/>
        <v>0</v>
      </c>
      <c r="W108" s="103">
        <f t="shared" ca="1" si="61"/>
        <v>0</v>
      </c>
      <c r="X108" s="103">
        <f t="shared" ca="1" si="62"/>
        <v>0</v>
      </c>
      <c r="Y108" s="103">
        <f t="shared" ca="1" si="63"/>
        <v>0</v>
      </c>
      <c r="Z108" s="103">
        <f t="shared" ca="1" si="64"/>
        <v>0</v>
      </c>
      <c r="AA108" s="103">
        <f t="shared" ca="1" si="65"/>
        <v>0</v>
      </c>
      <c r="AB108" s="103">
        <f t="shared" ca="1" si="66"/>
        <v>0</v>
      </c>
      <c r="AC108" s="103">
        <f t="shared" ca="1" si="67"/>
        <v>0</v>
      </c>
      <c r="AD108" s="103">
        <f t="shared" ca="1" si="68"/>
        <v>0</v>
      </c>
      <c r="AE108" s="103">
        <f t="shared" ca="1" si="69"/>
        <v>0</v>
      </c>
      <c r="AF108" s="103">
        <f t="shared" ca="1" si="70"/>
        <v>0</v>
      </c>
      <c r="AG108" s="103">
        <f t="shared" ca="1" si="71"/>
        <v>0</v>
      </c>
      <c r="AH108" s="103">
        <f t="shared" ca="1" si="72"/>
        <v>0</v>
      </c>
      <c r="AI108" s="103">
        <f t="shared" ca="1" si="73"/>
        <v>0</v>
      </c>
      <c r="AJ108" s="98">
        <f t="shared" ca="1" si="108"/>
        <v>0</v>
      </c>
      <c r="AK108" s="103">
        <f t="shared" ca="1" si="108"/>
        <v>0</v>
      </c>
      <c r="AL108" s="103">
        <f t="shared" ca="1" si="108"/>
        <v>0</v>
      </c>
      <c r="AM108" s="103">
        <f t="shared" ca="1" si="108"/>
        <v>0</v>
      </c>
      <c r="AN108" s="103">
        <f t="shared" ca="1" si="108"/>
        <v>0</v>
      </c>
      <c r="AO108" s="103">
        <f t="shared" ca="1" si="108"/>
        <v>0</v>
      </c>
      <c r="AP108" s="103">
        <f t="shared" ca="1" si="108"/>
        <v>0</v>
      </c>
      <c r="AQ108" s="103">
        <f t="shared" ca="1" si="108"/>
        <v>0</v>
      </c>
      <c r="AR108" s="104">
        <f ca="1">COUNTIF(AJ108:AQ108,"&lt;"&amp;MAX(AJ108:AQ108))+IF(Calcs[[#This Row],[DL1]]=0,0,1)</f>
        <v>0</v>
      </c>
      <c r="AS108" s="105" t="str">
        <f ca="1">IF(LEN(Calcs[[#This Row],[Line]])&gt;0,IF(RIGHT(Calcs[[#This Row],[Remark]],3)=".  ",LEFT(Calcs[[#This Row],[Remark]],LEN(Calcs[[#This Row],[Remark]])-3),Calcs[[#This Row],[Remark]]),"")</f>
        <v/>
      </c>
      <c r="AT108" s="96">
        <f t="shared" ca="1" si="75"/>
        <v>0</v>
      </c>
      <c r="AU108" s="103">
        <f t="shared" ca="1" si="76"/>
        <v>0</v>
      </c>
      <c r="AV108" s="103">
        <f t="shared" ca="1" si="77"/>
        <v>0</v>
      </c>
      <c r="AW108" s="103">
        <f t="shared" ca="1" si="78"/>
        <v>0</v>
      </c>
      <c r="AX108" s="103">
        <f t="shared" ca="1" si="79"/>
        <v>0</v>
      </c>
      <c r="AY108" s="103">
        <f t="shared" ca="1" si="80"/>
        <v>0</v>
      </c>
      <c r="AZ108" s="103">
        <f t="shared" ca="1" si="81"/>
        <v>0</v>
      </c>
      <c r="BA108" s="103">
        <f t="shared" ca="1" si="82"/>
        <v>0</v>
      </c>
      <c r="BB108" s="103">
        <f t="shared" ca="1" si="83"/>
        <v>0</v>
      </c>
      <c r="BC108" s="103">
        <f t="shared" ca="1" si="84"/>
        <v>0</v>
      </c>
      <c r="BD108" s="103">
        <f t="shared" ca="1" si="85"/>
        <v>0</v>
      </c>
      <c r="BE108" s="103">
        <f t="shared" ca="1" si="86"/>
        <v>0</v>
      </c>
      <c r="BF108" s="103">
        <f t="shared" ca="1" si="87"/>
        <v>0</v>
      </c>
      <c r="BG108" s="103">
        <f t="shared" ca="1" si="88"/>
        <v>0</v>
      </c>
      <c r="BH108" s="103">
        <f t="shared" ca="1" si="89"/>
        <v>0</v>
      </c>
      <c r="BI108" s="103">
        <f t="shared" ca="1" si="90"/>
        <v>0</v>
      </c>
      <c r="BJ108" s="103">
        <f t="shared" ca="1" si="91"/>
        <v>0</v>
      </c>
      <c r="BK108" s="103">
        <f t="shared" ca="1" si="92"/>
        <v>0</v>
      </c>
      <c r="BL108" s="103">
        <f t="shared" ca="1" si="93"/>
        <v>0</v>
      </c>
      <c r="BM108" s="103">
        <f t="shared" ca="1" si="94"/>
        <v>0</v>
      </c>
      <c r="BN108" s="103">
        <f t="shared" ca="1" si="95"/>
        <v>0</v>
      </c>
      <c r="BO108" s="103">
        <f t="shared" ca="1" si="96"/>
        <v>0</v>
      </c>
      <c r="BP108" s="103">
        <f t="shared" ca="1" si="97"/>
        <v>0</v>
      </c>
      <c r="BQ108" s="103">
        <f t="shared" ca="1" si="98"/>
        <v>0</v>
      </c>
      <c r="BR108" s="103">
        <f t="shared" ca="1" si="99"/>
        <v>0</v>
      </c>
      <c r="BS108" s="103">
        <f t="shared" ca="1" si="100"/>
        <v>0</v>
      </c>
      <c r="BT108" s="103">
        <f t="shared" ca="1" si="101"/>
        <v>0</v>
      </c>
      <c r="BU108" s="103">
        <f t="shared" ca="1" si="102"/>
        <v>0</v>
      </c>
      <c r="BV108" s="103">
        <f t="shared" ca="1" si="103"/>
        <v>0</v>
      </c>
      <c r="BW108" s="103">
        <f t="shared" ca="1" si="104"/>
        <v>0</v>
      </c>
      <c r="BX108" s="103">
        <f t="shared" ca="1" si="105"/>
        <v>0</v>
      </c>
      <c r="BY108" s="103">
        <f t="shared" ca="1" si="106"/>
        <v>0</v>
      </c>
      <c r="BZ108" s="98">
        <f t="shared" ca="1" si="109"/>
        <v>0</v>
      </c>
      <c r="CA108" s="103">
        <f t="shared" ca="1" si="109"/>
        <v>0</v>
      </c>
      <c r="CB108" s="103">
        <f t="shared" ca="1" si="109"/>
        <v>0</v>
      </c>
      <c r="CC108" s="103">
        <f t="shared" ca="1" si="109"/>
        <v>0</v>
      </c>
      <c r="CD108" s="103">
        <f t="shared" ca="1" si="109"/>
        <v>0</v>
      </c>
      <c r="CE108" s="103">
        <f t="shared" ca="1" si="109"/>
        <v>0</v>
      </c>
      <c r="CF108" s="103">
        <f t="shared" ca="1" si="109"/>
        <v>0</v>
      </c>
      <c r="CG108" s="103">
        <f t="shared" ca="1" si="109"/>
        <v>0</v>
      </c>
      <c r="CH108" s="106">
        <f ca="1">COUNTIF(BZ108:CG108,"&lt;"&amp;MAX(BZ108:CG108))+IF(Calcs[[#This Row],[RL1]]=0,0,1)</f>
        <v>0</v>
      </c>
      <c r="CI10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8" s="103">
        <f ca="1">IFERROR(OFFSET(CJ108,-1,0)+0,0)+IF(INDEX(INDIRECT(RangeContrQty),MATCH(Calcs[[#This Row],[Line]],OFFSET(Items[Line],0,0,ROW(Proposed[])-ROW(Items[])+ROWS(Proposed[]),1),0)),1,0)</f>
        <v>0</v>
      </c>
    </row>
    <row r="109" spans="1:88" x14ac:dyDescent="0.15">
      <c r="A109" s="64">
        <f ca="1">IFERROR(OFFSET(A109,-1,0)+0,0)+MAX(IF(LEN(Calcs[[#This Row],[Line]])&gt;0,1,0),Calcs[[#This Row],[DL]],Calcs[[#This Row],[RL]])</f>
        <v>10</v>
      </c>
      <c r="B109" s="90" t="str">
        <f ca="1">IFERROR(INDEX(OFFSET(Items[Line],0,0,ROW(Proposed[])-ROW(Items[])+ROWS(Proposed[]),1),MATCH(ROW(B109)-ROW(B$3),INDIRECT(RangeCount),0)),"")</f>
        <v/>
      </c>
      <c r="C109" s="90" t="str">
        <f ca="1">IF(LEN(Calcs[[#This Row],[Line]])&gt;0,TRIM(IFERROR(INDEX(Items[Description],MATCH(Calcs[[#This Row],[Line]],Items[Line],0))&amp;INDEX(Items[Description2],MATCH(Calcs[[#This Row],[Line]],Items[Line],0)),INDEX(Proposed[Description],MATCH(Calcs[[#This Row],[Line]],Proposed[Line],0)))),"")</f>
        <v/>
      </c>
      <c r="D109" s="96">
        <f t="shared" ca="1" si="42"/>
        <v>0</v>
      </c>
      <c r="E109" s="103">
        <f t="shared" ca="1" si="43"/>
        <v>0</v>
      </c>
      <c r="F109" s="103">
        <f t="shared" ca="1" si="44"/>
        <v>0</v>
      </c>
      <c r="G109" s="103">
        <f t="shared" ca="1" si="45"/>
        <v>0</v>
      </c>
      <c r="H109" s="103">
        <f t="shared" ca="1" si="46"/>
        <v>0</v>
      </c>
      <c r="I109" s="103">
        <f t="shared" ca="1" si="47"/>
        <v>0</v>
      </c>
      <c r="J109" s="103">
        <f t="shared" ca="1" si="48"/>
        <v>0</v>
      </c>
      <c r="K109" s="103">
        <f t="shared" ca="1" si="49"/>
        <v>0</v>
      </c>
      <c r="L109" s="103">
        <f t="shared" ca="1" si="50"/>
        <v>0</v>
      </c>
      <c r="M109" s="103">
        <f t="shared" ca="1" si="51"/>
        <v>0</v>
      </c>
      <c r="N109" s="103">
        <f t="shared" ca="1" si="52"/>
        <v>0</v>
      </c>
      <c r="O109" s="103">
        <f t="shared" ca="1" si="53"/>
        <v>0</v>
      </c>
      <c r="P109" s="103">
        <f t="shared" ca="1" si="54"/>
        <v>0</v>
      </c>
      <c r="Q109" s="103">
        <f t="shared" ca="1" si="55"/>
        <v>0</v>
      </c>
      <c r="R109" s="103">
        <f t="shared" ca="1" si="56"/>
        <v>0</v>
      </c>
      <c r="S109" s="103">
        <f t="shared" ca="1" si="57"/>
        <v>0</v>
      </c>
      <c r="T109" s="103">
        <f t="shared" ca="1" si="58"/>
        <v>0</v>
      </c>
      <c r="U109" s="103">
        <f t="shared" ca="1" si="59"/>
        <v>0</v>
      </c>
      <c r="V109" s="103">
        <f t="shared" ca="1" si="60"/>
        <v>0</v>
      </c>
      <c r="W109" s="103">
        <f t="shared" ca="1" si="61"/>
        <v>0</v>
      </c>
      <c r="X109" s="103">
        <f t="shared" ca="1" si="62"/>
        <v>0</v>
      </c>
      <c r="Y109" s="103">
        <f t="shared" ca="1" si="63"/>
        <v>0</v>
      </c>
      <c r="Z109" s="103">
        <f t="shared" ca="1" si="64"/>
        <v>0</v>
      </c>
      <c r="AA109" s="103">
        <f t="shared" ca="1" si="65"/>
        <v>0</v>
      </c>
      <c r="AB109" s="103">
        <f t="shared" ca="1" si="66"/>
        <v>0</v>
      </c>
      <c r="AC109" s="103">
        <f t="shared" ca="1" si="67"/>
        <v>0</v>
      </c>
      <c r="AD109" s="103">
        <f t="shared" ca="1" si="68"/>
        <v>0</v>
      </c>
      <c r="AE109" s="103">
        <f t="shared" ca="1" si="69"/>
        <v>0</v>
      </c>
      <c r="AF109" s="103">
        <f t="shared" ca="1" si="70"/>
        <v>0</v>
      </c>
      <c r="AG109" s="103">
        <f t="shared" ca="1" si="71"/>
        <v>0</v>
      </c>
      <c r="AH109" s="103">
        <f t="shared" ca="1" si="72"/>
        <v>0</v>
      </c>
      <c r="AI109" s="103">
        <f t="shared" ca="1" si="73"/>
        <v>0</v>
      </c>
      <c r="AJ109" s="98">
        <f t="shared" ca="1" si="108"/>
        <v>0</v>
      </c>
      <c r="AK109" s="103">
        <f t="shared" ca="1" si="108"/>
        <v>0</v>
      </c>
      <c r="AL109" s="103">
        <f t="shared" ca="1" si="108"/>
        <v>0</v>
      </c>
      <c r="AM109" s="103">
        <f t="shared" ca="1" si="108"/>
        <v>0</v>
      </c>
      <c r="AN109" s="103">
        <f t="shared" ca="1" si="108"/>
        <v>0</v>
      </c>
      <c r="AO109" s="103">
        <f t="shared" ca="1" si="108"/>
        <v>0</v>
      </c>
      <c r="AP109" s="103">
        <f t="shared" ca="1" si="108"/>
        <v>0</v>
      </c>
      <c r="AQ109" s="103">
        <f t="shared" ca="1" si="108"/>
        <v>0</v>
      </c>
      <c r="AR109" s="104">
        <f ca="1">COUNTIF(AJ109:AQ109,"&lt;"&amp;MAX(AJ109:AQ109))+IF(Calcs[[#This Row],[DL1]]=0,0,1)</f>
        <v>0</v>
      </c>
      <c r="AS109" s="105" t="str">
        <f ca="1">IF(LEN(Calcs[[#This Row],[Line]])&gt;0,IF(RIGHT(Calcs[[#This Row],[Remark]],3)=".  ",LEFT(Calcs[[#This Row],[Remark]],LEN(Calcs[[#This Row],[Remark]])-3),Calcs[[#This Row],[Remark]]),"")</f>
        <v/>
      </c>
      <c r="AT109" s="96">
        <f t="shared" ca="1" si="75"/>
        <v>0</v>
      </c>
      <c r="AU109" s="103">
        <f t="shared" ca="1" si="76"/>
        <v>0</v>
      </c>
      <c r="AV109" s="103">
        <f t="shared" ca="1" si="77"/>
        <v>0</v>
      </c>
      <c r="AW109" s="103">
        <f t="shared" ca="1" si="78"/>
        <v>0</v>
      </c>
      <c r="AX109" s="103">
        <f t="shared" ca="1" si="79"/>
        <v>0</v>
      </c>
      <c r="AY109" s="103">
        <f t="shared" ca="1" si="80"/>
        <v>0</v>
      </c>
      <c r="AZ109" s="103">
        <f t="shared" ca="1" si="81"/>
        <v>0</v>
      </c>
      <c r="BA109" s="103">
        <f t="shared" ca="1" si="82"/>
        <v>0</v>
      </c>
      <c r="BB109" s="103">
        <f t="shared" ca="1" si="83"/>
        <v>0</v>
      </c>
      <c r="BC109" s="103">
        <f t="shared" ca="1" si="84"/>
        <v>0</v>
      </c>
      <c r="BD109" s="103">
        <f t="shared" ca="1" si="85"/>
        <v>0</v>
      </c>
      <c r="BE109" s="103">
        <f t="shared" ca="1" si="86"/>
        <v>0</v>
      </c>
      <c r="BF109" s="103">
        <f t="shared" ca="1" si="87"/>
        <v>0</v>
      </c>
      <c r="BG109" s="103">
        <f t="shared" ca="1" si="88"/>
        <v>0</v>
      </c>
      <c r="BH109" s="103">
        <f t="shared" ca="1" si="89"/>
        <v>0</v>
      </c>
      <c r="BI109" s="103">
        <f t="shared" ca="1" si="90"/>
        <v>0</v>
      </c>
      <c r="BJ109" s="103">
        <f t="shared" ca="1" si="91"/>
        <v>0</v>
      </c>
      <c r="BK109" s="103">
        <f t="shared" ca="1" si="92"/>
        <v>0</v>
      </c>
      <c r="BL109" s="103">
        <f t="shared" ca="1" si="93"/>
        <v>0</v>
      </c>
      <c r="BM109" s="103">
        <f t="shared" ca="1" si="94"/>
        <v>0</v>
      </c>
      <c r="BN109" s="103">
        <f t="shared" ca="1" si="95"/>
        <v>0</v>
      </c>
      <c r="BO109" s="103">
        <f t="shared" ca="1" si="96"/>
        <v>0</v>
      </c>
      <c r="BP109" s="103">
        <f t="shared" ca="1" si="97"/>
        <v>0</v>
      </c>
      <c r="BQ109" s="103">
        <f t="shared" ca="1" si="98"/>
        <v>0</v>
      </c>
      <c r="BR109" s="103">
        <f t="shared" ca="1" si="99"/>
        <v>0</v>
      </c>
      <c r="BS109" s="103">
        <f t="shared" ca="1" si="100"/>
        <v>0</v>
      </c>
      <c r="BT109" s="103">
        <f t="shared" ca="1" si="101"/>
        <v>0</v>
      </c>
      <c r="BU109" s="103">
        <f t="shared" ca="1" si="102"/>
        <v>0</v>
      </c>
      <c r="BV109" s="103">
        <f t="shared" ca="1" si="103"/>
        <v>0</v>
      </c>
      <c r="BW109" s="103">
        <f t="shared" ca="1" si="104"/>
        <v>0</v>
      </c>
      <c r="BX109" s="103">
        <f t="shared" ca="1" si="105"/>
        <v>0</v>
      </c>
      <c r="BY109" s="103">
        <f t="shared" ca="1" si="106"/>
        <v>0</v>
      </c>
      <c r="BZ109" s="98">
        <f t="shared" ca="1" si="109"/>
        <v>0</v>
      </c>
      <c r="CA109" s="103">
        <f t="shared" ca="1" si="109"/>
        <v>0</v>
      </c>
      <c r="CB109" s="103">
        <f t="shared" ca="1" si="109"/>
        <v>0</v>
      </c>
      <c r="CC109" s="103">
        <f t="shared" ca="1" si="109"/>
        <v>0</v>
      </c>
      <c r="CD109" s="103">
        <f t="shared" ca="1" si="109"/>
        <v>0</v>
      </c>
      <c r="CE109" s="103">
        <f t="shared" ca="1" si="109"/>
        <v>0</v>
      </c>
      <c r="CF109" s="103">
        <f t="shared" ca="1" si="109"/>
        <v>0</v>
      </c>
      <c r="CG109" s="103">
        <f t="shared" ca="1" si="109"/>
        <v>0</v>
      </c>
      <c r="CH109" s="106">
        <f ca="1">COUNTIF(BZ109:CG109,"&lt;"&amp;MAX(BZ109:CG109))+IF(Calcs[[#This Row],[RL1]]=0,0,1)</f>
        <v>0</v>
      </c>
      <c r="CI10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9" s="103">
        <f ca="1">IFERROR(OFFSET(CJ109,-1,0)+0,0)+IF(INDEX(INDIRECT(RangeContrQty),MATCH(Calcs[[#This Row],[Line]],OFFSET(Items[Line],0,0,ROW(Proposed[])-ROW(Items[])+ROWS(Proposed[]),1),0)),1,0)</f>
        <v>0</v>
      </c>
    </row>
    <row r="110" spans="1:88" x14ac:dyDescent="0.15">
      <c r="A110" s="64">
        <f ca="1">IFERROR(OFFSET(A110,-1,0)+0,0)+MAX(IF(LEN(Calcs[[#This Row],[Line]])&gt;0,1,0),Calcs[[#This Row],[DL]],Calcs[[#This Row],[RL]])</f>
        <v>10</v>
      </c>
      <c r="B110" s="90" t="str">
        <f ca="1">IFERROR(INDEX(OFFSET(Items[Line],0,0,ROW(Proposed[])-ROW(Items[])+ROWS(Proposed[]),1),MATCH(ROW(B110)-ROW(B$3),INDIRECT(RangeCount),0)),"")</f>
        <v/>
      </c>
      <c r="C110" s="90" t="str">
        <f ca="1">IF(LEN(Calcs[[#This Row],[Line]])&gt;0,TRIM(IFERROR(INDEX(Items[Description],MATCH(Calcs[[#This Row],[Line]],Items[Line],0))&amp;INDEX(Items[Description2],MATCH(Calcs[[#This Row],[Line]],Items[Line],0)),INDEX(Proposed[Description],MATCH(Calcs[[#This Row],[Line]],Proposed[Line],0)))),"")</f>
        <v/>
      </c>
      <c r="D110" s="96">
        <f t="shared" ca="1" si="42"/>
        <v>0</v>
      </c>
      <c r="E110" s="103">
        <f t="shared" ca="1" si="43"/>
        <v>0</v>
      </c>
      <c r="F110" s="103">
        <f t="shared" ca="1" si="44"/>
        <v>0</v>
      </c>
      <c r="G110" s="103">
        <f t="shared" ca="1" si="45"/>
        <v>0</v>
      </c>
      <c r="H110" s="103">
        <f t="shared" ca="1" si="46"/>
        <v>0</v>
      </c>
      <c r="I110" s="103">
        <f t="shared" ca="1" si="47"/>
        <v>0</v>
      </c>
      <c r="J110" s="103">
        <f t="shared" ca="1" si="48"/>
        <v>0</v>
      </c>
      <c r="K110" s="103">
        <f t="shared" ca="1" si="49"/>
        <v>0</v>
      </c>
      <c r="L110" s="103">
        <f t="shared" ca="1" si="50"/>
        <v>0</v>
      </c>
      <c r="M110" s="103">
        <f t="shared" ca="1" si="51"/>
        <v>0</v>
      </c>
      <c r="N110" s="103">
        <f t="shared" ca="1" si="52"/>
        <v>0</v>
      </c>
      <c r="O110" s="103">
        <f t="shared" ca="1" si="53"/>
        <v>0</v>
      </c>
      <c r="P110" s="103">
        <f t="shared" ca="1" si="54"/>
        <v>0</v>
      </c>
      <c r="Q110" s="103">
        <f t="shared" ca="1" si="55"/>
        <v>0</v>
      </c>
      <c r="R110" s="103">
        <f t="shared" ca="1" si="56"/>
        <v>0</v>
      </c>
      <c r="S110" s="103">
        <f t="shared" ca="1" si="57"/>
        <v>0</v>
      </c>
      <c r="T110" s="103">
        <f t="shared" ca="1" si="58"/>
        <v>0</v>
      </c>
      <c r="U110" s="103">
        <f t="shared" ca="1" si="59"/>
        <v>0</v>
      </c>
      <c r="V110" s="103">
        <f t="shared" ca="1" si="60"/>
        <v>0</v>
      </c>
      <c r="W110" s="103">
        <f t="shared" ca="1" si="61"/>
        <v>0</v>
      </c>
      <c r="X110" s="103">
        <f t="shared" ca="1" si="62"/>
        <v>0</v>
      </c>
      <c r="Y110" s="103">
        <f t="shared" ca="1" si="63"/>
        <v>0</v>
      </c>
      <c r="Z110" s="103">
        <f t="shared" ca="1" si="64"/>
        <v>0</v>
      </c>
      <c r="AA110" s="103">
        <f t="shared" ca="1" si="65"/>
        <v>0</v>
      </c>
      <c r="AB110" s="103">
        <f t="shared" ca="1" si="66"/>
        <v>0</v>
      </c>
      <c r="AC110" s="103">
        <f t="shared" ca="1" si="67"/>
        <v>0</v>
      </c>
      <c r="AD110" s="103">
        <f t="shared" ca="1" si="68"/>
        <v>0</v>
      </c>
      <c r="AE110" s="103">
        <f t="shared" ca="1" si="69"/>
        <v>0</v>
      </c>
      <c r="AF110" s="103">
        <f t="shared" ca="1" si="70"/>
        <v>0</v>
      </c>
      <c r="AG110" s="103">
        <f t="shared" ca="1" si="71"/>
        <v>0</v>
      </c>
      <c r="AH110" s="103">
        <f t="shared" ca="1" si="72"/>
        <v>0</v>
      </c>
      <c r="AI110" s="103">
        <f t="shared" ca="1" si="73"/>
        <v>0</v>
      </c>
      <c r="AJ110" s="98">
        <f t="shared" ca="1" si="108"/>
        <v>0</v>
      </c>
      <c r="AK110" s="103">
        <f t="shared" ca="1" si="108"/>
        <v>0</v>
      </c>
      <c r="AL110" s="103">
        <f t="shared" ca="1" si="108"/>
        <v>0</v>
      </c>
      <c r="AM110" s="103">
        <f t="shared" ca="1" si="108"/>
        <v>0</v>
      </c>
      <c r="AN110" s="103">
        <f t="shared" ca="1" si="108"/>
        <v>0</v>
      </c>
      <c r="AO110" s="103">
        <f t="shared" ca="1" si="108"/>
        <v>0</v>
      </c>
      <c r="AP110" s="103">
        <f t="shared" ca="1" si="108"/>
        <v>0</v>
      </c>
      <c r="AQ110" s="103">
        <f t="shared" ca="1" si="108"/>
        <v>0</v>
      </c>
      <c r="AR110" s="104">
        <f ca="1">COUNTIF(AJ110:AQ110,"&lt;"&amp;MAX(AJ110:AQ110))+IF(Calcs[[#This Row],[DL1]]=0,0,1)</f>
        <v>0</v>
      </c>
      <c r="AS110" s="105" t="str">
        <f ca="1">IF(LEN(Calcs[[#This Row],[Line]])&gt;0,IF(RIGHT(Calcs[[#This Row],[Remark]],3)=".  ",LEFT(Calcs[[#This Row],[Remark]],LEN(Calcs[[#This Row],[Remark]])-3),Calcs[[#This Row],[Remark]]),"")</f>
        <v/>
      </c>
      <c r="AT110" s="96">
        <f t="shared" ca="1" si="75"/>
        <v>0</v>
      </c>
      <c r="AU110" s="103">
        <f t="shared" ca="1" si="76"/>
        <v>0</v>
      </c>
      <c r="AV110" s="103">
        <f t="shared" ca="1" si="77"/>
        <v>0</v>
      </c>
      <c r="AW110" s="103">
        <f t="shared" ca="1" si="78"/>
        <v>0</v>
      </c>
      <c r="AX110" s="103">
        <f t="shared" ca="1" si="79"/>
        <v>0</v>
      </c>
      <c r="AY110" s="103">
        <f t="shared" ca="1" si="80"/>
        <v>0</v>
      </c>
      <c r="AZ110" s="103">
        <f t="shared" ca="1" si="81"/>
        <v>0</v>
      </c>
      <c r="BA110" s="103">
        <f t="shared" ca="1" si="82"/>
        <v>0</v>
      </c>
      <c r="BB110" s="103">
        <f t="shared" ca="1" si="83"/>
        <v>0</v>
      </c>
      <c r="BC110" s="103">
        <f t="shared" ca="1" si="84"/>
        <v>0</v>
      </c>
      <c r="BD110" s="103">
        <f t="shared" ca="1" si="85"/>
        <v>0</v>
      </c>
      <c r="BE110" s="103">
        <f t="shared" ca="1" si="86"/>
        <v>0</v>
      </c>
      <c r="BF110" s="103">
        <f t="shared" ca="1" si="87"/>
        <v>0</v>
      </c>
      <c r="BG110" s="103">
        <f t="shared" ca="1" si="88"/>
        <v>0</v>
      </c>
      <c r="BH110" s="103">
        <f t="shared" ca="1" si="89"/>
        <v>0</v>
      </c>
      <c r="BI110" s="103">
        <f t="shared" ca="1" si="90"/>
        <v>0</v>
      </c>
      <c r="BJ110" s="103">
        <f t="shared" ca="1" si="91"/>
        <v>0</v>
      </c>
      <c r="BK110" s="103">
        <f t="shared" ca="1" si="92"/>
        <v>0</v>
      </c>
      <c r="BL110" s="103">
        <f t="shared" ca="1" si="93"/>
        <v>0</v>
      </c>
      <c r="BM110" s="103">
        <f t="shared" ca="1" si="94"/>
        <v>0</v>
      </c>
      <c r="BN110" s="103">
        <f t="shared" ca="1" si="95"/>
        <v>0</v>
      </c>
      <c r="BO110" s="103">
        <f t="shared" ca="1" si="96"/>
        <v>0</v>
      </c>
      <c r="BP110" s="103">
        <f t="shared" ca="1" si="97"/>
        <v>0</v>
      </c>
      <c r="BQ110" s="103">
        <f t="shared" ca="1" si="98"/>
        <v>0</v>
      </c>
      <c r="BR110" s="103">
        <f t="shared" ca="1" si="99"/>
        <v>0</v>
      </c>
      <c r="BS110" s="103">
        <f t="shared" ca="1" si="100"/>
        <v>0</v>
      </c>
      <c r="BT110" s="103">
        <f t="shared" ca="1" si="101"/>
        <v>0</v>
      </c>
      <c r="BU110" s="103">
        <f t="shared" ca="1" si="102"/>
        <v>0</v>
      </c>
      <c r="BV110" s="103">
        <f t="shared" ca="1" si="103"/>
        <v>0</v>
      </c>
      <c r="BW110" s="103">
        <f t="shared" ca="1" si="104"/>
        <v>0</v>
      </c>
      <c r="BX110" s="103">
        <f t="shared" ca="1" si="105"/>
        <v>0</v>
      </c>
      <c r="BY110" s="103">
        <f t="shared" ca="1" si="106"/>
        <v>0</v>
      </c>
      <c r="BZ110" s="98">
        <f t="shared" ca="1" si="109"/>
        <v>0</v>
      </c>
      <c r="CA110" s="103">
        <f t="shared" ca="1" si="109"/>
        <v>0</v>
      </c>
      <c r="CB110" s="103">
        <f t="shared" ca="1" si="109"/>
        <v>0</v>
      </c>
      <c r="CC110" s="103">
        <f t="shared" ca="1" si="109"/>
        <v>0</v>
      </c>
      <c r="CD110" s="103">
        <f t="shared" ca="1" si="109"/>
        <v>0</v>
      </c>
      <c r="CE110" s="103">
        <f t="shared" ca="1" si="109"/>
        <v>0</v>
      </c>
      <c r="CF110" s="103">
        <f t="shared" ca="1" si="109"/>
        <v>0</v>
      </c>
      <c r="CG110" s="103">
        <f t="shared" ca="1" si="109"/>
        <v>0</v>
      </c>
      <c r="CH110" s="106">
        <f ca="1">COUNTIF(BZ110:CG110,"&lt;"&amp;MAX(BZ110:CG110))+IF(Calcs[[#This Row],[RL1]]=0,0,1)</f>
        <v>0</v>
      </c>
      <c r="CI11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0" s="103">
        <f ca="1">IFERROR(OFFSET(CJ110,-1,0)+0,0)+IF(INDEX(INDIRECT(RangeContrQty),MATCH(Calcs[[#This Row],[Line]],OFFSET(Items[Line],0,0,ROW(Proposed[])-ROW(Items[])+ROWS(Proposed[]),1),0)),1,0)</f>
        <v>0</v>
      </c>
    </row>
    <row r="111" spans="1:88" x14ac:dyDescent="0.15">
      <c r="A111" s="64">
        <f ca="1">IFERROR(OFFSET(A111,-1,0)+0,0)+MAX(IF(LEN(Calcs[[#This Row],[Line]])&gt;0,1,0),Calcs[[#This Row],[DL]],Calcs[[#This Row],[RL]])</f>
        <v>10</v>
      </c>
      <c r="B111" s="90" t="str">
        <f ca="1">IFERROR(INDEX(OFFSET(Items[Line],0,0,ROW(Proposed[])-ROW(Items[])+ROWS(Proposed[]),1),MATCH(ROW(B111)-ROW(B$3),INDIRECT(RangeCount),0)),"")</f>
        <v/>
      </c>
      <c r="C111" s="90" t="str">
        <f ca="1">IF(LEN(Calcs[[#This Row],[Line]])&gt;0,TRIM(IFERROR(INDEX(Items[Description],MATCH(Calcs[[#This Row],[Line]],Items[Line],0))&amp;INDEX(Items[Description2],MATCH(Calcs[[#This Row],[Line]],Items[Line],0)),INDEX(Proposed[Description],MATCH(Calcs[[#This Row],[Line]],Proposed[Line],0)))),"")</f>
        <v/>
      </c>
      <c r="D111" s="96">
        <f t="shared" ca="1" si="42"/>
        <v>0</v>
      </c>
      <c r="E111" s="103">
        <f t="shared" ca="1" si="43"/>
        <v>0</v>
      </c>
      <c r="F111" s="103">
        <f t="shared" ca="1" si="44"/>
        <v>0</v>
      </c>
      <c r="G111" s="103">
        <f t="shared" ca="1" si="45"/>
        <v>0</v>
      </c>
      <c r="H111" s="103">
        <f t="shared" ca="1" si="46"/>
        <v>0</v>
      </c>
      <c r="I111" s="103">
        <f t="shared" ca="1" si="47"/>
        <v>0</v>
      </c>
      <c r="J111" s="103">
        <f t="shared" ca="1" si="48"/>
        <v>0</v>
      </c>
      <c r="K111" s="103">
        <f t="shared" ca="1" si="49"/>
        <v>0</v>
      </c>
      <c r="L111" s="103">
        <f t="shared" ca="1" si="50"/>
        <v>0</v>
      </c>
      <c r="M111" s="103">
        <f t="shared" ca="1" si="51"/>
        <v>0</v>
      </c>
      <c r="N111" s="103">
        <f t="shared" ca="1" si="52"/>
        <v>0</v>
      </c>
      <c r="O111" s="103">
        <f t="shared" ca="1" si="53"/>
        <v>0</v>
      </c>
      <c r="P111" s="103">
        <f t="shared" ca="1" si="54"/>
        <v>0</v>
      </c>
      <c r="Q111" s="103">
        <f t="shared" ca="1" si="55"/>
        <v>0</v>
      </c>
      <c r="R111" s="103">
        <f t="shared" ca="1" si="56"/>
        <v>0</v>
      </c>
      <c r="S111" s="103">
        <f t="shared" ca="1" si="57"/>
        <v>0</v>
      </c>
      <c r="T111" s="103">
        <f t="shared" ca="1" si="58"/>
        <v>0</v>
      </c>
      <c r="U111" s="103">
        <f t="shared" ca="1" si="59"/>
        <v>0</v>
      </c>
      <c r="V111" s="103">
        <f t="shared" ca="1" si="60"/>
        <v>0</v>
      </c>
      <c r="W111" s="103">
        <f t="shared" ca="1" si="61"/>
        <v>0</v>
      </c>
      <c r="X111" s="103">
        <f t="shared" ca="1" si="62"/>
        <v>0</v>
      </c>
      <c r="Y111" s="103">
        <f t="shared" ca="1" si="63"/>
        <v>0</v>
      </c>
      <c r="Z111" s="103">
        <f t="shared" ca="1" si="64"/>
        <v>0</v>
      </c>
      <c r="AA111" s="103">
        <f t="shared" ca="1" si="65"/>
        <v>0</v>
      </c>
      <c r="AB111" s="103">
        <f t="shared" ca="1" si="66"/>
        <v>0</v>
      </c>
      <c r="AC111" s="103">
        <f t="shared" ca="1" si="67"/>
        <v>0</v>
      </c>
      <c r="AD111" s="103">
        <f t="shared" ca="1" si="68"/>
        <v>0</v>
      </c>
      <c r="AE111" s="103">
        <f t="shared" ca="1" si="69"/>
        <v>0</v>
      </c>
      <c r="AF111" s="103">
        <f t="shared" ca="1" si="70"/>
        <v>0</v>
      </c>
      <c r="AG111" s="103">
        <f t="shared" ca="1" si="71"/>
        <v>0</v>
      </c>
      <c r="AH111" s="103">
        <f t="shared" ca="1" si="72"/>
        <v>0</v>
      </c>
      <c r="AI111" s="103">
        <f t="shared" ca="1" si="73"/>
        <v>0</v>
      </c>
      <c r="AJ111" s="98">
        <f t="shared" ca="1" si="108"/>
        <v>0</v>
      </c>
      <c r="AK111" s="103">
        <f t="shared" ca="1" si="108"/>
        <v>0</v>
      </c>
      <c r="AL111" s="103">
        <f t="shared" ca="1" si="108"/>
        <v>0</v>
      </c>
      <c r="AM111" s="103">
        <f t="shared" ca="1" si="108"/>
        <v>0</v>
      </c>
      <c r="AN111" s="103">
        <f t="shared" ca="1" si="108"/>
        <v>0</v>
      </c>
      <c r="AO111" s="103">
        <f t="shared" ca="1" si="108"/>
        <v>0</v>
      </c>
      <c r="AP111" s="103">
        <f t="shared" ca="1" si="108"/>
        <v>0</v>
      </c>
      <c r="AQ111" s="103">
        <f t="shared" ca="1" si="108"/>
        <v>0</v>
      </c>
      <c r="AR111" s="104">
        <f ca="1">COUNTIF(AJ111:AQ111,"&lt;"&amp;MAX(AJ111:AQ111))+IF(Calcs[[#This Row],[DL1]]=0,0,1)</f>
        <v>0</v>
      </c>
      <c r="AS111" s="105" t="str">
        <f ca="1">IF(LEN(Calcs[[#This Row],[Line]])&gt;0,IF(RIGHT(Calcs[[#This Row],[Remark]],3)=".  ",LEFT(Calcs[[#This Row],[Remark]],LEN(Calcs[[#This Row],[Remark]])-3),Calcs[[#This Row],[Remark]]),"")</f>
        <v/>
      </c>
      <c r="AT111" s="96">
        <f t="shared" ca="1" si="75"/>
        <v>0</v>
      </c>
      <c r="AU111" s="103">
        <f t="shared" ca="1" si="76"/>
        <v>0</v>
      </c>
      <c r="AV111" s="103">
        <f t="shared" ca="1" si="77"/>
        <v>0</v>
      </c>
      <c r="AW111" s="103">
        <f t="shared" ca="1" si="78"/>
        <v>0</v>
      </c>
      <c r="AX111" s="103">
        <f t="shared" ca="1" si="79"/>
        <v>0</v>
      </c>
      <c r="AY111" s="103">
        <f t="shared" ca="1" si="80"/>
        <v>0</v>
      </c>
      <c r="AZ111" s="103">
        <f t="shared" ca="1" si="81"/>
        <v>0</v>
      </c>
      <c r="BA111" s="103">
        <f t="shared" ca="1" si="82"/>
        <v>0</v>
      </c>
      <c r="BB111" s="103">
        <f t="shared" ca="1" si="83"/>
        <v>0</v>
      </c>
      <c r="BC111" s="103">
        <f t="shared" ca="1" si="84"/>
        <v>0</v>
      </c>
      <c r="BD111" s="103">
        <f t="shared" ca="1" si="85"/>
        <v>0</v>
      </c>
      <c r="BE111" s="103">
        <f t="shared" ca="1" si="86"/>
        <v>0</v>
      </c>
      <c r="BF111" s="103">
        <f t="shared" ca="1" si="87"/>
        <v>0</v>
      </c>
      <c r="BG111" s="103">
        <f t="shared" ca="1" si="88"/>
        <v>0</v>
      </c>
      <c r="BH111" s="103">
        <f t="shared" ca="1" si="89"/>
        <v>0</v>
      </c>
      <c r="BI111" s="103">
        <f t="shared" ca="1" si="90"/>
        <v>0</v>
      </c>
      <c r="BJ111" s="103">
        <f t="shared" ca="1" si="91"/>
        <v>0</v>
      </c>
      <c r="BK111" s="103">
        <f t="shared" ca="1" si="92"/>
        <v>0</v>
      </c>
      <c r="BL111" s="103">
        <f t="shared" ca="1" si="93"/>
        <v>0</v>
      </c>
      <c r="BM111" s="103">
        <f t="shared" ca="1" si="94"/>
        <v>0</v>
      </c>
      <c r="BN111" s="103">
        <f t="shared" ca="1" si="95"/>
        <v>0</v>
      </c>
      <c r="BO111" s="103">
        <f t="shared" ca="1" si="96"/>
        <v>0</v>
      </c>
      <c r="BP111" s="103">
        <f t="shared" ca="1" si="97"/>
        <v>0</v>
      </c>
      <c r="BQ111" s="103">
        <f t="shared" ca="1" si="98"/>
        <v>0</v>
      </c>
      <c r="BR111" s="103">
        <f t="shared" ca="1" si="99"/>
        <v>0</v>
      </c>
      <c r="BS111" s="103">
        <f t="shared" ca="1" si="100"/>
        <v>0</v>
      </c>
      <c r="BT111" s="103">
        <f t="shared" ca="1" si="101"/>
        <v>0</v>
      </c>
      <c r="BU111" s="103">
        <f t="shared" ca="1" si="102"/>
        <v>0</v>
      </c>
      <c r="BV111" s="103">
        <f t="shared" ca="1" si="103"/>
        <v>0</v>
      </c>
      <c r="BW111" s="103">
        <f t="shared" ca="1" si="104"/>
        <v>0</v>
      </c>
      <c r="BX111" s="103">
        <f t="shared" ca="1" si="105"/>
        <v>0</v>
      </c>
      <c r="BY111" s="103">
        <f t="shared" ca="1" si="106"/>
        <v>0</v>
      </c>
      <c r="BZ111" s="98">
        <f t="shared" ca="1" si="109"/>
        <v>0</v>
      </c>
      <c r="CA111" s="103">
        <f t="shared" ca="1" si="109"/>
        <v>0</v>
      </c>
      <c r="CB111" s="103">
        <f t="shared" ca="1" si="109"/>
        <v>0</v>
      </c>
      <c r="CC111" s="103">
        <f t="shared" ca="1" si="109"/>
        <v>0</v>
      </c>
      <c r="CD111" s="103">
        <f t="shared" ca="1" si="109"/>
        <v>0</v>
      </c>
      <c r="CE111" s="103">
        <f t="shared" ca="1" si="109"/>
        <v>0</v>
      </c>
      <c r="CF111" s="103">
        <f t="shared" ca="1" si="109"/>
        <v>0</v>
      </c>
      <c r="CG111" s="103">
        <f t="shared" ca="1" si="109"/>
        <v>0</v>
      </c>
      <c r="CH111" s="106">
        <f ca="1">COUNTIF(BZ111:CG111,"&lt;"&amp;MAX(BZ111:CG111))+IF(Calcs[[#This Row],[RL1]]=0,0,1)</f>
        <v>0</v>
      </c>
      <c r="CI11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1" s="103">
        <f ca="1">IFERROR(OFFSET(CJ111,-1,0)+0,0)+IF(INDEX(INDIRECT(RangeContrQty),MATCH(Calcs[[#This Row],[Line]],OFFSET(Items[Line],0,0,ROW(Proposed[])-ROW(Items[])+ROWS(Proposed[]),1),0)),1,0)</f>
        <v>0</v>
      </c>
    </row>
    <row r="112" spans="1:88" x14ac:dyDescent="0.15">
      <c r="A112" s="64">
        <f ca="1">IFERROR(OFFSET(A112,-1,0)+0,0)+MAX(IF(LEN(Calcs[[#This Row],[Line]])&gt;0,1,0),Calcs[[#This Row],[DL]],Calcs[[#This Row],[RL]])</f>
        <v>10</v>
      </c>
      <c r="B112" s="90" t="str">
        <f ca="1">IFERROR(INDEX(OFFSET(Items[Line],0,0,ROW(Proposed[])-ROW(Items[])+ROWS(Proposed[]),1),MATCH(ROW(B112)-ROW(B$3),INDIRECT(RangeCount),0)),"")</f>
        <v/>
      </c>
      <c r="C112" s="90" t="str">
        <f ca="1">IF(LEN(Calcs[[#This Row],[Line]])&gt;0,TRIM(IFERROR(INDEX(Items[Description],MATCH(Calcs[[#This Row],[Line]],Items[Line],0))&amp;INDEX(Items[Description2],MATCH(Calcs[[#This Row],[Line]],Items[Line],0)),INDEX(Proposed[Description],MATCH(Calcs[[#This Row],[Line]],Proposed[Line],0)))),"")</f>
        <v/>
      </c>
      <c r="D112" s="96">
        <f t="shared" ca="1" si="42"/>
        <v>0</v>
      </c>
      <c r="E112" s="103">
        <f t="shared" ca="1" si="43"/>
        <v>0</v>
      </c>
      <c r="F112" s="103">
        <f t="shared" ca="1" si="44"/>
        <v>0</v>
      </c>
      <c r="G112" s="103">
        <f t="shared" ca="1" si="45"/>
        <v>0</v>
      </c>
      <c r="H112" s="103">
        <f t="shared" ca="1" si="46"/>
        <v>0</v>
      </c>
      <c r="I112" s="103">
        <f t="shared" ca="1" si="47"/>
        <v>0</v>
      </c>
      <c r="J112" s="103">
        <f t="shared" ca="1" si="48"/>
        <v>0</v>
      </c>
      <c r="K112" s="103">
        <f t="shared" ca="1" si="49"/>
        <v>0</v>
      </c>
      <c r="L112" s="103">
        <f t="shared" ca="1" si="50"/>
        <v>0</v>
      </c>
      <c r="M112" s="103">
        <f t="shared" ca="1" si="51"/>
        <v>0</v>
      </c>
      <c r="N112" s="103">
        <f t="shared" ca="1" si="52"/>
        <v>0</v>
      </c>
      <c r="O112" s="103">
        <f t="shared" ca="1" si="53"/>
        <v>0</v>
      </c>
      <c r="P112" s="103">
        <f t="shared" ca="1" si="54"/>
        <v>0</v>
      </c>
      <c r="Q112" s="103">
        <f t="shared" ca="1" si="55"/>
        <v>0</v>
      </c>
      <c r="R112" s="103">
        <f t="shared" ca="1" si="56"/>
        <v>0</v>
      </c>
      <c r="S112" s="103">
        <f t="shared" ca="1" si="57"/>
        <v>0</v>
      </c>
      <c r="T112" s="103">
        <f t="shared" ca="1" si="58"/>
        <v>0</v>
      </c>
      <c r="U112" s="103">
        <f t="shared" ca="1" si="59"/>
        <v>0</v>
      </c>
      <c r="V112" s="103">
        <f t="shared" ca="1" si="60"/>
        <v>0</v>
      </c>
      <c r="W112" s="103">
        <f t="shared" ca="1" si="61"/>
        <v>0</v>
      </c>
      <c r="X112" s="103">
        <f t="shared" ca="1" si="62"/>
        <v>0</v>
      </c>
      <c r="Y112" s="103">
        <f t="shared" ca="1" si="63"/>
        <v>0</v>
      </c>
      <c r="Z112" s="103">
        <f t="shared" ca="1" si="64"/>
        <v>0</v>
      </c>
      <c r="AA112" s="103">
        <f t="shared" ca="1" si="65"/>
        <v>0</v>
      </c>
      <c r="AB112" s="103">
        <f t="shared" ca="1" si="66"/>
        <v>0</v>
      </c>
      <c r="AC112" s="103">
        <f t="shared" ca="1" si="67"/>
        <v>0</v>
      </c>
      <c r="AD112" s="103">
        <f t="shared" ca="1" si="68"/>
        <v>0</v>
      </c>
      <c r="AE112" s="103">
        <f t="shared" ca="1" si="69"/>
        <v>0</v>
      </c>
      <c r="AF112" s="103">
        <f t="shared" ca="1" si="70"/>
        <v>0</v>
      </c>
      <c r="AG112" s="103">
        <f t="shared" ca="1" si="71"/>
        <v>0</v>
      </c>
      <c r="AH112" s="103">
        <f t="shared" ca="1" si="72"/>
        <v>0</v>
      </c>
      <c r="AI112" s="103">
        <f t="shared" ca="1" si="73"/>
        <v>0</v>
      </c>
      <c r="AJ112" s="98">
        <f t="shared" ref="AJ112:AQ121" ca="1" si="110">HLOOKUP(IF(COLUMN(AJ112)-COLUMN($AJ$3)=0,0,OFFSET(AJ112,0,-1))+widthPayItem,$D112:$AI112,1)</f>
        <v>0</v>
      </c>
      <c r="AK112" s="103">
        <f t="shared" ca="1" si="110"/>
        <v>0</v>
      </c>
      <c r="AL112" s="103">
        <f t="shared" ca="1" si="110"/>
        <v>0</v>
      </c>
      <c r="AM112" s="103">
        <f t="shared" ca="1" si="110"/>
        <v>0</v>
      </c>
      <c r="AN112" s="103">
        <f t="shared" ca="1" si="110"/>
        <v>0</v>
      </c>
      <c r="AO112" s="103">
        <f t="shared" ca="1" si="110"/>
        <v>0</v>
      </c>
      <c r="AP112" s="103">
        <f t="shared" ca="1" si="110"/>
        <v>0</v>
      </c>
      <c r="AQ112" s="103">
        <f t="shared" ca="1" si="110"/>
        <v>0</v>
      </c>
      <c r="AR112" s="104">
        <f ca="1">COUNTIF(AJ112:AQ112,"&lt;"&amp;MAX(AJ112:AQ112))+IF(Calcs[[#This Row],[DL1]]=0,0,1)</f>
        <v>0</v>
      </c>
      <c r="AS112" s="105" t="str">
        <f ca="1">IF(LEN(Calcs[[#This Row],[Line]])&gt;0,IF(RIGHT(Calcs[[#This Row],[Remark]],3)=".  ",LEFT(Calcs[[#This Row],[Remark]],LEN(Calcs[[#This Row],[Remark]])-3),Calcs[[#This Row],[Remark]]),"")</f>
        <v/>
      </c>
      <c r="AT112" s="96">
        <f t="shared" ca="1" si="75"/>
        <v>0</v>
      </c>
      <c r="AU112" s="103">
        <f t="shared" ca="1" si="76"/>
        <v>0</v>
      </c>
      <c r="AV112" s="103">
        <f t="shared" ca="1" si="77"/>
        <v>0</v>
      </c>
      <c r="AW112" s="103">
        <f t="shared" ca="1" si="78"/>
        <v>0</v>
      </c>
      <c r="AX112" s="103">
        <f t="shared" ca="1" si="79"/>
        <v>0</v>
      </c>
      <c r="AY112" s="103">
        <f t="shared" ca="1" si="80"/>
        <v>0</v>
      </c>
      <c r="AZ112" s="103">
        <f t="shared" ca="1" si="81"/>
        <v>0</v>
      </c>
      <c r="BA112" s="103">
        <f t="shared" ca="1" si="82"/>
        <v>0</v>
      </c>
      <c r="BB112" s="103">
        <f t="shared" ca="1" si="83"/>
        <v>0</v>
      </c>
      <c r="BC112" s="103">
        <f t="shared" ca="1" si="84"/>
        <v>0</v>
      </c>
      <c r="BD112" s="103">
        <f t="shared" ca="1" si="85"/>
        <v>0</v>
      </c>
      <c r="BE112" s="103">
        <f t="shared" ca="1" si="86"/>
        <v>0</v>
      </c>
      <c r="BF112" s="103">
        <f t="shared" ca="1" si="87"/>
        <v>0</v>
      </c>
      <c r="BG112" s="103">
        <f t="shared" ca="1" si="88"/>
        <v>0</v>
      </c>
      <c r="BH112" s="103">
        <f t="shared" ca="1" si="89"/>
        <v>0</v>
      </c>
      <c r="BI112" s="103">
        <f t="shared" ca="1" si="90"/>
        <v>0</v>
      </c>
      <c r="BJ112" s="103">
        <f t="shared" ca="1" si="91"/>
        <v>0</v>
      </c>
      <c r="BK112" s="103">
        <f t="shared" ca="1" si="92"/>
        <v>0</v>
      </c>
      <c r="BL112" s="103">
        <f t="shared" ca="1" si="93"/>
        <v>0</v>
      </c>
      <c r="BM112" s="103">
        <f t="shared" ca="1" si="94"/>
        <v>0</v>
      </c>
      <c r="BN112" s="103">
        <f t="shared" ca="1" si="95"/>
        <v>0</v>
      </c>
      <c r="BO112" s="103">
        <f t="shared" ca="1" si="96"/>
        <v>0</v>
      </c>
      <c r="BP112" s="103">
        <f t="shared" ca="1" si="97"/>
        <v>0</v>
      </c>
      <c r="BQ112" s="103">
        <f t="shared" ca="1" si="98"/>
        <v>0</v>
      </c>
      <c r="BR112" s="103">
        <f t="shared" ca="1" si="99"/>
        <v>0</v>
      </c>
      <c r="BS112" s="103">
        <f t="shared" ca="1" si="100"/>
        <v>0</v>
      </c>
      <c r="BT112" s="103">
        <f t="shared" ca="1" si="101"/>
        <v>0</v>
      </c>
      <c r="BU112" s="103">
        <f t="shared" ca="1" si="102"/>
        <v>0</v>
      </c>
      <c r="BV112" s="103">
        <f t="shared" ca="1" si="103"/>
        <v>0</v>
      </c>
      <c r="BW112" s="103">
        <f t="shared" ca="1" si="104"/>
        <v>0</v>
      </c>
      <c r="BX112" s="103">
        <f t="shared" ca="1" si="105"/>
        <v>0</v>
      </c>
      <c r="BY112" s="103">
        <f t="shared" ca="1" si="106"/>
        <v>0</v>
      </c>
      <c r="BZ112" s="98">
        <f t="shared" ref="BZ112:CG121" ca="1" si="111">HLOOKUP(IF(COLUMN(BZ112)-COLUMN($BZ$3)=0,0,OFFSET(BZ112,0,-1))+widthRemarks,$AT112:$BY112,1)</f>
        <v>0</v>
      </c>
      <c r="CA112" s="103">
        <f t="shared" ca="1" si="111"/>
        <v>0</v>
      </c>
      <c r="CB112" s="103">
        <f t="shared" ca="1" si="111"/>
        <v>0</v>
      </c>
      <c r="CC112" s="103">
        <f t="shared" ca="1" si="111"/>
        <v>0</v>
      </c>
      <c r="CD112" s="103">
        <f t="shared" ca="1" si="111"/>
        <v>0</v>
      </c>
      <c r="CE112" s="103">
        <f t="shared" ca="1" si="111"/>
        <v>0</v>
      </c>
      <c r="CF112" s="103">
        <f t="shared" ca="1" si="111"/>
        <v>0</v>
      </c>
      <c r="CG112" s="103">
        <f t="shared" ca="1" si="111"/>
        <v>0</v>
      </c>
      <c r="CH112" s="106">
        <f ca="1">COUNTIF(BZ112:CG112,"&lt;"&amp;MAX(BZ112:CG112))+IF(Calcs[[#This Row],[RL1]]=0,0,1)</f>
        <v>0</v>
      </c>
      <c r="CI11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2" s="103">
        <f ca="1">IFERROR(OFFSET(CJ112,-1,0)+0,0)+IF(INDEX(INDIRECT(RangeContrQty),MATCH(Calcs[[#This Row],[Line]],OFFSET(Items[Line],0,0,ROW(Proposed[])-ROW(Items[])+ROWS(Proposed[]),1),0)),1,0)</f>
        <v>0</v>
      </c>
    </row>
    <row r="113" spans="1:88" x14ac:dyDescent="0.15">
      <c r="A113" s="64">
        <f ca="1">IFERROR(OFFSET(A113,-1,0)+0,0)+MAX(IF(LEN(Calcs[[#This Row],[Line]])&gt;0,1,0),Calcs[[#This Row],[DL]],Calcs[[#This Row],[RL]])</f>
        <v>10</v>
      </c>
      <c r="B113" s="90" t="str">
        <f ca="1">IFERROR(INDEX(OFFSET(Items[Line],0,0,ROW(Proposed[])-ROW(Items[])+ROWS(Proposed[]),1),MATCH(ROW(B113)-ROW(B$3),INDIRECT(RangeCount),0)),"")</f>
        <v/>
      </c>
      <c r="C113" s="90" t="str">
        <f ca="1">IF(LEN(Calcs[[#This Row],[Line]])&gt;0,TRIM(IFERROR(INDEX(Items[Description],MATCH(Calcs[[#This Row],[Line]],Items[Line],0))&amp;INDEX(Items[Description2],MATCH(Calcs[[#This Row],[Line]],Items[Line],0)),INDEX(Proposed[Description],MATCH(Calcs[[#This Row],[Line]],Proposed[Line],0)))),"")</f>
        <v/>
      </c>
      <c r="D113" s="96">
        <f t="shared" ca="1" si="42"/>
        <v>0</v>
      </c>
      <c r="E113" s="103">
        <f t="shared" ca="1" si="43"/>
        <v>0</v>
      </c>
      <c r="F113" s="103">
        <f t="shared" ca="1" si="44"/>
        <v>0</v>
      </c>
      <c r="G113" s="103">
        <f t="shared" ca="1" si="45"/>
        <v>0</v>
      </c>
      <c r="H113" s="103">
        <f t="shared" ca="1" si="46"/>
        <v>0</v>
      </c>
      <c r="I113" s="103">
        <f t="shared" ca="1" si="47"/>
        <v>0</v>
      </c>
      <c r="J113" s="103">
        <f t="shared" ca="1" si="48"/>
        <v>0</v>
      </c>
      <c r="K113" s="103">
        <f t="shared" ca="1" si="49"/>
        <v>0</v>
      </c>
      <c r="L113" s="103">
        <f t="shared" ca="1" si="50"/>
        <v>0</v>
      </c>
      <c r="M113" s="103">
        <f t="shared" ca="1" si="51"/>
        <v>0</v>
      </c>
      <c r="N113" s="103">
        <f t="shared" ca="1" si="52"/>
        <v>0</v>
      </c>
      <c r="O113" s="103">
        <f t="shared" ca="1" si="53"/>
        <v>0</v>
      </c>
      <c r="P113" s="103">
        <f t="shared" ca="1" si="54"/>
        <v>0</v>
      </c>
      <c r="Q113" s="103">
        <f t="shared" ca="1" si="55"/>
        <v>0</v>
      </c>
      <c r="R113" s="103">
        <f t="shared" ca="1" si="56"/>
        <v>0</v>
      </c>
      <c r="S113" s="103">
        <f t="shared" ca="1" si="57"/>
        <v>0</v>
      </c>
      <c r="T113" s="103">
        <f t="shared" ca="1" si="58"/>
        <v>0</v>
      </c>
      <c r="U113" s="103">
        <f t="shared" ca="1" si="59"/>
        <v>0</v>
      </c>
      <c r="V113" s="103">
        <f t="shared" ca="1" si="60"/>
        <v>0</v>
      </c>
      <c r="W113" s="103">
        <f t="shared" ca="1" si="61"/>
        <v>0</v>
      </c>
      <c r="X113" s="103">
        <f t="shared" ca="1" si="62"/>
        <v>0</v>
      </c>
      <c r="Y113" s="103">
        <f t="shared" ca="1" si="63"/>
        <v>0</v>
      </c>
      <c r="Z113" s="103">
        <f t="shared" ca="1" si="64"/>
        <v>0</v>
      </c>
      <c r="AA113" s="103">
        <f t="shared" ca="1" si="65"/>
        <v>0</v>
      </c>
      <c r="AB113" s="103">
        <f t="shared" ca="1" si="66"/>
        <v>0</v>
      </c>
      <c r="AC113" s="103">
        <f t="shared" ca="1" si="67"/>
        <v>0</v>
      </c>
      <c r="AD113" s="103">
        <f t="shared" ca="1" si="68"/>
        <v>0</v>
      </c>
      <c r="AE113" s="103">
        <f t="shared" ca="1" si="69"/>
        <v>0</v>
      </c>
      <c r="AF113" s="103">
        <f t="shared" ca="1" si="70"/>
        <v>0</v>
      </c>
      <c r="AG113" s="103">
        <f t="shared" ca="1" si="71"/>
        <v>0</v>
      </c>
      <c r="AH113" s="103">
        <f t="shared" ca="1" si="72"/>
        <v>0</v>
      </c>
      <c r="AI113" s="103">
        <f t="shared" ca="1" si="73"/>
        <v>0</v>
      </c>
      <c r="AJ113" s="98">
        <f t="shared" ca="1" si="110"/>
        <v>0</v>
      </c>
      <c r="AK113" s="103">
        <f t="shared" ca="1" si="110"/>
        <v>0</v>
      </c>
      <c r="AL113" s="103">
        <f t="shared" ca="1" si="110"/>
        <v>0</v>
      </c>
      <c r="AM113" s="103">
        <f t="shared" ca="1" si="110"/>
        <v>0</v>
      </c>
      <c r="AN113" s="103">
        <f t="shared" ca="1" si="110"/>
        <v>0</v>
      </c>
      <c r="AO113" s="103">
        <f t="shared" ca="1" si="110"/>
        <v>0</v>
      </c>
      <c r="AP113" s="103">
        <f t="shared" ca="1" si="110"/>
        <v>0</v>
      </c>
      <c r="AQ113" s="103">
        <f t="shared" ca="1" si="110"/>
        <v>0</v>
      </c>
      <c r="AR113" s="104">
        <f ca="1">COUNTIF(AJ113:AQ113,"&lt;"&amp;MAX(AJ113:AQ113))+IF(Calcs[[#This Row],[DL1]]=0,0,1)</f>
        <v>0</v>
      </c>
      <c r="AS113" s="105" t="str">
        <f ca="1">IF(LEN(Calcs[[#This Row],[Line]])&gt;0,IF(RIGHT(Calcs[[#This Row],[Remark]],3)=".  ",LEFT(Calcs[[#This Row],[Remark]],LEN(Calcs[[#This Row],[Remark]])-3),Calcs[[#This Row],[Remark]]),"")</f>
        <v/>
      </c>
      <c r="AT113" s="96">
        <f t="shared" ca="1" si="75"/>
        <v>0</v>
      </c>
      <c r="AU113" s="103">
        <f t="shared" ca="1" si="76"/>
        <v>0</v>
      </c>
      <c r="AV113" s="103">
        <f t="shared" ca="1" si="77"/>
        <v>0</v>
      </c>
      <c r="AW113" s="103">
        <f t="shared" ca="1" si="78"/>
        <v>0</v>
      </c>
      <c r="AX113" s="103">
        <f t="shared" ca="1" si="79"/>
        <v>0</v>
      </c>
      <c r="AY113" s="103">
        <f t="shared" ca="1" si="80"/>
        <v>0</v>
      </c>
      <c r="AZ113" s="103">
        <f t="shared" ca="1" si="81"/>
        <v>0</v>
      </c>
      <c r="BA113" s="103">
        <f t="shared" ca="1" si="82"/>
        <v>0</v>
      </c>
      <c r="BB113" s="103">
        <f t="shared" ca="1" si="83"/>
        <v>0</v>
      </c>
      <c r="BC113" s="103">
        <f t="shared" ca="1" si="84"/>
        <v>0</v>
      </c>
      <c r="BD113" s="103">
        <f t="shared" ca="1" si="85"/>
        <v>0</v>
      </c>
      <c r="BE113" s="103">
        <f t="shared" ca="1" si="86"/>
        <v>0</v>
      </c>
      <c r="BF113" s="103">
        <f t="shared" ca="1" si="87"/>
        <v>0</v>
      </c>
      <c r="BG113" s="103">
        <f t="shared" ca="1" si="88"/>
        <v>0</v>
      </c>
      <c r="BH113" s="103">
        <f t="shared" ca="1" si="89"/>
        <v>0</v>
      </c>
      <c r="BI113" s="103">
        <f t="shared" ca="1" si="90"/>
        <v>0</v>
      </c>
      <c r="BJ113" s="103">
        <f t="shared" ca="1" si="91"/>
        <v>0</v>
      </c>
      <c r="BK113" s="103">
        <f t="shared" ca="1" si="92"/>
        <v>0</v>
      </c>
      <c r="BL113" s="103">
        <f t="shared" ca="1" si="93"/>
        <v>0</v>
      </c>
      <c r="BM113" s="103">
        <f t="shared" ca="1" si="94"/>
        <v>0</v>
      </c>
      <c r="BN113" s="103">
        <f t="shared" ca="1" si="95"/>
        <v>0</v>
      </c>
      <c r="BO113" s="103">
        <f t="shared" ca="1" si="96"/>
        <v>0</v>
      </c>
      <c r="BP113" s="103">
        <f t="shared" ca="1" si="97"/>
        <v>0</v>
      </c>
      <c r="BQ113" s="103">
        <f t="shared" ca="1" si="98"/>
        <v>0</v>
      </c>
      <c r="BR113" s="103">
        <f t="shared" ca="1" si="99"/>
        <v>0</v>
      </c>
      <c r="BS113" s="103">
        <f t="shared" ca="1" si="100"/>
        <v>0</v>
      </c>
      <c r="BT113" s="103">
        <f t="shared" ca="1" si="101"/>
        <v>0</v>
      </c>
      <c r="BU113" s="103">
        <f t="shared" ca="1" si="102"/>
        <v>0</v>
      </c>
      <c r="BV113" s="103">
        <f t="shared" ca="1" si="103"/>
        <v>0</v>
      </c>
      <c r="BW113" s="103">
        <f t="shared" ca="1" si="104"/>
        <v>0</v>
      </c>
      <c r="BX113" s="103">
        <f t="shared" ca="1" si="105"/>
        <v>0</v>
      </c>
      <c r="BY113" s="103">
        <f t="shared" ca="1" si="106"/>
        <v>0</v>
      </c>
      <c r="BZ113" s="98">
        <f t="shared" ca="1" si="111"/>
        <v>0</v>
      </c>
      <c r="CA113" s="103">
        <f t="shared" ca="1" si="111"/>
        <v>0</v>
      </c>
      <c r="CB113" s="103">
        <f t="shared" ca="1" si="111"/>
        <v>0</v>
      </c>
      <c r="CC113" s="103">
        <f t="shared" ca="1" si="111"/>
        <v>0</v>
      </c>
      <c r="CD113" s="103">
        <f t="shared" ca="1" si="111"/>
        <v>0</v>
      </c>
      <c r="CE113" s="103">
        <f t="shared" ca="1" si="111"/>
        <v>0</v>
      </c>
      <c r="CF113" s="103">
        <f t="shared" ca="1" si="111"/>
        <v>0</v>
      </c>
      <c r="CG113" s="103">
        <f t="shared" ca="1" si="111"/>
        <v>0</v>
      </c>
      <c r="CH113" s="106">
        <f ca="1">COUNTIF(BZ113:CG113,"&lt;"&amp;MAX(BZ113:CG113))+IF(Calcs[[#This Row],[RL1]]=0,0,1)</f>
        <v>0</v>
      </c>
      <c r="CI11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3" s="103">
        <f ca="1">IFERROR(OFFSET(CJ113,-1,0)+0,0)+IF(INDEX(INDIRECT(RangeContrQty),MATCH(Calcs[[#This Row],[Line]],OFFSET(Items[Line],0,0,ROW(Proposed[])-ROW(Items[])+ROWS(Proposed[]),1),0)),1,0)</f>
        <v>0</v>
      </c>
    </row>
    <row r="114" spans="1:88" x14ac:dyDescent="0.15">
      <c r="A114" s="64">
        <f ca="1">IFERROR(OFFSET(A114,-1,0)+0,0)+MAX(IF(LEN(Calcs[[#This Row],[Line]])&gt;0,1,0),Calcs[[#This Row],[DL]],Calcs[[#This Row],[RL]])</f>
        <v>10</v>
      </c>
      <c r="B114" s="90" t="str">
        <f ca="1">IFERROR(INDEX(OFFSET(Items[Line],0,0,ROW(Proposed[])-ROW(Items[])+ROWS(Proposed[]),1),MATCH(ROW(B114)-ROW(B$3),INDIRECT(RangeCount),0)),"")</f>
        <v/>
      </c>
      <c r="C114" s="90" t="str">
        <f ca="1">IF(LEN(Calcs[[#This Row],[Line]])&gt;0,TRIM(IFERROR(INDEX(Items[Description],MATCH(Calcs[[#This Row],[Line]],Items[Line],0))&amp;INDEX(Items[Description2],MATCH(Calcs[[#This Row],[Line]],Items[Line],0)),INDEX(Proposed[Description],MATCH(Calcs[[#This Row],[Line]],Proposed[Line],0)))),"")</f>
        <v/>
      </c>
      <c r="D114" s="96">
        <f t="shared" ca="1" si="42"/>
        <v>0</v>
      </c>
      <c r="E114" s="103">
        <f t="shared" ca="1" si="43"/>
        <v>0</v>
      </c>
      <c r="F114" s="103">
        <f t="shared" ca="1" si="44"/>
        <v>0</v>
      </c>
      <c r="G114" s="103">
        <f t="shared" ca="1" si="45"/>
        <v>0</v>
      </c>
      <c r="H114" s="103">
        <f t="shared" ca="1" si="46"/>
        <v>0</v>
      </c>
      <c r="I114" s="103">
        <f t="shared" ca="1" si="47"/>
        <v>0</v>
      </c>
      <c r="J114" s="103">
        <f t="shared" ca="1" si="48"/>
        <v>0</v>
      </c>
      <c r="K114" s="103">
        <f t="shared" ca="1" si="49"/>
        <v>0</v>
      </c>
      <c r="L114" s="103">
        <f t="shared" ca="1" si="50"/>
        <v>0</v>
      </c>
      <c r="M114" s="103">
        <f t="shared" ca="1" si="51"/>
        <v>0</v>
      </c>
      <c r="N114" s="103">
        <f t="shared" ca="1" si="52"/>
        <v>0</v>
      </c>
      <c r="O114" s="103">
        <f t="shared" ca="1" si="53"/>
        <v>0</v>
      </c>
      <c r="P114" s="103">
        <f t="shared" ca="1" si="54"/>
        <v>0</v>
      </c>
      <c r="Q114" s="103">
        <f t="shared" ca="1" si="55"/>
        <v>0</v>
      </c>
      <c r="R114" s="103">
        <f t="shared" ca="1" si="56"/>
        <v>0</v>
      </c>
      <c r="S114" s="103">
        <f t="shared" ca="1" si="57"/>
        <v>0</v>
      </c>
      <c r="T114" s="103">
        <f t="shared" ca="1" si="58"/>
        <v>0</v>
      </c>
      <c r="U114" s="103">
        <f t="shared" ca="1" si="59"/>
        <v>0</v>
      </c>
      <c r="V114" s="103">
        <f t="shared" ca="1" si="60"/>
        <v>0</v>
      </c>
      <c r="W114" s="103">
        <f t="shared" ca="1" si="61"/>
        <v>0</v>
      </c>
      <c r="X114" s="103">
        <f t="shared" ca="1" si="62"/>
        <v>0</v>
      </c>
      <c r="Y114" s="103">
        <f t="shared" ca="1" si="63"/>
        <v>0</v>
      </c>
      <c r="Z114" s="103">
        <f t="shared" ca="1" si="64"/>
        <v>0</v>
      </c>
      <c r="AA114" s="103">
        <f t="shared" ca="1" si="65"/>
        <v>0</v>
      </c>
      <c r="AB114" s="103">
        <f t="shared" ca="1" si="66"/>
        <v>0</v>
      </c>
      <c r="AC114" s="103">
        <f t="shared" ca="1" si="67"/>
        <v>0</v>
      </c>
      <c r="AD114" s="103">
        <f t="shared" ca="1" si="68"/>
        <v>0</v>
      </c>
      <c r="AE114" s="103">
        <f t="shared" ca="1" si="69"/>
        <v>0</v>
      </c>
      <c r="AF114" s="103">
        <f t="shared" ca="1" si="70"/>
        <v>0</v>
      </c>
      <c r="AG114" s="103">
        <f t="shared" ca="1" si="71"/>
        <v>0</v>
      </c>
      <c r="AH114" s="103">
        <f t="shared" ca="1" si="72"/>
        <v>0</v>
      </c>
      <c r="AI114" s="103">
        <f t="shared" ca="1" si="73"/>
        <v>0</v>
      </c>
      <c r="AJ114" s="98">
        <f t="shared" ca="1" si="110"/>
        <v>0</v>
      </c>
      <c r="AK114" s="103">
        <f t="shared" ca="1" si="110"/>
        <v>0</v>
      </c>
      <c r="AL114" s="103">
        <f t="shared" ca="1" si="110"/>
        <v>0</v>
      </c>
      <c r="AM114" s="103">
        <f t="shared" ca="1" si="110"/>
        <v>0</v>
      </c>
      <c r="AN114" s="103">
        <f t="shared" ca="1" si="110"/>
        <v>0</v>
      </c>
      <c r="AO114" s="103">
        <f t="shared" ca="1" si="110"/>
        <v>0</v>
      </c>
      <c r="AP114" s="103">
        <f t="shared" ca="1" si="110"/>
        <v>0</v>
      </c>
      <c r="AQ114" s="103">
        <f t="shared" ca="1" si="110"/>
        <v>0</v>
      </c>
      <c r="AR114" s="104">
        <f ca="1">COUNTIF(AJ114:AQ114,"&lt;"&amp;MAX(AJ114:AQ114))+IF(Calcs[[#This Row],[DL1]]=0,0,1)</f>
        <v>0</v>
      </c>
      <c r="AS114" s="105" t="str">
        <f ca="1">IF(LEN(Calcs[[#This Row],[Line]])&gt;0,IF(RIGHT(Calcs[[#This Row],[Remark]],3)=".  ",LEFT(Calcs[[#This Row],[Remark]],LEN(Calcs[[#This Row],[Remark]])-3),Calcs[[#This Row],[Remark]]),"")</f>
        <v/>
      </c>
      <c r="AT114" s="96">
        <f t="shared" ca="1" si="75"/>
        <v>0</v>
      </c>
      <c r="AU114" s="103">
        <f t="shared" ca="1" si="76"/>
        <v>0</v>
      </c>
      <c r="AV114" s="103">
        <f t="shared" ca="1" si="77"/>
        <v>0</v>
      </c>
      <c r="AW114" s="103">
        <f t="shared" ca="1" si="78"/>
        <v>0</v>
      </c>
      <c r="AX114" s="103">
        <f t="shared" ca="1" si="79"/>
        <v>0</v>
      </c>
      <c r="AY114" s="103">
        <f t="shared" ca="1" si="80"/>
        <v>0</v>
      </c>
      <c r="AZ114" s="103">
        <f t="shared" ca="1" si="81"/>
        <v>0</v>
      </c>
      <c r="BA114" s="103">
        <f t="shared" ca="1" si="82"/>
        <v>0</v>
      </c>
      <c r="BB114" s="103">
        <f t="shared" ca="1" si="83"/>
        <v>0</v>
      </c>
      <c r="BC114" s="103">
        <f t="shared" ca="1" si="84"/>
        <v>0</v>
      </c>
      <c r="BD114" s="103">
        <f t="shared" ca="1" si="85"/>
        <v>0</v>
      </c>
      <c r="BE114" s="103">
        <f t="shared" ca="1" si="86"/>
        <v>0</v>
      </c>
      <c r="BF114" s="103">
        <f t="shared" ca="1" si="87"/>
        <v>0</v>
      </c>
      <c r="BG114" s="103">
        <f t="shared" ca="1" si="88"/>
        <v>0</v>
      </c>
      <c r="BH114" s="103">
        <f t="shared" ca="1" si="89"/>
        <v>0</v>
      </c>
      <c r="BI114" s="103">
        <f t="shared" ca="1" si="90"/>
        <v>0</v>
      </c>
      <c r="BJ114" s="103">
        <f t="shared" ca="1" si="91"/>
        <v>0</v>
      </c>
      <c r="BK114" s="103">
        <f t="shared" ca="1" si="92"/>
        <v>0</v>
      </c>
      <c r="BL114" s="103">
        <f t="shared" ca="1" si="93"/>
        <v>0</v>
      </c>
      <c r="BM114" s="103">
        <f t="shared" ca="1" si="94"/>
        <v>0</v>
      </c>
      <c r="BN114" s="103">
        <f t="shared" ca="1" si="95"/>
        <v>0</v>
      </c>
      <c r="BO114" s="103">
        <f t="shared" ca="1" si="96"/>
        <v>0</v>
      </c>
      <c r="BP114" s="103">
        <f t="shared" ca="1" si="97"/>
        <v>0</v>
      </c>
      <c r="BQ114" s="103">
        <f t="shared" ca="1" si="98"/>
        <v>0</v>
      </c>
      <c r="BR114" s="103">
        <f t="shared" ca="1" si="99"/>
        <v>0</v>
      </c>
      <c r="BS114" s="103">
        <f t="shared" ca="1" si="100"/>
        <v>0</v>
      </c>
      <c r="BT114" s="103">
        <f t="shared" ca="1" si="101"/>
        <v>0</v>
      </c>
      <c r="BU114" s="103">
        <f t="shared" ca="1" si="102"/>
        <v>0</v>
      </c>
      <c r="BV114" s="103">
        <f t="shared" ca="1" si="103"/>
        <v>0</v>
      </c>
      <c r="BW114" s="103">
        <f t="shared" ca="1" si="104"/>
        <v>0</v>
      </c>
      <c r="BX114" s="103">
        <f t="shared" ca="1" si="105"/>
        <v>0</v>
      </c>
      <c r="BY114" s="103">
        <f t="shared" ca="1" si="106"/>
        <v>0</v>
      </c>
      <c r="BZ114" s="98">
        <f t="shared" ca="1" si="111"/>
        <v>0</v>
      </c>
      <c r="CA114" s="103">
        <f t="shared" ca="1" si="111"/>
        <v>0</v>
      </c>
      <c r="CB114" s="103">
        <f t="shared" ca="1" si="111"/>
        <v>0</v>
      </c>
      <c r="CC114" s="103">
        <f t="shared" ca="1" si="111"/>
        <v>0</v>
      </c>
      <c r="CD114" s="103">
        <f t="shared" ca="1" si="111"/>
        <v>0</v>
      </c>
      <c r="CE114" s="103">
        <f t="shared" ca="1" si="111"/>
        <v>0</v>
      </c>
      <c r="CF114" s="103">
        <f t="shared" ca="1" si="111"/>
        <v>0</v>
      </c>
      <c r="CG114" s="103">
        <f t="shared" ca="1" si="111"/>
        <v>0</v>
      </c>
      <c r="CH114" s="106">
        <f ca="1">COUNTIF(BZ114:CG114,"&lt;"&amp;MAX(BZ114:CG114))+IF(Calcs[[#This Row],[RL1]]=0,0,1)</f>
        <v>0</v>
      </c>
      <c r="CI11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4" s="103">
        <f ca="1">IFERROR(OFFSET(CJ114,-1,0)+0,0)+IF(INDEX(INDIRECT(RangeContrQty),MATCH(Calcs[[#This Row],[Line]],OFFSET(Items[Line],0,0,ROW(Proposed[])-ROW(Items[])+ROWS(Proposed[]),1),0)),1,0)</f>
        <v>0</v>
      </c>
    </row>
    <row r="115" spans="1:88" x14ac:dyDescent="0.15">
      <c r="A115" s="64">
        <f ca="1">IFERROR(OFFSET(A115,-1,0)+0,0)+MAX(IF(LEN(Calcs[[#This Row],[Line]])&gt;0,1,0),Calcs[[#This Row],[DL]],Calcs[[#This Row],[RL]])</f>
        <v>10</v>
      </c>
      <c r="B115" s="90" t="str">
        <f ca="1">IFERROR(INDEX(OFFSET(Items[Line],0,0,ROW(Proposed[])-ROW(Items[])+ROWS(Proposed[]),1),MATCH(ROW(B115)-ROW(B$3),INDIRECT(RangeCount),0)),"")</f>
        <v/>
      </c>
      <c r="C115" s="90" t="str">
        <f ca="1">IF(LEN(Calcs[[#This Row],[Line]])&gt;0,TRIM(IFERROR(INDEX(Items[Description],MATCH(Calcs[[#This Row],[Line]],Items[Line],0))&amp;INDEX(Items[Description2],MATCH(Calcs[[#This Row],[Line]],Items[Line],0)),INDEX(Proposed[Description],MATCH(Calcs[[#This Row],[Line]],Proposed[Line],0)))),"")</f>
        <v/>
      </c>
      <c r="D115" s="96">
        <f t="shared" ca="1" si="42"/>
        <v>0</v>
      </c>
      <c r="E115" s="103">
        <f t="shared" ca="1" si="43"/>
        <v>0</v>
      </c>
      <c r="F115" s="103">
        <f t="shared" ca="1" si="44"/>
        <v>0</v>
      </c>
      <c r="G115" s="103">
        <f t="shared" ca="1" si="45"/>
        <v>0</v>
      </c>
      <c r="H115" s="103">
        <f t="shared" ca="1" si="46"/>
        <v>0</v>
      </c>
      <c r="I115" s="103">
        <f t="shared" ca="1" si="47"/>
        <v>0</v>
      </c>
      <c r="J115" s="103">
        <f t="shared" ca="1" si="48"/>
        <v>0</v>
      </c>
      <c r="K115" s="103">
        <f t="shared" ca="1" si="49"/>
        <v>0</v>
      </c>
      <c r="L115" s="103">
        <f t="shared" ca="1" si="50"/>
        <v>0</v>
      </c>
      <c r="M115" s="103">
        <f t="shared" ca="1" si="51"/>
        <v>0</v>
      </c>
      <c r="N115" s="103">
        <f t="shared" ca="1" si="52"/>
        <v>0</v>
      </c>
      <c r="O115" s="103">
        <f t="shared" ca="1" si="53"/>
        <v>0</v>
      </c>
      <c r="P115" s="103">
        <f t="shared" ca="1" si="54"/>
        <v>0</v>
      </c>
      <c r="Q115" s="103">
        <f t="shared" ca="1" si="55"/>
        <v>0</v>
      </c>
      <c r="R115" s="103">
        <f t="shared" ca="1" si="56"/>
        <v>0</v>
      </c>
      <c r="S115" s="103">
        <f t="shared" ca="1" si="57"/>
        <v>0</v>
      </c>
      <c r="T115" s="103">
        <f t="shared" ca="1" si="58"/>
        <v>0</v>
      </c>
      <c r="U115" s="103">
        <f t="shared" ca="1" si="59"/>
        <v>0</v>
      </c>
      <c r="V115" s="103">
        <f t="shared" ca="1" si="60"/>
        <v>0</v>
      </c>
      <c r="W115" s="103">
        <f t="shared" ca="1" si="61"/>
        <v>0</v>
      </c>
      <c r="X115" s="103">
        <f t="shared" ca="1" si="62"/>
        <v>0</v>
      </c>
      <c r="Y115" s="103">
        <f t="shared" ca="1" si="63"/>
        <v>0</v>
      </c>
      <c r="Z115" s="103">
        <f t="shared" ca="1" si="64"/>
        <v>0</v>
      </c>
      <c r="AA115" s="103">
        <f t="shared" ca="1" si="65"/>
        <v>0</v>
      </c>
      <c r="AB115" s="103">
        <f t="shared" ca="1" si="66"/>
        <v>0</v>
      </c>
      <c r="AC115" s="103">
        <f t="shared" ca="1" si="67"/>
        <v>0</v>
      </c>
      <c r="AD115" s="103">
        <f t="shared" ca="1" si="68"/>
        <v>0</v>
      </c>
      <c r="AE115" s="103">
        <f t="shared" ca="1" si="69"/>
        <v>0</v>
      </c>
      <c r="AF115" s="103">
        <f t="shared" ca="1" si="70"/>
        <v>0</v>
      </c>
      <c r="AG115" s="103">
        <f t="shared" ca="1" si="71"/>
        <v>0</v>
      </c>
      <c r="AH115" s="103">
        <f t="shared" ca="1" si="72"/>
        <v>0</v>
      </c>
      <c r="AI115" s="103">
        <f t="shared" ca="1" si="73"/>
        <v>0</v>
      </c>
      <c r="AJ115" s="98">
        <f t="shared" ca="1" si="110"/>
        <v>0</v>
      </c>
      <c r="AK115" s="103">
        <f t="shared" ca="1" si="110"/>
        <v>0</v>
      </c>
      <c r="AL115" s="103">
        <f t="shared" ca="1" si="110"/>
        <v>0</v>
      </c>
      <c r="AM115" s="103">
        <f t="shared" ca="1" si="110"/>
        <v>0</v>
      </c>
      <c r="AN115" s="103">
        <f t="shared" ca="1" si="110"/>
        <v>0</v>
      </c>
      <c r="AO115" s="103">
        <f t="shared" ca="1" si="110"/>
        <v>0</v>
      </c>
      <c r="AP115" s="103">
        <f t="shared" ca="1" si="110"/>
        <v>0</v>
      </c>
      <c r="AQ115" s="103">
        <f t="shared" ca="1" si="110"/>
        <v>0</v>
      </c>
      <c r="AR115" s="104">
        <f ca="1">COUNTIF(AJ115:AQ115,"&lt;"&amp;MAX(AJ115:AQ115))+IF(Calcs[[#This Row],[DL1]]=0,0,1)</f>
        <v>0</v>
      </c>
      <c r="AS115" s="105" t="str">
        <f ca="1">IF(LEN(Calcs[[#This Row],[Line]])&gt;0,IF(RIGHT(Calcs[[#This Row],[Remark]],3)=".  ",LEFT(Calcs[[#This Row],[Remark]],LEN(Calcs[[#This Row],[Remark]])-3),Calcs[[#This Row],[Remark]]),"")</f>
        <v/>
      </c>
      <c r="AT115" s="96">
        <f t="shared" ca="1" si="75"/>
        <v>0</v>
      </c>
      <c r="AU115" s="103">
        <f t="shared" ca="1" si="76"/>
        <v>0</v>
      </c>
      <c r="AV115" s="103">
        <f t="shared" ca="1" si="77"/>
        <v>0</v>
      </c>
      <c r="AW115" s="103">
        <f t="shared" ca="1" si="78"/>
        <v>0</v>
      </c>
      <c r="AX115" s="103">
        <f t="shared" ca="1" si="79"/>
        <v>0</v>
      </c>
      <c r="AY115" s="103">
        <f t="shared" ca="1" si="80"/>
        <v>0</v>
      </c>
      <c r="AZ115" s="103">
        <f t="shared" ca="1" si="81"/>
        <v>0</v>
      </c>
      <c r="BA115" s="103">
        <f t="shared" ca="1" si="82"/>
        <v>0</v>
      </c>
      <c r="BB115" s="103">
        <f t="shared" ca="1" si="83"/>
        <v>0</v>
      </c>
      <c r="BC115" s="103">
        <f t="shared" ca="1" si="84"/>
        <v>0</v>
      </c>
      <c r="BD115" s="103">
        <f t="shared" ca="1" si="85"/>
        <v>0</v>
      </c>
      <c r="BE115" s="103">
        <f t="shared" ca="1" si="86"/>
        <v>0</v>
      </c>
      <c r="BF115" s="103">
        <f t="shared" ca="1" si="87"/>
        <v>0</v>
      </c>
      <c r="BG115" s="103">
        <f t="shared" ca="1" si="88"/>
        <v>0</v>
      </c>
      <c r="BH115" s="103">
        <f t="shared" ca="1" si="89"/>
        <v>0</v>
      </c>
      <c r="BI115" s="103">
        <f t="shared" ca="1" si="90"/>
        <v>0</v>
      </c>
      <c r="BJ115" s="103">
        <f t="shared" ca="1" si="91"/>
        <v>0</v>
      </c>
      <c r="BK115" s="103">
        <f t="shared" ca="1" si="92"/>
        <v>0</v>
      </c>
      <c r="BL115" s="103">
        <f t="shared" ca="1" si="93"/>
        <v>0</v>
      </c>
      <c r="BM115" s="103">
        <f t="shared" ca="1" si="94"/>
        <v>0</v>
      </c>
      <c r="BN115" s="103">
        <f t="shared" ca="1" si="95"/>
        <v>0</v>
      </c>
      <c r="BO115" s="103">
        <f t="shared" ca="1" si="96"/>
        <v>0</v>
      </c>
      <c r="BP115" s="103">
        <f t="shared" ca="1" si="97"/>
        <v>0</v>
      </c>
      <c r="BQ115" s="103">
        <f t="shared" ca="1" si="98"/>
        <v>0</v>
      </c>
      <c r="BR115" s="103">
        <f t="shared" ca="1" si="99"/>
        <v>0</v>
      </c>
      <c r="BS115" s="103">
        <f t="shared" ca="1" si="100"/>
        <v>0</v>
      </c>
      <c r="BT115" s="103">
        <f t="shared" ca="1" si="101"/>
        <v>0</v>
      </c>
      <c r="BU115" s="103">
        <f t="shared" ca="1" si="102"/>
        <v>0</v>
      </c>
      <c r="BV115" s="103">
        <f t="shared" ca="1" si="103"/>
        <v>0</v>
      </c>
      <c r="BW115" s="103">
        <f t="shared" ca="1" si="104"/>
        <v>0</v>
      </c>
      <c r="BX115" s="103">
        <f t="shared" ca="1" si="105"/>
        <v>0</v>
      </c>
      <c r="BY115" s="103">
        <f t="shared" ca="1" si="106"/>
        <v>0</v>
      </c>
      <c r="BZ115" s="98">
        <f t="shared" ca="1" si="111"/>
        <v>0</v>
      </c>
      <c r="CA115" s="103">
        <f t="shared" ca="1" si="111"/>
        <v>0</v>
      </c>
      <c r="CB115" s="103">
        <f t="shared" ca="1" si="111"/>
        <v>0</v>
      </c>
      <c r="CC115" s="103">
        <f t="shared" ca="1" si="111"/>
        <v>0</v>
      </c>
      <c r="CD115" s="103">
        <f t="shared" ca="1" si="111"/>
        <v>0</v>
      </c>
      <c r="CE115" s="103">
        <f t="shared" ca="1" si="111"/>
        <v>0</v>
      </c>
      <c r="CF115" s="103">
        <f t="shared" ca="1" si="111"/>
        <v>0</v>
      </c>
      <c r="CG115" s="103">
        <f t="shared" ca="1" si="111"/>
        <v>0</v>
      </c>
      <c r="CH115" s="106">
        <f ca="1">COUNTIF(BZ115:CG115,"&lt;"&amp;MAX(BZ115:CG115))+IF(Calcs[[#This Row],[RL1]]=0,0,1)</f>
        <v>0</v>
      </c>
      <c r="CI11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5" s="103">
        <f ca="1">IFERROR(OFFSET(CJ115,-1,0)+0,0)+IF(INDEX(INDIRECT(RangeContrQty),MATCH(Calcs[[#This Row],[Line]],OFFSET(Items[Line],0,0,ROW(Proposed[])-ROW(Items[])+ROWS(Proposed[]),1),0)),1,0)</f>
        <v>0</v>
      </c>
    </row>
    <row r="116" spans="1:88" x14ac:dyDescent="0.15">
      <c r="A116" s="64">
        <f ca="1">IFERROR(OFFSET(A116,-1,0)+0,0)+MAX(IF(LEN(Calcs[[#This Row],[Line]])&gt;0,1,0),Calcs[[#This Row],[DL]],Calcs[[#This Row],[RL]])</f>
        <v>10</v>
      </c>
      <c r="B116" s="90" t="str">
        <f ca="1">IFERROR(INDEX(OFFSET(Items[Line],0,0,ROW(Proposed[])-ROW(Items[])+ROWS(Proposed[]),1),MATCH(ROW(B116)-ROW(B$3),INDIRECT(RangeCount),0)),"")</f>
        <v/>
      </c>
      <c r="C116" s="90" t="str">
        <f ca="1">IF(LEN(Calcs[[#This Row],[Line]])&gt;0,TRIM(IFERROR(INDEX(Items[Description],MATCH(Calcs[[#This Row],[Line]],Items[Line],0))&amp;INDEX(Items[Description2],MATCH(Calcs[[#This Row],[Line]],Items[Line],0)),INDEX(Proposed[Description],MATCH(Calcs[[#This Row],[Line]],Proposed[Line],0)))),"")</f>
        <v/>
      </c>
      <c r="D116" s="96">
        <f t="shared" ca="1" si="42"/>
        <v>0</v>
      </c>
      <c r="E116" s="103">
        <f t="shared" ca="1" si="43"/>
        <v>0</v>
      </c>
      <c r="F116" s="103">
        <f t="shared" ca="1" si="44"/>
        <v>0</v>
      </c>
      <c r="G116" s="103">
        <f t="shared" ca="1" si="45"/>
        <v>0</v>
      </c>
      <c r="H116" s="103">
        <f t="shared" ca="1" si="46"/>
        <v>0</v>
      </c>
      <c r="I116" s="103">
        <f t="shared" ca="1" si="47"/>
        <v>0</v>
      </c>
      <c r="J116" s="103">
        <f t="shared" ca="1" si="48"/>
        <v>0</v>
      </c>
      <c r="K116" s="103">
        <f t="shared" ca="1" si="49"/>
        <v>0</v>
      </c>
      <c r="L116" s="103">
        <f t="shared" ca="1" si="50"/>
        <v>0</v>
      </c>
      <c r="M116" s="103">
        <f t="shared" ca="1" si="51"/>
        <v>0</v>
      </c>
      <c r="N116" s="103">
        <f t="shared" ca="1" si="52"/>
        <v>0</v>
      </c>
      <c r="O116" s="103">
        <f t="shared" ca="1" si="53"/>
        <v>0</v>
      </c>
      <c r="P116" s="103">
        <f t="shared" ca="1" si="54"/>
        <v>0</v>
      </c>
      <c r="Q116" s="103">
        <f t="shared" ca="1" si="55"/>
        <v>0</v>
      </c>
      <c r="R116" s="103">
        <f t="shared" ca="1" si="56"/>
        <v>0</v>
      </c>
      <c r="S116" s="103">
        <f t="shared" ca="1" si="57"/>
        <v>0</v>
      </c>
      <c r="T116" s="103">
        <f t="shared" ca="1" si="58"/>
        <v>0</v>
      </c>
      <c r="U116" s="103">
        <f t="shared" ca="1" si="59"/>
        <v>0</v>
      </c>
      <c r="V116" s="103">
        <f t="shared" ca="1" si="60"/>
        <v>0</v>
      </c>
      <c r="W116" s="103">
        <f t="shared" ca="1" si="61"/>
        <v>0</v>
      </c>
      <c r="X116" s="103">
        <f t="shared" ca="1" si="62"/>
        <v>0</v>
      </c>
      <c r="Y116" s="103">
        <f t="shared" ca="1" si="63"/>
        <v>0</v>
      </c>
      <c r="Z116" s="103">
        <f t="shared" ca="1" si="64"/>
        <v>0</v>
      </c>
      <c r="AA116" s="103">
        <f t="shared" ca="1" si="65"/>
        <v>0</v>
      </c>
      <c r="AB116" s="103">
        <f t="shared" ca="1" si="66"/>
        <v>0</v>
      </c>
      <c r="AC116" s="103">
        <f t="shared" ca="1" si="67"/>
        <v>0</v>
      </c>
      <c r="AD116" s="103">
        <f t="shared" ca="1" si="68"/>
        <v>0</v>
      </c>
      <c r="AE116" s="103">
        <f t="shared" ca="1" si="69"/>
        <v>0</v>
      </c>
      <c r="AF116" s="103">
        <f t="shared" ca="1" si="70"/>
        <v>0</v>
      </c>
      <c r="AG116" s="103">
        <f t="shared" ca="1" si="71"/>
        <v>0</v>
      </c>
      <c r="AH116" s="103">
        <f t="shared" ca="1" si="72"/>
        <v>0</v>
      </c>
      <c r="AI116" s="103">
        <f t="shared" ca="1" si="73"/>
        <v>0</v>
      </c>
      <c r="AJ116" s="98">
        <f t="shared" ca="1" si="110"/>
        <v>0</v>
      </c>
      <c r="AK116" s="103">
        <f t="shared" ca="1" si="110"/>
        <v>0</v>
      </c>
      <c r="AL116" s="103">
        <f t="shared" ca="1" si="110"/>
        <v>0</v>
      </c>
      <c r="AM116" s="103">
        <f t="shared" ca="1" si="110"/>
        <v>0</v>
      </c>
      <c r="AN116" s="103">
        <f t="shared" ca="1" si="110"/>
        <v>0</v>
      </c>
      <c r="AO116" s="103">
        <f t="shared" ca="1" si="110"/>
        <v>0</v>
      </c>
      <c r="AP116" s="103">
        <f t="shared" ca="1" si="110"/>
        <v>0</v>
      </c>
      <c r="AQ116" s="103">
        <f t="shared" ca="1" si="110"/>
        <v>0</v>
      </c>
      <c r="AR116" s="104">
        <f ca="1">COUNTIF(AJ116:AQ116,"&lt;"&amp;MAX(AJ116:AQ116))+IF(Calcs[[#This Row],[DL1]]=0,0,1)</f>
        <v>0</v>
      </c>
      <c r="AS116" s="105" t="str">
        <f ca="1">IF(LEN(Calcs[[#This Row],[Line]])&gt;0,IF(RIGHT(Calcs[[#This Row],[Remark]],3)=".  ",LEFT(Calcs[[#This Row],[Remark]],LEN(Calcs[[#This Row],[Remark]])-3),Calcs[[#This Row],[Remark]]),"")</f>
        <v/>
      </c>
      <c r="AT116" s="96">
        <f t="shared" ca="1" si="75"/>
        <v>0</v>
      </c>
      <c r="AU116" s="103">
        <f t="shared" ca="1" si="76"/>
        <v>0</v>
      </c>
      <c r="AV116" s="103">
        <f t="shared" ca="1" si="77"/>
        <v>0</v>
      </c>
      <c r="AW116" s="103">
        <f t="shared" ca="1" si="78"/>
        <v>0</v>
      </c>
      <c r="AX116" s="103">
        <f t="shared" ca="1" si="79"/>
        <v>0</v>
      </c>
      <c r="AY116" s="103">
        <f t="shared" ca="1" si="80"/>
        <v>0</v>
      </c>
      <c r="AZ116" s="103">
        <f t="shared" ca="1" si="81"/>
        <v>0</v>
      </c>
      <c r="BA116" s="103">
        <f t="shared" ca="1" si="82"/>
        <v>0</v>
      </c>
      <c r="BB116" s="103">
        <f t="shared" ca="1" si="83"/>
        <v>0</v>
      </c>
      <c r="BC116" s="103">
        <f t="shared" ca="1" si="84"/>
        <v>0</v>
      </c>
      <c r="BD116" s="103">
        <f t="shared" ca="1" si="85"/>
        <v>0</v>
      </c>
      <c r="BE116" s="103">
        <f t="shared" ca="1" si="86"/>
        <v>0</v>
      </c>
      <c r="BF116" s="103">
        <f t="shared" ca="1" si="87"/>
        <v>0</v>
      </c>
      <c r="BG116" s="103">
        <f t="shared" ca="1" si="88"/>
        <v>0</v>
      </c>
      <c r="BH116" s="103">
        <f t="shared" ca="1" si="89"/>
        <v>0</v>
      </c>
      <c r="BI116" s="103">
        <f t="shared" ca="1" si="90"/>
        <v>0</v>
      </c>
      <c r="BJ116" s="103">
        <f t="shared" ca="1" si="91"/>
        <v>0</v>
      </c>
      <c r="BK116" s="103">
        <f t="shared" ca="1" si="92"/>
        <v>0</v>
      </c>
      <c r="BL116" s="103">
        <f t="shared" ca="1" si="93"/>
        <v>0</v>
      </c>
      <c r="BM116" s="103">
        <f t="shared" ca="1" si="94"/>
        <v>0</v>
      </c>
      <c r="BN116" s="103">
        <f t="shared" ca="1" si="95"/>
        <v>0</v>
      </c>
      <c r="BO116" s="103">
        <f t="shared" ca="1" si="96"/>
        <v>0</v>
      </c>
      <c r="BP116" s="103">
        <f t="shared" ca="1" si="97"/>
        <v>0</v>
      </c>
      <c r="BQ116" s="103">
        <f t="shared" ca="1" si="98"/>
        <v>0</v>
      </c>
      <c r="BR116" s="103">
        <f t="shared" ca="1" si="99"/>
        <v>0</v>
      </c>
      <c r="BS116" s="103">
        <f t="shared" ca="1" si="100"/>
        <v>0</v>
      </c>
      <c r="BT116" s="103">
        <f t="shared" ca="1" si="101"/>
        <v>0</v>
      </c>
      <c r="BU116" s="103">
        <f t="shared" ca="1" si="102"/>
        <v>0</v>
      </c>
      <c r="BV116" s="103">
        <f t="shared" ca="1" si="103"/>
        <v>0</v>
      </c>
      <c r="BW116" s="103">
        <f t="shared" ca="1" si="104"/>
        <v>0</v>
      </c>
      <c r="BX116" s="103">
        <f t="shared" ca="1" si="105"/>
        <v>0</v>
      </c>
      <c r="BY116" s="103">
        <f t="shared" ca="1" si="106"/>
        <v>0</v>
      </c>
      <c r="BZ116" s="98">
        <f t="shared" ca="1" si="111"/>
        <v>0</v>
      </c>
      <c r="CA116" s="103">
        <f t="shared" ca="1" si="111"/>
        <v>0</v>
      </c>
      <c r="CB116" s="103">
        <f t="shared" ca="1" si="111"/>
        <v>0</v>
      </c>
      <c r="CC116" s="103">
        <f t="shared" ca="1" si="111"/>
        <v>0</v>
      </c>
      <c r="CD116" s="103">
        <f t="shared" ca="1" si="111"/>
        <v>0</v>
      </c>
      <c r="CE116" s="103">
        <f t="shared" ca="1" si="111"/>
        <v>0</v>
      </c>
      <c r="CF116" s="103">
        <f t="shared" ca="1" si="111"/>
        <v>0</v>
      </c>
      <c r="CG116" s="103">
        <f t="shared" ca="1" si="111"/>
        <v>0</v>
      </c>
      <c r="CH116" s="106">
        <f ca="1">COUNTIF(BZ116:CG116,"&lt;"&amp;MAX(BZ116:CG116))+IF(Calcs[[#This Row],[RL1]]=0,0,1)</f>
        <v>0</v>
      </c>
      <c r="CI11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6" s="103">
        <f ca="1">IFERROR(OFFSET(CJ116,-1,0)+0,0)+IF(INDEX(INDIRECT(RangeContrQty),MATCH(Calcs[[#This Row],[Line]],OFFSET(Items[Line],0,0,ROW(Proposed[])-ROW(Items[])+ROWS(Proposed[]),1),0)),1,0)</f>
        <v>0</v>
      </c>
    </row>
    <row r="117" spans="1:88" x14ac:dyDescent="0.15">
      <c r="A117" s="64">
        <f ca="1">IFERROR(OFFSET(A117,-1,0)+0,0)+MAX(IF(LEN(Calcs[[#This Row],[Line]])&gt;0,1,0),Calcs[[#This Row],[DL]],Calcs[[#This Row],[RL]])</f>
        <v>10</v>
      </c>
      <c r="B117" s="90" t="str">
        <f ca="1">IFERROR(INDEX(OFFSET(Items[Line],0,0,ROW(Proposed[])-ROW(Items[])+ROWS(Proposed[]),1),MATCH(ROW(B117)-ROW(B$3),INDIRECT(RangeCount),0)),"")</f>
        <v/>
      </c>
      <c r="C117" s="90" t="str">
        <f ca="1">IF(LEN(Calcs[[#This Row],[Line]])&gt;0,TRIM(IFERROR(INDEX(Items[Description],MATCH(Calcs[[#This Row],[Line]],Items[Line],0))&amp;INDEX(Items[Description2],MATCH(Calcs[[#This Row],[Line]],Items[Line],0)),INDEX(Proposed[Description],MATCH(Calcs[[#This Row],[Line]],Proposed[Line],0)))),"")</f>
        <v/>
      </c>
      <c r="D117" s="96">
        <f t="shared" ca="1" si="42"/>
        <v>0</v>
      </c>
      <c r="E117" s="103">
        <f t="shared" ca="1" si="43"/>
        <v>0</v>
      </c>
      <c r="F117" s="103">
        <f t="shared" ca="1" si="44"/>
        <v>0</v>
      </c>
      <c r="G117" s="103">
        <f t="shared" ca="1" si="45"/>
        <v>0</v>
      </c>
      <c r="H117" s="103">
        <f t="shared" ca="1" si="46"/>
        <v>0</v>
      </c>
      <c r="I117" s="103">
        <f t="shared" ca="1" si="47"/>
        <v>0</v>
      </c>
      <c r="J117" s="103">
        <f t="shared" ca="1" si="48"/>
        <v>0</v>
      </c>
      <c r="K117" s="103">
        <f t="shared" ca="1" si="49"/>
        <v>0</v>
      </c>
      <c r="L117" s="103">
        <f t="shared" ca="1" si="50"/>
        <v>0</v>
      </c>
      <c r="M117" s="103">
        <f t="shared" ca="1" si="51"/>
        <v>0</v>
      </c>
      <c r="N117" s="103">
        <f t="shared" ca="1" si="52"/>
        <v>0</v>
      </c>
      <c r="O117" s="103">
        <f t="shared" ca="1" si="53"/>
        <v>0</v>
      </c>
      <c r="P117" s="103">
        <f t="shared" ca="1" si="54"/>
        <v>0</v>
      </c>
      <c r="Q117" s="103">
        <f t="shared" ca="1" si="55"/>
        <v>0</v>
      </c>
      <c r="R117" s="103">
        <f t="shared" ca="1" si="56"/>
        <v>0</v>
      </c>
      <c r="S117" s="103">
        <f t="shared" ca="1" si="57"/>
        <v>0</v>
      </c>
      <c r="T117" s="103">
        <f t="shared" ca="1" si="58"/>
        <v>0</v>
      </c>
      <c r="U117" s="103">
        <f t="shared" ca="1" si="59"/>
        <v>0</v>
      </c>
      <c r="V117" s="103">
        <f t="shared" ca="1" si="60"/>
        <v>0</v>
      </c>
      <c r="W117" s="103">
        <f t="shared" ca="1" si="61"/>
        <v>0</v>
      </c>
      <c r="X117" s="103">
        <f t="shared" ca="1" si="62"/>
        <v>0</v>
      </c>
      <c r="Y117" s="103">
        <f t="shared" ca="1" si="63"/>
        <v>0</v>
      </c>
      <c r="Z117" s="103">
        <f t="shared" ca="1" si="64"/>
        <v>0</v>
      </c>
      <c r="AA117" s="103">
        <f t="shared" ca="1" si="65"/>
        <v>0</v>
      </c>
      <c r="AB117" s="103">
        <f t="shared" ca="1" si="66"/>
        <v>0</v>
      </c>
      <c r="AC117" s="103">
        <f t="shared" ca="1" si="67"/>
        <v>0</v>
      </c>
      <c r="AD117" s="103">
        <f t="shared" ca="1" si="68"/>
        <v>0</v>
      </c>
      <c r="AE117" s="103">
        <f t="shared" ca="1" si="69"/>
        <v>0</v>
      </c>
      <c r="AF117" s="103">
        <f t="shared" ca="1" si="70"/>
        <v>0</v>
      </c>
      <c r="AG117" s="103">
        <f t="shared" ca="1" si="71"/>
        <v>0</v>
      </c>
      <c r="AH117" s="103">
        <f t="shared" ca="1" si="72"/>
        <v>0</v>
      </c>
      <c r="AI117" s="103">
        <f t="shared" ca="1" si="73"/>
        <v>0</v>
      </c>
      <c r="AJ117" s="98">
        <f t="shared" ca="1" si="110"/>
        <v>0</v>
      </c>
      <c r="AK117" s="103">
        <f t="shared" ca="1" si="110"/>
        <v>0</v>
      </c>
      <c r="AL117" s="103">
        <f t="shared" ca="1" si="110"/>
        <v>0</v>
      </c>
      <c r="AM117" s="103">
        <f t="shared" ca="1" si="110"/>
        <v>0</v>
      </c>
      <c r="AN117" s="103">
        <f t="shared" ca="1" si="110"/>
        <v>0</v>
      </c>
      <c r="AO117" s="103">
        <f t="shared" ca="1" si="110"/>
        <v>0</v>
      </c>
      <c r="AP117" s="103">
        <f t="shared" ca="1" si="110"/>
        <v>0</v>
      </c>
      <c r="AQ117" s="103">
        <f t="shared" ca="1" si="110"/>
        <v>0</v>
      </c>
      <c r="AR117" s="104">
        <f ca="1">COUNTIF(AJ117:AQ117,"&lt;"&amp;MAX(AJ117:AQ117))+IF(Calcs[[#This Row],[DL1]]=0,0,1)</f>
        <v>0</v>
      </c>
      <c r="AS117" s="105" t="str">
        <f ca="1">IF(LEN(Calcs[[#This Row],[Line]])&gt;0,IF(RIGHT(Calcs[[#This Row],[Remark]],3)=".  ",LEFT(Calcs[[#This Row],[Remark]],LEN(Calcs[[#This Row],[Remark]])-3),Calcs[[#This Row],[Remark]]),"")</f>
        <v/>
      </c>
      <c r="AT117" s="96">
        <f t="shared" ca="1" si="75"/>
        <v>0</v>
      </c>
      <c r="AU117" s="103">
        <f t="shared" ca="1" si="76"/>
        <v>0</v>
      </c>
      <c r="AV117" s="103">
        <f t="shared" ca="1" si="77"/>
        <v>0</v>
      </c>
      <c r="AW117" s="103">
        <f t="shared" ca="1" si="78"/>
        <v>0</v>
      </c>
      <c r="AX117" s="103">
        <f t="shared" ca="1" si="79"/>
        <v>0</v>
      </c>
      <c r="AY117" s="103">
        <f t="shared" ca="1" si="80"/>
        <v>0</v>
      </c>
      <c r="AZ117" s="103">
        <f t="shared" ca="1" si="81"/>
        <v>0</v>
      </c>
      <c r="BA117" s="103">
        <f t="shared" ca="1" si="82"/>
        <v>0</v>
      </c>
      <c r="BB117" s="103">
        <f t="shared" ca="1" si="83"/>
        <v>0</v>
      </c>
      <c r="BC117" s="103">
        <f t="shared" ca="1" si="84"/>
        <v>0</v>
      </c>
      <c r="BD117" s="103">
        <f t="shared" ca="1" si="85"/>
        <v>0</v>
      </c>
      <c r="BE117" s="103">
        <f t="shared" ca="1" si="86"/>
        <v>0</v>
      </c>
      <c r="BF117" s="103">
        <f t="shared" ca="1" si="87"/>
        <v>0</v>
      </c>
      <c r="BG117" s="103">
        <f t="shared" ca="1" si="88"/>
        <v>0</v>
      </c>
      <c r="BH117" s="103">
        <f t="shared" ca="1" si="89"/>
        <v>0</v>
      </c>
      <c r="BI117" s="103">
        <f t="shared" ca="1" si="90"/>
        <v>0</v>
      </c>
      <c r="BJ117" s="103">
        <f t="shared" ca="1" si="91"/>
        <v>0</v>
      </c>
      <c r="BK117" s="103">
        <f t="shared" ca="1" si="92"/>
        <v>0</v>
      </c>
      <c r="BL117" s="103">
        <f t="shared" ca="1" si="93"/>
        <v>0</v>
      </c>
      <c r="BM117" s="103">
        <f t="shared" ca="1" si="94"/>
        <v>0</v>
      </c>
      <c r="BN117" s="103">
        <f t="shared" ca="1" si="95"/>
        <v>0</v>
      </c>
      <c r="BO117" s="103">
        <f t="shared" ca="1" si="96"/>
        <v>0</v>
      </c>
      <c r="BP117" s="103">
        <f t="shared" ca="1" si="97"/>
        <v>0</v>
      </c>
      <c r="BQ117" s="103">
        <f t="shared" ca="1" si="98"/>
        <v>0</v>
      </c>
      <c r="BR117" s="103">
        <f t="shared" ca="1" si="99"/>
        <v>0</v>
      </c>
      <c r="BS117" s="103">
        <f t="shared" ca="1" si="100"/>
        <v>0</v>
      </c>
      <c r="BT117" s="103">
        <f t="shared" ca="1" si="101"/>
        <v>0</v>
      </c>
      <c r="BU117" s="103">
        <f t="shared" ca="1" si="102"/>
        <v>0</v>
      </c>
      <c r="BV117" s="103">
        <f t="shared" ca="1" si="103"/>
        <v>0</v>
      </c>
      <c r="BW117" s="103">
        <f t="shared" ca="1" si="104"/>
        <v>0</v>
      </c>
      <c r="BX117" s="103">
        <f t="shared" ca="1" si="105"/>
        <v>0</v>
      </c>
      <c r="BY117" s="103">
        <f t="shared" ca="1" si="106"/>
        <v>0</v>
      </c>
      <c r="BZ117" s="98">
        <f t="shared" ca="1" si="111"/>
        <v>0</v>
      </c>
      <c r="CA117" s="103">
        <f t="shared" ca="1" si="111"/>
        <v>0</v>
      </c>
      <c r="CB117" s="103">
        <f t="shared" ca="1" si="111"/>
        <v>0</v>
      </c>
      <c r="CC117" s="103">
        <f t="shared" ca="1" si="111"/>
        <v>0</v>
      </c>
      <c r="CD117" s="103">
        <f t="shared" ca="1" si="111"/>
        <v>0</v>
      </c>
      <c r="CE117" s="103">
        <f t="shared" ca="1" si="111"/>
        <v>0</v>
      </c>
      <c r="CF117" s="103">
        <f t="shared" ca="1" si="111"/>
        <v>0</v>
      </c>
      <c r="CG117" s="103">
        <f t="shared" ca="1" si="111"/>
        <v>0</v>
      </c>
      <c r="CH117" s="106">
        <f ca="1">COUNTIF(BZ117:CG117,"&lt;"&amp;MAX(BZ117:CG117))+IF(Calcs[[#This Row],[RL1]]=0,0,1)</f>
        <v>0</v>
      </c>
      <c r="CI11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7" s="103">
        <f ca="1">IFERROR(OFFSET(CJ117,-1,0)+0,0)+IF(INDEX(INDIRECT(RangeContrQty),MATCH(Calcs[[#This Row],[Line]],OFFSET(Items[Line],0,0,ROW(Proposed[])-ROW(Items[])+ROWS(Proposed[]),1),0)),1,0)</f>
        <v>0</v>
      </c>
    </row>
    <row r="118" spans="1:88" x14ac:dyDescent="0.15">
      <c r="A118" s="64">
        <f ca="1">IFERROR(OFFSET(A118,-1,0)+0,0)+MAX(IF(LEN(Calcs[[#This Row],[Line]])&gt;0,1,0),Calcs[[#This Row],[DL]],Calcs[[#This Row],[RL]])</f>
        <v>10</v>
      </c>
      <c r="B118" s="90" t="str">
        <f ca="1">IFERROR(INDEX(OFFSET(Items[Line],0,0,ROW(Proposed[])-ROW(Items[])+ROWS(Proposed[]),1),MATCH(ROW(B118)-ROW(B$3),INDIRECT(RangeCount),0)),"")</f>
        <v/>
      </c>
      <c r="C118" s="90" t="str">
        <f ca="1">IF(LEN(Calcs[[#This Row],[Line]])&gt;0,TRIM(IFERROR(INDEX(Items[Description],MATCH(Calcs[[#This Row],[Line]],Items[Line],0))&amp;INDEX(Items[Description2],MATCH(Calcs[[#This Row],[Line]],Items[Line],0)),INDEX(Proposed[Description],MATCH(Calcs[[#This Row],[Line]],Proposed[Line],0)))),"")</f>
        <v/>
      </c>
      <c r="D118" s="96">
        <f t="shared" ca="1" si="42"/>
        <v>0</v>
      </c>
      <c r="E118" s="103">
        <f t="shared" ca="1" si="43"/>
        <v>0</v>
      </c>
      <c r="F118" s="103">
        <f t="shared" ca="1" si="44"/>
        <v>0</v>
      </c>
      <c r="G118" s="103">
        <f t="shared" ca="1" si="45"/>
        <v>0</v>
      </c>
      <c r="H118" s="103">
        <f t="shared" ca="1" si="46"/>
        <v>0</v>
      </c>
      <c r="I118" s="103">
        <f t="shared" ca="1" si="47"/>
        <v>0</v>
      </c>
      <c r="J118" s="103">
        <f t="shared" ca="1" si="48"/>
        <v>0</v>
      </c>
      <c r="K118" s="103">
        <f t="shared" ca="1" si="49"/>
        <v>0</v>
      </c>
      <c r="L118" s="103">
        <f t="shared" ca="1" si="50"/>
        <v>0</v>
      </c>
      <c r="M118" s="103">
        <f t="shared" ca="1" si="51"/>
        <v>0</v>
      </c>
      <c r="N118" s="103">
        <f t="shared" ca="1" si="52"/>
        <v>0</v>
      </c>
      <c r="O118" s="103">
        <f t="shared" ca="1" si="53"/>
        <v>0</v>
      </c>
      <c r="P118" s="103">
        <f t="shared" ca="1" si="54"/>
        <v>0</v>
      </c>
      <c r="Q118" s="103">
        <f t="shared" ca="1" si="55"/>
        <v>0</v>
      </c>
      <c r="R118" s="103">
        <f t="shared" ca="1" si="56"/>
        <v>0</v>
      </c>
      <c r="S118" s="103">
        <f t="shared" ca="1" si="57"/>
        <v>0</v>
      </c>
      <c r="T118" s="103">
        <f t="shared" ca="1" si="58"/>
        <v>0</v>
      </c>
      <c r="U118" s="103">
        <f t="shared" ca="1" si="59"/>
        <v>0</v>
      </c>
      <c r="V118" s="103">
        <f t="shared" ca="1" si="60"/>
        <v>0</v>
      </c>
      <c r="W118" s="103">
        <f t="shared" ca="1" si="61"/>
        <v>0</v>
      </c>
      <c r="X118" s="103">
        <f t="shared" ca="1" si="62"/>
        <v>0</v>
      </c>
      <c r="Y118" s="103">
        <f t="shared" ca="1" si="63"/>
        <v>0</v>
      </c>
      <c r="Z118" s="103">
        <f t="shared" ca="1" si="64"/>
        <v>0</v>
      </c>
      <c r="AA118" s="103">
        <f t="shared" ca="1" si="65"/>
        <v>0</v>
      </c>
      <c r="AB118" s="103">
        <f t="shared" ca="1" si="66"/>
        <v>0</v>
      </c>
      <c r="AC118" s="103">
        <f t="shared" ca="1" si="67"/>
        <v>0</v>
      </c>
      <c r="AD118" s="103">
        <f t="shared" ca="1" si="68"/>
        <v>0</v>
      </c>
      <c r="AE118" s="103">
        <f t="shared" ca="1" si="69"/>
        <v>0</v>
      </c>
      <c r="AF118" s="103">
        <f t="shared" ca="1" si="70"/>
        <v>0</v>
      </c>
      <c r="AG118" s="103">
        <f t="shared" ca="1" si="71"/>
        <v>0</v>
      </c>
      <c r="AH118" s="103">
        <f t="shared" ca="1" si="72"/>
        <v>0</v>
      </c>
      <c r="AI118" s="103">
        <f t="shared" ca="1" si="73"/>
        <v>0</v>
      </c>
      <c r="AJ118" s="98">
        <f t="shared" ca="1" si="110"/>
        <v>0</v>
      </c>
      <c r="AK118" s="103">
        <f t="shared" ca="1" si="110"/>
        <v>0</v>
      </c>
      <c r="AL118" s="103">
        <f t="shared" ca="1" si="110"/>
        <v>0</v>
      </c>
      <c r="AM118" s="103">
        <f t="shared" ca="1" si="110"/>
        <v>0</v>
      </c>
      <c r="AN118" s="103">
        <f t="shared" ca="1" si="110"/>
        <v>0</v>
      </c>
      <c r="AO118" s="103">
        <f t="shared" ca="1" si="110"/>
        <v>0</v>
      </c>
      <c r="AP118" s="103">
        <f t="shared" ca="1" si="110"/>
        <v>0</v>
      </c>
      <c r="AQ118" s="103">
        <f t="shared" ca="1" si="110"/>
        <v>0</v>
      </c>
      <c r="AR118" s="104">
        <f ca="1">COUNTIF(AJ118:AQ118,"&lt;"&amp;MAX(AJ118:AQ118))+IF(Calcs[[#This Row],[DL1]]=0,0,1)</f>
        <v>0</v>
      </c>
      <c r="AS118" s="105" t="str">
        <f ca="1">IF(LEN(Calcs[[#This Row],[Line]])&gt;0,IF(RIGHT(Calcs[[#This Row],[Remark]],3)=".  ",LEFT(Calcs[[#This Row],[Remark]],LEN(Calcs[[#This Row],[Remark]])-3),Calcs[[#This Row],[Remark]]),"")</f>
        <v/>
      </c>
      <c r="AT118" s="96">
        <f t="shared" ca="1" si="75"/>
        <v>0</v>
      </c>
      <c r="AU118" s="103">
        <f t="shared" ca="1" si="76"/>
        <v>0</v>
      </c>
      <c r="AV118" s="103">
        <f t="shared" ca="1" si="77"/>
        <v>0</v>
      </c>
      <c r="AW118" s="103">
        <f t="shared" ca="1" si="78"/>
        <v>0</v>
      </c>
      <c r="AX118" s="103">
        <f t="shared" ca="1" si="79"/>
        <v>0</v>
      </c>
      <c r="AY118" s="103">
        <f t="shared" ca="1" si="80"/>
        <v>0</v>
      </c>
      <c r="AZ118" s="103">
        <f t="shared" ca="1" si="81"/>
        <v>0</v>
      </c>
      <c r="BA118" s="103">
        <f t="shared" ca="1" si="82"/>
        <v>0</v>
      </c>
      <c r="BB118" s="103">
        <f t="shared" ca="1" si="83"/>
        <v>0</v>
      </c>
      <c r="BC118" s="103">
        <f t="shared" ca="1" si="84"/>
        <v>0</v>
      </c>
      <c r="BD118" s="103">
        <f t="shared" ca="1" si="85"/>
        <v>0</v>
      </c>
      <c r="BE118" s="103">
        <f t="shared" ca="1" si="86"/>
        <v>0</v>
      </c>
      <c r="BF118" s="103">
        <f t="shared" ca="1" si="87"/>
        <v>0</v>
      </c>
      <c r="BG118" s="103">
        <f t="shared" ca="1" si="88"/>
        <v>0</v>
      </c>
      <c r="BH118" s="103">
        <f t="shared" ca="1" si="89"/>
        <v>0</v>
      </c>
      <c r="BI118" s="103">
        <f t="shared" ca="1" si="90"/>
        <v>0</v>
      </c>
      <c r="BJ118" s="103">
        <f t="shared" ca="1" si="91"/>
        <v>0</v>
      </c>
      <c r="BK118" s="103">
        <f t="shared" ca="1" si="92"/>
        <v>0</v>
      </c>
      <c r="BL118" s="103">
        <f t="shared" ca="1" si="93"/>
        <v>0</v>
      </c>
      <c r="BM118" s="103">
        <f t="shared" ca="1" si="94"/>
        <v>0</v>
      </c>
      <c r="BN118" s="103">
        <f t="shared" ca="1" si="95"/>
        <v>0</v>
      </c>
      <c r="BO118" s="103">
        <f t="shared" ca="1" si="96"/>
        <v>0</v>
      </c>
      <c r="BP118" s="103">
        <f t="shared" ca="1" si="97"/>
        <v>0</v>
      </c>
      <c r="BQ118" s="103">
        <f t="shared" ca="1" si="98"/>
        <v>0</v>
      </c>
      <c r="BR118" s="103">
        <f t="shared" ca="1" si="99"/>
        <v>0</v>
      </c>
      <c r="BS118" s="103">
        <f t="shared" ca="1" si="100"/>
        <v>0</v>
      </c>
      <c r="BT118" s="103">
        <f t="shared" ca="1" si="101"/>
        <v>0</v>
      </c>
      <c r="BU118" s="103">
        <f t="shared" ca="1" si="102"/>
        <v>0</v>
      </c>
      <c r="BV118" s="103">
        <f t="shared" ca="1" si="103"/>
        <v>0</v>
      </c>
      <c r="BW118" s="103">
        <f t="shared" ca="1" si="104"/>
        <v>0</v>
      </c>
      <c r="BX118" s="103">
        <f t="shared" ca="1" si="105"/>
        <v>0</v>
      </c>
      <c r="BY118" s="103">
        <f t="shared" ca="1" si="106"/>
        <v>0</v>
      </c>
      <c r="BZ118" s="98">
        <f t="shared" ca="1" si="111"/>
        <v>0</v>
      </c>
      <c r="CA118" s="103">
        <f t="shared" ca="1" si="111"/>
        <v>0</v>
      </c>
      <c r="CB118" s="103">
        <f t="shared" ca="1" si="111"/>
        <v>0</v>
      </c>
      <c r="CC118" s="103">
        <f t="shared" ca="1" si="111"/>
        <v>0</v>
      </c>
      <c r="CD118" s="103">
        <f t="shared" ca="1" si="111"/>
        <v>0</v>
      </c>
      <c r="CE118" s="103">
        <f t="shared" ca="1" si="111"/>
        <v>0</v>
      </c>
      <c r="CF118" s="103">
        <f t="shared" ca="1" si="111"/>
        <v>0</v>
      </c>
      <c r="CG118" s="103">
        <f t="shared" ca="1" si="111"/>
        <v>0</v>
      </c>
      <c r="CH118" s="106">
        <f ca="1">COUNTIF(BZ118:CG118,"&lt;"&amp;MAX(BZ118:CG118))+IF(Calcs[[#This Row],[RL1]]=0,0,1)</f>
        <v>0</v>
      </c>
      <c r="CI11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8" s="103">
        <f ca="1">IFERROR(OFFSET(CJ118,-1,0)+0,0)+IF(INDEX(INDIRECT(RangeContrQty),MATCH(Calcs[[#This Row],[Line]],OFFSET(Items[Line],0,0,ROW(Proposed[])-ROW(Items[])+ROWS(Proposed[]),1),0)),1,0)</f>
        <v>0</v>
      </c>
    </row>
    <row r="119" spans="1:88" x14ac:dyDescent="0.15">
      <c r="A119" s="64">
        <f ca="1">IFERROR(OFFSET(A119,-1,0)+0,0)+MAX(IF(LEN(Calcs[[#This Row],[Line]])&gt;0,1,0),Calcs[[#This Row],[DL]],Calcs[[#This Row],[RL]])</f>
        <v>10</v>
      </c>
      <c r="B119" s="90" t="str">
        <f ca="1">IFERROR(INDEX(OFFSET(Items[Line],0,0,ROW(Proposed[])-ROW(Items[])+ROWS(Proposed[]),1),MATCH(ROW(B119)-ROW(B$3),INDIRECT(RangeCount),0)),"")</f>
        <v/>
      </c>
      <c r="C119" s="90" t="str">
        <f ca="1">IF(LEN(Calcs[[#This Row],[Line]])&gt;0,TRIM(IFERROR(INDEX(Items[Description],MATCH(Calcs[[#This Row],[Line]],Items[Line],0))&amp;INDEX(Items[Description2],MATCH(Calcs[[#This Row],[Line]],Items[Line],0)),INDEX(Proposed[Description],MATCH(Calcs[[#This Row],[Line]],Proposed[Line],0)))),"")</f>
        <v/>
      </c>
      <c r="D119" s="96">
        <f t="shared" ca="1" si="42"/>
        <v>0</v>
      </c>
      <c r="E119" s="103">
        <f t="shared" ca="1" si="43"/>
        <v>0</v>
      </c>
      <c r="F119" s="103">
        <f t="shared" ca="1" si="44"/>
        <v>0</v>
      </c>
      <c r="G119" s="103">
        <f t="shared" ca="1" si="45"/>
        <v>0</v>
      </c>
      <c r="H119" s="103">
        <f t="shared" ca="1" si="46"/>
        <v>0</v>
      </c>
      <c r="I119" s="103">
        <f t="shared" ca="1" si="47"/>
        <v>0</v>
      </c>
      <c r="J119" s="103">
        <f t="shared" ca="1" si="48"/>
        <v>0</v>
      </c>
      <c r="K119" s="103">
        <f t="shared" ca="1" si="49"/>
        <v>0</v>
      </c>
      <c r="L119" s="103">
        <f t="shared" ca="1" si="50"/>
        <v>0</v>
      </c>
      <c r="M119" s="103">
        <f t="shared" ca="1" si="51"/>
        <v>0</v>
      </c>
      <c r="N119" s="103">
        <f t="shared" ca="1" si="52"/>
        <v>0</v>
      </c>
      <c r="O119" s="103">
        <f t="shared" ca="1" si="53"/>
        <v>0</v>
      </c>
      <c r="P119" s="103">
        <f t="shared" ca="1" si="54"/>
        <v>0</v>
      </c>
      <c r="Q119" s="103">
        <f t="shared" ca="1" si="55"/>
        <v>0</v>
      </c>
      <c r="R119" s="103">
        <f t="shared" ca="1" si="56"/>
        <v>0</v>
      </c>
      <c r="S119" s="103">
        <f t="shared" ca="1" si="57"/>
        <v>0</v>
      </c>
      <c r="T119" s="103">
        <f t="shared" ca="1" si="58"/>
        <v>0</v>
      </c>
      <c r="U119" s="103">
        <f t="shared" ca="1" si="59"/>
        <v>0</v>
      </c>
      <c r="V119" s="103">
        <f t="shared" ca="1" si="60"/>
        <v>0</v>
      </c>
      <c r="W119" s="103">
        <f t="shared" ca="1" si="61"/>
        <v>0</v>
      </c>
      <c r="X119" s="103">
        <f t="shared" ca="1" si="62"/>
        <v>0</v>
      </c>
      <c r="Y119" s="103">
        <f t="shared" ca="1" si="63"/>
        <v>0</v>
      </c>
      <c r="Z119" s="103">
        <f t="shared" ca="1" si="64"/>
        <v>0</v>
      </c>
      <c r="AA119" s="103">
        <f t="shared" ca="1" si="65"/>
        <v>0</v>
      </c>
      <c r="AB119" s="103">
        <f t="shared" ca="1" si="66"/>
        <v>0</v>
      </c>
      <c r="AC119" s="103">
        <f t="shared" ca="1" si="67"/>
        <v>0</v>
      </c>
      <c r="AD119" s="103">
        <f t="shared" ca="1" si="68"/>
        <v>0</v>
      </c>
      <c r="AE119" s="103">
        <f t="shared" ca="1" si="69"/>
        <v>0</v>
      </c>
      <c r="AF119" s="103">
        <f t="shared" ca="1" si="70"/>
        <v>0</v>
      </c>
      <c r="AG119" s="103">
        <f t="shared" ca="1" si="71"/>
        <v>0</v>
      </c>
      <c r="AH119" s="103">
        <f t="shared" ca="1" si="72"/>
        <v>0</v>
      </c>
      <c r="AI119" s="103">
        <f t="shared" ca="1" si="73"/>
        <v>0</v>
      </c>
      <c r="AJ119" s="98">
        <f t="shared" ca="1" si="110"/>
        <v>0</v>
      </c>
      <c r="AK119" s="103">
        <f t="shared" ca="1" si="110"/>
        <v>0</v>
      </c>
      <c r="AL119" s="103">
        <f t="shared" ca="1" si="110"/>
        <v>0</v>
      </c>
      <c r="AM119" s="103">
        <f t="shared" ca="1" si="110"/>
        <v>0</v>
      </c>
      <c r="AN119" s="103">
        <f t="shared" ca="1" si="110"/>
        <v>0</v>
      </c>
      <c r="AO119" s="103">
        <f t="shared" ca="1" si="110"/>
        <v>0</v>
      </c>
      <c r="AP119" s="103">
        <f t="shared" ca="1" si="110"/>
        <v>0</v>
      </c>
      <c r="AQ119" s="103">
        <f t="shared" ca="1" si="110"/>
        <v>0</v>
      </c>
      <c r="AR119" s="104">
        <f ca="1">COUNTIF(AJ119:AQ119,"&lt;"&amp;MAX(AJ119:AQ119))+IF(Calcs[[#This Row],[DL1]]=0,0,1)</f>
        <v>0</v>
      </c>
      <c r="AS119" s="105" t="str">
        <f ca="1">IF(LEN(Calcs[[#This Row],[Line]])&gt;0,IF(RIGHT(Calcs[[#This Row],[Remark]],3)=".  ",LEFT(Calcs[[#This Row],[Remark]],LEN(Calcs[[#This Row],[Remark]])-3),Calcs[[#This Row],[Remark]]),"")</f>
        <v/>
      </c>
      <c r="AT119" s="96">
        <f t="shared" ca="1" si="75"/>
        <v>0</v>
      </c>
      <c r="AU119" s="103">
        <f t="shared" ca="1" si="76"/>
        <v>0</v>
      </c>
      <c r="AV119" s="103">
        <f t="shared" ca="1" si="77"/>
        <v>0</v>
      </c>
      <c r="AW119" s="103">
        <f t="shared" ca="1" si="78"/>
        <v>0</v>
      </c>
      <c r="AX119" s="103">
        <f t="shared" ca="1" si="79"/>
        <v>0</v>
      </c>
      <c r="AY119" s="103">
        <f t="shared" ca="1" si="80"/>
        <v>0</v>
      </c>
      <c r="AZ119" s="103">
        <f t="shared" ca="1" si="81"/>
        <v>0</v>
      </c>
      <c r="BA119" s="103">
        <f t="shared" ca="1" si="82"/>
        <v>0</v>
      </c>
      <c r="BB119" s="103">
        <f t="shared" ca="1" si="83"/>
        <v>0</v>
      </c>
      <c r="BC119" s="103">
        <f t="shared" ca="1" si="84"/>
        <v>0</v>
      </c>
      <c r="BD119" s="103">
        <f t="shared" ca="1" si="85"/>
        <v>0</v>
      </c>
      <c r="BE119" s="103">
        <f t="shared" ca="1" si="86"/>
        <v>0</v>
      </c>
      <c r="BF119" s="103">
        <f t="shared" ca="1" si="87"/>
        <v>0</v>
      </c>
      <c r="BG119" s="103">
        <f t="shared" ca="1" si="88"/>
        <v>0</v>
      </c>
      <c r="BH119" s="103">
        <f t="shared" ca="1" si="89"/>
        <v>0</v>
      </c>
      <c r="BI119" s="103">
        <f t="shared" ca="1" si="90"/>
        <v>0</v>
      </c>
      <c r="BJ119" s="103">
        <f t="shared" ca="1" si="91"/>
        <v>0</v>
      </c>
      <c r="BK119" s="103">
        <f t="shared" ca="1" si="92"/>
        <v>0</v>
      </c>
      <c r="BL119" s="103">
        <f t="shared" ca="1" si="93"/>
        <v>0</v>
      </c>
      <c r="BM119" s="103">
        <f t="shared" ca="1" si="94"/>
        <v>0</v>
      </c>
      <c r="BN119" s="103">
        <f t="shared" ca="1" si="95"/>
        <v>0</v>
      </c>
      <c r="BO119" s="103">
        <f t="shared" ca="1" si="96"/>
        <v>0</v>
      </c>
      <c r="BP119" s="103">
        <f t="shared" ca="1" si="97"/>
        <v>0</v>
      </c>
      <c r="BQ119" s="103">
        <f t="shared" ca="1" si="98"/>
        <v>0</v>
      </c>
      <c r="BR119" s="103">
        <f t="shared" ca="1" si="99"/>
        <v>0</v>
      </c>
      <c r="BS119" s="103">
        <f t="shared" ca="1" si="100"/>
        <v>0</v>
      </c>
      <c r="BT119" s="103">
        <f t="shared" ca="1" si="101"/>
        <v>0</v>
      </c>
      <c r="BU119" s="103">
        <f t="shared" ca="1" si="102"/>
        <v>0</v>
      </c>
      <c r="BV119" s="103">
        <f t="shared" ca="1" si="103"/>
        <v>0</v>
      </c>
      <c r="BW119" s="103">
        <f t="shared" ca="1" si="104"/>
        <v>0</v>
      </c>
      <c r="BX119" s="103">
        <f t="shared" ca="1" si="105"/>
        <v>0</v>
      </c>
      <c r="BY119" s="103">
        <f t="shared" ca="1" si="106"/>
        <v>0</v>
      </c>
      <c r="BZ119" s="98">
        <f t="shared" ca="1" si="111"/>
        <v>0</v>
      </c>
      <c r="CA119" s="103">
        <f t="shared" ca="1" si="111"/>
        <v>0</v>
      </c>
      <c r="CB119" s="103">
        <f t="shared" ca="1" si="111"/>
        <v>0</v>
      </c>
      <c r="CC119" s="103">
        <f t="shared" ca="1" si="111"/>
        <v>0</v>
      </c>
      <c r="CD119" s="103">
        <f t="shared" ca="1" si="111"/>
        <v>0</v>
      </c>
      <c r="CE119" s="103">
        <f t="shared" ca="1" si="111"/>
        <v>0</v>
      </c>
      <c r="CF119" s="103">
        <f t="shared" ca="1" si="111"/>
        <v>0</v>
      </c>
      <c r="CG119" s="103">
        <f t="shared" ca="1" si="111"/>
        <v>0</v>
      </c>
      <c r="CH119" s="106">
        <f ca="1">COUNTIF(BZ119:CG119,"&lt;"&amp;MAX(BZ119:CG119))+IF(Calcs[[#This Row],[RL1]]=0,0,1)</f>
        <v>0</v>
      </c>
      <c r="CI11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9" s="103">
        <f ca="1">IFERROR(OFFSET(CJ119,-1,0)+0,0)+IF(INDEX(INDIRECT(RangeContrQty),MATCH(Calcs[[#This Row],[Line]],OFFSET(Items[Line],0,0,ROW(Proposed[])-ROW(Items[])+ROWS(Proposed[]),1),0)),1,0)</f>
        <v>0</v>
      </c>
    </row>
    <row r="120" spans="1:88" x14ac:dyDescent="0.15">
      <c r="A120" s="64">
        <f ca="1">IFERROR(OFFSET(A120,-1,0)+0,0)+MAX(IF(LEN(Calcs[[#This Row],[Line]])&gt;0,1,0),Calcs[[#This Row],[DL]],Calcs[[#This Row],[RL]])</f>
        <v>10</v>
      </c>
      <c r="B120" s="90" t="str">
        <f ca="1">IFERROR(INDEX(OFFSET(Items[Line],0,0,ROW(Proposed[])-ROW(Items[])+ROWS(Proposed[]),1),MATCH(ROW(B120)-ROW(B$3),INDIRECT(RangeCount),0)),"")</f>
        <v/>
      </c>
      <c r="C120" s="90" t="str">
        <f ca="1">IF(LEN(Calcs[[#This Row],[Line]])&gt;0,TRIM(IFERROR(INDEX(Items[Description],MATCH(Calcs[[#This Row],[Line]],Items[Line],0))&amp;INDEX(Items[Description2],MATCH(Calcs[[#This Row],[Line]],Items[Line],0)),INDEX(Proposed[Description],MATCH(Calcs[[#This Row],[Line]],Proposed[Line],0)))),"")</f>
        <v/>
      </c>
      <c r="D120" s="96">
        <f t="shared" ca="1" si="42"/>
        <v>0</v>
      </c>
      <c r="E120" s="103">
        <f t="shared" ca="1" si="43"/>
        <v>0</v>
      </c>
      <c r="F120" s="103">
        <f t="shared" ca="1" si="44"/>
        <v>0</v>
      </c>
      <c r="G120" s="103">
        <f t="shared" ca="1" si="45"/>
        <v>0</v>
      </c>
      <c r="H120" s="103">
        <f t="shared" ca="1" si="46"/>
        <v>0</v>
      </c>
      <c r="I120" s="103">
        <f t="shared" ca="1" si="47"/>
        <v>0</v>
      </c>
      <c r="J120" s="103">
        <f t="shared" ca="1" si="48"/>
        <v>0</v>
      </c>
      <c r="K120" s="103">
        <f t="shared" ca="1" si="49"/>
        <v>0</v>
      </c>
      <c r="L120" s="103">
        <f t="shared" ca="1" si="50"/>
        <v>0</v>
      </c>
      <c r="M120" s="103">
        <f t="shared" ca="1" si="51"/>
        <v>0</v>
      </c>
      <c r="N120" s="103">
        <f t="shared" ca="1" si="52"/>
        <v>0</v>
      </c>
      <c r="O120" s="103">
        <f t="shared" ca="1" si="53"/>
        <v>0</v>
      </c>
      <c r="P120" s="103">
        <f t="shared" ca="1" si="54"/>
        <v>0</v>
      </c>
      <c r="Q120" s="103">
        <f t="shared" ca="1" si="55"/>
        <v>0</v>
      </c>
      <c r="R120" s="103">
        <f t="shared" ca="1" si="56"/>
        <v>0</v>
      </c>
      <c r="S120" s="103">
        <f t="shared" ca="1" si="57"/>
        <v>0</v>
      </c>
      <c r="T120" s="103">
        <f t="shared" ca="1" si="58"/>
        <v>0</v>
      </c>
      <c r="U120" s="103">
        <f t="shared" ca="1" si="59"/>
        <v>0</v>
      </c>
      <c r="V120" s="103">
        <f t="shared" ca="1" si="60"/>
        <v>0</v>
      </c>
      <c r="W120" s="103">
        <f t="shared" ca="1" si="61"/>
        <v>0</v>
      </c>
      <c r="X120" s="103">
        <f t="shared" ca="1" si="62"/>
        <v>0</v>
      </c>
      <c r="Y120" s="103">
        <f t="shared" ca="1" si="63"/>
        <v>0</v>
      </c>
      <c r="Z120" s="103">
        <f t="shared" ca="1" si="64"/>
        <v>0</v>
      </c>
      <c r="AA120" s="103">
        <f t="shared" ca="1" si="65"/>
        <v>0</v>
      </c>
      <c r="AB120" s="103">
        <f t="shared" ca="1" si="66"/>
        <v>0</v>
      </c>
      <c r="AC120" s="103">
        <f t="shared" ca="1" si="67"/>
        <v>0</v>
      </c>
      <c r="AD120" s="103">
        <f t="shared" ca="1" si="68"/>
        <v>0</v>
      </c>
      <c r="AE120" s="103">
        <f t="shared" ca="1" si="69"/>
        <v>0</v>
      </c>
      <c r="AF120" s="103">
        <f t="shared" ca="1" si="70"/>
        <v>0</v>
      </c>
      <c r="AG120" s="103">
        <f t="shared" ca="1" si="71"/>
        <v>0</v>
      </c>
      <c r="AH120" s="103">
        <f t="shared" ca="1" si="72"/>
        <v>0</v>
      </c>
      <c r="AI120" s="103">
        <f t="shared" ca="1" si="73"/>
        <v>0</v>
      </c>
      <c r="AJ120" s="98">
        <f t="shared" ca="1" si="110"/>
        <v>0</v>
      </c>
      <c r="AK120" s="103">
        <f t="shared" ca="1" si="110"/>
        <v>0</v>
      </c>
      <c r="AL120" s="103">
        <f t="shared" ca="1" si="110"/>
        <v>0</v>
      </c>
      <c r="AM120" s="103">
        <f t="shared" ca="1" si="110"/>
        <v>0</v>
      </c>
      <c r="AN120" s="103">
        <f t="shared" ca="1" si="110"/>
        <v>0</v>
      </c>
      <c r="AO120" s="103">
        <f t="shared" ca="1" si="110"/>
        <v>0</v>
      </c>
      <c r="AP120" s="103">
        <f t="shared" ca="1" si="110"/>
        <v>0</v>
      </c>
      <c r="AQ120" s="103">
        <f t="shared" ca="1" si="110"/>
        <v>0</v>
      </c>
      <c r="AR120" s="104">
        <f ca="1">COUNTIF(AJ120:AQ120,"&lt;"&amp;MAX(AJ120:AQ120))+IF(Calcs[[#This Row],[DL1]]=0,0,1)</f>
        <v>0</v>
      </c>
      <c r="AS120" s="105" t="str">
        <f ca="1">IF(LEN(Calcs[[#This Row],[Line]])&gt;0,IF(RIGHT(Calcs[[#This Row],[Remark]],3)=".  ",LEFT(Calcs[[#This Row],[Remark]],LEN(Calcs[[#This Row],[Remark]])-3),Calcs[[#This Row],[Remark]]),"")</f>
        <v/>
      </c>
      <c r="AT120" s="96">
        <f t="shared" ca="1" si="75"/>
        <v>0</v>
      </c>
      <c r="AU120" s="103">
        <f t="shared" ca="1" si="76"/>
        <v>0</v>
      </c>
      <c r="AV120" s="103">
        <f t="shared" ca="1" si="77"/>
        <v>0</v>
      </c>
      <c r="AW120" s="103">
        <f t="shared" ca="1" si="78"/>
        <v>0</v>
      </c>
      <c r="AX120" s="103">
        <f t="shared" ca="1" si="79"/>
        <v>0</v>
      </c>
      <c r="AY120" s="103">
        <f t="shared" ca="1" si="80"/>
        <v>0</v>
      </c>
      <c r="AZ120" s="103">
        <f t="shared" ca="1" si="81"/>
        <v>0</v>
      </c>
      <c r="BA120" s="103">
        <f t="shared" ca="1" si="82"/>
        <v>0</v>
      </c>
      <c r="BB120" s="103">
        <f t="shared" ca="1" si="83"/>
        <v>0</v>
      </c>
      <c r="BC120" s="103">
        <f t="shared" ca="1" si="84"/>
        <v>0</v>
      </c>
      <c r="BD120" s="103">
        <f t="shared" ca="1" si="85"/>
        <v>0</v>
      </c>
      <c r="BE120" s="103">
        <f t="shared" ca="1" si="86"/>
        <v>0</v>
      </c>
      <c r="BF120" s="103">
        <f t="shared" ca="1" si="87"/>
        <v>0</v>
      </c>
      <c r="BG120" s="103">
        <f t="shared" ca="1" si="88"/>
        <v>0</v>
      </c>
      <c r="BH120" s="103">
        <f t="shared" ca="1" si="89"/>
        <v>0</v>
      </c>
      <c r="BI120" s="103">
        <f t="shared" ca="1" si="90"/>
        <v>0</v>
      </c>
      <c r="BJ120" s="103">
        <f t="shared" ca="1" si="91"/>
        <v>0</v>
      </c>
      <c r="BK120" s="103">
        <f t="shared" ca="1" si="92"/>
        <v>0</v>
      </c>
      <c r="BL120" s="103">
        <f t="shared" ca="1" si="93"/>
        <v>0</v>
      </c>
      <c r="BM120" s="103">
        <f t="shared" ca="1" si="94"/>
        <v>0</v>
      </c>
      <c r="BN120" s="103">
        <f t="shared" ca="1" si="95"/>
        <v>0</v>
      </c>
      <c r="BO120" s="103">
        <f t="shared" ca="1" si="96"/>
        <v>0</v>
      </c>
      <c r="BP120" s="103">
        <f t="shared" ca="1" si="97"/>
        <v>0</v>
      </c>
      <c r="BQ120" s="103">
        <f t="shared" ca="1" si="98"/>
        <v>0</v>
      </c>
      <c r="BR120" s="103">
        <f t="shared" ca="1" si="99"/>
        <v>0</v>
      </c>
      <c r="BS120" s="103">
        <f t="shared" ca="1" si="100"/>
        <v>0</v>
      </c>
      <c r="BT120" s="103">
        <f t="shared" ca="1" si="101"/>
        <v>0</v>
      </c>
      <c r="BU120" s="103">
        <f t="shared" ca="1" si="102"/>
        <v>0</v>
      </c>
      <c r="BV120" s="103">
        <f t="shared" ca="1" si="103"/>
        <v>0</v>
      </c>
      <c r="BW120" s="103">
        <f t="shared" ca="1" si="104"/>
        <v>0</v>
      </c>
      <c r="BX120" s="103">
        <f t="shared" ca="1" si="105"/>
        <v>0</v>
      </c>
      <c r="BY120" s="103">
        <f t="shared" ca="1" si="106"/>
        <v>0</v>
      </c>
      <c r="BZ120" s="98">
        <f t="shared" ca="1" si="111"/>
        <v>0</v>
      </c>
      <c r="CA120" s="103">
        <f t="shared" ca="1" si="111"/>
        <v>0</v>
      </c>
      <c r="CB120" s="103">
        <f t="shared" ca="1" si="111"/>
        <v>0</v>
      </c>
      <c r="CC120" s="103">
        <f t="shared" ca="1" si="111"/>
        <v>0</v>
      </c>
      <c r="CD120" s="103">
        <f t="shared" ca="1" si="111"/>
        <v>0</v>
      </c>
      <c r="CE120" s="103">
        <f t="shared" ca="1" si="111"/>
        <v>0</v>
      </c>
      <c r="CF120" s="103">
        <f t="shared" ca="1" si="111"/>
        <v>0</v>
      </c>
      <c r="CG120" s="103">
        <f t="shared" ca="1" si="111"/>
        <v>0</v>
      </c>
      <c r="CH120" s="106">
        <f ca="1">COUNTIF(BZ120:CG120,"&lt;"&amp;MAX(BZ120:CG120))+IF(Calcs[[#This Row],[RL1]]=0,0,1)</f>
        <v>0</v>
      </c>
      <c r="CI12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0" s="103">
        <f ca="1">IFERROR(OFFSET(CJ120,-1,0)+0,0)+IF(INDEX(INDIRECT(RangeContrQty),MATCH(Calcs[[#This Row],[Line]],OFFSET(Items[Line],0,0,ROW(Proposed[])-ROW(Items[])+ROWS(Proposed[]),1),0)),1,0)</f>
        <v>0</v>
      </c>
    </row>
    <row r="121" spans="1:88" x14ac:dyDescent="0.15">
      <c r="A121" s="64">
        <f ca="1">IFERROR(OFFSET(A121,-1,0)+0,0)+MAX(IF(LEN(Calcs[[#This Row],[Line]])&gt;0,1,0),Calcs[[#This Row],[DL]],Calcs[[#This Row],[RL]])</f>
        <v>10</v>
      </c>
      <c r="B121" s="90" t="str">
        <f ca="1">IFERROR(INDEX(OFFSET(Items[Line],0,0,ROW(Proposed[])-ROW(Items[])+ROWS(Proposed[]),1),MATCH(ROW(B121)-ROW(B$3),INDIRECT(RangeCount),0)),"")</f>
        <v/>
      </c>
      <c r="C121" s="90" t="str">
        <f ca="1">IF(LEN(Calcs[[#This Row],[Line]])&gt;0,TRIM(IFERROR(INDEX(Items[Description],MATCH(Calcs[[#This Row],[Line]],Items[Line],0))&amp;INDEX(Items[Description2],MATCH(Calcs[[#This Row],[Line]],Items[Line],0)),INDEX(Proposed[Description],MATCH(Calcs[[#This Row],[Line]],Proposed[Line],0)))),"")</f>
        <v/>
      </c>
      <c r="D121" s="96">
        <f t="shared" ca="1" si="42"/>
        <v>0</v>
      </c>
      <c r="E121" s="103">
        <f t="shared" ca="1" si="43"/>
        <v>0</v>
      </c>
      <c r="F121" s="103">
        <f t="shared" ca="1" si="44"/>
        <v>0</v>
      </c>
      <c r="G121" s="103">
        <f t="shared" ca="1" si="45"/>
        <v>0</v>
      </c>
      <c r="H121" s="103">
        <f t="shared" ca="1" si="46"/>
        <v>0</v>
      </c>
      <c r="I121" s="103">
        <f t="shared" ca="1" si="47"/>
        <v>0</v>
      </c>
      <c r="J121" s="103">
        <f t="shared" ca="1" si="48"/>
        <v>0</v>
      </c>
      <c r="K121" s="103">
        <f t="shared" ca="1" si="49"/>
        <v>0</v>
      </c>
      <c r="L121" s="103">
        <f t="shared" ca="1" si="50"/>
        <v>0</v>
      </c>
      <c r="M121" s="103">
        <f t="shared" ca="1" si="51"/>
        <v>0</v>
      </c>
      <c r="N121" s="103">
        <f t="shared" ca="1" si="52"/>
        <v>0</v>
      </c>
      <c r="O121" s="103">
        <f t="shared" ca="1" si="53"/>
        <v>0</v>
      </c>
      <c r="P121" s="103">
        <f t="shared" ca="1" si="54"/>
        <v>0</v>
      </c>
      <c r="Q121" s="103">
        <f t="shared" ca="1" si="55"/>
        <v>0</v>
      </c>
      <c r="R121" s="103">
        <f t="shared" ca="1" si="56"/>
        <v>0</v>
      </c>
      <c r="S121" s="103">
        <f t="shared" ca="1" si="57"/>
        <v>0</v>
      </c>
      <c r="T121" s="103">
        <f t="shared" ca="1" si="58"/>
        <v>0</v>
      </c>
      <c r="U121" s="103">
        <f t="shared" ca="1" si="59"/>
        <v>0</v>
      </c>
      <c r="V121" s="103">
        <f t="shared" ca="1" si="60"/>
        <v>0</v>
      </c>
      <c r="W121" s="103">
        <f t="shared" ca="1" si="61"/>
        <v>0</v>
      </c>
      <c r="X121" s="103">
        <f t="shared" ca="1" si="62"/>
        <v>0</v>
      </c>
      <c r="Y121" s="103">
        <f t="shared" ca="1" si="63"/>
        <v>0</v>
      </c>
      <c r="Z121" s="103">
        <f t="shared" ca="1" si="64"/>
        <v>0</v>
      </c>
      <c r="AA121" s="103">
        <f t="shared" ca="1" si="65"/>
        <v>0</v>
      </c>
      <c r="AB121" s="103">
        <f t="shared" ca="1" si="66"/>
        <v>0</v>
      </c>
      <c r="AC121" s="103">
        <f t="shared" ca="1" si="67"/>
        <v>0</v>
      </c>
      <c r="AD121" s="103">
        <f t="shared" ca="1" si="68"/>
        <v>0</v>
      </c>
      <c r="AE121" s="103">
        <f t="shared" ca="1" si="69"/>
        <v>0</v>
      </c>
      <c r="AF121" s="103">
        <f t="shared" ca="1" si="70"/>
        <v>0</v>
      </c>
      <c r="AG121" s="103">
        <f t="shared" ca="1" si="71"/>
        <v>0</v>
      </c>
      <c r="AH121" s="103">
        <f t="shared" ca="1" si="72"/>
        <v>0</v>
      </c>
      <c r="AI121" s="103">
        <f t="shared" ca="1" si="73"/>
        <v>0</v>
      </c>
      <c r="AJ121" s="98">
        <f t="shared" ca="1" si="110"/>
        <v>0</v>
      </c>
      <c r="AK121" s="103">
        <f t="shared" ca="1" si="110"/>
        <v>0</v>
      </c>
      <c r="AL121" s="103">
        <f t="shared" ca="1" si="110"/>
        <v>0</v>
      </c>
      <c r="AM121" s="103">
        <f t="shared" ca="1" si="110"/>
        <v>0</v>
      </c>
      <c r="AN121" s="103">
        <f t="shared" ca="1" si="110"/>
        <v>0</v>
      </c>
      <c r="AO121" s="103">
        <f t="shared" ca="1" si="110"/>
        <v>0</v>
      </c>
      <c r="AP121" s="103">
        <f t="shared" ca="1" si="110"/>
        <v>0</v>
      </c>
      <c r="AQ121" s="103">
        <f t="shared" ca="1" si="110"/>
        <v>0</v>
      </c>
      <c r="AR121" s="104">
        <f ca="1">COUNTIF(AJ121:AQ121,"&lt;"&amp;MAX(AJ121:AQ121))+IF(Calcs[[#This Row],[DL1]]=0,0,1)</f>
        <v>0</v>
      </c>
      <c r="AS121" s="105" t="str">
        <f ca="1">IF(LEN(Calcs[[#This Row],[Line]])&gt;0,IF(RIGHT(Calcs[[#This Row],[Remark]],3)=".  ",LEFT(Calcs[[#This Row],[Remark]],LEN(Calcs[[#This Row],[Remark]])-3),Calcs[[#This Row],[Remark]]),"")</f>
        <v/>
      </c>
      <c r="AT121" s="96">
        <f t="shared" ca="1" si="75"/>
        <v>0</v>
      </c>
      <c r="AU121" s="103">
        <f t="shared" ca="1" si="76"/>
        <v>0</v>
      </c>
      <c r="AV121" s="103">
        <f t="shared" ca="1" si="77"/>
        <v>0</v>
      </c>
      <c r="AW121" s="103">
        <f t="shared" ca="1" si="78"/>
        <v>0</v>
      </c>
      <c r="AX121" s="103">
        <f t="shared" ca="1" si="79"/>
        <v>0</v>
      </c>
      <c r="AY121" s="103">
        <f t="shared" ca="1" si="80"/>
        <v>0</v>
      </c>
      <c r="AZ121" s="103">
        <f t="shared" ca="1" si="81"/>
        <v>0</v>
      </c>
      <c r="BA121" s="103">
        <f t="shared" ca="1" si="82"/>
        <v>0</v>
      </c>
      <c r="BB121" s="103">
        <f t="shared" ca="1" si="83"/>
        <v>0</v>
      </c>
      <c r="BC121" s="103">
        <f t="shared" ca="1" si="84"/>
        <v>0</v>
      </c>
      <c r="BD121" s="103">
        <f t="shared" ca="1" si="85"/>
        <v>0</v>
      </c>
      <c r="BE121" s="103">
        <f t="shared" ca="1" si="86"/>
        <v>0</v>
      </c>
      <c r="BF121" s="103">
        <f t="shared" ca="1" si="87"/>
        <v>0</v>
      </c>
      <c r="BG121" s="103">
        <f t="shared" ca="1" si="88"/>
        <v>0</v>
      </c>
      <c r="BH121" s="103">
        <f t="shared" ca="1" si="89"/>
        <v>0</v>
      </c>
      <c r="BI121" s="103">
        <f t="shared" ca="1" si="90"/>
        <v>0</v>
      </c>
      <c r="BJ121" s="103">
        <f t="shared" ca="1" si="91"/>
        <v>0</v>
      </c>
      <c r="BK121" s="103">
        <f t="shared" ca="1" si="92"/>
        <v>0</v>
      </c>
      <c r="BL121" s="103">
        <f t="shared" ca="1" si="93"/>
        <v>0</v>
      </c>
      <c r="BM121" s="103">
        <f t="shared" ca="1" si="94"/>
        <v>0</v>
      </c>
      <c r="BN121" s="103">
        <f t="shared" ca="1" si="95"/>
        <v>0</v>
      </c>
      <c r="BO121" s="103">
        <f t="shared" ca="1" si="96"/>
        <v>0</v>
      </c>
      <c r="BP121" s="103">
        <f t="shared" ca="1" si="97"/>
        <v>0</v>
      </c>
      <c r="BQ121" s="103">
        <f t="shared" ca="1" si="98"/>
        <v>0</v>
      </c>
      <c r="BR121" s="103">
        <f t="shared" ca="1" si="99"/>
        <v>0</v>
      </c>
      <c r="BS121" s="103">
        <f t="shared" ca="1" si="100"/>
        <v>0</v>
      </c>
      <c r="BT121" s="103">
        <f t="shared" ca="1" si="101"/>
        <v>0</v>
      </c>
      <c r="BU121" s="103">
        <f t="shared" ca="1" si="102"/>
        <v>0</v>
      </c>
      <c r="BV121" s="103">
        <f t="shared" ca="1" si="103"/>
        <v>0</v>
      </c>
      <c r="BW121" s="103">
        <f t="shared" ca="1" si="104"/>
        <v>0</v>
      </c>
      <c r="BX121" s="103">
        <f t="shared" ca="1" si="105"/>
        <v>0</v>
      </c>
      <c r="BY121" s="103">
        <f t="shared" ca="1" si="106"/>
        <v>0</v>
      </c>
      <c r="BZ121" s="98">
        <f t="shared" ca="1" si="111"/>
        <v>0</v>
      </c>
      <c r="CA121" s="103">
        <f t="shared" ca="1" si="111"/>
        <v>0</v>
      </c>
      <c r="CB121" s="103">
        <f t="shared" ca="1" si="111"/>
        <v>0</v>
      </c>
      <c r="CC121" s="103">
        <f t="shared" ca="1" si="111"/>
        <v>0</v>
      </c>
      <c r="CD121" s="103">
        <f t="shared" ca="1" si="111"/>
        <v>0</v>
      </c>
      <c r="CE121" s="103">
        <f t="shared" ca="1" si="111"/>
        <v>0</v>
      </c>
      <c r="CF121" s="103">
        <f t="shared" ca="1" si="111"/>
        <v>0</v>
      </c>
      <c r="CG121" s="103">
        <f t="shared" ca="1" si="111"/>
        <v>0</v>
      </c>
      <c r="CH121" s="106">
        <f ca="1">COUNTIF(BZ121:CG121,"&lt;"&amp;MAX(BZ121:CG121))+IF(Calcs[[#This Row],[RL1]]=0,0,1)</f>
        <v>0</v>
      </c>
      <c r="CI12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1" s="103">
        <f ca="1">IFERROR(OFFSET(CJ121,-1,0)+0,0)+IF(INDEX(INDIRECT(RangeContrQty),MATCH(Calcs[[#This Row],[Line]],OFFSET(Items[Line],0,0,ROW(Proposed[])-ROW(Items[])+ROWS(Proposed[]),1),0)),1,0)</f>
        <v>0</v>
      </c>
    </row>
    <row r="122" spans="1:88" x14ac:dyDescent="0.15">
      <c r="A122" s="64">
        <f ca="1">IFERROR(OFFSET(A122,-1,0)+0,0)+MAX(IF(LEN(Calcs[[#This Row],[Line]])&gt;0,1,0),Calcs[[#This Row],[DL]],Calcs[[#This Row],[RL]])</f>
        <v>10</v>
      </c>
      <c r="B122" s="90" t="str">
        <f ca="1">IFERROR(INDEX(OFFSET(Items[Line],0,0,ROW(Proposed[])-ROW(Items[])+ROWS(Proposed[]),1),MATCH(ROW(B122)-ROW(B$3),INDIRECT(RangeCount),0)),"")</f>
        <v/>
      </c>
      <c r="C122" s="90" t="str">
        <f ca="1">IF(LEN(Calcs[[#This Row],[Line]])&gt;0,TRIM(IFERROR(INDEX(Items[Description],MATCH(Calcs[[#This Row],[Line]],Items[Line],0))&amp;INDEX(Items[Description2],MATCH(Calcs[[#This Row],[Line]],Items[Line],0)),INDEX(Proposed[Description],MATCH(Calcs[[#This Row],[Line]],Proposed[Line],0)))),"")</f>
        <v/>
      </c>
      <c r="D122" s="96">
        <f t="shared" ca="1" si="42"/>
        <v>0</v>
      </c>
      <c r="E122" s="103">
        <f t="shared" ca="1" si="43"/>
        <v>0</v>
      </c>
      <c r="F122" s="103">
        <f t="shared" ca="1" si="44"/>
        <v>0</v>
      </c>
      <c r="G122" s="103">
        <f t="shared" ca="1" si="45"/>
        <v>0</v>
      </c>
      <c r="H122" s="103">
        <f t="shared" ca="1" si="46"/>
        <v>0</v>
      </c>
      <c r="I122" s="103">
        <f t="shared" ca="1" si="47"/>
        <v>0</v>
      </c>
      <c r="J122" s="103">
        <f t="shared" ca="1" si="48"/>
        <v>0</v>
      </c>
      <c r="K122" s="103">
        <f t="shared" ca="1" si="49"/>
        <v>0</v>
      </c>
      <c r="L122" s="103">
        <f t="shared" ca="1" si="50"/>
        <v>0</v>
      </c>
      <c r="M122" s="103">
        <f t="shared" ca="1" si="51"/>
        <v>0</v>
      </c>
      <c r="N122" s="103">
        <f t="shared" ca="1" si="52"/>
        <v>0</v>
      </c>
      <c r="O122" s="103">
        <f t="shared" ca="1" si="53"/>
        <v>0</v>
      </c>
      <c r="P122" s="103">
        <f t="shared" ca="1" si="54"/>
        <v>0</v>
      </c>
      <c r="Q122" s="103">
        <f t="shared" ca="1" si="55"/>
        <v>0</v>
      </c>
      <c r="R122" s="103">
        <f t="shared" ca="1" si="56"/>
        <v>0</v>
      </c>
      <c r="S122" s="103">
        <f t="shared" ca="1" si="57"/>
        <v>0</v>
      </c>
      <c r="T122" s="103">
        <f t="shared" ca="1" si="58"/>
        <v>0</v>
      </c>
      <c r="U122" s="103">
        <f t="shared" ca="1" si="59"/>
        <v>0</v>
      </c>
      <c r="V122" s="103">
        <f t="shared" ca="1" si="60"/>
        <v>0</v>
      </c>
      <c r="W122" s="103">
        <f t="shared" ca="1" si="61"/>
        <v>0</v>
      </c>
      <c r="X122" s="103">
        <f t="shared" ca="1" si="62"/>
        <v>0</v>
      </c>
      <c r="Y122" s="103">
        <f t="shared" ca="1" si="63"/>
        <v>0</v>
      </c>
      <c r="Z122" s="103">
        <f t="shared" ca="1" si="64"/>
        <v>0</v>
      </c>
      <c r="AA122" s="103">
        <f t="shared" ca="1" si="65"/>
        <v>0</v>
      </c>
      <c r="AB122" s="103">
        <f t="shared" ca="1" si="66"/>
        <v>0</v>
      </c>
      <c r="AC122" s="103">
        <f t="shared" ca="1" si="67"/>
        <v>0</v>
      </c>
      <c r="AD122" s="103">
        <f t="shared" ca="1" si="68"/>
        <v>0</v>
      </c>
      <c r="AE122" s="103">
        <f t="shared" ca="1" si="69"/>
        <v>0</v>
      </c>
      <c r="AF122" s="103">
        <f t="shared" ca="1" si="70"/>
        <v>0</v>
      </c>
      <c r="AG122" s="103">
        <f t="shared" ca="1" si="71"/>
        <v>0</v>
      </c>
      <c r="AH122" s="103">
        <f t="shared" ca="1" si="72"/>
        <v>0</v>
      </c>
      <c r="AI122" s="103">
        <f t="shared" ca="1" si="73"/>
        <v>0</v>
      </c>
      <c r="AJ122" s="98">
        <f t="shared" ref="AJ122:AQ131" ca="1" si="112">HLOOKUP(IF(COLUMN(AJ122)-COLUMN($AJ$3)=0,0,OFFSET(AJ122,0,-1))+widthPayItem,$D122:$AI122,1)</f>
        <v>0</v>
      </c>
      <c r="AK122" s="103">
        <f t="shared" ca="1" si="112"/>
        <v>0</v>
      </c>
      <c r="AL122" s="103">
        <f t="shared" ca="1" si="112"/>
        <v>0</v>
      </c>
      <c r="AM122" s="103">
        <f t="shared" ca="1" si="112"/>
        <v>0</v>
      </c>
      <c r="AN122" s="103">
        <f t="shared" ca="1" si="112"/>
        <v>0</v>
      </c>
      <c r="AO122" s="103">
        <f t="shared" ca="1" si="112"/>
        <v>0</v>
      </c>
      <c r="AP122" s="103">
        <f t="shared" ca="1" si="112"/>
        <v>0</v>
      </c>
      <c r="AQ122" s="103">
        <f t="shared" ca="1" si="112"/>
        <v>0</v>
      </c>
      <c r="AR122" s="104">
        <f ca="1">COUNTIF(AJ122:AQ122,"&lt;"&amp;MAX(AJ122:AQ122))+IF(Calcs[[#This Row],[DL1]]=0,0,1)</f>
        <v>0</v>
      </c>
      <c r="AS122" s="105" t="str">
        <f ca="1">IF(LEN(Calcs[[#This Row],[Line]])&gt;0,IF(RIGHT(Calcs[[#This Row],[Remark]],3)=".  ",LEFT(Calcs[[#This Row],[Remark]],LEN(Calcs[[#This Row],[Remark]])-3),Calcs[[#This Row],[Remark]]),"")</f>
        <v/>
      </c>
      <c r="AT122" s="96">
        <f t="shared" ca="1" si="75"/>
        <v>0</v>
      </c>
      <c r="AU122" s="103">
        <f t="shared" ca="1" si="76"/>
        <v>0</v>
      </c>
      <c r="AV122" s="103">
        <f t="shared" ca="1" si="77"/>
        <v>0</v>
      </c>
      <c r="AW122" s="103">
        <f t="shared" ca="1" si="78"/>
        <v>0</v>
      </c>
      <c r="AX122" s="103">
        <f t="shared" ca="1" si="79"/>
        <v>0</v>
      </c>
      <c r="AY122" s="103">
        <f t="shared" ca="1" si="80"/>
        <v>0</v>
      </c>
      <c r="AZ122" s="103">
        <f t="shared" ca="1" si="81"/>
        <v>0</v>
      </c>
      <c r="BA122" s="103">
        <f t="shared" ca="1" si="82"/>
        <v>0</v>
      </c>
      <c r="BB122" s="103">
        <f t="shared" ca="1" si="83"/>
        <v>0</v>
      </c>
      <c r="BC122" s="103">
        <f t="shared" ca="1" si="84"/>
        <v>0</v>
      </c>
      <c r="BD122" s="103">
        <f t="shared" ca="1" si="85"/>
        <v>0</v>
      </c>
      <c r="BE122" s="103">
        <f t="shared" ca="1" si="86"/>
        <v>0</v>
      </c>
      <c r="BF122" s="103">
        <f t="shared" ca="1" si="87"/>
        <v>0</v>
      </c>
      <c r="BG122" s="103">
        <f t="shared" ca="1" si="88"/>
        <v>0</v>
      </c>
      <c r="BH122" s="103">
        <f t="shared" ca="1" si="89"/>
        <v>0</v>
      </c>
      <c r="BI122" s="103">
        <f t="shared" ca="1" si="90"/>
        <v>0</v>
      </c>
      <c r="BJ122" s="103">
        <f t="shared" ca="1" si="91"/>
        <v>0</v>
      </c>
      <c r="BK122" s="103">
        <f t="shared" ca="1" si="92"/>
        <v>0</v>
      </c>
      <c r="BL122" s="103">
        <f t="shared" ca="1" si="93"/>
        <v>0</v>
      </c>
      <c r="BM122" s="103">
        <f t="shared" ca="1" si="94"/>
        <v>0</v>
      </c>
      <c r="BN122" s="103">
        <f t="shared" ca="1" si="95"/>
        <v>0</v>
      </c>
      <c r="BO122" s="103">
        <f t="shared" ca="1" si="96"/>
        <v>0</v>
      </c>
      <c r="BP122" s="103">
        <f t="shared" ca="1" si="97"/>
        <v>0</v>
      </c>
      <c r="BQ122" s="103">
        <f t="shared" ca="1" si="98"/>
        <v>0</v>
      </c>
      <c r="BR122" s="103">
        <f t="shared" ca="1" si="99"/>
        <v>0</v>
      </c>
      <c r="BS122" s="103">
        <f t="shared" ca="1" si="100"/>
        <v>0</v>
      </c>
      <c r="BT122" s="103">
        <f t="shared" ca="1" si="101"/>
        <v>0</v>
      </c>
      <c r="BU122" s="103">
        <f t="shared" ca="1" si="102"/>
        <v>0</v>
      </c>
      <c r="BV122" s="103">
        <f t="shared" ca="1" si="103"/>
        <v>0</v>
      </c>
      <c r="BW122" s="103">
        <f t="shared" ca="1" si="104"/>
        <v>0</v>
      </c>
      <c r="BX122" s="103">
        <f t="shared" ca="1" si="105"/>
        <v>0</v>
      </c>
      <c r="BY122" s="103">
        <f t="shared" ca="1" si="106"/>
        <v>0</v>
      </c>
      <c r="BZ122" s="98">
        <f t="shared" ref="BZ122:CG131" ca="1" si="113">HLOOKUP(IF(COLUMN(BZ122)-COLUMN($BZ$3)=0,0,OFFSET(BZ122,0,-1))+widthRemarks,$AT122:$BY122,1)</f>
        <v>0</v>
      </c>
      <c r="CA122" s="103">
        <f t="shared" ca="1" si="113"/>
        <v>0</v>
      </c>
      <c r="CB122" s="103">
        <f t="shared" ca="1" si="113"/>
        <v>0</v>
      </c>
      <c r="CC122" s="103">
        <f t="shared" ca="1" si="113"/>
        <v>0</v>
      </c>
      <c r="CD122" s="103">
        <f t="shared" ca="1" si="113"/>
        <v>0</v>
      </c>
      <c r="CE122" s="103">
        <f t="shared" ca="1" si="113"/>
        <v>0</v>
      </c>
      <c r="CF122" s="103">
        <f t="shared" ca="1" si="113"/>
        <v>0</v>
      </c>
      <c r="CG122" s="103">
        <f t="shared" ca="1" si="113"/>
        <v>0</v>
      </c>
      <c r="CH122" s="106">
        <f ca="1">COUNTIF(BZ122:CG122,"&lt;"&amp;MAX(BZ122:CG122))+IF(Calcs[[#This Row],[RL1]]=0,0,1)</f>
        <v>0</v>
      </c>
      <c r="CI12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2" s="103">
        <f ca="1">IFERROR(OFFSET(CJ122,-1,0)+0,0)+IF(INDEX(INDIRECT(RangeContrQty),MATCH(Calcs[[#This Row],[Line]],OFFSET(Items[Line],0,0,ROW(Proposed[])-ROW(Items[])+ROWS(Proposed[]),1),0)),1,0)</f>
        <v>0</v>
      </c>
    </row>
    <row r="123" spans="1:88" x14ac:dyDescent="0.15">
      <c r="A123" s="64">
        <f ca="1">IFERROR(OFFSET(A123,-1,0)+0,0)+MAX(IF(LEN(Calcs[[#This Row],[Line]])&gt;0,1,0),Calcs[[#This Row],[DL]],Calcs[[#This Row],[RL]])</f>
        <v>10</v>
      </c>
      <c r="B123" s="90" t="str">
        <f ca="1">IFERROR(INDEX(OFFSET(Items[Line],0,0,ROW(Proposed[])-ROW(Items[])+ROWS(Proposed[]),1),MATCH(ROW(B123)-ROW(B$3),INDIRECT(RangeCount),0)),"")</f>
        <v/>
      </c>
      <c r="C123" s="90" t="str">
        <f ca="1">IF(LEN(Calcs[[#This Row],[Line]])&gt;0,TRIM(IFERROR(INDEX(Items[Description],MATCH(Calcs[[#This Row],[Line]],Items[Line],0))&amp;INDEX(Items[Description2],MATCH(Calcs[[#This Row],[Line]],Items[Line],0)),INDEX(Proposed[Description],MATCH(Calcs[[#This Row],[Line]],Proposed[Line],0)))),"")</f>
        <v/>
      </c>
      <c r="D123" s="96">
        <f t="shared" ca="1" si="42"/>
        <v>0</v>
      </c>
      <c r="E123" s="103">
        <f t="shared" ca="1" si="43"/>
        <v>0</v>
      </c>
      <c r="F123" s="103">
        <f t="shared" ca="1" si="44"/>
        <v>0</v>
      </c>
      <c r="G123" s="103">
        <f t="shared" ca="1" si="45"/>
        <v>0</v>
      </c>
      <c r="H123" s="103">
        <f t="shared" ca="1" si="46"/>
        <v>0</v>
      </c>
      <c r="I123" s="103">
        <f t="shared" ca="1" si="47"/>
        <v>0</v>
      </c>
      <c r="J123" s="103">
        <f t="shared" ca="1" si="48"/>
        <v>0</v>
      </c>
      <c r="K123" s="103">
        <f t="shared" ca="1" si="49"/>
        <v>0</v>
      </c>
      <c r="L123" s="103">
        <f t="shared" ca="1" si="50"/>
        <v>0</v>
      </c>
      <c r="M123" s="103">
        <f t="shared" ca="1" si="51"/>
        <v>0</v>
      </c>
      <c r="N123" s="103">
        <f t="shared" ca="1" si="52"/>
        <v>0</v>
      </c>
      <c r="O123" s="103">
        <f t="shared" ca="1" si="53"/>
        <v>0</v>
      </c>
      <c r="P123" s="103">
        <f t="shared" ca="1" si="54"/>
        <v>0</v>
      </c>
      <c r="Q123" s="103">
        <f t="shared" ca="1" si="55"/>
        <v>0</v>
      </c>
      <c r="R123" s="103">
        <f t="shared" ca="1" si="56"/>
        <v>0</v>
      </c>
      <c r="S123" s="103">
        <f t="shared" ca="1" si="57"/>
        <v>0</v>
      </c>
      <c r="T123" s="103">
        <f t="shared" ca="1" si="58"/>
        <v>0</v>
      </c>
      <c r="U123" s="103">
        <f t="shared" ca="1" si="59"/>
        <v>0</v>
      </c>
      <c r="V123" s="103">
        <f t="shared" ca="1" si="60"/>
        <v>0</v>
      </c>
      <c r="W123" s="103">
        <f t="shared" ca="1" si="61"/>
        <v>0</v>
      </c>
      <c r="X123" s="103">
        <f t="shared" ca="1" si="62"/>
        <v>0</v>
      </c>
      <c r="Y123" s="103">
        <f t="shared" ca="1" si="63"/>
        <v>0</v>
      </c>
      <c r="Z123" s="103">
        <f t="shared" ca="1" si="64"/>
        <v>0</v>
      </c>
      <c r="AA123" s="103">
        <f t="shared" ca="1" si="65"/>
        <v>0</v>
      </c>
      <c r="AB123" s="103">
        <f t="shared" ca="1" si="66"/>
        <v>0</v>
      </c>
      <c r="AC123" s="103">
        <f t="shared" ca="1" si="67"/>
        <v>0</v>
      </c>
      <c r="AD123" s="103">
        <f t="shared" ca="1" si="68"/>
        <v>0</v>
      </c>
      <c r="AE123" s="103">
        <f t="shared" ca="1" si="69"/>
        <v>0</v>
      </c>
      <c r="AF123" s="103">
        <f t="shared" ca="1" si="70"/>
        <v>0</v>
      </c>
      <c r="AG123" s="103">
        <f t="shared" ca="1" si="71"/>
        <v>0</v>
      </c>
      <c r="AH123" s="103">
        <f t="shared" ca="1" si="72"/>
        <v>0</v>
      </c>
      <c r="AI123" s="103">
        <f t="shared" ca="1" si="73"/>
        <v>0</v>
      </c>
      <c r="AJ123" s="98">
        <f t="shared" ca="1" si="112"/>
        <v>0</v>
      </c>
      <c r="AK123" s="103">
        <f t="shared" ca="1" si="112"/>
        <v>0</v>
      </c>
      <c r="AL123" s="103">
        <f t="shared" ca="1" si="112"/>
        <v>0</v>
      </c>
      <c r="AM123" s="103">
        <f t="shared" ca="1" si="112"/>
        <v>0</v>
      </c>
      <c r="AN123" s="103">
        <f t="shared" ca="1" si="112"/>
        <v>0</v>
      </c>
      <c r="AO123" s="103">
        <f t="shared" ca="1" si="112"/>
        <v>0</v>
      </c>
      <c r="AP123" s="103">
        <f t="shared" ca="1" si="112"/>
        <v>0</v>
      </c>
      <c r="AQ123" s="103">
        <f t="shared" ca="1" si="112"/>
        <v>0</v>
      </c>
      <c r="AR123" s="104">
        <f ca="1">COUNTIF(AJ123:AQ123,"&lt;"&amp;MAX(AJ123:AQ123))+IF(Calcs[[#This Row],[DL1]]=0,0,1)</f>
        <v>0</v>
      </c>
      <c r="AS123" s="105" t="str">
        <f ca="1">IF(LEN(Calcs[[#This Row],[Line]])&gt;0,IF(RIGHT(Calcs[[#This Row],[Remark]],3)=".  ",LEFT(Calcs[[#This Row],[Remark]],LEN(Calcs[[#This Row],[Remark]])-3),Calcs[[#This Row],[Remark]]),"")</f>
        <v/>
      </c>
      <c r="AT123" s="96">
        <f t="shared" ca="1" si="75"/>
        <v>0</v>
      </c>
      <c r="AU123" s="103">
        <f t="shared" ca="1" si="76"/>
        <v>0</v>
      </c>
      <c r="AV123" s="103">
        <f t="shared" ca="1" si="77"/>
        <v>0</v>
      </c>
      <c r="AW123" s="103">
        <f t="shared" ca="1" si="78"/>
        <v>0</v>
      </c>
      <c r="AX123" s="103">
        <f t="shared" ca="1" si="79"/>
        <v>0</v>
      </c>
      <c r="AY123" s="103">
        <f t="shared" ca="1" si="80"/>
        <v>0</v>
      </c>
      <c r="AZ123" s="103">
        <f t="shared" ca="1" si="81"/>
        <v>0</v>
      </c>
      <c r="BA123" s="103">
        <f t="shared" ca="1" si="82"/>
        <v>0</v>
      </c>
      <c r="BB123" s="103">
        <f t="shared" ca="1" si="83"/>
        <v>0</v>
      </c>
      <c r="BC123" s="103">
        <f t="shared" ca="1" si="84"/>
        <v>0</v>
      </c>
      <c r="BD123" s="103">
        <f t="shared" ca="1" si="85"/>
        <v>0</v>
      </c>
      <c r="BE123" s="103">
        <f t="shared" ca="1" si="86"/>
        <v>0</v>
      </c>
      <c r="BF123" s="103">
        <f t="shared" ca="1" si="87"/>
        <v>0</v>
      </c>
      <c r="BG123" s="103">
        <f t="shared" ca="1" si="88"/>
        <v>0</v>
      </c>
      <c r="BH123" s="103">
        <f t="shared" ca="1" si="89"/>
        <v>0</v>
      </c>
      <c r="BI123" s="103">
        <f t="shared" ca="1" si="90"/>
        <v>0</v>
      </c>
      <c r="BJ123" s="103">
        <f t="shared" ca="1" si="91"/>
        <v>0</v>
      </c>
      <c r="BK123" s="103">
        <f t="shared" ca="1" si="92"/>
        <v>0</v>
      </c>
      <c r="BL123" s="103">
        <f t="shared" ca="1" si="93"/>
        <v>0</v>
      </c>
      <c r="BM123" s="103">
        <f t="shared" ca="1" si="94"/>
        <v>0</v>
      </c>
      <c r="BN123" s="103">
        <f t="shared" ca="1" si="95"/>
        <v>0</v>
      </c>
      <c r="BO123" s="103">
        <f t="shared" ca="1" si="96"/>
        <v>0</v>
      </c>
      <c r="BP123" s="103">
        <f t="shared" ca="1" si="97"/>
        <v>0</v>
      </c>
      <c r="BQ123" s="103">
        <f t="shared" ca="1" si="98"/>
        <v>0</v>
      </c>
      <c r="BR123" s="103">
        <f t="shared" ca="1" si="99"/>
        <v>0</v>
      </c>
      <c r="BS123" s="103">
        <f t="shared" ca="1" si="100"/>
        <v>0</v>
      </c>
      <c r="BT123" s="103">
        <f t="shared" ca="1" si="101"/>
        <v>0</v>
      </c>
      <c r="BU123" s="103">
        <f t="shared" ca="1" si="102"/>
        <v>0</v>
      </c>
      <c r="BV123" s="103">
        <f t="shared" ca="1" si="103"/>
        <v>0</v>
      </c>
      <c r="BW123" s="103">
        <f t="shared" ca="1" si="104"/>
        <v>0</v>
      </c>
      <c r="BX123" s="103">
        <f t="shared" ca="1" si="105"/>
        <v>0</v>
      </c>
      <c r="BY123" s="103">
        <f t="shared" ca="1" si="106"/>
        <v>0</v>
      </c>
      <c r="BZ123" s="98">
        <f t="shared" ca="1" si="113"/>
        <v>0</v>
      </c>
      <c r="CA123" s="103">
        <f t="shared" ca="1" si="113"/>
        <v>0</v>
      </c>
      <c r="CB123" s="103">
        <f t="shared" ca="1" si="113"/>
        <v>0</v>
      </c>
      <c r="CC123" s="103">
        <f t="shared" ca="1" si="113"/>
        <v>0</v>
      </c>
      <c r="CD123" s="103">
        <f t="shared" ca="1" si="113"/>
        <v>0</v>
      </c>
      <c r="CE123" s="103">
        <f t="shared" ca="1" si="113"/>
        <v>0</v>
      </c>
      <c r="CF123" s="103">
        <f t="shared" ca="1" si="113"/>
        <v>0</v>
      </c>
      <c r="CG123" s="103">
        <f t="shared" ca="1" si="113"/>
        <v>0</v>
      </c>
      <c r="CH123" s="106">
        <f ca="1">COUNTIF(BZ123:CG123,"&lt;"&amp;MAX(BZ123:CG123))+IF(Calcs[[#This Row],[RL1]]=0,0,1)</f>
        <v>0</v>
      </c>
      <c r="CI12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3" s="103">
        <f ca="1">IFERROR(OFFSET(CJ123,-1,0)+0,0)+IF(INDEX(INDIRECT(RangeContrQty),MATCH(Calcs[[#This Row],[Line]],OFFSET(Items[Line],0,0,ROW(Proposed[])-ROW(Items[])+ROWS(Proposed[]),1),0)),1,0)</f>
        <v>0</v>
      </c>
    </row>
    <row r="124" spans="1:88" x14ac:dyDescent="0.15">
      <c r="A124" s="64">
        <f ca="1">IFERROR(OFFSET(A124,-1,0)+0,0)+MAX(IF(LEN(Calcs[[#This Row],[Line]])&gt;0,1,0),Calcs[[#This Row],[DL]],Calcs[[#This Row],[RL]])</f>
        <v>10</v>
      </c>
      <c r="B124" s="90" t="str">
        <f ca="1">IFERROR(INDEX(OFFSET(Items[Line],0,0,ROW(Proposed[])-ROW(Items[])+ROWS(Proposed[]),1),MATCH(ROW(B124)-ROW(B$3),INDIRECT(RangeCount),0)),"")</f>
        <v/>
      </c>
      <c r="C124" s="90" t="str">
        <f ca="1">IF(LEN(Calcs[[#This Row],[Line]])&gt;0,TRIM(IFERROR(INDEX(Items[Description],MATCH(Calcs[[#This Row],[Line]],Items[Line],0))&amp;INDEX(Items[Description2],MATCH(Calcs[[#This Row],[Line]],Items[Line],0)),INDEX(Proposed[Description],MATCH(Calcs[[#This Row],[Line]],Proposed[Line],0)))),"")</f>
        <v/>
      </c>
      <c r="D124" s="96">
        <f t="shared" ca="1" si="42"/>
        <v>0</v>
      </c>
      <c r="E124" s="103">
        <f t="shared" ca="1" si="43"/>
        <v>0</v>
      </c>
      <c r="F124" s="103">
        <f t="shared" ca="1" si="44"/>
        <v>0</v>
      </c>
      <c r="G124" s="103">
        <f t="shared" ca="1" si="45"/>
        <v>0</v>
      </c>
      <c r="H124" s="103">
        <f t="shared" ca="1" si="46"/>
        <v>0</v>
      </c>
      <c r="I124" s="103">
        <f t="shared" ca="1" si="47"/>
        <v>0</v>
      </c>
      <c r="J124" s="103">
        <f t="shared" ca="1" si="48"/>
        <v>0</v>
      </c>
      <c r="K124" s="103">
        <f t="shared" ca="1" si="49"/>
        <v>0</v>
      </c>
      <c r="L124" s="103">
        <f t="shared" ca="1" si="50"/>
        <v>0</v>
      </c>
      <c r="M124" s="103">
        <f t="shared" ca="1" si="51"/>
        <v>0</v>
      </c>
      <c r="N124" s="103">
        <f t="shared" ca="1" si="52"/>
        <v>0</v>
      </c>
      <c r="O124" s="103">
        <f t="shared" ca="1" si="53"/>
        <v>0</v>
      </c>
      <c r="P124" s="103">
        <f t="shared" ca="1" si="54"/>
        <v>0</v>
      </c>
      <c r="Q124" s="103">
        <f t="shared" ca="1" si="55"/>
        <v>0</v>
      </c>
      <c r="R124" s="103">
        <f t="shared" ca="1" si="56"/>
        <v>0</v>
      </c>
      <c r="S124" s="103">
        <f t="shared" ca="1" si="57"/>
        <v>0</v>
      </c>
      <c r="T124" s="103">
        <f t="shared" ca="1" si="58"/>
        <v>0</v>
      </c>
      <c r="U124" s="103">
        <f t="shared" ca="1" si="59"/>
        <v>0</v>
      </c>
      <c r="V124" s="103">
        <f t="shared" ca="1" si="60"/>
        <v>0</v>
      </c>
      <c r="W124" s="103">
        <f t="shared" ca="1" si="61"/>
        <v>0</v>
      </c>
      <c r="X124" s="103">
        <f t="shared" ca="1" si="62"/>
        <v>0</v>
      </c>
      <c r="Y124" s="103">
        <f t="shared" ca="1" si="63"/>
        <v>0</v>
      </c>
      <c r="Z124" s="103">
        <f t="shared" ca="1" si="64"/>
        <v>0</v>
      </c>
      <c r="AA124" s="103">
        <f t="shared" ca="1" si="65"/>
        <v>0</v>
      </c>
      <c r="AB124" s="103">
        <f t="shared" ca="1" si="66"/>
        <v>0</v>
      </c>
      <c r="AC124" s="103">
        <f t="shared" ca="1" si="67"/>
        <v>0</v>
      </c>
      <c r="AD124" s="103">
        <f t="shared" ca="1" si="68"/>
        <v>0</v>
      </c>
      <c r="AE124" s="103">
        <f t="shared" ca="1" si="69"/>
        <v>0</v>
      </c>
      <c r="AF124" s="103">
        <f t="shared" ca="1" si="70"/>
        <v>0</v>
      </c>
      <c r="AG124" s="103">
        <f t="shared" ca="1" si="71"/>
        <v>0</v>
      </c>
      <c r="AH124" s="103">
        <f t="shared" ca="1" si="72"/>
        <v>0</v>
      </c>
      <c r="AI124" s="103">
        <f t="shared" ca="1" si="73"/>
        <v>0</v>
      </c>
      <c r="AJ124" s="98">
        <f t="shared" ca="1" si="112"/>
        <v>0</v>
      </c>
      <c r="AK124" s="103">
        <f t="shared" ca="1" si="112"/>
        <v>0</v>
      </c>
      <c r="AL124" s="103">
        <f t="shared" ca="1" si="112"/>
        <v>0</v>
      </c>
      <c r="AM124" s="103">
        <f t="shared" ca="1" si="112"/>
        <v>0</v>
      </c>
      <c r="AN124" s="103">
        <f t="shared" ca="1" si="112"/>
        <v>0</v>
      </c>
      <c r="AO124" s="103">
        <f t="shared" ca="1" si="112"/>
        <v>0</v>
      </c>
      <c r="AP124" s="103">
        <f t="shared" ca="1" si="112"/>
        <v>0</v>
      </c>
      <c r="AQ124" s="103">
        <f t="shared" ca="1" si="112"/>
        <v>0</v>
      </c>
      <c r="AR124" s="104">
        <f ca="1">COUNTIF(AJ124:AQ124,"&lt;"&amp;MAX(AJ124:AQ124))+IF(Calcs[[#This Row],[DL1]]=0,0,1)</f>
        <v>0</v>
      </c>
      <c r="AS124" s="105" t="str">
        <f ca="1">IF(LEN(Calcs[[#This Row],[Line]])&gt;0,IF(RIGHT(Calcs[[#This Row],[Remark]],3)=".  ",LEFT(Calcs[[#This Row],[Remark]],LEN(Calcs[[#This Row],[Remark]])-3),Calcs[[#This Row],[Remark]]),"")</f>
        <v/>
      </c>
      <c r="AT124" s="96">
        <f t="shared" ca="1" si="75"/>
        <v>0</v>
      </c>
      <c r="AU124" s="103">
        <f t="shared" ca="1" si="76"/>
        <v>0</v>
      </c>
      <c r="AV124" s="103">
        <f t="shared" ca="1" si="77"/>
        <v>0</v>
      </c>
      <c r="AW124" s="103">
        <f t="shared" ca="1" si="78"/>
        <v>0</v>
      </c>
      <c r="AX124" s="103">
        <f t="shared" ca="1" si="79"/>
        <v>0</v>
      </c>
      <c r="AY124" s="103">
        <f t="shared" ca="1" si="80"/>
        <v>0</v>
      </c>
      <c r="AZ124" s="103">
        <f t="shared" ca="1" si="81"/>
        <v>0</v>
      </c>
      <c r="BA124" s="103">
        <f t="shared" ca="1" si="82"/>
        <v>0</v>
      </c>
      <c r="BB124" s="103">
        <f t="shared" ca="1" si="83"/>
        <v>0</v>
      </c>
      <c r="BC124" s="103">
        <f t="shared" ca="1" si="84"/>
        <v>0</v>
      </c>
      <c r="BD124" s="103">
        <f t="shared" ca="1" si="85"/>
        <v>0</v>
      </c>
      <c r="BE124" s="103">
        <f t="shared" ca="1" si="86"/>
        <v>0</v>
      </c>
      <c r="BF124" s="103">
        <f t="shared" ca="1" si="87"/>
        <v>0</v>
      </c>
      <c r="BG124" s="103">
        <f t="shared" ca="1" si="88"/>
        <v>0</v>
      </c>
      <c r="BH124" s="103">
        <f t="shared" ca="1" si="89"/>
        <v>0</v>
      </c>
      <c r="BI124" s="103">
        <f t="shared" ca="1" si="90"/>
        <v>0</v>
      </c>
      <c r="BJ124" s="103">
        <f t="shared" ca="1" si="91"/>
        <v>0</v>
      </c>
      <c r="BK124" s="103">
        <f t="shared" ca="1" si="92"/>
        <v>0</v>
      </c>
      <c r="BL124" s="103">
        <f t="shared" ca="1" si="93"/>
        <v>0</v>
      </c>
      <c r="BM124" s="103">
        <f t="shared" ca="1" si="94"/>
        <v>0</v>
      </c>
      <c r="BN124" s="103">
        <f t="shared" ca="1" si="95"/>
        <v>0</v>
      </c>
      <c r="BO124" s="103">
        <f t="shared" ca="1" si="96"/>
        <v>0</v>
      </c>
      <c r="BP124" s="103">
        <f t="shared" ca="1" si="97"/>
        <v>0</v>
      </c>
      <c r="BQ124" s="103">
        <f t="shared" ca="1" si="98"/>
        <v>0</v>
      </c>
      <c r="BR124" s="103">
        <f t="shared" ca="1" si="99"/>
        <v>0</v>
      </c>
      <c r="BS124" s="103">
        <f t="shared" ca="1" si="100"/>
        <v>0</v>
      </c>
      <c r="BT124" s="103">
        <f t="shared" ca="1" si="101"/>
        <v>0</v>
      </c>
      <c r="BU124" s="103">
        <f t="shared" ca="1" si="102"/>
        <v>0</v>
      </c>
      <c r="BV124" s="103">
        <f t="shared" ca="1" si="103"/>
        <v>0</v>
      </c>
      <c r="BW124" s="103">
        <f t="shared" ca="1" si="104"/>
        <v>0</v>
      </c>
      <c r="BX124" s="103">
        <f t="shared" ca="1" si="105"/>
        <v>0</v>
      </c>
      <c r="BY124" s="103">
        <f t="shared" ca="1" si="106"/>
        <v>0</v>
      </c>
      <c r="BZ124" s="98">
        <f t="shared" ca="1" si="113"/>
        <v>0</v>
      </c>
      <c r="CA124" s="103">
        <f t="shared" ca="1" si="113"/>
        <v>0</v>
      </c>
      <c r="CB124" s="103">
        <f t="shared" ca="1" si="113"/>
        <v>0</v>
      </c>
      <c r="CC124" s="103">
        <f t="shared" ca="1" si="113"/>
        <v>0</v>
      </c>
      <c r="CD124" s="103">
        <f t="shared" ca="1" si="113"/>
        <v>0</v>
      </c>
      <c r="CE124" s="103">
        <f t="shared" ca="1" si="113"/>
        <v>0</v>
      </c>
      <c r="CF124" s="103">
        <f t="shared" ca="1" si="113"/>
        <v>0</v>
      </c>
      <c r="CG124" s="103">
        <f t="shared" ca="1" si="113"/>
        <v>0</v>
      </c>
      <c r="CH124" s="106">
        <f ca="1">COUNTIF(BZ124:CG124,"&lt;"&amp;MAX(BZ124:CG124))+IF(Calcs[[#This Row],[RL1]]=0,0,1)</f>
        <v>0</v>
      </c>
      <c r="CI12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4" s="103">
        <f ca="1">IFERROR(OFFSET(CJ124,-1,0)+0,0)+IF(INDEX(INDIRECT(RangeContrQty),MATCH(Calcs[[#This Row],[Line]],OFFSET(Items[Line],0,0,ROW(Proposed[])-ROW(Items[])+ROWS(Proposed[]),1),0)),1,0)</f>
        <v>0</v>
      </c>
    </row>
    <row r="125" spans="1:88" x14ac:dyDescent="0.15">
      <c r="A125" s="64">
        <f ca="1">IFERROR(OFFSET(A125,-1,0)+0,0)+MAX(IF(LEN(Calcs[[#This Row],[Line]])&gt;0,1,0),Calcs[[#This Row],[DL]],Calcs[[#This Row],[RL]])</f>
        <v>10</v>
      </c>
      <c r="B125" s="90" t="str">
        <f ca="1">IFERROR(INDEX(OFFSET(Items[Line],0,0,ROW(Proposed[])-ROW(Items[])+ROWS(Proposed[]),1),MATCH(ROW(B125)-ROW(B$3),INDIRECT(RangeCount),0)),"")</f>
        <v/>
      </c>
      <c r="C125" s="90" t="str">
        <f ca="1">IF(LEN(Calcs[[#This Row],[Line]])&gt;0,TRIM(IFERROR(INDEX(Items[Description],MATCH(Calcs[[#This Row],[Line]],Items[Line],0))&amp;INDEX(Items[Description2],MATCH(Calcs[[#This Row],[Line]],Items[Line],0)),INDEX(Proposed[Description],MATCH(Calcs[[#This Row],[Line]],Proposed[Line],0)))),"")</f>
        <v/>
      </c>
      <c r="D125" s="96">
        <f t="shared" ca="1" si="42"/>
        <v>0</v>
      </c>
      <c r="E125" s="103">
        <f t="shared" ca="1" si="43"/>
        <v>0</v>
      </c>
      <c r="F125" s="103">
        <f t="shared" ca="1" si="44"/>
        <v>0</v>
      </c>
      <c r="G125" s="103">
        <f t="shared" ca="1" si="45"/>
        <v>0</v>
      </c>
      <c r="H125" s="103">
        <f t="shared" ca="1" si="46"/>
        <v>0</v>
      </c>
      <c r="I125" s="103">
        <f t="shared" ca="1" si="47"/>
        <v>0</v>
      </c>
      <c r="J125" s="103">
        <f t="shared" ca="1" si="48"/>
        <v>0</v>
      </c>
      <c r="K125" s="103">
        <f t="shared" ca="1" si="49"/>
        <v>0</v>
      </c>
      <c r="L125" s="103">
        <f t="shared" ca="1" si="50"/>
        <v>0</v>
      </c>
      <c r="M125" s="103">
        <f t="shared" ca="1" si="51"/>
        <v>0</v>
      </c>
      <c r="N125" s="103">
        <f t="shared" ca="1" si="52"/>
        <v>0</v>
      </c>
      <c r="O125" s="103">
        <f t="shared" ca="1" si="53"/>
        <v>0</v>
      </c>
      <c r="P125" s="103">
        <f t="shared" ca="1" si="54"/>
        <v>0</v>
      </c>
      <c r="Q125" s="103">
        <f t="shared" ca="1" si="55"/>
        <v>0</v>
      </c>
      <c r="R125" s="103">
        <f t="shared" ca="1" si="56"/>
        <v>0</v>
      </c>
      <c r="S125" s="103">
        <f t="shared" ca="1" si="57"/>
        <v>0</v>
      </c>
      <c r="T125" s="103">
        <f t="shared" ca="1" si="58"/>
        <v>0</v>
      </c>
      <c r="U125" s="103">
        <f t="shared" ca="1" si="59"/>
        <v>0</v>
      </c>
      <c r="V125" s="103">
        <f t="shared" ca="1" si="60"/>
        <v>0</v>
      </c>
      <c r="W125" s="103">
        <f t="shared" ca="1" si="61"/>
        <v>0</v>
      </c>
      <c r="X125" s="103">
        <f t="shared" ca="1" si="62"/>
        <v>0</v>
      </c>
      <c r="Y125" s="103">
        <f t="shared" ca="1" si="63"/>
        <v>0</v>
      </c>
      <c r="Z125" s="103">
        <f t="shared" ca="1" si="64"/>
        <v>0</v>
      </c>
      <c r="AA125" s="103">
        <f t="shared" ca="1" si="65"/>
        <v>0</v>
      </c>
      <c r="AB125" s="103">
        <f t="shared" ca="1" si="66"/>
        <v>0</v>
      </c>
      <c r="AC125" s="103">
        <f t="shared" ca="1" si="67"/>
        <v>0</v>
      </c>
      <c r="AD125" s="103">
        <f t="shared" ca="1" si="68"/>
        <v>0</v>
      </c>
      <c r="AE125" s="103">
        <f t="shared" ca="1" si="69"/>
        <v>0</v>
      </c>
      <c r="AF125" s="103">
        <f t="shared" ca="1" si="70"/>
        <v>0</v>
      </c>
      <c r="AG125" s="103">
        <f t="shared" ca="1" si="71"/>
        <v>0</v>
      </c>
      <c r="AH125" s="103">
        <f t="shared" ca="1" si="72"/>
        <v>0</v>
      </c>
      <c r="AI125" s="103">
        <f t="shared" ca="1" si="73"/>
        <v>0</v>
      </c>
      <c r="AJ125" s="98">
        <f t="shared" ca="1" si="112"/>
        <v>0</v>
      </c>
      <c r="AK125" s="103">
        <f t="shared" ca="1" si="112"/>
        <v>0</v>
      </c>
      <c r="AL125" s="103">
        <f t="shared" ca="1" si="112"/>
        <v>0</v>
      </c>
      <c r="AM125" s="103">
        <f t="shared" ca="1" si="112"/>
        <v>0</v>
      </c>
      <c r="AN125" s="103">
        <f t="shared" ca="1" si="112"/>
        <v>0</v>
      </c>
      <c r="AO125" s="103">
        <f t="shared" ca="1" si="112"/>
        <v>0</v>
      </c>
      <c r="AP125" s="103">
        <f t="shared" ca="1" si="112"/>
        <v>0</v>
      </c>
      <c r="AQ125" s="103">
        <f t="shared" ca="1" si="112"/>
        <v>0</v>
      </c>
      <c r="AR125" s="104">
        <f ca="1">COUNTIF(AJ125:AQ125,"&lt;"&amp;MAX(AJ125:AQ125))+IF(Calcs[[#This Row],[DL1]]=0,0,1)</f>
        <v>0</v>
      </c>
      <c r="AS125" s="105" t="str">
        <f ca="1">IF(LEN(Calcs[[#This Row],[Line]])&gt;0,IF(RIGHT(Calcs[[#This Row],[Remark]],3)=".  ",LEFT(Calcs[[#This Row],[Remark]],LEN(Calcs[[#This Row],[Remark]])-3),Calcs[[#This Row],[Remark]]),"")</f>
        <v/>
      </c>
      <c r="AT125" s="96">
        <f t="shared" ca="1" si="75"/>
        <v>0</v>
      </c>
      <c r="AU125" s="103">
        <f t="shared" ca="1" si="76"/>
        <v>0</v>
      </c>
      <c r="AV125" s="103">
        <f t="shared" ca="1" si="77"/>
        <v>0</v>
      </c>
      <c r="AW125" s="103">
        <f t="shared" ca="1" si="78"/>
        <v>0</v>
      </c>
      <c r="AX125" s="103">
        <f t="shared" ca="1" si="79"/>
        <v>0</v>
      </c>
      <c r="AY125" s="103">
        <f t="shared" ca="1" si="80"/>
        <v>0</v>
      </c>
      <c r="AZ125" s="103">
        <f t="shared" ca="1" si="81"/>
        <v>0</v>
      </c>
      <c r="BA125" s="103">
        <f t="shared" ca="1" si="82"/>
        <v>0</v>
      </c>
      <c r="BB125" s="103">
        <f t="shared" ca="1" si="83"/>
        <v>0</v>
      </c>
      <c r="BC125" s="103">
        <f t="shared" ca="1" si="84"/>
        <v>0</v>
      </c>
      <c r="BD125" s="103">
        <f t="shared" ca="1" si="85"/>
        <v>0</v>
      </c>
      <c r="BE125" s="103">
        <f t="shared" ca="1" si="86"/>
        <v>0</v>
      </c>
      <c r="BF125" s="103">
        <f t="shared" ca="1" si="87"/>
        <v>0</v>
      </c>
      <c r="BG125" s="103">
        <f t="shared" ca="1" si="88"/>
        <v>0</v>
      </c>
      <c r="BH125" s="103">
        <f t="shared" ca="1" si="89"/>
        <v>0</v>
      </c>
      <c r="BI125" s="103">
        <f t="shared" ca="1" si="90"/>
        <v>0</v>
      </c>
      <c r="BJ125" s="103">
        <f t="shared" ca="1" si="91"/>
        <v>0</v>
      </c>
      <c r="BK125" s="103">
        <f t="shared" ca="1" si="92"/>
        <v>0</v>
      </c>
      <c r="BL125" s="103">
        <f t="shared" ca="1" si="93"/>
        <v>0</v>
      </c>
      <c r="BM125" s="103">
        <f t="shared" ca="1" si="94"/>
        <v>0</v>
      </c>
      <c r="BN125" s="103">
        <f t="shared" ca="1" si="95"/>
        <v>0</v>
      </c>
      <c r="BO125" s="103">
        <f t="shared" ca="1" si="96"/>
        <v>0</v>
      </c>
      <c r="BP125" s="103">
        <f t="shared" ca="1" si="97"/>
        <v>0</v>
      </c>
      <c r="BQ125" s="103">
        <f t="shared" ca="1" si="98"/>
        <v>0</v>
      </c>
      <c r="BR125" s="103">
        <f t="shared" ca="1" si="99"/>
        <v>0</v>
      </c>
      <c r="BS125" s="103">
        <f t="shared" ca="1" si="100"/>
        <v>0</v>
      </c>
      <c r="BT125" s="103">
        <f t="shared" ca="1" si="101"/>
        <v>0</v>
      </c>
      <c r="BU125" s="103">
        <f t="shared" ca="1" si="102"/>
        <v>0</v>
      </c>
      <c r="BV125" s="103">
        <f t="shared" ca="1" si="103"/>
        <v>0</v>
      </c>
      <c r="BW125" s="103">
        <f t="shared" ca="1" si="104"/>
        <v>0</v>
      </c>
      <c r="BX125" s="103">
        <f t="shared" ca="1" si="105"/>
        <v>0</v>
      </c>
      <c r="BY125" s="103">
        <f t="shared" ca="1" si="106"/>
        <v>0</v>
      </c>
      <c r="BZ125" s="98">
        <f t="shared" ca="1" si="113"/>
        <v>0</v>
      </c>
      <c r="CA125" s="103">
        <f t="shared" ca="1" si="113"/>
        <v>0</v>
      </c>
      <c r="CB125" s="103">
        <f t="shared" ca="1" si="113"/>
        <v>0</v>
      </c>
      <c r="CC125" s="103">
        <f t="shared" ca="1" si="113"/>
        <v>0</v>
      </c>
      <c r="CD125" s="103">
        <f t="shared" ca="1" si="113"/>
        <v>0</v>
      </c>
      <c r="CE125" s="103">
        <f t="shared" ca="1" si="113"/>
        <v>0</v>
      </c>
      <c r="CF125" s="103">
        <f t="shared" ca="1" si="113"/>
        <v>0</v>
      </c>
      <c r="CG125" s="103">
        <f t="shared" ca="1" si="113"/>
        <v>0</v>
      </c>
      <c r="CH125" s="106">
        <f ca="1">COUNTIF(BZ125:CG125,"&lt;"&amp;MAX(BZ125:CG125))+IF(Calcs[[#This Row],[RL1]]=0,0,1)</f>
        <v>0</v>
      </c>
      <c r="CI12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5" s="103">
        <f ca="1">IFERROR(OFFSET(CJ125,-1,0)+0,0)+IF(INDEX(INDIRECT(RangeContrQty),MATCH(Calcs[[#This Row],[Line]],OFFSET(Items[Line],0,0,ROW(Proposed[])-ROW(Items[])+ROWS(Proposed[]),1),0)),1,0)</f>
        <v>0</v>
      </c>
    </row>
    <row r="126" spans="1:88" x14ac:dyDescent="0.15">
      <c r="A126" s="64">
        <f ca="1">IFERROR(OFFSET(A126,-1,0)+0,0)+MAX(IF(LEN(Calcs[[#This Row],[Line]])&gt;0,1,0),Calcs[[#This Row],[DL]],Calcs[[#This Row],[RL]])</f>
        <v>10</v>
      </c>
      <c r="B126" s="90" t="str">
        <f ca="1">IFERROR(INDEX(OFFSET(Items[Line],0,0,ROW(Proposed[])-ROW(Items[])+ROWS(Proposed[]),1),MATCH(ROW(B126)-ROW(B$3),INDIRECT(RangeCount),0)),"")</f>
        <v/>
      </c>
      <c r="C126" s="90" t="str">
        <f ca="1">IF(LEN(Calcs[[#This Row],[Line]])&gt;0,TRIM(IFERROR(INDEX(Items[Description],MATCH(Calcs[[#This Row],[Line]],Items[Line],0))&amp;INDEX(Items[Description2],MATCH(Calcs[[#This Row],[Line]],Items[Line],0)),INDEX(Proposed[Description],MATCH(Calcs[[#This Row],[Line]],Proposed[Line],0)))),"")</f>
        <v/>
      </c>
      <c r="D126" s="96">
        <f t="shared" ca="1" si="42"/>
        <v>0</v>
      </c>
      <c r="E126" s="103">
        <f t="shared" ca="1" si="43"/>
        <v>0</v>
      </c>
      <c r="F126" s="103">
        <f t="shared" ca="1" si="44"/>
        <v>0</v>
      </c>
      <c r="G126" s="103">
        <f t="shared" ca="1" si="45"/>
        <v>0</v>
      </c>
      <c r="H126" s="103">
        <f t="shared" ca="1" si="46"/>
        <v>0</v>
      </c>
      <c r="I126" s="103">
        <f t="shared" ca="1" si="47"/>
        <v>0</v>
      </c>
      <c r="J126" s="103">
        <f t="shared" ca="1" si="48"/>
        <v>0</v>
      </c>
      <c r="K126" s="103">
        <f t="shared" ca="1" si="49"/>
        <v>0</v>
      </c>
      <c r="L126" s="103">
        <f t="shared" ca="1" si="50"/>
        <v>0</v>
      </c>
      <c r="M126" s="103">
        <f t="shared" ca="1" si="51"/>
        <v>0</v>
      </c>
      <c r="N126" s="103">
        <f t="shared" ca="1" si="52"/>
        <v>0</v>
      </c>
      <c r="O126" s="103">
        <f t="shared" ca="1" si="53"/>
        <v>0</v>
      </c>
      <c r="P126" s="103">
        <f t="shared" ca="1" si="54"/>
        <v>0</v>
      </c>
      <c r="Q126" s="103">
        <f t="shared" ca="1" si="55"/>
        <v>0</v>
      </c>
      <c r="R126" s="103">
        <f t="shared" ca="1" si="56"/>
        <v>0</v>
      </c>
      <c r="S126" s="103">
        <f t="shared" ca="1" si="57"/>
        <v>0</v>
      </c>
      <c r="T126" s="103">
        <f t="shared" ca="1" si="58"/>
        <v>0</v>
      </c>
      <c r="U126" s="103">
        <f t="shared" ca="1" si="59"/>
        <v>0</v>
      </c>
      <c r="V126" s="103">
        <f t="shared" ca="1" si="60"/>
        <v>0</v>
      </c>
      <c r="W126" s="103">
        <f t="shared" ca="1" si="61"/>
        <v>0</v>
      </c>
      <c r="X126" s="103">
        <f t="shared" ca="1" si="62"/>
        <v>0</v>
      </c>
      <c r="Y126" s="103">
        <f t="shared" ca="1" si="63"/>
        <v>0</v>
      </c>
      <c r="Z126" s="103">
        <f t="shared" ca="1" si="64"/>
        <v>0</v>
      </c>
      <c r="AA126" s="103">
        <f t="shared" ca="1" si="65"/>
        <v>0</v>
      </c>
      <c r="AB126" s="103">
        <f t="shared" ca="1" si="66"/>
        <v>0</v>
      </c>
      <c r="AC126" s="103">
        <f t="shared" ca="1" si="67"/>
        <v>0</v>
      </c>
      <c r="AD126" s="103">
        <f t="shared" ca="1" si="68"/>
        <v>0</v>
      </c>
      <c r="AE126" s="103">
        <f t="shared" ca="1" si="69"/>
        <v>0</v>
      </c>
      <c r="AF126" s="103">
        <f t="shared" ca="1" si="70"/>
        <v>0</v>
      </c>
      <c r="AG126" s="103">
        <f t="shared" ca="1" si="71"/>
        <v>0</v>
      </c>
      <c r="AH126" s="103">
        <f t="shared" ca="1" si="72"/>
        <v>0</v>
      </c>
      <c r="AI126" s="103">
        <f t="shared" ca="1" si="73"/>
        <v>0</v>
      </c>
      <c r="AJ126" s="98">
        <f t="shared" ca="1" si="112"/>
        <v>0</v>
      </c>
      <c r="AK126" s="103">
        <f t="shared" ca="1" si="112"/>
        <v>0</v>
      </c>
      <c r="AL126" s="103">
        <f t="shared" ca="1" si="112"/>
        <v>0</v>
      </c>
      <c r="AM126" s="103">
        <f t="shared" ca="1" si="112"/>
        <v>0</v>
      </c>
      <c r="AN126" s="103">
        <f t="shared" ca="1" si="112"/>
        <v>0</v>
      </c>
      <c r="AO126" s="103">
        <f t="shared" ca="1" si="112"/>
        <v>0</v>
      </c>
      <c r="AP126" s="103">
        <f t="shared" ca="1" si="112"/>
        <v>0</v>
      </c>
      <c r="AQ126" s="103">
        <f t="shared" ca="1" si="112"/>
        <v>0</v>
      </c>
      <c r="AR126" s="104">
        <f ca="1">COUNTIF(AJ126:AQ126,"&lt;"&amp;MAX(AJ126:AQ126))+IF(Calcs[[#This Row],[DL1]]=0,0,1)</f>
        <v>0</v>
      </c>
      <c r="AS126" s="105" t="str">
        <f ca="1">IF(LEN(Calcs[[#This Row],[Line]])&gt;0,IF(RIGHT(Calcs[[#This Row],[Remark]],3)=".  ",LEFT(Calcs[[#This Row],[Remark]],LEN(Calcs[[#This Row],[Remark]])-3),Calcs[[#This Row],[Remark]]),"")</f>
        <v/>
      </c>
      <c r="AT126" s="96">
        <f t="shared" ca="1" si="75"/>
        <v>0</v>
      </c>
      <c r="AU126" s="103">
        <f t="shared" ca="1" si="76"/>
        <v>0</v>
      </c>
      <c r="AV126" s="103">
        <f t="shared" ca="1" si="77"/>
        <v>0</v>
      </c>
      <c r="AW126" s="103">
        <f t="shared" ca="1" si="78"/>
        <v>0</v>
      </c>
      <c r="AX126" s="103">
        <f t="shared" ca="1" si="79"/>
        <v>0</v>
      </c>
      <c r="AY126" s="103">
        <f t="shared" ca="1" si="80"/>
        <v>0</v>
      </c>
      <c r="AZ126" s="103">
        <f t="shared" ca="1" si="81"/>
        <v>0</v>
      </c>
      <c r="BA126" s="103">
        <f t="shared" ca="1" si="82"/>
        <v>0</v>
      </c>
      <c r="BB126" s="103">
        <f t="shared" ca="1" si="83"/>
        <v>0</v>
      </c>
      <c r="BC126" s="103">
        <f t="shared" ca="1" si="84"/>
        <v>0</v>
      </c>
      <c r="BD126" s="103">
        <f t="shared" ca="1" si="85"/>
        <v>0</v>
      </c>
      <c r="BE126" s="103">
        <f t="shared" ca="1" si="86"/>
        <v>0</v>
      </c>
      <c r="BF126" s="103">
        <f t="shared" ca="1" si="87"/>
        <v>0</v>
      </c>
      <c r="BG126" s="103">
        <f t="shared" ca="1" si="88"/>
        <v>0</v>
      </c>
      <c r="BH126" s="103">
        <f t="shared" ca="1" si="89"/>
        <v>0</v>
      </c>
      <c r="BI126" s="103">
        <f t="shared" ca="1" si="90"/>
        <v>0</v>
      </c>
      <c r="BJ126" s="103">
        <f t="shared" ca="1" si="91"/>
        <v>0</v>
      </c>
      <c r="BK126" s="103">
        <f t="shared" ca="1" si="92"/>
        <v>0</v>
      </c>
      <c r="BL126" s="103">
        <f t="shared" ca="1" si="93"/>
        <v>0</v>
      </c>
      <c r="BM126" s="103">
        <f t="shared" ca="1" si="94"/>
        <v>0</v>
      </c>
      <c r="BN126" s="103">
        <f t="shared" ca="1" si="95"/>
        <v>0</v>
      </c>
      <c r="BO126" s="103">
        <f t="shared" ca="1" si="96"/>
        <v>0</v>
      </c>
      <c r="BP126" s="103">
        <f t="shared" ca="1" si="97"/>
        <v>0</v>
      </c>
      <c r="BQ126" s="103">
        <f t="shared" ca="1" si="98"/>
        <v>0</v>
      </c>
      <c r="BR126" s="103">
        <f t="shared" ca="1" si="99"/>
        <v>0</v>
      </c>
      <c r="BS126" s="103">
        <f t="shared" ca="1" si="100"/>
        <v>0</v>
      </c>
      <c r="BT126" s="103">
        <f t="shared" ca="1" si="101"/>
        <v>0</v>
      </c>
      <c r="BU126" s="103">
        <f t="shared" ca="1" si="102"/>
        <v>0</v>
      </c>
      <c r="BV126" s="103">
        <f t="shared" ca="1" si="103"/>
        <v>0</v>
      </c>
      <c r="BW126" s="103">
        <f t="shared" ca="1" si="104"/>
        <v>0</v>
      </c>
      <c r="BX126" s="103">
        <f t="shared" ca="1" si="105"/>
        <v>0</v>
      </c>
      <c r="BY126" s="103">
        <f t="shared" ca="1" si="106"/>
        <v>0</v>
      </c>
      <c r="BZ126" s="98">
        <f t="shared" ca="1" si="113"/>
        <v>0</v>
      </c>
      <c r="CA126" s="103">
        <f t="shared" ca="1" si="113"/>
        <v>0</v>
      </c>
      <c r="CB126" s="103">
        <f t="shared" ca="1" si="113"/>
        <v>0</v>
      </c>
      <c r="CC126" s="103">
        <f t="shared" ca="1" si="113"/>
        <v>0</v>
      </c>
      <c r="CD126" s="103">
        <f t="shared" ca="1" si="113"/>
        <v>0</v>
      </c>
      <c r="CE126" s="103">
        <f t="shared" ca="1" si="113"/>
        <v>0</v>
      </c>
      <c r="CF126" s="103">
        <f t="shared" ca="1" si="113"/>
        <v>0</v>
      </c>
      <c r="CG126" s="103">
        <f t="shared" ca="1" si="113"/>
        <v>0</v>
      </c>
      <c r="CH126" s="106">
        <f ca="1">COUNTIF(BZ126:CG126,"&lt;"&amp;MAX(BZ126:CG126))+IF(Calcs[[#This Row],[RL1]]=0,0,1)</f>
        <v>0</v>
      </c>
      <c r="CI12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6" s="103">
        <f ca="1">IFERROR(OFFSET(CJ126,-1,0)+0,0)+IF(INDEX(INDIRECT(RangeContrQty),MATCH(Calcs[[#This Row],[Line]],OFFSET(Items[Line],0,0,ROW(Proposed[])-ROW(Items[])+ROWS(Proposed[]),1),0)),1,0)</f>
        <v>0</v>
      </c>
    </row>
    <row r="127" spans="1:88" x14ac:dyDescent="0.15">
      <c r="A127" s="64">
        <f ca="1">IFERROR(OFFSET(A127,-1,0)+0,0)+MAX(IF(LEN(Calcs[[#This Row],[Line]])&gt;0,1,0),Calcs[[#This Row],[DL]],Calcs[[#This Row],[RL]])</f>
        <v>10</v>
      </c>
      <c r="B127" s="90" t="str">
        <f ca="1">IFERROR(INDEX(OFFSET(Items[Line],0,0,ROW(Proposed[])-ROW(Items[])+ROWS(Proposed[]),1),MATCH(ROW(B127)-ROW(B$3),INDIRECT(RangeCount),0)),"")</f>
        <v/>
      </c>
      <c r="C127" s="90" t="str">
        <f ca="1">IF(LEN(Calcs[[#This Row],[Line]])&gt;0,TRIM(IFERROR(INDEX(Items[Description],MATCH(Calcs[[#This Row],[Line]],Items[Line],0))&amp;INDEX(Items[Description2],MATCH(Calcs[[#This Row],[Line]],Items[Line],0)),INDEX(Proposed[Description],MATCH(Calcs[[#This Row],[Line]],Proposed[Line],0)))),"")</f>
        <v/>
      </c>
      <c r="D127" s="96">
        <f t="shared" ca="1" si="42"/>
        <v>0</v>
      </c>
      <c r="E127" s="103">
        <f t="shared" ca="1" si="43"/>
        <v>0</v>
      </c>
      <c r="F127" s="103">
        <f t="shared" ca="1" si="44"/>
        <v>0</v>
      </c>
      <c r="G127" s="103">
        <f t="shared" ca="1" si="45"/>
        <v>0</v>
      </c>
      <c r="H127" s="103">
        <f t="shared" ca="1" si="46"/>
        <v>0</v>
      </c>
      <c r="I127" s="103">
        <f t="shared" ca="1" si="47"/>
        <v>0</v>
      </c>
      <c r="J127" s="103">
        <f t="shared" ca="1" si="48"/>
        <v>0</v>
      </c>
      <c r="K127" s="103">
        <f t="shared" ca="1" si="49"/>
        <v>0</v>
      </c>
      <c r="L127" s="103">
        <f t="shared" ca="1" si="50"/>
        <v>0</v>
      </c>
      <c r="M127" s="103">
        <f t="shared" ca="1" si="51"/>
        <v>0</v>
      </c>
      <c r="N127" s="103">
        <f t="shared" ca="1" si="52"/>
        <v>0</v>
      </c>
      <c r="O127" s="103">
        <f t="shared" ca="1" si="53"/>
        <v>0</v>
      </c>
      <c r="P127" s="103">
        <f t="shared" ca="1" si="54"/>
        <v>0</v>
      </c>
      <c r="Q127" s="103">
        <f t="shared" ca="1" si="55"/>
        <v>0</v>
      </c>
      <c r="R127" s="103">
        <f t="shared" ca="1" si="56"/>
        <v>0</v>
      </c>
      <c r="S127" s="103">
        <f t="shared" ca="1" si="57"/>
        <v>0</v>
      </c>
      <c r="T127" s="103">
        <f t="shared" ca="1" si="58"/>
        <v>0</v>
      </c>
      <c r="U127" s="103">
        <f t="shared" ca="1" si="59"/>
        <v>0</v>
      </c>
      <c r="V127" s="103">
        <f t="shared" ca="1" si="60"/>
        <v>0</v>
      </c>
      <c r="W127" s="103">
        <f t="shared" ca="1" si="61"/>
        <v>0</v>
      </c>
      <c r="X127" s="103">
        <f t="shared" ca="1" si="62"/>
        <v>0</v>
      </c>
      <c r="Y127" s="103">
        <f t="shared" ca="1" si="63"/>
        <v>0</v>
      </c>
      <c r="Z127" s="103">
        <f t="shared" ca="1" si="64"/>
        <v>0</v>
      </c>
      <c r="AA127" s="103">
        <f t="shared" ca="1" si="65"/>
        <v>0</v>
      </c>
      <c r="AB127" s="103">
        <f t="shared" ca="1" si="66"/>
        <v>0</v>
      </c>
      <c r="AC127" s="103">
        <f t="shared" ca="1" si="67"/>
        <v>0</v>
      </c>
      <c r="AD127" s="103">
        <f t="shared" ca="1" si="68"/>
        <v>0</v>
      </c>
      <c r="AE127" s="103">
        <f t="shared" ca="1" si="69"/>
        <v>0</v>
      </c>
      <c r="AF127" s="103">
        <f t="shared" ca="1" si="70"/>
        <v>0</v>
      </c>
      <c r="AG127" s="103">
        <f t="shared" ca="1" si="71"/>
        <v>0</v>
      </c>
      <c r="AH127" s="103">
        <f t="shared" ca="1" si="72"/>
        <v>0</v>
      </c>
      <c r="AI127" s="103">
        <f t="shared" ca="1" si="73"/>
        <v>0</v>
      </c>
      <c r="AJ127" s="98">
        <f t="shared" ca="1" si="112"/>
        <v>0</v>
      </c>
      <c r="AK127" s="103">
        <f t="shared" ca="1" si="112"/>
        <v>0</v>
      </c>
      <c r="AL127" s="103">
        <f t="shared" ca="1" si="112"/>
        <v>0</v>
      </c>
      <c r="AM127" s="103">
        <f t="shared" ca="1" si="112"/>
        <v>0</v>
      </c>
      <c r="AN127" s="103">
        <f t="shared" ca="1" si="112"/>
        <v>0</v>
      </c>
      <c r="AO127" s="103">
        <f t="shared" ca="1" si="112"/>
        <v>0</v>
      </c>
      <c r="AP127" s="103">
        <f t="shared" ca="1" si="112"/>
        <v>0</v>
      </c>
      <c r="AQ127" s="103">
        <f t="shared" ca="1" si="112"/>
        <v>0</v>
      </c>
      <c r="AR127" s="104">
        <f ca="1">COUNTIF(AJ127:AQ127,"&lt;"&amp;MAX(AJ127:AQ127))+IF(Calcs[[#This Row],[DL1]]=0,0,1)</f>
        <v>0</v>
      </c>
      <c r="AS127" s="105" t="str">
        <f ca="1">IF(LEN(Calcs[[#This Row],[Line]])&gt;0,IF(RIGHT(Calcs[[#This Row],[Remark]],3)=".  ",LEFT(Calcs[[#This Row],[Remark]],LEN(Calcs[[#This Row],[Remark]])-3),Calcs[[#This Row],[Remark]]),"")</f>
        <v/>
      </c>
      <c r="AT127" s="96">
        <f t="shared" ca="1" si="75"/>
        <v>0</v>
      </c>
      <c r="AU127" s="103">
        <f t="shared" ca="1" si="76"/>
        <v>0</v>
      </c>
      <c r="AV127" s="103">
        <f t="shared" ca="1" si="77"/>
        <v>0</v>
      </c>
      <c r="AW127" s="103">
        <f t="shared" ca="1" si="78"/>
        <v>0</v>
      </c>
      <c r="AX127" s="103">
        <f t="shared" ca="1" si="79"/>
        <v>0</v>
      </c>
      <c r="AY127" s="103">
        <f t="shared" ca="1" si="80"/>
        <v>0</v>
      </c>
      <c r="AZ127" s="103">
        <f t="shared" ca="1" si="81"/>
        <v>0</v>
      </c>
      <c r="BA127" s="103">
        <f t="shared" ca="1" si="82"/>
        <v>0</v>
      </c>
      <c r="BB127" s="103">
        <f t="shared" ca="1" si="83"/>
        <v>0</v>
      </c>
      <c r="BC127" s="103">
        <f t="shared" ca="1" si="84"/>
        <v>0</v>
      </c>
      <c r="BD127" s="103">
        <f t="shared" ca="1" si="85"/>
        <v>0</v>
      </c>
      <c r="BE127" s="103">
        <f t="shared" ca="1" si="86"/>
        <v>0</v>
      </c>
      <c r="BF127" s="103">
        <f t="shared" ca="1" si="87"/>
        <v>0</v>
      </c>
      <c r="BG127" s="103">
        <f t="shared" ca="1" si="88"/>
        <v>0</v>
      </c>
      <c r="BH127" s="103">
        <f t="shared" ca="1" si="89"/>
        <v>0</v>
      </c>
      <c r="BI127" s="103">
        <f t="shared" ca="1" si="90"/>
        <v>0</v>
      </c>
      <c r="BJ127" s="103">
        <f t="shared" ca="1" si="91"/>
        <v>0</v>
      </c>
      <c r="BK127" s="103">
        <f t="shared" ca="1" si="92"/>
        <v>0</v>
      </c>
      <c r="BL127" s="103">
        <f t="shared" ca="1" si="93"/>
        <v>0</v>
      </c>
      <c r="BM127" s="103">
        <f t="shared" ca="1" si="94"/>
        <v>0</v>
      </c>
      <c r="BN127" s="103">
        <f t="shared" ca="1" si="95"/>
        <v>0</v>
      </c>
      <c r="BO127" s="103">
        <f t="shared" ca="1" si="96"/>
        <v>0</v>
      </c>
      <c r="BP127" s="103">
        <f t="shared" ca="1" si="97"/>
        <v>0</v>
      </c>
      <c r="BQ127" s="103">
        <f t="shared" ca="1" si="98"/>
        <v>0</v>
      </c>
      <c r="BR127" s="103">
        <f t="shared" ca="1" si="99"/>
        <v>0</v>
      </c>
      <c r="BS127" s="103">
        <f t="shared" ca="1" si="100"/>
        <v>0</v>
      </c>
      <c r="BT127" s="103">
        <f t="shared" ca="1" si="101"/>
        <v>0</v>
      </c>
      <c r="BU127" s="103">
        <f t="shared" ca="1" si="102"/>
        <v>0</v>
      </c>
      <c r="BV127" s="103">
        <f t="shared" ca="1" si="103"/>
        <v>0</v>
      </c>
      <c r="BW127" s="103">
        <f t="shared" ca="1" si="104"/>
        <v>0</v>
      </c>
      <c r="BX127" s="103">
        <f t="shared" ca="1" si="105"/>
        <v>0</v>
      </c>
      <c r="BY127" s="103">
        <f t="shared" ca="1" si="106"/>
        <v>0</v>
      </c>
      <c r="BZ127" s="98">
        <f t="shared" ca="1" si="113"/>
        <v>0</v>
      </c>
      <c r="CA127" s="103">
        <f t="shared" ca="1" si="113"/>
        <v>0</v>
      </c>
      <c r="CB127" s="103">
        <f t="shared" ca="1" si="113"/>
        <v>0</v>
      </c>
      <c r="CC127" s="103">
        <f t="shared" ca="1" si="113"/>
        <v>0</v>
      </c>
      <c r="CD127" s="103">
        <f t="shared" ca="1" si="113"/>
        <v>0</v>
      </c>
      <c r="CE127" s="103">
        <f t="shared" ca="1" si="113"/>
        <v>0</v>
      </c>
      <c r="CF127" s="103">
        <f t="shared" ca="1" si="113"/>
        <v>0</v>
      </c>
      <c r="CG127" s="103">
        <f t="shared" ca="1" si="113"/>
        <v>0</v>
      </c>
      <c r="CH127" s="106">
        <f ca="1">COUNTIF(BZ127:CG127,"&lt;"&amp;MAX(BZ127:CG127))+IF(Calcs[[#This Row],[RL1]]=0,0,1)</f>
        <v>0</v>
      </c>
      <c r="CI12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7" s="103">
        <f ca="1">IFERROR(OFFSET(CJ127,-1,0)+0,0)+IF(INDEX(INDIRECT(RangeContrQty),MATCH(Calcs[[#This Row],[Line]],OFFSET(Items[Line],0,0,ROW(Proposed[])-ROW(Items[])+ROWS(Proposed[]),1),0)),1,0)</f>
        <v>0</v>
      </c>
    </row>
    <row r="128" spans="1:88" x14ac:dyDescent="0.15">
      <c r="A128" s="64">
        <f ca="1">IFERROR(OFFSET(A128,-1,0)+0,0)+MAX(IF(LEN(Calcs[[#This Row],[Line]])&gt;0,1,0),Calcs[[#This Row],[DL]],Calcs[[#This Row],[RL]])</f>
        <v>10</v>
      </c>
      <c r="B128" s="90" t="str">
        <f ca="1">IFERROR(INDEX(OFFSET(Items[Line],0,0,ROW(Proposed[])-ROW(Items[])+ROWS(Proposed[]),1),MATCH(ROW(B128)-ROW(B$3),INDIRECT(RangeCount),0)),"")</f>
        <v/>
      </c>
      <c r="C128" s="90" t="str">
        <f ca="1">IF(LEN(Calcs[[#This Row],[Line]])&gt;0,TRIM(IFERROR(INDEX(Items[Description],MATCH(Calcs[[#This Row],[Line]],Items[Line],0))&amp;INDEX(Items[Description2],MATCH(Calcs[[#This Row],[Line]],Items[Line],0)),INDEX(Proposed[Description],MATCH(Calcs[[#This Row],[Line]],Proposed[Line],0)))),"")</f>
        <v/>
      </c>
      <c r="D128" s="96">
        <f t="shared" ca="1" si="42"/>
        <v>0</v>
      </c>
      <c r="E128" s="103">
        <f t="shared" ca="1" si="43"/>
        <v>0</v>
      </c>
      <c r="F128" s="103">
        <f t="shared" ca="1" si="44"/>
        <v>0</v>
      </c>
      <c r="G128" s="103">
        <f t="shared" ca="1" si="45"/>
        <v>0</v>
      </c>
      <c r="H128" s="103">
        <f t="shared" ca="1" si="46"/>
        <v>0</v>
      </c>
      <c r="I128" s="103">
        <f t="shared" ca="1" si="47"/>
        <v>0</v>
      </c>
      <c r="J128" s="103">
        <f t="shared" ca="1" si="48"/>
        <v>0</v>
      </c>
      <c r="K128" s="103">
        <f t="shared" ca="1" si="49"/>
        <v>0</v>
      </c>
      <c r="L128" s="103">
        <f t="shared" ca="1" si="50"/>
        <v>0</v>
      </c>
      <c r="M128" s="103">
        <f t="shared" ca="1" si="51"/>
        <v>0</v>
      </c>
      <c r="N128" s="103">
        <f t="shared" ca="1" si="52"/>
        <v>0</v>
      </c>
      <c r="O128" s="103">
        <f t="shared" ca="1" si="53"/>
        <v>0</v>
      </c>
      <c r="P128" s="103">
        <f t="shared" ca="1" si="54"/>
        <v>0</v>
      </c>
      <c r="Q128" s="103">
        <f t="shared" ca="1" si="55"/>
        <v>0</v>
      </c>
      <c r="R128" s="103">
        <f t="shared" ca="1" si="56"/>
        <v>0</v>
      </c>
      <c r="S128" s="103">
        <f t="shared" ca="1" si="57"/>
        <v>0</v>
      </c>
      <c r="T128" s="103">
        <f t="shared" ca="1" si="58"/>
        <v>0</v>
      </c>
      <c r="U128" s="103">
        <f t="shared" ca="1" si="59"/>
        <v>0</v>
      </c>
      <c r="V128" s="103">
        <f t="shared" ca="1" si="60"/>
        <v>0</v>
      </c>
      <c r="W128" s="103">
        <f t="shared" ca="1" si="61"/>
        <v>0</v>
      </c>
      <c r="X128" s="103">
        <f t="shared" ca="1" si="62"/>
        <v>0</v>
      </c>
      <c r="Y128" s="103">
        <f t="shared" ca="1" si="63"/>
        <v>0</v>
      </c>
      <c r="Z128" s="103">
        <f t="shared" ca="1" si="64"/>
        <v>0</v>
      </c>
      <c r="AA128" s="103">
        <f t="shared" ca="1" si="65"/>
        <v>0</v>
      </c>
      <c r="AB128" s="103">
        <f t="shared" ca="1" si="66"/>
        <v>0</v>
      </c>
      <c r="AC128" s="103">
        <f t="shared" ca="1" si="67"/>
        <v>0</v>
      </c>
      <c r="AD128" s="103">
        <f t="shared" ca="1" si="68"/>
        <v>0</v>
      </c>
      <c r="AE128" s="103">
        <f t="shared" ca="1" si="69"/>
        <v>0</v>
      </c>
      <c r="AF128" s="103">
        <f t="shared" ca="1" si="70"/>
        <v>0</v>
      </c>
      <c r="AG128" s="103">
        <f t="shared" ca="1" si="71"/>
        <v>0</v>
      </c>
      <c r="AH128" s="103">
        <f t="shared" ca="1" si="72"/>
        <v>0</v>
      </c>
      <c r="AI128" s="103">
        <f t="shared" ca="1" si="73"/>
        <v>0</v>
      </c>
      <c r="AJ128" s="98">
        <f t="shared" ca="1" si="112"/>
        <v>0</v>
      </c>
      <c r="AK128" s="103">
        <f t="shared" ca="1" si="112"/>
        <v>0</v>
      </c>
      <c r="AL128" s="103">
        <f t="shared" ca="1" si="112"/>
        <v>0</v>
      </c>
      <c r="AM128" s="103">
        <f t="shared" ca="1" si="112"/>
        <v>0</v>
      </c>
      <c r="AN128" s="103">
        <f t="shared" ca="1" si="112"/>
        <v>0</v>
      </c>
      <c r="AO128" s="103">
        <f t="shared" ca="1" si="112"/>
        <v>0</v>
      </c>
      <c r="AP128" s="103">
        <f t="shared" ca="1" si="112"/>
        <v>0</v>
      </c>
      <c r="AQ128" s="103">
        <f t="shared" ca="1" si="112"/>
        <v>0</v>
      </c>
      <c r="AR128" s="104">
        <f ca="1">COUNTIF(AJ128:AQ128,"&lt;"&amp;MAX(AJ128:AQ128))+IF(Calcs[[#This Row],[DL1]]=0,0,1)</f>
        <v>0</v>
      </c>
      <c r="AS128" s="105" t="str">
        <f ca="1">IF(LEN(Calcs[[#This Row],[Line]])&gt;0,IF(RIGHT(Calcs[[#This Row],[Remark]],3)=".  ",LEFT(Calcs[[#This Row],[Remark]],LEN(Calcs[[#This Row],[Remark]])-3),Calcs[[#This Row],[Remark]]),"")</f>
        <v/>
      </c>
      <c r="AT128" s="96">
        <f t="shared" ca="1" si="75"/>
        <v>0</v>
      </c>
      <c r="AU128" s="103">
        <f t="shared" ca="1" si="76"/>
        <v>0</v>
      </c>
      <c r="AV128" s="103">
        <f t="shared" ca="1" si="77"/>
        <v>0</v>
      </c>
      <c r="AW128" s="103">
        <f t="shared" ca="1" si="78"/>
        <v>0</v>
      </c>
      <c r="AX128" s="103">
        <f t="shared" ca="1" si="79"/>
        <v>0</v>
      </c>
      <c r="AY128" s="103">
        <f t="shared" ca="1" si="80"/>
        <v>0</v>
      </c>
      <c r="AZ128" s="103">
        <f t="shared" ca="1" si="81"/>
        <v>0</v>
      </c>
      <c r="BA128" s="103">
        <f t="shared" ca="1" si="82"/>
        <v>0</v>
      </c>
      <c r="BB128" s="103">
        <f t="shared" ca="1" si="83"/>
        <v>0</v>
      </c>
      <c r="BC128" s="103">
        <f t="shared" ca="1" si="84"/>
        <v>0</v>
      </c>
      <c r="BD128" s="103">
        <f t="shared" ca="1" si="85"/>
        <v>0</v>
      </c>
      <c r="BE128" s="103">
        <f t="shared" ca="1" si="86"/>
        <v>0</v>
      </c>
      <c r="BF128" s="103">
        <f t="shared" ca="1" si="87"/>
        <v>0</v>
      </c>
      <c r="BG128" s="103">
        <f t="shared" ca="1" si="88"/>
        <v>0</v>
      </c>
      <c r="BH128" s="103">
        <f t="shared" ca="1" si="89"/>
        <v>0</v>
      </c>
      <c r="BI128" s="103">
        <f t="shared" ca="1" si="90"/>
        <v>0</v>
      </c>
      <c r="BJ128" s="103">
        <f t="shared" ca="1" si="91"/>
        <v>0</v>
      </c>
      <c r="BK128" s="103">
        <f t="shared" ca="1" si="92"/>
        <v>0</v>
      </c>
      <c r="BL128" s="103">
        <f t="shared" ca="1" si="93"/>
        <v>0</v>
      </c>
      <c r="BM128" s="103">
        <f t="shared" ca="1" si="94"/>
        <v>0</v>
      </c>
      <c r="BN128" s="103">
        <f t="shared" ca="1" si="95"/>
        <v>0</v>
      </c>
      <c r="BO128" s="103">
        <f t="shared" ca="1" si="96"/>
        <v>0</v>
      </c>
      <c r="BP128" s="103">
        <f t="shared" ca="1" si="97"/>
        <v>0</v>
      </c>
      <c r="BQ128" s="103">
        <f t="shared" ca="1" si="98"/>
        <v>0</v>
      </c>
      <c r="BR128" s="103">
        <f t="shared" ca="1" si="99"/>
        <v>0</v>
      </c>
      <c r="BS128" s="103">
        <f t="shared" ca="1" si="100"/>
        <v>0</v>
      </c>
      <c r="BT128" s="103">
        <f t="shared" ca="1" si="101"/>
        <v>0</v>
      </c>
      <c r="BU128" s="103">
        <f t="shared" ca="1" si="102"/>
        <v>0</v>
      </c>
      <c r="BV128" s="103">
        <f t="shared" ca="1" si="103"/>
        <v>0</v>
      </c>
      <c r="BW128" s="103">
        <f t="shared" ca="1" si="104"/>
        <v>0</v>
      </c>
      <c r="BX128" s="103">
        <f t="shared" ca="1" si="105"/>
        <v>0</v>
      </c>
      <c r="BY128" s="103">
        <f t="shared" ca="1" si="106"/>
        <v>0</v>
      </c>
      <c r="BZ128" s="98">
        <f t="shared" ca="1" si="113"/>
        <v>0</v>
      </c>
      <c r="CA128" s="103">
        <f t="shared" ca="1" si="113"/>
        <v>0</v>
      </c>
      <c r="CB128" s="103">
        <f t="shared" ca="1" si="113"/>
        <v>0</v>
      </c>
      <c r="CC128" s="103">
        <f t="shared" ca="1" si="113"/>
        <v>0</v>
      </c>
      <c r="CD128" s="103">
        <f t="shared" ca="1" si="113"/>
        <v>0</v>
      </c>
      <c r="CE128" s="103">
        <f t="shared" ca="1" si="113"/>
        <v>0</v>
      </c>
      <c r="CF128" s="103">
        <f t="shared" ca="1" si="113"/>
        <v>0</v>
      </c>
      <c r="CG128" s="103">
        <f t="shared" ca="1" si="113"/>
        <v>0</v>
      </c>
      <c r="CH128" s="106">
        <f ca="1">COUNTIF(BZ128:CG128,"&lt;"&amp;MAX(BZ128:CG128))+IF(Calcs[[#This Row],[RL1]]=0,0,1)</f>
        <v>0</v>
      </c>
      <c r="CI12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8" s="103">
        <f ca="1">IFERROR(OFFSET(CJ128,-1,0)+0,0)+IF(INDEX(INDIRECT(RangeContrQty),MATCH(Calcs[[#This Row],[Line]],OFFSET(Items[Line],0,0,ROW(Proposed[])-ROW(Items[])+ROWS(Proposed[]),1),0)),1,0)</f>
        <v>0</v>
      </c>
    </row>
    <row r="129" spans="1:88" x14ac:dyDescent="0.15">
      <c r="A129" s="64">
        <f ca="1">IFERROR(OFFSET(A129,-1,0)+0,0)+MAX(IF(LEN(Calcs[[#This Row],[Line]])&gt;0,1,0),Calcs[[#This Row],[DL]],Calcs[[#This Row],[RL]])</f>
        <v>10</v>
      </c>
      <c r="B129" s="90" t="str">
        <f ca="1">IFERROR(INDEX(OFFSET(Items[Line],0,0,ROW(Proposed[])-ROW(Items[])+ROWS(Proposed[]),1),MATCH(ROW(B129)-ROW(B$3),INDIRECT(RangeCount),0)),"")</f>
        <v/>
      </c>
      <c r="C129" s="90" t="str">
        <f ca="1">IF(LEN(Calcs[[#This Row],[Line]])&gt;0,TRIM(IFERROR(INDEX(Items[Description],MATCH(Calcs[[#This Row],[Line]],Items[Line],0))&amp;INDEX(Items[Description2],MATCH(Calcs[[#This Row],[Line]],Items[Line],0)),INDEX(Proposed[Description],MATCH(Calcs[[#This Row],[Line]],Proposed[Line],0)))),"")</f>
        <v/>
      </c>
      <c r="D129" s="96">
        <f t="shared" ca="1" si="42"/>
        <v>0</v>
      </c>
      <c r="E129" s="103">
        <f t="shared" ca="1" si="43"/>
        <v>0</v>
      </c>
      <c r="F129" s="103">
        <f t="shared" ca="1" si="44"/>
        <v>0</v>
      </c>
      <c r="G129" s="103">
        <f t="shared" ca="1" si="45"/>
        <v>0</v>
      </c>
      <c r="H129" s="103">
        <f t="shared" ca="1" si="46"/>
        <v>0</v>
      </c>
      <c r="I129" s="103">
        <f t="shared" ca="1" si="47"/>
        <v>0</v>
      </c>
      <c r="J129" s="103">
        <f t="shared" ca="1" si="48"/>
        <v>0</v>
      </c>
      <c r="K129" s="103">
        <f t="shared" ca="1" si="49"/>
        <v>0</v>
      </c>
      <c r="L129" s="103">
        <f t="shared" ca="1" si="50"/>
        <v>0</v>
      </c>
      <c r="M129" s="103">
        <f t="shared" ca="1" si="51"/>
        <v>0</v>
      </c>
      <c r="N129" s="103">
        <f t="shared" ca="1" si="52"/>
        <v>0</v>
      </c>
      <c r="O129" s="103">
        <f t="shared" ca="1" si="53"/>
        <v>0</v>
      </c>
      <c r="P129" s="103">
        <f t="shared" ca="1" si="54"/>
        <v>0</v>
      </c>
      <c r="Q129" s="103">
        <f t="shared" ca="1" si="55"/>
        <v>0</v>
      </c>
      <c r="R129" s="103">
        <f t="shared" ca="1" si="56"/>
        <v>0</v>
      </c>
      <c r="S129" s="103">
        <f t="shared" ca="1" si="57"/>
        <v>0</v>
      </c>
      <c r="T129" s="103">
        <f t="shared" ca="1" si="58"/>
        <v>0</v>
      </c>
      <c r="U129" s="103">
        <f t="shared" ca="1" si="59"/>
        <v>0</v>
      </c>
      <c r="V129" s="103">
        <f t="shared" ca="1" si="60"/>
        <v>0</v>
      </c>
      <c r="W129" s="103">
        <f t="shared" ca="1" si="61"/>
        <v>0</v>
      </c>
      <c r="X129" s="103">
        <f t="shared" ca="1" si="62"/>
        <v>0</v>
      </c>
      <c r="Y129" s="103">
        <f t="shared" ca="1" si="63"/>
        <v>0</v>
      </c>
      <c r="Z129" s="103">
        <f t="shared" ca="1" si="64"/>
        <v>0</v>
      </c>
      <c r="AA129" s="103">
        <f t="shared" ca="1" si="65"/>
        <v>0</v>
      </c>
      <c r="AB129" s="103">
        <f t="shared" ca="1" si="66"/>
        <v>0</v>
      </c>
      <c r="AC129" s="103">
        <f t="shared" ca="1" si="67"/>
        <v>0</v>
      </c>
      <c r="AD129" s="103">
        <f t="shared" ca="1" si="68"/>
        <v>0</v>
      </c>
      <c r="AE129" s="103">
        <f t="shared" ca="1" si="69"/>
        <v>0</v>
      </c>
      <c r="AF129" s="103">
        <f t="shared" ca="1" si="70"/>
        <v>0</v>
      </c>
      <c r="AG129" s="103">
        <f t="shared" ca="1" si="71"/>
        <v>0</v>
      </c>
      <c r="AH129" s="103">
        <f t="shared" ca="1" si="72"/>
        <v>0</v>
      </c>
      <c r="AI129" s="103">
        <f t="shared" ca="1" si="73"/>
        <v>0</v>
      </c>
      <c r="AJ129" s="98">
        <f t="shared" ca="1" si="112"/>
        <v>0</v>
      </c>
      <c r="AK129" s="103">
        <f t="shared" ca="1" si="112"/>
        <v>0</v>
      </c>
      <c r="AL129" s="103">
        <f t="shared" ca="1" si="112"/>
        <v>0</v>
      </c>
      <c r="AM129" s="103">
        <f t="shared" ca="1" si="112"/>
        <v>0</v>
      </c>
      <c r="AN129" s="103">
        <f t="shared" ca="1" si="112"/>
        <v>0</v>
      </c>
      <c r="AO129" s="103">
        <f t="shared" ca="1" si="112"/>
        <v>0</v>
      </c>
      <c r="AP129" s="103">
        <f t="shared" ca="1" si="112"/>
        <v>0</v>
      </c>
      <c r="AQ129" s="103">
        <f t="shared" ca="1" si="112"/>
        <v>0</v>
      </c>
      <c r="AR129" s="104">
        <f ca="1">COUNTIF(AJ129:AQ129,"&lt;"&amp;MAX(AJ129:AQ129))+IF(Calcs[[#This Row],[DL1]]=0,0,1)</f>
        <v>0</v>
      </c>
      <c r="AS129" s="105" t="str">
        <f ca="1">IF(LEN(Calcs[[#This Row],[Line]])&gt;0,IF(RIGHT(Calcs[[#This Row],[Remark]],3)=".  ",LEFT(Calcs[[#This Row],[Remark]],LEN(Calcs[[#This Row],[Remark]])-3),Calcs[[#This Row],[Remark]]),"")</f>
        <v/>
      </c>
      <c r="AT129" s="96">
        <f t="shared" ca="1" si="75"/>
        <v>0</v>
      </c>
      <c r="AU129" s="103">
        <f t="shared" ca="1" si="76"/>
        <v>0</v>
      </c>
      <c r="AV129" s="103">
        <f t="shared" ca="1" si="77"/>
        <v>0</v>
      </c>
      <c r="AW129" s="103">
        <f t="shared" ca="1" si="78"/>
        <v>0</v>
      </c>
      <c r="AX129" s="103">
        <f t="shared" ca="1" si="79"/>
        <v>0</v>
      </c>
      <c r="AY129" s="103">
        <f t="shared" ca="1" si="80"/>
        <v>0</v>
      </c>
      <c r="AZ129" s="103">
        <f t="shared" ca="1" si="81"/>
        <v>0</v>
      </c>
      <c r="BA129" s="103">
        <f t="shared" ca="1" si="82"/>
        <v>0</v>
      </c>
      <c r="BB129" s="103">
        <f t="shared" ca="1" si="83"/>
        <v>0</v>
      </c>
      <c r="BC129" s="103">
        <f t="shared" ca="1" si="84"/>
        <v>0</v>
      </c>
      <c r="BD129" s="103">
        <f t="shared" ca="1" si="85"/>
        <v>0</v>
      </c>
      <c r="BE129" s="103">
        <f t="shared" ca="1" si="86"/>
        <v>0</v>
      </c>
      <c r="BF129" s="103">
        <f t="shared" ca="1" si="87"/>
        <v>0</v>
      </c>
      <c r="BG129" s="103">
        <f t="shared" ca="1" si="88"/>
        <v>0</v>
      </c>
      <c r="BH129" s="103">
        <f t="shared" ca="1" si="89"/>
        <v>0</v>
      </c>
      <c r="BI129" s="103">
        <f t="shared" ca="1" si="90"/>
        <v>0</v>
      </c>
      <c r="BJ129" s="103">
        <f t="shared" ca="1" si="91"/>
        <v>0</v>
      </c>
      <c r="BK129" s="103">
        <f t="shared" ca="1" si="92"/>
        <v>0</v>
      </c>
      <c r="BL129" s="103">
        <f t="shared" ca="1" si="93"/>
        <v>0</v>
      </c>
      <c r="BM129" s="103">
        <f t="shared" ca="1" si="94"/>
        <v>0</v>
      </c>
      <c r="BN129" s="103">
        <f t="shared" ca="1" si="95"/>
        <v>0</v>
      </c>
      <c r="BO129" s="103">
        <f t="shared" ca="1" si="96"/>
        <v>0</v>
      </c>
      <c r="BP129" s="103">
        <f t="shared" ca="1" si="97"/>
        <v>0</v>
      </c>
      <c r="BQ129" s="103">
        <f t="shared" ca="1" si="98"/>
        <v>0</v>
      </c>
      <c r="BR129" s="103">
        <f t="shared" ca="1" si="99"/>
        <v>0</v>
      </c>
      <c r="BS129" s="103">
        <f t="shared" ca="1" si="100"/>
        <v>0</v>
      </c>
      <c r="BT129" s="103">
        <f t="shared" ca="1" si="101"/>
        <v>0</v>
      </c>
      <c r="BU129" s="103">
        <f t="shared" ca="1" si="102"/>
        <v>0</v>
      </c>
      <c r="BV129" s="103">
        <f t="shared" ca="1" si="103"/>
        <v>0</v>
      </c>
      <c r="BW129" s="103">
        <f t="shared" ca="1" si="104"/>
        <v>0</v>
      </c>
      <c r="BX129" s="103">
        <f t="shared" ca="1" si="105"/>
        <v>0</v>
      </c>
      <c r="BY129" s="103">
        <f t="shared" ca="1" si="106"/>
        <v>0</v>
      </c>
      <c r="BZ129" s="98">
        <f t="shared" ca="1" si="113"/>
        <v>0</v>
      </c>
      <c r="CA129" s="103">
        <f t="shared" ca="1" si="113"/>
        <v>0</v>
      </c>
      <c r="CB129" s="103">
        <f t="shared" ca="1" si="113"/>
        <v>0</v>
      </c>
      <c r="CC129" s="103">
        <f t="shared" ca="1" si="113"/>
        <v>0</v>
      </c>
      <c r="CD129" s="103">
        <f t="shared" ca="1" si="113"/>
        <v>0</v>
      </c>
      <c r="CE129" s="103">
        <f t="shared" ca="1" si="113"/>
        <v>0</v>
      </c>
      <c r="CF129" s="103">
        <f t="shared" ca="1" si="113"/>
        <v>0</v>
      </c>
      <c r="CG129" s="103">
        <f t="shared" ca="1" si="113"/>
        <v>0</v>
      </c>
      <c r="CH129" s="106">
        <f ca="1">COUNTIF(BZ129:CG129,"&lt;"&amp;MAX(BZ129:CG129))+IF(Calcs[[#This Row],[RL1]]=0,0,1)</f>
        <v>0</v>
      </c>
      <c r="CI12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9" s="103">
        <f ca="1">IFERROR(OFFSET(CJ129,-1,0)+0,0)+IF(INDEX(INDIRECT(RangeContrQty),MATCH(Calcs[[#This Row],[Line]],OFFSET(Items[Line],0,0,ROW(Proposed[])-ROW(Items[])+ROWS(Proposed[]),1),0)),1,0)</f>
        <v>0</v>
      </c>
    </row>
    <row r="130" spans="1:88" x14ac:dyDescent="0.15">
      <c r="A130" s="64">
        <f ca="1">IFERROR(OFFSET(A130,-1,0)+0,0)+MAX(IF(LEN(Calcs[[#This Row],[Line]])&gt;0,1,0),Calcs[[#This Row],[DL]],Calcs[[#This Row],[RL]])</f>
        <v>10</v>
      </c>
      <c r="B130" s="90" t="str">
        <f ca="1">IFERROR(INDEX(OFFSET(Items[Line],0,0,ROW(Proposed[])-ROW(Items[])+ROWS(Proposed[]),1),MATCH(ROW(B130)-ROW(B$3),INDIRECT(RangeCount),0)),"")</f>
        <v/>
      </c>
      <c r="C130" s="90" t="str">
        <f ca="1">IF(LEN(Calcs[[#This Row],[Line]])&gt;0,TRIM(IFERROR(INDEX(Items[Description],MATCH(Calcs[[#This Row],[Line]],Items[Line],0))&amp;INDEX(Items[Description2],MATCH(Calcs[[#This Row],[Line]],Items[Line],0)),INDEX(Proposed[Description],MATCH(Calcs[[#This Row],[Line]],Proposed[Line],0)))),"")</f>
        <v/>
      </c>
      <c r="D130" s="96">
        <f t="shared" ca="1" si="42"/>
        <v>0</v>
      </c>
      <c r="E130" s="103">
        <f t="shared" ca="1" si="43"/>
        <v>0</v>
      </c>
      <c r="F130" s="103">
        <f t="shared" ca="1" si="44"/>
        <v>0</v>
      </c>
      <c r="G130" s="103">
        <f t="shared" ca="1" si="45"/>
        <v>0</v>
      </c>
      <c r="H130" s="103">
        <f t="shared" ca="1" si="46"/>
        <v>0</v>
      </c>
      <c r="I130" s="103">
        <f t="shared" ca="1" si="47"/>
        <v>0</v>
      </c>
      <c r="J130" s="103">
        <f t="shared" ca="1" si="48"/>
        <v>0</v>
      </c>
      <c r="K130" s="103">
        <f t="shared" ca="1" si="49"/>
        <v>0</v>
      </c>
      <c r="L130" s="103">
        <f t="shared" ca="1" si="50"/>
        <v>0</v>
      </c>
      <c r="M130" s="103">
        <f t="shared" ca="1" si="51"/>
        <v>0</v>
      </c>
      <c r="N130" s="103">
        <f t="shared" ca="1" si="52"/>
        <v>0</v>
      </c>
      <c r="O130" s="103">
        <f t="shared" ca="1" si="53"/>
        <v>0</v>
      </c>
      <c r="P130" s="103">
        <f t="shared" ca="1" si="54"/>
        <v>0</v>
      </c>
      <c r="Q130" s="103">
        <f t="shared" ca="1" si="55"/>
        <v>0</v>
      </c>
      <c r="R130" s="103">
        <f t="shared" ca="1" si="56"/>
        <v>0</v>
      </c>
      <c r="S130" s="103">
        <f t="shared" ca="1" si="57"/>
        <v>0</v>
      </c>
      <c r="T130" s="103">
        <f t="shared" ca="1" si="58"/>
        <v>0</v>
      </c>
      <c r="U130" s="103">
        <f t="shared" ca="1" si="59"/>
        <v>0</v>
      </c>
      <c r="V130" s="103">
        <f t="shared" ca="1" si="60"/>
        <v>0</v>
      </c>
      <c r="W130" s="103">
        <f t="shared" ca="1" si="61"/>
        <v>0</v>
      </c>
      <c r="X130" s="103">
        <f t="shared" ca="1" si="62"/>
        <v>0</v>
      </c>
      <c r="Y130" s="103">
        <f t="shared" ca="1" si="63"/>
        <v>0</v>
      </c>
      <c r="Z130" s="103">
        <f t="shared" ca="1" si="64"/>
        <v>0</v>
      </c>
      <c r="AA130" s="103">
        <f t="shared" ca="1" si="65"/>
        <v>0</v>
      </c>
      <c r="AB130" s="103">
        <f t="shared" ca="1" si="66"/>
        <v>0</v>
      </c>
      <c r="AC130" s="103">
        <f t="shared" ca="1" si="67"/>
        <v>0</v>
      </c>
      <c r="AD130" s="103">
        <f t="shared" ca="1" si="68"/>
        <v>0</v>
      </c>
      <c r="AE130" s="103">
        <f t="shared" ca="1" si="69"/>
        <v>0</v>
      </c>
      <c r="AF130" s="103">
        <f t="shared" ca="1" si="70"/>
        <v>0</v>
      </c>
      <c r="AG130" s="103">
        <f t="shared" ca="1" si="71"/>
        <v>0</v>
      </c>
      <c r="AH130" s="103">
        <f t="shared" ca="1" si="72"/>
        <v>0</v>
      </c>
      <c r="AI130" s="103">
        <f t="shared" ca="1" si="73"/>
        <v>0</v>
      </c>
      <c r="AJ130" s="98">
        <f t="shared" ca="1" si="112"/>
        <v>0</v>
      </c>
      <c r="AK130" s="103">
        <f t="shared" ca="1" si="112"/>
        <v>0</v>
      </c>
      <c r="AL130" s="103">
        <f t="shared" ca="1" si="112"/>
        <v>0</v>
      </c>
      <c r="AM130" s="103">
        <f t="shared" ca="1" si="112"/>
        <v>0</v>
      </c>
      <c r="AN130" s="103">
        <f t="shared" ca="1" si="112"/>
        <v>0</v>
      </c>
      <c r="AO130" s="103">
        <f t="shared" ca="1" si="112"/>
        <v>0</v>
      </c>
      <c r="AP130" s="103">
        <f t="shared" ca="1" si="112"/>
        <v>0</v>
      </c>
      <c r="AQ130" s="103">
        <f t="shared" ca="1" si="112"/>
        <v>0</v>
      </c>
      <c r="AR130" s="104">
        <f ca="1">COUNTIF(AJ130:AQ130,"&lt;"&amp;MAX(AJ130:AQ130))+IF(Calcs[[#This Row],[DL1]]=0,0,1)</f>
        <v>0</v>
      </c>
      <c r="AS130" s="105" t="str">
        <f ca="1">IF(LEN(Calcs[[#This Row],[Line]])&gt;0,IF(RIGHT(Calcs[[#This Row],[Remark]],3)=".  ",LEFT(Calcs[[#This Row],[Remark]],LEN(Calcs[[#This Row],[Remark]])-3),Calcs[[#This Row],[Remark]]),"")</f>
        <v/>
      </c>
      <c r="AT130" s="96">
        <f t="shared" ca="1" si="75"/>
        <v>0</v>
      </c>
      <c r="AU130" s="103">
        <f t="shared" ca="1" si="76"/>
        <v>0</v>
      </c>
      <c r="AV130" s="103">
        <f t="shared" ca="1" si="77"/>
        <v>0</v>
      </c>
      <c r="AW130" s="103">
        <f t="shared" ca="1" si="78"/>
        <v>0</v>
      </c>
      <c r="AX130" s="103">
        <f t="shared" ca="1" si="79"/>
        <v>0</v>
      </c>
      <c r="AY130" s="103">
        <f t="shared" ca="1" si="80"/>
        <v>0</v>
      </c>
      <c r="AZ130" s="103">
        <f t="shared" ca="1" si="81"/>
        <v>0</v>
      </c>
      <c r="BA130" s="103">
        <f t="shared" ca="1" si="82"/>
        <v>0</v>
      </c>
      <c r="BB130" s="103">
        <f t="shared" ca="1" si="83"/>
        <v>0</v>
      </c>
      <c r="BC130" s="103">
        <f t="shared" ca="1" si="84"/>
        <v>0</v>
      </c>
      <c r="BD130" s="103">
        <f t="shared" ca="1" si="85"/>
        <v>0</v>
      </c>
      <c r="BE130" s="103">
        <f t="shared" ca="1" si="86"/>
        <v>0</v>
      </c>
      <c r="BF130" s="103">
        <f t="shared" ca="1" si="87"/>
        <v>0</v>
      </c>
      <c r="BG130" s="103">
        <f t="shared" ca="1" si="88"/>
        <v>0</v>
      </c>
      <c r="BH130" s="103">
        <f t="shared" ca="1" si="89"/>
        <v>0</v>
      </c>
      <c r="BI130" s="103">
        <f t="shared" ca="1" si="90"/>
        <v>0</v>
      </c>
      <c r="BJ130" s="103">
        <f t="shared" ca="1" si="91"/>
        <v>0</v>
      </c>
      <c r="BK130" s="103">
        <f t="shared" ca="1" si="92"/>
        <v>0</v>
      </c>
      <c r="BL130" s="103">
        <f t="shared" ca="1" si="93"/>
        <v>0</v>
      </c>
      <c r="BM130" s="103">
        <f t="shared" ca="1" si="94"/>
        <v>0</v>
      </c>
      <c r="BN130" s="103">
        <f t="shared" ca="1" si="95"/>
        <v>0</v>
      </c>
      <c r="BO130" s="103">
        <f t="shared" ca="1" si="96"/>
        <v>0</v>
      </c>
      <c r="BP130" s="103">
        <f t="shared" ca="1" si="97"/>
        <v>0</v>
      </c>
      <c r="BQ130" s="103">
        <f t="shared" ca="1" si="98"/>
        <v>0</v>
      </c>
      <c r="BR130" s="103">
        <f t="shared" ca="1" si="99"/>
        <v>0</v>
      </c>
      <c r="BS130" s="103">
        <f t="shared" ca="1" si="100"/>
        <v>0</v>
      </c>
      <c r="BT130" s="103">
        <f t="shared" ca="1" si="101"/>
        <v>0</v>
      </c>
      <c r="BU130" s="103">
        <f t="shared" ca="1" si="102"/>
        <v>0</v>
      </c>
      <c r="BV130" s="103">
        <f t="shared" ca="1" si="103"/>
        <v>0</v>
      </c>
      <c r="BW130" s="103">
        <f t="shared" ca="1" si="104"/>
        <v>0</v>
      </c>
      <c r="BX130" s="103">
        <f t="shared" ca="1" si="105"/>
        <v>0</v>
      </c>
      <c r="BY130" s="103">
        <f t="shared" ca="1" si="106"/>
        <v>0</v>
      </c>
      <c r="BZ130" s="98">
        <f t="shared" ca="1" si="113"/>
        <v>0</v>
      </c>
      <c r="CA130" s="103">
        <f t="shared" ca="1" si="113"/>
        <v>0</v>
      </c>
      <c r="CB130" s="103">
        <f t="shared" ca="1" si="113"/>
        <v>0</v>
      </c>
      <c r="CC130" s="103">
        <f t="shared" ca="1" si="113"/>
        <v>0</v>
      </c>
      <c r="CD130" s="103">
        <f t="shared" ca="1" si="113"/>
        <v>0</v>
      </c>
      <c r="CE130" s="103">
        <f t="shared" ca="1" si="113"/>
        <v>0</v>
      </c>
      <c r="CF130" s="103">
        <f t="shared" ca="1" si="113"/>
        <v>0</v>
      </c>
      <c r="CG130" s="103">
        <f t="shared" ca="1" si="113"/>
        <v>0</v>
      </c>
      <c r="CH130" s="106">
        <f ca="1">COUNTIF(BZ130:CG130,"&lt;"&amp;MAX(BZ130:CG130))+IF(Calcs[[#This Row],[RL1]]=0,0,1)</f>
        <v>0</v>
      </c>
      <c r="CI13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0" s="103">
        <f ca="1">IFERROR(OFFSET(CJ130,-1,0)+0,0)+IF(INDEX(INDIRECT(RangeContrQty),MATCH(Calcs[[#This Row],[Line]],OFFSET(Items[Line],0,0,ROW(Proposed[])-ROW(Items[])+ROWS(Proposed[]),1),0)),1,0)</f>
        <v>0</v>
      </c>
    </row>
    <row r="131" spans="1:88" x14ac:dyDescent="0.15">
      <c r="A131" s="64">
        <f ca="1">IFERROR(OFFSET(A131,-1,0)+0,0)+MAX(IF(LEN(Calcs[[#This Row],[Line]])&gt;0,1,0),Calcs[[#This Row],[DL]],Calcs[[#This Row],[RL]])</f>
        <v>10</v>
      </c>
      <c r="B131" s="90" t="str">
        <f ca="1">IFERROR(INDEX(OFFSET(Items[Line],0,0,ROW(Proposed[])-ROW(Items[])+ROWS(Proposed[]),1),MATCH(ROW(B131)-ROW(B$3),INDIRECT(RangeCount),0)),"")</f>
        <v/>
      </c>
      <c r="C131" s="90" t="str">
        <f ca="1">IF(LEN(Calcs[[#This Row],[Line]])&gt;0,TRIM(IFERROR(INDEX(Items[Description],MATCH(Calcs[[#This Row],[Line]],Items[Line],0))&amp;INDEX(Items[Description2],MATCH(Calcs[[#This Row],[Line]],Items[Line],0)),INDEX(Proposed[Description],MATCH(Calcs[[#This Row],[Line]],Proposed[Line],0)))),"")</f>
        <v/>
      </c>
      <c r="D131" s="96">
        <f t="shared" ca="1" si="42"/>
        <v>0</v>
      </c>
      <c r="E131" s="103">
        <f t="shared" ca="1" si="43"/>
        <v>0</v>
      </c>
      <c r="F131" s="103">
        <f t="shared" ca="1" si="44"/>
        <v>0</v>
      </c>
      <c r="G131" s="103">
        <f t="shared" ca="1" si="45"/>
        <v>0</v>
      </c>
      <c r="H131" s="103">
        <f t="shared" ca="1" si="46"/>
        <v>0</v>
      </c>
      <c r="I131" s="103">
        <f t="shared" ca="1" si="47"/>
        <v>0</v>
      </c>
      <c r="J131" s="103">
        <f t="shared" ca="1" si="48"/>
        <v>0</v>
      </c>
      <c r="K131" s="103">
        <f t="shared" ca="1" si="49"/>
        <v>0</v>
      </c>
      <c r="L131" s="103">
        <f t="shared" ca="1" si="50"/>
        <v>0</v>
      </c>
      <c r="M131" s="103">
        <f t="shared" ca="1" si="51"/>
        <v>0</v>
      </c>
      <c r="N131" s="103">
        <f t="shared" ca="1" si="52"/>
        <v>0</v>
      </c>
      <c r="O131" s="103">
        <f t="shared" ca="1" si="53"/>
        <v>0</v>
      </c>
      <c r="P131" s="103">
        <f t="shared" ca="1" si="54"/>
        <v>0</v>
      </c>
      <c r="Q131" s="103">
        <f t="shared" ca="1" si="55"/>
        <v>0</v>
      </c>
      <c r="R131" s="103">
        <f t="shared" ca="1" si="56"/>
        <v>0</v>
      </c>
      <c r="S131" s="103">
        <f t="shared" ca="1" si="57"/>
        <v>0</v>
      </c>
      <c r="T131" s="103">
        <f t="shared" ca="1" si="58"/>
        <v>0</v>
      </c>
      <c r="U131" s="103">
        <f t="shared" ca="1" si="59"/>
        <v>0</v>
      </c>
      <c r="V131" s="103">
        <f t="shared" ca="1" si="60"/>
        <v>0</v>
      </c>
      <c r="W131" s="103">
        <f t="shared" ca="1" si="61"/>
        <v>0</v>
      </c>
      <c r="X131" s="103">
        <f t="shared" ca="1" si="62"/>
        <v>0</v>
      </c>
      <c r="Y131" s="103">
        <f t="shared" ca="1" si="63"/>
        <v>0</v>
      </c>
      <c r="Z131" s="103">
        <f t="shared" ca="1" si="64"/>
        <v>0</v>
      </c>
      <c r="AA131" s="103">
        <f t="shared" ca="1" si="65"/>
        <v>0</v>
      </c>
      <c r="AB131" s="103">
        <f t="shared" ca="1" si="66"/>
        <v>0</v>
      </c>
      <c r="AC131" s="103">
        <f t="shared" ca="1" si="67"/>
        <v>0</v>
      </c>
      <c r="AD131" s="103">
        <f t="shared" ca="1" si="68"/>
        <v>0</v>
      </c>
      <c r="AE131" s="103">
        <f t="shared" ca="1" si="69"/>
        <v>0</v>
      </c>
      <c r="AF131" s="103">
        <f t="shared" ca="1" si="70"/>
        <v>0</v>
      </c>
      <c r="AG131" s="103">
        <f t="shared" ca="1" si="71"/>
        <v>0</v>
      </c>
      <c r="AH131" s="103">
        <f t="shared" ca="1" si="72"/>
        <v>0</v>
      </c>
      <c r="AI131" s="103">
        <f t="shared" ca="1" si="73"/>
        <v>0</v>
      </c>
      <c r="AJ131" s="98">
        <f t="shared" ca="1" si="112"/>
        <v>0</v>
      </c>
      <c r="AK131" s="103">
        <f t="shared" ca="1" si="112"/>
        <v>0</v>
      </c>
      <c r="AL131" s="103">
        <f t="shared" ca="1" si="112"/>
        <v>0</v>
      </c>
      <c r="AM131" s="103">
        <f t="shared" ca="1" si="112"/>
        <v>0</v>
      </c>
      <c r="AN131" s="103">
        <f t="shared" ca="1" si="112"/>
        <v>0</v>
      </c>
      <c r="AO131" s="103">
        <f t="shared" ca="1" si="112"/>
        <v>0</v>
      </c>
      <c r="AP131" s="103">
        <f t="shared" ca="1" si="112"/>
        <v>0</v>
      </c>
      <c r="AQ131" s="103">
        <f t="shared" ca="1" si="112"/>
        <v>0</v>
      </c>
      <c r="AR131" s="104">
        <f ca="1">COUNTIF(AJ131:AQ131,"&lt;"&amp;MAX(AJ131:AQ131))+IF(Calcs[[#This Row],[DL1]]=0,0,1)</f>
        <v>0</v>
      </c>
      <c r="AS131" s="105" t="str">
        <f ca="1">IF(LEN(Calcs[[#This Row],[Line]])&gt;0,IF(RIGHT(Calcs[[#This Row],[Remark]],3)=".  ",LEFT(Calcs[[#This Row],[Remark]],LEN(Calcs[[#This Row],[Remark]])-3),Calcs[[#This Row],[Remark]]),"")</f>
        <v/>
      </c>
      <c r="AT131" s="96">
        <f t="shared" ca="1" si="75"/>
        <v>0</v>
      </c>
      <c r="AU131" s="103">
        <f t="shared" ca="1" si="76"/>
        <v>0</v>
      </c>
      <c r="AV131" s="103">
        <f t="shared" ca="1" si="77"/>
        <v>0</v>
      </c>
      <c r="AW131" s="103">
        <f t="shared" ca="1" si="78"/>
        <v>0</v>
      </c>
      <c r="AX131" s="103">
        <f t="shared" ca="1" si="79"/>
        <v>0</v>
      </c>
      <c r="AY131" s="103">
        <f t="shared" ca="1" si="80"/>
        <v>0</v>
      </c>
      <c r="AZ131" s="103">
        <f t="shared" ca="1" si="81"/>
        <v>0</v>
      </c>
      <c r="BA131" s="103">
        <f t="shared" ca="1" si="82"/>
        <v>0</v>
      </c>
      <c r="BB131" s="103">
        <f t="shared" ca="1" si="83"/>
        <v>0</v>
      </c>
      <c r="BC131" s="103">
        <f t="shared" ca="1" si="84"/>
        <v>0</v>
      </c>
      <c r="BD131" s="103">
        <f t="shared" ca="1" si="85"/>
        <v>0</v>
      </c>
      <c r="BE131" s="103">
        <f t="shared" ca="1" si="86"/>
        <v>0</v>
      </c>
      <c r="BF131" s="103">
        <f t="shared" ca="1" si="87"/>
        <v>0</v>
      </c>
      <c r="BG131" s="103">
        <f t="shared" ca="1" si="88"/>
        <v>0</v>
      </c>
      <c r="BH131" s="103">
        <f t="shared" ca="1" si="89"/>
        <v>0</v>
      </c>
      <c r="BI131" s="103">
        <f t="shared" ca="1" si="90"/>
        <v>0</v>
      </c>
      <c r="BJ131" s="103">
        <f t="shared" ca="1" si="91"/>
        <v>0</v>
      </c>
      <c r="BK131" s="103">
        <f t="shared" ca="1" si="92"/>
        <v>0</v>
      </c>
      <c r="BL131" s="103">
        <f t="shared" ca="1" si="93"/>
        <v>0</v>
      </c>
      <c r="BM131" s="103">
        <f t="shared" ca="1" si="94"/>
        <v>0</v>
      </c>
      <c r="BN131" s="103">
        <f t="shared" ca="1" si="95"/>
        <v>0</v>
      </c>
      <c r="BO131" s="103">
        <f t="shared" ca="1" si="96"/>
        <v>0</v>
      </c>
      <c r="BP131" s="103">
        <f t="shared" ca="1" si="97"/>
        <v>0</v>
      </c>
      <c r="BQ131" s="103">
        <f t="shared" ca="1" si="98"/>
        <v>0</v>
      </c>
      <c r="BR131" s="103">
        <f t="shared" ca="1" si="99"/>
        <v>0</v>
      </c>
      <c r="BS131" s="103">
        <f t="shared" ca="1" si="100"/>
        <v>0</v>
      </c>
      <c r="BT131" s="103">
        <f t="shared" ca="1" si="101"/>
        <v>0</v>
      </c>
      <c r="BU131" s="103">
        <f t="shared" ca="1" si="102"/>
        <v>0</v>
      </c>
      <c r="BV131" s="103">
        <f t="shared" ca="1" si="103"/>
        <v>0</v>
      </c>
      <c r="BW131" s="103">
        <f t="shared" ca="1" si="104"/>
        <v>0</v>
      </c>
      <c r="BX131" s="103">
        <f t="shared" ca="1" si="105"/>
        <v>0</v>
      </c>
      <c r="BY131" s="103">
        <f t="shared" ca="1" si="106"/>
        <v>0</v>
      </c>
      <c r="BZ131" s="98">
        <f t="shared" ca="1" si="113"/>
        <v>0</v>
      </c>
      <c r="CA131" s="103">
        <f t="shared" ca="1" si="113"/>
        <v>0</v>
      </c>
      <c r="CB131" s="103">
        <f t="shared" ca="1" si="113"/>
        <v>0</v>
      </c>
      <c r="CC131" s="103">
        <f t="shared" ca="1" si="113"/>
        <v>0</v>
      </c>
      <c r="CD131" s="103">
        <f t="shared" ca="1" si="113"/>
        <v>0</v>
      </c>
      <c r="CE131" s="103">
        <f t="shared" ca="1" si="113"/>
        <v>0</v>
      </c>
      <c r="CF131" s="103">
        <f t="shared" ca="1" si="113"/>
        <v>0</v>
      </c>
      <c r="CG131" s="103">
        <f t="shared" ca="1" si="113"/>
        <v>0</v>
      </c>
      <c r="CH131" s="106">
        <f ca="1">COUNTIF(BZ131:CG131,"&lt;"&amp;MAX(BZ131:CG131))+IF(Calcs[[#This Row],[RL1]]=0,0,1)</f>
        <v>0</v>
      </c>
      <c r="CI13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1" s="103">
        <f ca="1">IFERROR(OFFSET(CJ131,-1,0)+0,0)+IF(INDEX(INDIRECT(RangeContrQty),MATCH(Calcs[[#This Row],[Line]],OFFSET(Items[Line],0,0,ROW(Proposed[])-ROW(Items[])+ROWS(Proposed[]),1),0)),1,0)</f>
        <v>0</v>
      </c>
    </row>
    <row r="132" spans="1:88" x14ac:dyDescent="0.15">
      <c r="A132" s="64">
        <f ca="1">IFERROR(OFFSET(A132,-1,0)+0,0)+MAX(IF(LEN(Calcs[[#This Row],[Line]])&gt;0,1,0),Calcs[[#This Row],[DL]],Calcs[[#This Row],[RL]])</f>
        <v>10</v>
      </c>
      <c r="B132" s="90" t="str">
        <f ca="1">IFERROR(INDEX(OFFSET(Items[Line],0,0,ROW(Proposed[])-ROW(Items[])+ROWS(Proposed[]),1),MATCH(ROW(B132)-ROW(B$3),INDIRECT(RangeCount),0)),"")</f>
        <v/>
      </c>
      <c r="C132" s="90" t="str">
        <f ca="1">IF(LEN(Calcs[[#This Row],[Line]])&gt;0,TRIM(IFERROR(INDEX(Items[Description],MATCH(Calcs[[#This Row],[Line]],Items[Line],0))&amp;INDEX(Items[Description2],MATCH(Calcs[[#This Row],[Line]],Items[Line],0)),INDEX(Proposed[Description],MATCH(Calcs[[#This Row],[Line]],Proposed[Line],0)))),"")</f>
        <v/>
      </c>
      <c r="D132" s="96">
        <f t="shared" ca="1" si="42"/>
        <v>0</v>
      </c>
      <c r="E132" s="103">
        <f t="shared" ca="1" si="43"/>
        <v>0</v>
      </c>
      <c r="F132" s="103">
        <f t="shared" ca="1" si="44"/>
        <v>0</v>
      </c>
      <c r="G132" s="103">
        <f t="shared" ca="1" si="45"/>
        <v>0</v>
      </c>
      <c r="H132" s="103">
        <f t="shared" ca="1" si="46"/>
        <v>0</v>
      </c>
      <c r="I132" s="103">
        <f t="shared" ca="1" si="47"/>
        <v>0</v>
      </c>
      <c r="J132" s="103">
        <f t="shared" ca="1" si="48"/>
        <v>0</v>
      </c>
      <c r="K132" s="103">
        <f t="shared" ca="1" si="49"/>
        <v>0</v>
      </c>
      <c r="L132" s="103">
        <f t="shared" ca="1" si="50"/>
        <v>0</v>
      </c>
      <c r="M132" s="103">
        <f t="shared" ca="1" si="51"/>
        <v>0</v>
      </c>
      <c r="N132" s="103">
        <f t="shared" ca="1" si="52"/>
        <v>0</v>
      </c>
      <c r="O132" s="103">
        <f t="shared" ca="1" si="53"/>
        <v>0</v>
      </c>
      <c r="P132" s="103">
        <f t="shared" ca="1" si="54"/>
        <v>0</v>
      </c>
      <c r="Q132" s="103">
        <f t="shared" ca="1" si="55"/>
        <v>0</v>
      </c>
      <c r="R132" s="103">
        <f t="shared" ca="1" si="56"/>
        <v>0</v>
      </c>
      <c r="S132" s="103">
        <f t="shared" ca="1" si="57"/>
        <v>0</v>
      </c>
      <c r="T132" s="103">
        <f t="shared" ca="1" si="58"/>
        <v>0</v>
      </c>
      <c r="U132" s="103">
        <f t="shared" ca="1" si="59"/>
        <v>0</v>
      </c>
      <c r="V132" s="103">
        <f t="shared" ca="1" si="60"/>
        <v>0</v>
      </c>
      <c r="W132" s="103">
        <f t="shared" ca="1" si="61"/>
        <v>0</v>
      </c>
      <c r="X132" s="103">
        <f t="shared" ca="1" si="62"/>
        <v>0</v>
      </c>
      <c r="Y132" s="103">
        <f t="shared" ca="1" si="63"/>
        <v>0</v>
      </c>
      <c r="Z132" s="103">
        <f t="shared" ca="1" si="64"/>
        <v>0</v>
      </c>
      <c r="AA132" s="103">
        <f t="shared" ca="1" si="65"/>
        <v>0</v>
      </c>
      <c r="AB132" s="103">
        <f t="shared" ca="1" si="66"/>
        <v>0</v>
      </c>
      <c r="AC132" s="103">
        <f t="shared" ca="1" si="67"/>
        <v>0</v>
      </c>
      <c r="AD132" s="103">
        <f t="shared" ca="1" si="68"/>
        <v>0</v>
      </c>
      <c r="AE132" s="103">
        <f t="shared" ca="1" si="69"/>
        <v>0</v>
      </c>
      <c r="AF132" s="103">
        <f t="shared" ca="1" si="70"/>
        <v>0</v>
      </c>
      <c r="AG132" s="103">
        <f t="shared" ca="1" si="71"/>
        <v>0</v>
      </c>
      <c r="AH132" s="103">
        <f t="shared" ca="1" si="72"/>
        <v>0</v>
      </c>
      <c r="AI132" s="103">
        <f t="shared" ca="1" si="73"/>
        <v>0</v>
      </c>
      <c r="AJ132" s="98">
        <f t="shared" ref="AJ132:AQ141" ca="1" si="114">HLOOKUP(IF(COLUMN(AJ132)-COLUMN($AJ$3)=0,0,OFFSET(AJ132,0,-1))+widthPayItem,$D132:$AI132,1)</f>
        <v>0</v>
      </c>
      <c r="AK132" s="103">
        <f t="shared" ca="1" si="114"/>
        <v>0</v>
      </c>
      <c r="AL132" s="103">
        <f t="shared" ca="1" si="114"/>
        <v>0</v>
      </c>
      <c r="AM132" s="103">
        <f t="shared" ca="1" si="114"/>
        <v>0</v>
      </c>
      <c r="AN132" s="103">
        <f t="shared" ca="1" si="114"/>
        <v>0</v>
      </c>
      <c r="AO132" s="103">
        <f t="shared" ca="1" si="114"/>
        <v>0</v>
      </c>
      <c r="AP132" s="103">
        <f t="shared" ca="1" si="114"/>
        <v>0</v>
      </c>
      <c r="AQ132" s="103">
        <f t="shared" ca="1" si="114"/>
        <v>0</v>
      </c>
      <c r="AR132" s="104">
        <f ca="1">COUNTIF(AJ132:AQ132,"&lt;"&amp;MAX(AJ132:AQ132))+IF(Calcs[[#This Row],[DL1]]=0,0,1)</f>
        <v>0</v>
      </c>
      <c r="AS132" s="105" t="str">
        <f ca="1">IF(LEN(Calcs[[#This Row],[Line]])&gt;0,IF(RIGHT(Calcs[[#This Row],[Remark]],3)=".  ",LEFT(Calcs[[#This Row],[Remark]],LEN(Calcs[[#This Row],[Remark]])-3),Calcs[[#This Row],[Remark]]),"")</f>
        <v/>
      </c>
      <c r="AT132" s="96">
        <f t="shared" ca="1" si="75"/>
        <v>0</v>
      </c>
      <c r="AU132" s="103">
        <f t="shared" ca="1" si="76"/>
        <v>0</v>
      </c>
      <c r="AV132" s="103">
        <f t="shared" ca="1" si="77"/>
        <v>0</v>
      </c>
      <c r="AW132" s="103">
        <f t="shared" ca="1" si="78"/>
        <v>0</v>
      </c>
      <c r="AX132" s="103">
        <f t="shared" ca="1" si="79"/>
        <v>0</v>
      </c>
      <c r="AY132" s="103">
        <f t="shared" ca="1" si="80"/>
        <v>0</v>
      </c>
      <c r="AZ132" s="103">
        <f t="shared" ca="1" si="81"/>
        <v>0</v>
      </c>
      <c r="BA132" s="103">
        <f t="shared" ca="1" si="82"/>
        <v>0</v>
      </c>
      <c r="BB132" s="103">
        <f t="shared" ca="1" si="83"/>
        <v>0</v>
      </c>
      <c r="BC132" s="103">
        <f t="shared" ca="1" si="84"/>
        <v>0</v>
      </c>
      <c r="BD132" s="103">
        <f t="shared" ca="1" si="85"/>
        <v>0</v>
      </c>
      <c r="BE132" s="103">
        <f t="shared" ca="1" si="86"/>
        <v>0</v>
      </c>
      <c r="BF132" s="103">
        <f t="shared" ca="1" si="87"/>
        <v>0</v>
      </c>
      <c r="BG132" s="103">
        <f t="shared" ca="1" si="88"/>
        <v>0</v>
      </c>
      <c r="BH132" s="103">
        <f t="shared" ca="1" si="89"/>
        <v>0</v>
      </c>
      <c r="BI132" s="103">
        <f t="shared" ca="1" si="90"/>
        <v>0</v>
      </c>
      <c r="BJ132" s="103">
        <f t="shared" ca="1" si="91"/>
        <v>0</v>
      </c>
      <c r="BK132" s="103">
        <f t="shared" ca="1" si="92"/>
        <v>0</v>
      </c>
      <c r="BL132" s="103">
        <f t="shared" ca="1" si="93"/>
        <v>0</v>
      </c>
      <c r="BM132" s="103">
        <f t="shared" ca="1" si="94"/>
        <v>0</v>
      </c>
      <c r="BN132" s="103">
        <f t="shared" ca="1" si="95"/>
        <v>0</v>
      </c>
      <c r="BO132" s="103">
        <f t="shared" ca="1" si="96"/>
        <v>0</v>
      </c>
      <c r="BP132" s="103">
        <f t="shared" ca="1" si="97"/>
        <v>0</v>
      </c>
      <c r="BQ132" s="103">
        <f t="shared" ca="1" si="98"/>
        <v>0</v>
      </c>
      <c r="BR132" s="103">
        <f t="shared" ca="1" si="99"/>
        <v>0</v>
      </c>
      <c r="BS132" s="103">
        <f t="shared" ca="1" si="100"/>
        <v>0</v>
      </c>
      <c r="BT132" s="103">
        <f t="shared" ca="1" si="101"/>
        <v>0</v>
      </c>
      <c r="BU132" s="103">
        <f t="shared" ca="1" si="102"/>
        <v>0</v>
      </c>
      <c r="BV132" s="103">
        <f t="shared" ca="1" si="103"/>
        <v>0</v>
      </c>
      <c r="BW132" s="103">
        <f t="shared" ca="1" si="104"/>
        <v>0</v>
      </c>
      <c r="BX132" s="103">
        <f t="shared" ca="1" si="105"/>
        <v>0</v>
      </c>
      <c r="BY132" s="103">
        <f t="shared" ca="1" si="106"/>
        <v>0</v>
      </c>
      <c r="BZ132" s="98">
        <f t="shared" ref="BZ132:CG141" ca="1" si="115">HLOOKUP(IF(COLUMN(BZ132)-COLUMN($BZ$3)=0,0,OFFSET(BZ132,0,-1))+widthRemarks,$AT132:$BY132,1)</f>
        <v>0</v>
      </c>
      <c r="CA132" s="103">
        <f t="shared" ca="1" si="115"/>
        <v>0</v>
      </c>
      <c r="CB132" s="103">
        <f t="shared" ca="1" si="115"/>
        <v>0</v>
      </c>
      <c r="CC132" s="103">
        <f t="shared" ca="1" si="115"/>
        <v>0</v>
      </c>
      <c r="CD132" s="103">
        <f t="shared" ca="1" si="115"/>
        <v>0</v>
      </c>
      <c r="CE132" s="103">
        <f t="shared" ca="1" si="115"/>
        <v>0</v>
      </c>
      <c r="CF132" s="103">
        <f t="shared" ca="1" si="115"/>
        <v>0</v>
      </c>
      <c r="CG132" s="103">
        <f t="shared" ca="1" si="115"/>
        <v>0</v>
      </c>
      <c r="CH132" s="106">
        <f ca="1">COUNTIF(BZ132:CG132,"&lt;"&amp;MAX(BZ132:CG132))+IF(Calcs[[#This Row],[RL1]]=0,0,1)</f>
        <v>0</v>
      </c>
      <c r="CI13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2" s="103">
        <f ca="1">IFERROR(OFFSET(CJ132,-1,0)+0,0)+IF(INDEX(INDIRECT(RangeContrQty),MATCH(Calcs[[#This Row],[Line]],OFFSET(Items[Line],0,0,ROW(Proposed[])-ROW(Items[])+ROWS(Proposed[]),1),0)),1,0)</f>
        <v>0</v>
      </c>
    </row>
    <row r="133" spans="1:88" x14ac:dyDescent="0.15">
      <c r="A133" s="64">
        <f ca="1">IFERROR(OFFSET(A133,-1,0)+0,0)+MAX(IF(LEN(Calcs[[#This Row],[Line]])&gt;0,1,0),Calcs[[#This Row],[DL]],Calcs[[#This Row],[RL]])</f>
        <v>10</v>
      </c>
      <c r="B133" s="90" t="str">
        <f ca="1">IFERROR(INDEX(OFFSET(Items[Line],0,0,ROW(Proposed[])-ROW(Items[])+ROWS(Proposed[]),1),MATCH(ROW(B133)-ROW(B$3),INDIRECT(RangeCount),0)),"")</f>
        <v/>
      </c>
      <c r="C133" s="90" t="str">
        <f ca="1">IF(LEN(Calcs[[#This Row],[Line]])&gt;0,TRIM(IFERROR(INDEX(Items[Description],MATCH(Calcs[[#This Row],[Line]],Items[Line],0))&amp;INDEX(Items[Description2],MATCH(Calcs[[#This Row],[Line]],Items[Line],0)),INDEX(Proposed[Description],MATCH(Calcs[[#This Row],[Line]],Proposed[Line],0)))),"")</f>
        <v/>
      </c>
      <c r="D133" s="96">
        <f t="shared" ca="1" si="42"/>
        <v>0</v>
      </c>
      <c r="E133" s="103">
        <f t="shared" ca="1" si="43"/>
        <v>0</v>
      </c>
      <c r="F133" s="103">
        <f t="shared" ca="1" si="44"/>
        <v>0</v>
      </c>
      <c r="G133" s="103">
        <f t="shared" ca="1" si="45"/>
        <v>0</v>
      </c>
      <c r="H133" s="103">
        <f t="shared" ca="1" si="46"/>
        <v>0</v>
      </c>
      <c r="I133" s="103">
        <f t="shared" ca="1" si="47"/>
        <v>0</v>
      </c>
      <c r="J133" s="103">
        <f t="shared" ca="1" si="48"/>
        <v>0</v>
      </c>
      <c r="K133" s="103">
        <f t="shared" ca="1" si="49"/>
        <v>0</v>
      </c>
      <c r="L133" s="103">
        <f t="shared" ca="1" si="50"/>
        <v>0</v>
      </c>
      <c r="M133" s="103">
        <f t="shared" ca="1" si="51"/>
        <v>0</v>
      </c>
      <c r="N133" s="103">
        <f t="shared" ca="1" si="52"/>
        <v>0</v>
      </c>
      <c r="O133" s="103">
        <f t="shared" ca="1" si="53"/>
        <v>0</v>
      </c>
      <c r="P133" s="103">
        <f t="shared" ca="1" si="54"/>
        <v>0</v>
      </c>
      <c r="Q133" s="103">
        <f t="shared" ca="1" si="55"/>
        <v>0</v>
      </c>
      <c r="R133" s="103">
        <f t="shared" ca="1" si="56"/>
        <v>0</v>
      </c>
      <c r="S133" s="103">
        <f t="shared" ca="1" si="57"/>
        <v>0</v>
      </c>
      <c r="T133" s="103">
        <f t="shared" ca="1" si="58"/>
        <v>0</v>
      </c>
      <c r="U133" s="103">
        <f t="shared" ca="1" si="59"/>
        <v>0</v>
      </c>
      <c r="V133" s="103">
        <f t="shared" ca="1" si="60"/>
        <v>0</v>
      </c>
      <c r="W133" s="103">
        <f t="shared" ca="1" si="61"/>
        <v>0</v>
      </c>
      <c r="X133" s="103">
        <f t="shared" ca="1" si="62"/>
        <v>0</v>
      </c>
      <c r="Y133" s="103">
        <f t="shared" ca="1" si="63"/>
        <v>0</v>
      </c>
      <c r="Z133" s="103">
        <f t="shared" ca="1" si="64"/>
        <v>0</v>
      </c>
      <c r="AA133" s="103">
        <f t="shared" ca="1" si="65"/>
        <v>0</v>
      </c>
      <c r="AB133" s="103">
        <f t="shared" ca="1" si="66"/>
        <v>0</v>
      </c>
      <c r="AC133" s="103">
        <f t="shared" ca="1" si="67"/>
        <v>0</v>
      </c>
      <c r="AD133" s="103">
        <f t="shared" ca="1" si="68"/>
        <v>0</v>
      </c>
      <c r="AE133" s="103">
        <f t="shared" ca="1" si="69"/>
        <v>0</v>
      </c>
      <c r="AF133" s="103">
        <f t="shared" ca="1" si="70"/>
        <v>0</v>
      </c>
      <c r="AG133" s="103">
        <f t="shared" ca="1" si="71"/>
        <v>0</v>
      </c>
      <c r="AH133" s="103">
        <f t="shared" ca="1" si="72"/>
        <v>0</v>
      </c>
      <c r="AI133" s="103">
        <f t="shared" ca="1" si="73"/>
        <v>0</v>
      </c>
      <c r="AJ133" s="98">
        <f t="shared" ca="1" si="114"/>
        <v>0</v>
      </c>
      <c r="AK133" s="103">
        <f t="shared" ca="1" si="114"/>
        <v>0</v>
      </c>
      <c r="AL133" s="103">
        <f t="shared" ca="1" si="114"/>
        <v>0</v>
      </c>
      <c r="AM133" s="103">
        <f t="shared" ca="1" si="114"/>
        <v>0</v>
      </c>
      <c r="AN133" s="103">
        <f t="shared" ca="1" si="114"/>
        <v>0</v>
      </c>
      <c r="AO133" s="103">
        <f t="shared" ca="1" si="114"/>
        <v>0</v>
      </c>
      <c r="AP133" s="103">
        <f t="shared" ca="1" si="114"/>
        <v>0</v>
      </c>
      <c r="AQ133" s="103">
        <f t="shared" ca="1" si="114"/>
        <v>0</v>
      </c>
      <c r="AR133" s="104">
        <f ca="1">COUNTIF(AJ133:AQ133,"&lt;"&amp;MAX(AJ133:AQ133))+IF(Calcs[[#This Row],[DL1]]=0,0,1)</f>
        <v>0</v>
      </c>
      <c r="AS133" s="105" t="str">
        <f ca="1">IF(LEN(Calcs[[#This Row],[Line]])&gt;0,IF(RIGHT(Calcs[[#This Row],[Remark]],3)=".  ",LEFT(Calcs[[#This Row],[Remark]],LEN(Calcs[[#This Row],[Remark]])-3),Calcs[[#This Row],[Remark]]),"")</f>
        <v/>
      </c>
      <c r="AT133" s="96">
        <f t="shared" ca="1" si="75"/>
        <v>0</v>
      </c>
      <c r="AU133" s="103">
        <f t="shared" ca="1" si="76"/>
        <v>0</v>
      </c>
      <c r="AV133" s="103">
        <f t="shared" ca="1" si="77"/>
        <v>0</v>
      </c>
      <c r="AW133" s="103">
        <f t="shared" ca="1" si="78"/>
        <v>0</v>
      </c>
      <c r="AX133" s="103">
        <f t="shared" ca="1" si="79"/>
        <v>0</v>
      </c>
      <c r="AY133" s="103">
        <f t="shared" ca="1" si="80"/>
        <v>0</v>
      </c>
      <c r="AZ133" s="103">
        <f t="shared" ca="1" si="81"/>
        <v>0</v>
      </c>
      <c r="BA133" s="103">
        <f t="shared" ca="1" si="82"/>
        <v>0</v>
      </c>
      <c r="BB133" s="103">
        <f t="shared" ca="1" si="83"/>
        <v>0</v>
      </c>
      <c r="BC133" s="103">
        <f t="shared" ca="1" si="84"/>
        <v>0</v>
      </c>
      <c r="BD133" s="103">
        <f t="shared" ca="1" si="85"/>
        <v>0</v>
      </c>
      <c r="BE133" s="103">
        <f t="shared" ca="1" si="86"/>
        <v>0</v>
      </c>
      <c r="BF133" s="103">
        <f t="shared" ca="1" si="87"/>
        <v>0</v>
      </c>
      <c r="BG133" s="103">
        <f t="shared" ca="1" si="88"/>
        <v>0</v>
      </c>
      <c r="BH133" s="103">
        <f t="shared" ca="1" si="89"/>
        <v>0</v>
      </c>
      <c r="BI133" s="103">
        <f t="shared" ca="1" si="90"/>
        <v>0</v>
      </c>
      <c r="BJ133" s="103">
        <f t="shared" ca="1" si="91"/>
        <v>0</v>
      </c>
      <c r="BK133" s="103">
        <f t="shared" ca="1" si="92"/>
        <v>0</v>
      </c>
      <c r="BL133" s="103">
        <f t="shared" ca="1" si="93"/>
        <v>0</v>
      </c>
      <c r="BM133" s="103">
        <f t="shared" ca="1" si="94"/>
        <v>0</v>
      </c>
      <c r="BN133" s="103">
        <f t="shared" ca="1" si="95"/>
        <v>0</v>
      </c>
      <c r="BO133" s="103">
        <f t="shared" ca="1" si="96"/>
        <v>0</v>
      </c>
      <c r="BP133" s="103">
        <f t="shared" ca="1" si="97"/>
        <v>0</v>
      </c>
      <c r="BQ133" s="103">
        <f t="shared" ca="1" si="98"/>
        <v>0</v>
      </c>
      <c r="BR133" s="103">
        <f t="shared" ca="1" si="99"/>
        <v>0</v>
      </c>
      <c r="BS133" s="103">
        <f t="shared" ca="1" si="100"/>
        <v>0</v>
      </c>
      <c r="BT133" s="103">
        <f t="shared" ca="1" si="101"/>
        <v>0</v>
      </c>
      <c r="BU133" s="103">
        <f t="shared" ca="1" si="102"/>
        <v>0</v>
      </c>
      <c r="BV133" s="103">
        <f t="shared" ca="1" si="103"/>
        <v>0</v>
      </c>
      <c r="BW133" s="103">
        <f t="shared" ca="1" si="104"/>
        <v>0</v>
      </c>
      <c r="BX133" s="103">
        <f t="shared" ca="1" si="105"/>
        <v>0</v>
      </c>
      <c r="BY133" s="103">
        <f t="shared" ca="1" si="106"/>
        <v>0</v>
      </c>
      <c r="BZ133" s="98">
        <f t="shared" ca="1" si="115"/>
        <v>0</v>
      </c>
      <c r="CA133" s="103">
        <f t="shared" ca="1" si="115"/>
        <v>0</v>
      </c>
      <c r="CB133" s="103">
        <f t="shared" ca="1" si="115"/>
        <v>0</v>
      </c>
      <c r="CC133" s="103">
        <f t="shared" ca="1" si="115"/>
        <v>0</v>
      </c>
      <c r="CD133" s="103">
        <f t="shared" ca="1" si="115"/>
        <v>0</v>
      </c>
      <c r="CE133" s="103">
        <f t="shared" ca="1" si="115"/>
        <v>0</v>
      </c>
      <c r="CF133" s="103">
        <f t="shared" ca="1" si="115"/>
        <v>0</v>
      </c>
      <c r="CG133" s="103">
        <f t="shared" ca="1" si="115"/>
        <v>0</v>
      </c>
      <c r="CH133" s="106">
        <f ca="1">COUNTIF(BZ133:CG133,"&lt;"&amp;MAX(BZ133:CG133))+IF(Calcs[[#This Row],[RL1]]=0,0,1)</f>
        <v>0</v>
      </c>
      <c r="CI13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3" s="103">
        <f ca="1">IFERROR(OFFSET(CJ133,-1,0)+0,0)+IF(INDEX(INDIRECT(RangeContrQty),MATCH(Calcs[[#This Row],[Line]],OFFSET(Items[Line],0,0,ROW(Proposed[])-ROW(Items[])+ROWS(Proposed[]),1),0)),1,0)</f>
        <v>0</v>
      </c>
    </row>
    <row r="134" spans="1:88" x14ac:dyDescent="0.15">
      <c r="A134" s="64">
        <f ca="1">IFERROR(OFFSET(A134,-1,0)+0,0)+MAX(IF(LEN(Calcs[[#This Row],[Line]])&gt;0,1,0),Calcs[[#This Row],[DL]],Calcs[[#This Row],[RL]])</f>
        <v>10</v>
      </c>
      <c r="B134" s="90" t="str">
        <f ca="1">IFERROR(INDEX(OFFSET(Items[Line],0,0,ROW(Proposed[])-ROW(Items[])+ROWS(Proposed[]),1),MATCH(ROW(B134)-ROW(B$3),INDIRECT(RangeCount),0)),"")</f>
        <v/>
      </c>
      <c r="C134" s="90" t="str">
        <f ca="1">IF(LEN(Calcs[[#This Row],[Line]])&gt;0,TRIM(IFERROR(INDEX(Items[Description],MATCH(Calcs[[#This Row],[Line]],Items[Line],0))&amp;INDEX(Items[Description2],MATCH(Calcs[[#This Row],[Line]],Items[Line],0)),INDEX(Proposed[Description],MATCH(Calcs[[#This Row],[Line]],Proposed[Line],0)))),"")</f>
        <v/>
      </c>
      <c r="D134" s="96">
        <f t="shared" ca="1" si="42"/>
        <v>0</v>
      </c>
      <c r="E134" s="103">
        <f t="shared" ca="1" si="43"/>
        <v>0</v>
      </c>
      <c r="F134" s="103">
        <f t="shared" ca="1" si="44"/>
        <v>0</v>
      </c>
      <c r="G134" s="103">
        <f t="shared" ca="1" si="45"/>
        <v>0</v>
      </c>
      <c r="H134" s="103">
        <f t="shared" ca="1" si="46"/>
        <v>0</v>
      </c>
      <c r="I134" s="103">
        <f t="shared" ca="1" si="47"/>
        <v>0</v>
      </c>
      <c r="J134" s="103">
        <f t="shared" ca="1" si="48"/>
        <v>0</v>
      </c>
      <c r="K134" s="103">
        <f t="shared" ca="1" si="49"/>
        <v>0</v>
      </c>
      <c r="L134" s="103">
        <f t="shared" ca="1" si="50"/>
        <v>0</v>
      </c>
      <c r="M134" s="103">
        <f t="shared" ca="1" si="51"/>
        <v>0</v>
      </c>
      <c r="N134" s="103">
        <f t="shared" ca="1" si="52"/>
        <v>0</v>
      </c>
      <c r="O134" s="103">
        <f t="shared" ca="1" si="53"/>
        <v>0</v>
      </c>
      <c r="P134" s="103">
        <f t="shared" ca="1" si="54"/>
        <v>0</v>
      </c>
      <c r="Q134" s="103">
        <f t="shared" ca="1" si="55"/>
        <v>0</v>
      </c>
      <c r="R134" s="103">
        <f t="shared" ca="1" si="56"/>
        <v>0</v>
      </c>
      <c r="S134" s="103">
        <f t="shared" ca="1" si="57"/>
        <v>0</v>
      </c>
      <c r="T134" s="103">
        <f t="shared" ca="1" si="58"/>
        <v>0</v>
      </c>
      <c r="U134" s="103">
        <f t="shared" ca="1" si="59"/>
        <v>0</v>
      </c>
      <c r="V134" s="103">
        <f t="shared" ca="1" si="60"/>
        <v>0</v>
      </c>
      <c r="W134" s="103">
        <f t="shared" ca="1" si="61"/>
        <v>0</v>
      </c>
      <c r="X134" s="103">
        <f t="shared" ca="1" si="62"/>
        <v>0</v>
      </c>
      <c r="Y134" s="103">
        <f t="shared" ca="1" si="63"/>
        <v>0</v>
      </c>
      <c r="Z134" s="103">
        <f t="shared" ca="1" si="64"/>
        <v>0</v>
      </c>
      <c r="AA134" s="103">
        <f t="shared" ca="1" si="65"/>
        <v>0</v>
      </c>
      <c r="AB134" s="103">
        <f t="shared" ca="1" si="66"/>
        <v>0</v>
      </c>
      <c r="AC134" s="103">
        <f t="shared" ca="1" si="67"/>
        <v>0</v>
      </c>
      <c r="AD134" s="103">
        <f t="shared" ca="1" si="68"/>
        <v>0</v>
      </c>
      <c r="AE134" s="103">
        <f t="shared" ca="1" si="69"/>
        <v>0</v>
      </c>
      <c r="AF134" s="103">
        <f t="shared" ca="1" si="70"/>
        <v>0</v>
      </c>
      <c r="AG134" s="103">
        <f t="shared" ca="1" si="71"/>
        <v>0</v>
      </c>
      <c r="AH134" s="103">
        <f t="shared" ca="1" si="72"/>
        <v>0</v>
      </c>
      <c r="AI134" s="103">
        <f t="shared" ca="1" si="73"/>
        <v>0</v>
      </c>
      <c r="AJ134" s="98">
        <f t="shared" ca="1" si="114"/>
        <v>0</v>
      </c>
      <c r="AK134" s="103">
        <f t="shared" ca="1" si="114"/>
        <v>0</v>
      </c>
      <c r="AL134" s="103">
        <f t="shared" ca="1" si="114"/>
        <v>0</v>
      </c>
      <c r="AM134" s="103">
        <f t="shared" ca="1" si="114"/>
        <v>0</v>
      </c>
      <c r="AN134" s="103">
        <f t="shared" ca="1" si="114"/>
        <v>0</v>
      </c>
      <c r="AO134" s="103">
        <f t="shared" ca="1" si="114"/>
        <v>0</v>
      </c>
      <c r="AP134" s="103">
        <f t="shared" ca="1" si="114"/>
        <v>0</v>
      </c>
      <c r="AQ134" s="103">
        <f t="shared" ca="1" si="114"/>
        <v>0</v>
      </c>
      <c r="AR134" s="104">
        <f ca="1">COUNTIF(AJ134:AQ134,"&lt;"&amp;MAX(AJ134:AQ134))+IF(Calcs[[#This Row],[DL1]]=0,0,1)</f>
        <v>0</v>
      </c>
      <c r="AS134" s="105" t="str">
        <f ca="1">IF(LEN(Calcs[[#This Row],[Line]])&gt;0,IF(RIGHT(Calcs[[#This Row],[Remark]],3)=".  ",LEFT(Calcs[[#This Row],[Remark]],LEN(Calcs[[#This Row],[Remark]])-3),Calcs[[#This Row],[Remark]]),"")</f>
        <v/>
      </c>
      <c r="AT134" s="96">
        <f t="shared" ca="1" si="75"/>
        <v>0</v>
      </c>
      <c r="AU134" s="103">
        <f t="shared" ca="1" si="76"/>
        <v>0</v>
      </c>
      <c r="AV134" s="103">
        <f t="shared" ca="1" si="77"/>
        <v>0</v>
      </c>
      <c r="AW134" s="103">
        <f t="shared" ca="1" si="78"/>
        <v>0</v>
      </c>
      <c r="AX134" s="103">
        <f t="shared" ca="1" si="79"/>
        <v>0</v>
      </c>
      <c r="AY134" s="103">
        <f t="shared" ca="1" si="80"/>
        <v>0</v>
      </c>
      <c r="AZ134" s="103">
        <f t="shared" ca="1" si="81"/>
        <v>0</v>
      </c>
      <c r="BA134" s="103">
        <f t="shared" ca="1" si="82"/>
        <v>0</v>
      </c>
      <c r="BB134" s="103">
        <f t="shared" ca="1" si="83"/>
        <v>0</v>
      </c>
      <c r="BC134" s="103">
        <f t="shared" ca="1" si="84"/>
        <v>0</v>
      </c>
      <c r="BD134" s="103">
        <f t="shared" ca="1" si="85"/>
        <v>0</v>
      </c>
      <c r="BE134" s="103">
        <f t="shared" ca="1" si="86"/>
        <v>0</v>
      </c>
      <c r="BF134" s="103">
        <f t="shared" ca="1" si="87"/>
        <v>0</v>
      </c>
      <c r="BG134" s="103">
        <f t="shared" ca="1" si="88"/>
        <v>0</v>
      </c>
      <c r="BH134" s="103">
        <f t="shared" ca="1" si="89"/>
        <v>0</v>
      </c>
      <c r="BI134" s="103">
        <f t="shared" ca="1" si="90"/>
        <v>0</v>
      </c>
      <c r="BJ134" s="103">
        <f t="shared" ca="1" si="91"/>
        <v>0</v>
      </c>
      <c r="BK134" s="103">
        <f t="shared" ca="1" si="92"/>
        <v>0</v>
      </c>
      <c r="BL134" s="103">
        <f t="shared" ca="1" si="93"/>
        <v>0</v>
      </c>
      <c r="BM134" s="103">
        <f t="shared" ca="1" si="94"/>
        <v>0</v>
      </c>
      <c r="BN134" s="103">
        <f t="shared" ca="1" si="95"/>
        <v>0</v>
      </c>
      <c r="BO134" s="103">
        <f t="shared" ca="1" si="96"/>
        <v>0</v>
      </c>
      <c r="BP134" s="103">
        <f t="shared" ca="1" si="97"/>
        <v>0</v>
      </c>
      <c r="BQ134" s="103">
        <f t="shared" ca="1" si="98"/>
        <v>0</v>
      </c>
      <c r="BR134" s="103">
        <f t="shared" ca="1" si="99"/>
        <v>0</v>
      </c>
      <c r="BS134" s="103">
        <f t="shared" ca="1" si="100"/>
        <v>0</v>
      </c>
      <c r="BT134" s="103">
        <f t="shared" ca="1" si="101"/>
        <v>0</v>
      </c>
      <c r="BU134" s="103">
        <f t="shared" ca="1" si="102"/>
        <v>0</v>
      </c>
      <c r="BV134" s="103">
        <f t="shared" ca="1" si="103"/>
        <v>0</v>
      </c>
      <c r="BW134" s="103">
        <f t="shared" ca="1" si="104"/>
        <v>0</v>
      </c>
      <c r="BX134" s="103">
        <f t="shared" ca="1" si="105"/>
        <v>0</v>
      </c>
      <c r="BY134" s="103">
        <f t="shared" ca="1" si="106"/>
        <v>0</v>
      </c>
      <c r="BZ134" s="98">
        <f t="shared" ca="1" si="115"/>
        <v>0</v>
      </c>
      <c r="CA134" s="103">
        <f t="shared" ca="1" si="115"/>
        <v>0</v>
      </c>
      <c r="CB134" s="103">
        <f t="shared" ca="1" si="115"/>
        <v>0</v>
      </c>
      <c r="CC134" s="103">
        <f t="shared" ca="1" si="115"/>
        <v>0</v>
      </c>
      <c r="CD134" s="103">
        <f t="shared" ca="1" si="115"/>
        <v>0</v>
      </c>
      <c r="CE134" s="103">
        <f t="shared" ca="1" si="115"/>
        <v>0</v>
      </c>
      <c r="CF134" s="103">
        <f t="shared" ca="1" si="115"/>
        <v>0</v>
      </c>
      <c r="CG134" s="103">
        <f t="shared" ca="1" si="115"/>
        <v>0</v>
      </c>
      <c r="CH134" s="106">
        <f ca="1">COUNTIF(BZ134:CG134,"&lt;"&amp;MAX(BZ134:CG134))+IF(Calcs[[#This Row],[RL1]]=0,0,1)</f>
        <v>0</v>
      </c>
      <c r="CI13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4" s="103">
        <f ca="1">IFERROR(OFFSET(CJ134,-1,0)+0,0)+IF(INDEX(INDIRECT(RangeContrQty),MATCH(Calcs[[#This Row],[Line]],OFFSET(Items[Line],0,0,ROW(Proposed[])-ROW(Items[])+ROWS(Proposed[]),1),0)),1,0)</f>
        <v>0</v>
      </c>
    </row>
    <row r="135" spans="1:88" x14ac:dyDescent="0.15">
      <c r="A135" s="64">
        <f ca="1">IFERROR(OFFSET(A135,-1,0)+0,0)+MAX(IF(LEN(Calcs[[#This Row],[Line]])&gt;0,1,0),Calcs[[#This Row],[DL]],Calcs[[#This Row],[RL]])</f>
        <v>10</v>
      </c>
      <c r="B135" s="90" t="str">
        <f ca="1">IFERROR(INDEX(OFFSET(Items[Line],0,0,ROW(Proposed[])-ROW(Items[])+ROWS(Proposed[]),1),MATCH(ROW(B135)-ROW(B$3),INDIRECT(RangeCount),0)),"")</f>
        <v/>
      </c>
      <c r="C135" s="90" t="str">
        <f ca="1">IF(LEN(Calcs[[#This Row],[Line]])&gt;0,TRIM(IFERROR(INDEX(Items[Description],MATCH(Calcs[[#This Row],[Line]],Items[Line],0))&amp;INDEX(Items[Description2],MATCH(Calcs[[#This Row],[Line]],Items[Line],0)),INDEX(Proposed[Description],MATCH(Calcs[[#This Row],[Line]],Proposed[Line],0)))),"")</f>
        <v/>
      </c>
      <c r="D135" s="96">
        <f t="shared" ca="1" si="42"/>
        <v>0</v>
      </c>
      <c r="E135" s="103">
        <f t="shared" ca="1" si="43"/>
        <v>0</v>
      </c>
      <c r="F135" s="103">
        <f t="shared" ca="1" si="44"/>
        <v>0</v>
      </c>
      <c r="G135" s="103">
        <f t="shared" ca="1" si="45"/>
        <v>0</v>
      </c>
      <c r="H135" s="103">
        <f t="shared" ca="1" si="46"/>
        <v>0</v>
      </c>
      <c r="I135" s="103">
        <f t="shared" ca="1" si="47"/>
        <v>0</v>
      </c>
      <c r="J135" s="103">
        <f t="shared" ca="1" si="48"/>
        <v>0</v>
      </c>
      <c r="K135" s="103">
        <f t="shared" ca="1" si="49"/>
        <v>0</v>
      </c>
      <c r="L135" s="103">
        <f t="shared" ca="1" si="50"/>
        <v>0</v>
      </c>
      <c r="M135" s="103">
        <f t="shared" ca="1" si="51"/>
        <v>0</v>
      </c>
      <c r="N135" s="103">
        <f t="shared" ca="1" si="52"/>
        <v>0</v>
      </c>
      <c r="O135" s="103">
        <f t="shared" ca="1" si="53"/>
        <v>0</v>
      </c>
      <c r="P135" s="103">
        <f t="shared" ca="1" si="54"/>
        <v>0</v>
      </c>
      <c r="Q135" s="103">
        <f t="shared" ca="1" si="55"/>
        <v>0</v>
      </c>
      <c r="R135" s="103">
        <f t="shared" ca="1" si="56"/>
        <v>0</v>
      </c>
      <c r="S135" s="103">
        <f t="shared" ca="1" si="57"/>
        <v>0</v>
      </c>
      <c r="T135" s="103">
        <f t="shared" ca="1" si="58"/>
        <v>0</v>
      </c>
      <c r="U135" s="103">
        <f t="shared" ca="1" si="59"/>
        <v>0</v>
      </c>
      <c r="V135" s="103">
        <f t="shared" ca="1" si="60"/>
        <v>0</v>
      </c>
      <c r="W135" s="103">
        <f t="shared" ca="1" si="61"/>
        <v>0</v>
      </c>
      <c r="X135" s="103">
        <f t="shared" ca="1" si="62"/>
        <v>0</v>
      </c>
      <c r="Y135" s="103">
        <f t="shared" ca="1" si="63"/>
        <v>0</v>
      </c>
      <c r="Z135" s="103">
        <f t="shared" ca="1" si="64"/>
        <v>0</v>
      </c>
      <c r="AA135" s="103">
        <f t="shared" ca="1" si="65"/>
        <v>0</v>
      </c>
      <c r="AB135" s="103">
        <f t="shared" ca="1" si="66"/>
        <v>0</v>
      </c>
      <c r="AC135" s="103">
        <f t="shared" ca="1" si="67"/>
        <v>0</v>
      </c>
      <c r="AD135" s="103">
        <f t="shared" ca="1" si="68"/>
        <v>0</v>
      </c>
      <c r="AE135" s="103">
        <f t="shared" ca="1" si="69"/>
        <v>0</v>
      </c>
      <c r="AF135" s="103">
        <f t="shared" ca="1" si="70"/>
        <v>0</v>
      </c>
      <c r="AG135" s="103">
        <f t="shared" ca="1" si="71"/>
        <v>0</v>
      </c>
      <c r="AH135" s="103">
        <f t="shared" ca="1" si="72"/>
        <v>0</v>
      </c>
      <c r="AI135" s="103">
        <f t="shared" ca="1" si="73"/>
        <v>0</v>
      </c>
      <c r="AJ135" s="98">
        <f t="shared" ca="1" si="114"/>
        <v>0</v>
      </c>
      <c r="AK135" s="103">
        <f t="shared" ca="1" si="114"/>
        <v>0</v>
      </c>
      <c r="AL135" s="103">
        <f t="shared" ca="1" si="114"/>
        <v>0</v>
      </c>
      <c r="AM135" s="103">
        <f t="shared" ca="1" si="114"/>
        <v>0</v>
      </c>
      <c r="AN135" s="103">
        <f t="shared" ca="1" si="114"/>
        <v>0</v>
      </c>
      <c r="AO135" s="103">
        <f t="shared" ca="1" si="114"/>
        <v>0</v>
      </c>
      <c r="AP135" s="103">
        <f t="shared" ca="1" si="114"/>
        <v>0</v>
      </c>
      <c r="AQ135" s="103">
        <f t="shared" ca="1" si="114"/>
        <v>0</v>
      </c>
      <c r="AR135" s="104">
        <f ca="1">COUNTIF(AJ135:AQ135,"&lt;"&amp;MAX(AJ135:AQ135))+IF(Calcs[[#This Row],[DL1]]=0,0,1)</f>
        <v>0</v>
      </c>
      <c r="AS135" s="105" t="str">
        <f ca="1">IF(LEN(Calcs[[#This Row],[Line]])&gt;0,IF(RIGHT(Calcs[[#This Row],[Remark]],3)=".  ",LEFT(Calcs[[#This Row],[Remark]],LEN(Calcs[[#This Row],[Remark]])-3),Calcs[[#This Row],[Remark]]),"")</f>
        <v/>
      </c>
      <c r="AT135" s="96">
        <f t="shared" ca="1" si="75"/>
        <v>0</v>
      </c>
      <c r="AU135" s="103">
        <f t="shared" ca="1" si="76"/>
        <v>0</v>
      </c>
      <c r="AV135" s="103">
        <f t="shared" ca="1" si="77"/>
        <v>0</v>
      </c>
      <c r="AW135" s="103">
        <f t="shared" ca="1" si="78"/>
        <v>0</v>
      </c>
      <c r="AX135" s="103">
        <f t="shared" ca="1" si="79"/>
        <v>0</v>
      </c>
      <c r="AY135" s="103">
        <f t="shared" ca="1" si="80"/>
        <v>0</v>
      </c>
      <c r="AZ135" s="103">
        <f t="shared" ca="1" si="81"/>
        <v>0</v>
      </c>
      <c r="BA135" s="103">
        <f t="shared" ca="1" si="82"/>
        <v>0</v>
      </c>
      <c r="BB135" s="103">
        <f t="shared" ca="1" si="83"/>
        <v>0</v>
      </c>
      <c r="BC135" s="103">
        <f t="shared" ca="1" si="84"/>
        <v>0</v>
      </c>
      <c r="BD135" s="103">
        <f t="shared" ca="1" si="85"/>
        <v>0</v>
      </c>
      <c r="BE135" s="103">
        <f t="shared" ca="1" si="86"/>
        <v>0</v>
      </c>
      <c r="BF135" s="103">
        <f t="shared" ca="1" si="87"/>
        <v>0</v>
      </c>
      <c r="BG135" s="103">
        <f t="shared" ca="1" si="88"/>
        <v>0</v>
      </c>
      <c r="BH135" s="103">
        <f t="shared" ca="1" si="89"/>
        <v>0</v>
      </c>
      <c r="BI135" s="103">
        <f t="shared" ca="1" si="90"/>
        <v>0</v>
      </c>
      <c r="BJ135" s="103">
        <f t="shared" ca="1" si="91"/>
        <v>0</v>
      </c>
      <c r="BK135" s="103">
        <f t="shared" ca="1" si="92"/>
        <v>0</v>
      </c>
      <c r="BL135" s="103">
        <f t="shared" ca="1" si="93"/>
        <v>0</v>
      </c>
      <c r="BM135" s="103">
        <f t="shared" ca="1" si="94"/>
        <v>0</v>
      </c>
      <c r="BN135" s="103">
        <f t="shared" ca="1" si="95"/>
        <v>0</v>
      </c>
      <c r="BO135" s="103">
        <f t="shared" ca="1" si="96"/>
        <v>0</v>
      </c>
      <c r="BP135" s="103">
        <f t="shared" ca="1" si="97"/>
        <v>0</v>
      </c>
      <c r="BQ135" s="103">
        <f t="shared" ca="1" si="98"/>
        <v>0</v>
      </c>
      <c r="BR135" s="103">
        <f t="shared" ca="1" si="99"/>
        <v>0</v>
      </c>
      <c r="BS135" s="103">
        <f t="shared" ca="1" si="100"/>
        <v>0</v>
      </c>
      <c r="BT135" s="103">
        <f t="shared" ca="1" si="101"/>
        <v>0</v>
      </c>
      <c r="BU135" s="103">
        <f t="shared" ca="1" si="102"/>
        <v>0</v>
      </c>
      <c r="BV135" s="103">
        <f t="shared" ca="1" si="103"/>
        <v>0</v>
      </c>
      <c r="BW135" s="103">
        <f t="shared" ca="1" si="104"/>
        <v>0</v>
      </c>
      <c r="BX135" s="103">
        <f t="shared" ca="1" si="105"/>
        <v>0</v>
      </c>
      <c r="BY135" s="103">
        <f t="shared" ca="1" si="106"/>
        <v>0</v>
      </c>
      <c r="BZ135" s="98">
        <f t="shared" ca="1" si="115"/>
        <v>0</v>
      </c>
      <c r="CA135" s="103">
        <f t="shared" ca="1" si="115"/>
        <v>0</v>
      </c>
      <c r="CB135" s="103">
        <f t="shared" ca="1" si="115"/>
        <v>0</v>
      </c>
      <c r="CC135" s="103">
        <f t="shared" ca="1" si="115"/>
        <v>0</v>
      </c>
      <c r="CD135" s="103">
        <f t="shared" ca="1" si="115"/>
        <v>0</v>
      </c>
      <c r="CE135" s="103">
        <f t="shared" ca="1" si="115"/>
        <v>0</v>
      </c>
      <c r="CF135" s="103">
        <f t="shared" ca="1" si="115"/>
        <v>0</v>
      </c>
      <c r="CG135" s="103">
        <f t="shared" ca="1" si="115"/>
        <v>0</v>
      </c>
      <c r="CH135" s="106">
        <f ca="1">COUNTIF(BZ135:CG135,"&lt;"&amp;MAX(BZ135:CG135))+IF(Calcs[[#This Row],[RL1]]=0,0,1)</f>
        <v>0</v>
      </c>
      <c r="CI13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5" s="103">
        <f ca="1">IFERROR(OFFSET(CJ135,-1,0)+0,0)+IF(INDEX(INDIRECT(RangeContrQty),MATCH(Calcs[[#This Row],[Line]],OFFSET(Items[Line],0,0,ROW(Proposed[])-ROW(Items[])+ROWS(Proposed[]),1),0)),1,0)</f>
        <v>0</v>
      </c>
    </row>
    <row r="136" spans="1:88" x14ac:dyDescent="0.15">
      <c r="A136" s="64">
        <f ca="1">IFERROR(OFFSET(A136,-1,0)+0,0)+MAX(IF(LEN(Calcs[[#This Row],[Line]])&gt;0,1,0),Calcs[[#This Row],[DL]],Calcs[[#This Row],[RL]])</f>
        <v>10</v>
      </c>
      <c r="B136" s="90" t="str">
        <f ca="1">IFERROR(INDEX(OFFSET(Items[Line],0,0,ROW(Proposed[])-ROW(Items[])+ROWS(Proposed[]),1),MATCH(ROW(B136)-ROW(B$3),INDIRECT(RangeCount),0)),"")</f>
        <v/>
      </c>
      <c r="C136" s="90" t="str">
        <f ca="1">IF(LEN(Calcs[[#This Row],[Line]])&gt;0,TRIM(IFERROR(INDEX(Items[Description],MATCH(Calcs[[#This Row],[Line]],Items[Line],0))&amp;INDEX(Items[Description2],MATCH(Calcs[[#This Row],[Line]],Items[Line],0)),INDEX(Proposed[Description],MATCH(Calcs[[#This Row],[Line]],Proposed[Line],0)))),"")</f>
        <v/>
      </c>
      <c r="D136" s="96">
        <f t="shared" ca="1" si="42"/>
        <v>0</v>
      </c>
      <c r="E136" s="103">
        <f t="shared" ca="1" si="43"/>
        <v>0</v>
      </c>
      <c r="F136" s="103">
        <f t="shared" ca="1" si="44"/>
        <v>0</v>
      </c>
      <c r="G136" s="103">
        <f t="shared" ca="1" si="45"/>
        <v>0</v>
      </c>
      <c r="H136" s="103">
        <f t="shared" ca="1" si="46"/>
        <v>0</v>
      </c>
      <c r="I136" s="103">
        <f t="shared" ca="1" si="47"/>
        <v>0</v>
      </c>
      <c r="J136" s="103">
        <f t="shared" ca="1" si="48"/>
        <v>0</v>
      </c>
      <c r="K136" s="103">
        <f t="shared" ca="1" si="49"/>
        <v>0</v>
      </c>
      <c r="L136" s="103">
        <f t="shared" ca="1" si="50"/>
        <v>0</v>
      </c>
      <c r="M136" s="103">
        <f t="shared" ca="1" si="51"/>
        <v>0</v>
      </c>
      <c r="N136" s="103">
        <f t="shared" ca="1" si="52"/>
        <v>0</v>
      </c>
      <c r="O136" s="103">
        <f t="shared" ca="1" si="53"/>
        <v>0</v>
      </c>
      <c r="P136" s="103">
        <f t="shared" ca="1" si="54"/>
        <v>0</v>
      </c>
      <c r="Q136" s="103">
        <f t="shared" ca="1" si="55"/>
        <v>0</v>
      </c>
      <c r="R136" s="103">
        <f t="shared" ca="1" si="56"/>
        <v>0</v>
      </c>
      <c r="S136" s="103">
        <f t="shared" ca="1" si="57"/>
        <v>0</v>
      </c>
      <c r="T136" s="103">
        <f t="shared" ca="1" si="58"/>
        <v>0</v>
      </c>
      <c r="U136" s="103">
        <f t="shared" ca="1" si="59"/>
        <v>0</v>
      </c>
      <c r="V136" s="103">
        <f t="shared" ca="1" si="60"/>
        <v>0</v>
      </c>
      <c r="W136" s="103">
        <f t="shared" ca="1" si="61"/>
        <v>0</v>
      </c>
      <c r="X136" s="103">
        <f t="shared" ca="1" si="62"/>
        <v>0</v>
      </c>
      <c r="Y136" s="103">
        <f t="shared" ca="1" si="63"/>
        <v>0</v>
      </c>
      <c r="Z136" s="103">
        <f t="shared" ca="1" si="64"/>
        <v>0</v>
      </c>
      <c r="AA136" s="103">
        <f t="shared" ca="1" si="65"/>
        <v>0</v>
      </c>
      <c r="AB136" s="103">
        <f t="shared" ca="1" si="66"/>
        <v>0</v>
      </c>
      <c r="AC136" s="103">
        <f t="shared" ca="1" si="67"/>
        <v>0</v>
      </c>
      <c r="AD136" s="103">
        <f t="shared" ca="1" si="68"/>
        <v>0</v>
      </c>
      <c r="AE136" s="103">
        <f t="shared" ca="1" si="69"/>
        <v>0</v>
      </c>
      <c r="AF136" s="103">
        <f t="shared" ca="1" si="70"/>
        <v>0</v>
      </c>
      <c r="AG136" s="103">
        <f t="shared" ca="1" si="71"/>
        <v>0</v>
      </c>
      <c r="AH136" s="103">
        <f t="shared" ca="1" si="72"/>
        <v>0</v>
      </c>
      <c r="AI136" s="103">
        <f t="shared" ca="1" si="73"/>
        <v>0</v>
      </c>
      <c r="AJ136" s="98">
        <f t="shared" ca="1" si="114"/>
        <v>0</v>
      </c>
      <c r="AK136" s="103">
        <f t="shared" ca="1" si="114"/>
        <v>0</v>
      </c>
      <c r="AL136" s="103">
        <f t="shared" ca="1" si="114"/>
        <v>0</v>
      </c>
      <c r="AM136" s="103">
        <f t="shared" ca="1" si="114"/>
        <v>0</v>
      </c>
      <c r="AN136" s="103">
        <f t="shared" ca="1" si="114"/>
        <v>0</v>
      </c>
      <c r="AO136" s="103">
        <f t="shared" ca="1" si="114"/>
        <v>0</v>
      </c>
      <c r="AP136" s="103">
        <f t="shared" ca="1" si="114"/>
        <v>0</v>
      </c>
      <c r="AQ136" s="103">
        <f t="shared" ca="1" si="114"/>
        <v>0</v>
      </c>
      <c r="AR136" s="104">
        <f ca="1">COUNTIF(AJ136:AQ136,"&lt;"&amp;MAX(AJ136:AQ136))+IF(Calcs[[#This Row],[DL1]]=0,0,1)</f>
        <v>0</v>
      </c>
      <c r="AS136" s="105" t="str">
        <f ca="1">IF(LEN(Calcs[[#This Row],[Line]])&gt;0,IF(RIGHT(Calcs[[#This Row],[Remark]],3)=".  ",LEFT(Calcs[[#This Row],[Remark]],LEN(Calcs[[#This Row],[Remark]])-3),Calcs[[#This Row],[Remark]]),"")</f>
        <v/>
      </c>
      <c r="AT136" s="96">
        <f t="shared" ca="1" si="75"/>
        <v>0</v>
      </c>
      <c r="AU136" s="103">
        <f t="shared" ca="1" si="76"/>
        <v>0</v>
      </c>
      <c r="AV136" s="103">
        <f t="shared" ca="1" si="77"/>
        <v>0</v>
      </c>
      <c r="AW136" s="103">
        <f t="shared" ca="1" si="78"/>
        <v>0</v>
      </c>
      <c r="AX136" s="103">
        <f t="shared" ca="1" si="79"/>
        <v>0</v>
      </c>
      <c r="AY136" s="103">
        <f t="shared" ca="1" si="80"/>
        <v>0</v>
      </c>
      <c r="AZ136" s="103">
        <f t="shared" ca="1" si="81"/>
        <v>0</v>
      </c>
      <c r="BA136" s="103">
        <f t="shared" ca="1" si="82"/>
        <v>0</v>
      </c>
      <c r="BB136" s="103">
        <f t="shared" ca="1" si="83"/>
        <v>0</v>
      </c>
      <c r="BC136" s="103">
        <f t="shared" ca="1" si="84"/>
        <v>0</v>
      </c>
      <c r="BD136" s="103">
        <f t="shared" ca="1" si="85"/>
        <v>0</v>
      </c>
      <c r="BE136" s="103">
        <f t="shared" ca="1" si="86"/>
        <v>0</v>
      </c>
      <c r="BF136" s="103">
        <f t="shared" ca="1" si="87"/>
        <v>0</v>
      </c>
      <c r="BG136" s="103">
        <f t="shared" ca="1" si="88"/>
        <v>0</v>
      </c>
      <c r="BH136" s="103">
        <f t="shared" ca="1" si="89"/>
        <v>0</v>
      </c>
      <c r="BI136" s="103">
        <f t="shared" ca="1" si="90"/>
        <v>0</v>
      </c>
      <c r="BJ136" s="103">
        <f t="shared" ca="1" si="91"/>
        <v>0</v>
      </c>
      <c r="BK136" s="103">
        <f t="shared" ca="1" si="92"/>
        <v>0</v>
      </c>
      <c r="BL136" s="103">
        <f t="shared" ca="1" si="93"/>
        <v>0</v>
      </c>
      <c r="BM136" s="103">
        <f t="shared" ca="1" si="94"/>
        <v>0</v>
      </c>
      <c r="BN136" s="103">
        <f t="shared" ca="1" si="95"/>
        <v>0</v>
      </c>
      <c r="BO136" s="103">
        <f t="shared" ca="1" si="96"/>
        <v>0</v>
      </c>
      <c r="BP136" s="103">
        <f t="shared" ca="1" si="97"/>
        <v>0</v>
      </c>
      <c r="BQ136" s="103">
        <f t="shared" ca="1" si="98"/>
        <v>0</v>
      </c>
      <c r="BR136" s="103">
        <f t="shared" ca="1" si="99"/>
        <v>0</v>
      </c>
      <c r="BS136" s="103">
        <f t="shared" ca="1" si="100"/>
        <v>0</v>
      </c>
      <c r="BT136" s="103">
        <f t="shared" ca="1" si="101"/>
        <v>0</v>
      </c>
      <c r="BU136" s="103">
        <f t="shared" ca="1" si="102"/>
        <v>0</v>
      </c>
      <c r="BV136" s="103">
        <f t="shared" ca="1" si="103"/>
        <v>0</v>
      </c>
      <c r="BW136" s="103">
        <f t="shared" ca="1" si="104"/>
        <v>0</v>
      </c>
      <c r="BX136" s="103">
        <f t="shared" ca="1" si="105"/>
        <v>0</v>
      </c>
      <c r="BY136" s="103">
        <f t="shared" ca="1" si="106"/>
        <v>0</v>
      </c>
      <c r="BZ136" s="98">
        <f t="shared" ca="1" si="115"/>
        <v>0</v>
      </c>
      <c r="CA136" s="103">
        <f t="shared" ca="1" si="115"/>
        <v>0</v>
      </c>
      <c r="CB136" s="103">
        <f t="shared" ca="1" si="115"/>
        <v>0</v>
      </c>
      <c r="CC136" s="103">
        <f t="shared" ca="1" si="115"/>
        <v>0</v>
      </c>
      <c r="CD136" s="103">
        <f t="shared" ca="1" si="115"/>
        <v>0</v>
      </c>
      <c r="CE136" s="103">
        <f t="shared" ca="1" si="115"/>
        <v>0</v>
      </c>
      <c r="CF136" s="103">
        <f t="shared" ca="1" si="115"/>
        <v>0</v>
      </c>
      <c r="CG136" s="103">
        <f t="shared" ca="1" si="115"/>
        <v>0</v>
      </c>
      <c r="CH136" s="106">
        <f ca="1">COUNTIF(BZ136:CG136,"&lt;"&amp;MAX(BZ136:CG136))+IF(Calcs[[#This Row],[RL1]]=0,0,1)</f>
        <v>0</v>
      </c>
      <c r="CI13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6" s="103">
        <f ca="1">IFERROR(OFFSET(CJ136,-1,0)+0,0)+IF(INDEX(INDIRECT(RangeContrQty),MATCH(Calcs[[#This Row],[Line]],OFFSET(Items[Line],0,0,ROW(Proposed[])-ROW(Items[])+ROWS(Proposed[]),1),0)),1,0)</f>
        <v>0</v>
      </c>
    </row>
    <row r="137" spans="1:88" x14ac:dyDescent="0.15">
      <c r="A137" s="64">
        <f ca="1">IFERROR(OFFSET(A137,-1,0)+0,0)+MAX(IF(LEN(Calcs[[#This Row],[Line]])&gt;0,1,0),Calcs[[#This Row],[DL]],Calcs[[#This Row],[RL]])</f>
        <v>10</v>
      </c>
      <c r="B137" s="90" t="str">
        <f ca="1">IFERROR(INDEX(OFFSET(Items[Line],0,0,ROW(Proposed[])-ROW(Items[])+ROWS(Proposed[]),1),MATCH(ROW(B137)-ROW(B$3),INDIRECT(RangeCount),0)),"")</f>
        <v/>
      </c>
      <c r="C137" s="90" t="str">
        <f ca="1">IF(LEN(Calcs[[#This Row],[Line]])&gt;0,TRIM(IFERROR(INDEX(Items[Description],MATCH(Calcs[[#This Row],[Line]],Items[Line],0))&amp;INDEX(Items[Description2],MATCH(Calcs[[#This Row],[Line]],Items[Line],0)),INDEX(Proposed[Description],MATCH(Calcs[[#This Row],[Line]],Proposed[Line],0)))),"")</f>
        <v/>
      </c>
      <c r="D137" s="96">
        <f t="shared" ca="1" si="42"/>
        <v>0</v>
      </c>
      <c r="E137" s="103">
        <f t="shared" ca="1" si="43"/>
        <v>0</v>
      </c>
      <c r="F137" s="103">
        <f t="shared" ca="1" si="44"/>
        <v>0</v>
      </c>
      <c r="G137" s="103">
        <f t="shared" ca="1" si="45"/>
        <v>0</v>
      </c>
      <c r="H137" s="103">
        <f t="shared" ca="1" si="46"/>
        <v>0</v>
      </c>
      <c r="I137" s="103">
        <f t="shared" ca="1" si="47"/>
        <v>0</v>
      </c>
      <c r="J137" s="103">
        <f t="shared" ca="1" si="48"/>
        <v>0</v>
      </c>
      <c r="K137" s="103">
        <f t="shared" ca="1" si="49"/>
        <v>0</v>
      </c>
      <c r="L137" s="103">
        <f t="shared" ca="1" si="50"/>
        <v>0</v>
      </c>
      <c r="M137" s="103">
        <f t="shared" ca="1" si="51"/>
        <v>0</v>
      </c>
      <c r="N137" s="103">
        <f t="shared" ca="1" si="52"/>
        <v>0</v>
      </c>
      <c r="O137" s="103">
        <f t="shared" ca="1" si="53"/>
        <v>0</v>
      </c>
      <c r="P137" s="103">
        <f t="shared" ca="1" si="54"/>
        <v>0</v>
      </c>
      <c r="Q137" s="103">
        <f t="shared" ca="1" si="55"/>
        <v>0</v>
      </c>
      <c r="R137" s="103">
        <f t="shared" ca="1" si="56"/>
        <v>0</v>
      </c>
      <c r="S137" s="103">
        <f t="shared" ca="1" si="57"/>
        <v>0</v>
      </c>
      <c r="T137" s="103">
        <f t="shared" ca="1" si="58"/>
        <v>0</v>
      </c>
      <c r="U137" s="103">
        <f t="shared" ca="1" si="59"/>
        <v>0</v>
      </c>
      <c r="V137" s="103">
        <f t="shared" ca="1" si="60"/>
        <v>0</v>
      </c>
      <c r="W137" s="103">
        <f t="shared" ca="1" si="61"/>
        <v>0</v>
      </c>
      <c r="X137" s="103">
        <f t="shared" ca="1" si="62"/>
        <v>0</v>
      </c>
      <c r="Y137" s="103">
        <f t="shared" ca="1" si="63"/>
        <v>0</v>
      </c>
      <c r="Z137" s="103">
        <f t="shared" ca="1" si="64"/>
        <v>0</v>
      </c>
      <c r="AA137" s="103">
        <f t="shared" ca="1" si="65"/>
        <v>0</v>
      </c>
      <c r="AB137" s="103">
        <f t="shared" ca="1" si="66"/>
        <v>0</v>
      </c>
      <c r="AC137" s="103">
        <f t="shared" ca="1" si="67"/>
        <v>0</v>
      </c>
      <c r="AD137" s="103">
        <f t="shared" ca="1" si="68"/>
        <v>0</v>
      </c>
      <c r="AE137" s="103">
        <f t="shared" ca="1" si="69"/>
        <v>0</v>
      </c>
      <c r="AF137" s="103">
        <f t="shared" ca="1" si="70"/>
        <v>0</v>
      </c>
      <c r="AG137" s="103">
        <f t="shared" ca="1" si="71"/>
        <v>0</v>
      </c>
      <c r="AH137" s="103">
        <f t="shared" ca="1" si="72"/>
        <v>0</v>
      </c>
      <c r="AI137" s="103">
        <f t="shared" ca="1" si="73"/>
        <v>0</v>
      </c>
      <c r="AJ137" s="98">
        <f t="shared" ca="1" si="114"/>
        <v>0</v>
      </c>
      <c r="AK137" s="103">
        <f t="shared" ca="1" si="114"/>
        <v>0</v>
      </c>
      <c r="AL137" s="103">
        <f t="shared" ca="1" si="114"/>
        <v>0</v>
      </c>
      <c r="AM137" s="103">
        <f t="shared" ca="1" si="114"/>
        <v>0</v>
      </c>
      <c r="AN137" s="103">
        <f t="shared" ca="1" si="114"/>
        <v>0</v>
      </c>
      <c r="AO137" s="103">
        <f t="shared" ca="1" si="114"/>
        <v>0</v>
      </c>
      <c r="AP137" s="103">
        <f t="shared" ca="1" si="114"/>
        <v>0</v>
      </c>
      <c r="AQ137" s="103">
        <f t="shared" ca="1" si="114"/>
        <v>0</v>
      </c>
      <c r="AR137" s="104">
        <f ca="1">COUNTIF(AJ137:AQ137,"&lt;"&amp;MAX(AJ137:AQ137))+IF(Calcs[[#This Row],[DL1]]=0,0,1)</f>
        <v>0</v>
      </c>
      <c r="AS137" s="105" t="str">
        <f ca="1">IF(LEN(Calcs[[#This Row],[Line]])&gt;0,IF(RIGHT(Calcs[[#This Row],[Remark]],3)=".  ",LEFT(Calcs[[#This Row],[Remark]],LEN(Calcs[[#This Row],[Remark]])-3),Calcs[[#This Row],[Remark]]),"")</f>
        <v/>
      </c>
      <c r="AT137" s="96">
        <f t="shared" ca="1" si="75"/>
        <v>0</v>
      </c>
      <c r="AU137" s="103">
        <f t="shared" ca="1" si="76"/>
        <v>0</v>
      </c>
      <c r="AV137" s="103">
        <f t="shared" ca="1" si="77"/>
        <v>0</v>
      </c>
      <c r="AW137" s="103">
        <f t="shared" ca="1" si="78"/>
        <v>0</v>
      </c>
      <c r="AX137" s="103">
        <f t="shared" ca="1" si="79"/>
        <v>0</v>
      </c>
      <c r="AY137" s="103">
        <f t="shared" ca="1" si="80"/>
        <v>0</v>
      </c>
      <c r="AZ137" s="103">
        <f t="shared" ca="1" si="81"/>
        <v>0</v>
      </c>
      <c r="BA137" s="103">
        <f t="shared" ca="1" si="82"/>
        <v>0</v>
      </c>
      <c r="BB137" s="103">
        <f t="shared" ca="1" si="83"/>
        <v>0</v>
      </c>
      <c r="BC137" s="103">
        <f t="shared" ca="1" si="84"/>
        <v>0</v>
      </c>
      <c r="BD137" s="103">
        <f t="shared" ca="1" si="85"/>
        <v>0</v>
      </c>
      <c r="BE137" s="103">
        <f t="shared" ca="1" si="86"/>
        <v>0</v>
      </c>
      <c r="BF137" s="103">
        <f t="shared" ca="1" si="87"/>
        <v>0</v>
      </c>
      <c r="BG137" s="103">
        <f t="shared" ca="1" si="88"/>
        <v>0</v>
      </c>
      <c r="BH137" s="103">
        <f t="shared" ca="1" si="89"/>
        <v>0</v>
      </c>
      <c r="BI137" s="103">
        <f t="shared" ca="1" si="90"/>
        <v>0</v>
      </c>
      <c r="BJ137" s="103">
        <f t="shared" ca="1" si="91"/>
        <v>0</v>
      </c>
      <c r="BK137" s="103">
        <f t="shared" ca="1" si="92"/>
        <v>0</v>
      </c>
      <c r="BL137" s="103">
        <f t="shared" ca="1" si="93"/>
        <v>0</v>
      </c>
      <c r="BM137" s="103">
        <f t="shared" ca="1" si="94"/>
        <v>0</v>
      </c>
      <c r="BN137" s="103">
        <f t="shared" ca="1" si="95"/>
        <v>0</v>
      </c>
      <c r="BO137" s="103">
        <f t="shared" ca="1" si="96"/>
        <v>0</v>
      </c>
      <c r="BP137" s="103">
        <f t="shared" ca="1" si="97"/>
        <v>0</v>
      </c>
      <c r="BQ137" s="103">
        <f t="shared" ca="1" si="98"/>
        <v>0</v>
      </c>
      <c r="BR137" s="103">
        <f t="shared" ca="1" si="99"/>
        <v>0</v>
      </c>
      <c r="BS137" s="103">
        <f t="shared" ca="1" si="100"/>
        <v>0</v>
      </c>
      <c r="BT137" s="103">
        <f t="shared" ca="1" si="101"/>
        <v>0</v>
      </c>
      <c r="BU137" s="103">
        <f t="shared" ca="1" si="102"/>
        <v>0</v>
      </c>
      <c r="BV137" s="103">
        <f t="shared" ca="1" si="103"/>
        <v>0</v>
      </c>
      <c r="BW137" s="103">
        <f t="shared" ca="1" si="104"/>
        <v>0</v>
      </c>
      <c r="BX137" s="103">
        <f t="shared" ca="1" si="105"/>
        <v>0</v>
      </c>
      <c r="BY137" s="103">
        <f t="shared" ca="1" si="106"/>
        <v>0</v>
      </c>
      <c r="BZ137" s="98">
        <f t="shared" ca="1" si="115"/>
        <v>0</v>
      </c>
      <c r="CA137" s="103">
        <f t="shared" ca="1" si="115"/>
        <v>0</v>
      </c>
      <c r="CB137" s="103">
        <f t="shared" ca="1" si="115"/>
        <v>0</v>
      </c>
      <c r="CC137" s="103">
        <f t="shared" ca="1" si="115"/>
        <v>0</v>
      </c>
      <c r="CD137" s="103">
        <f t="shared" ca="1" si="115"/>
        <v>0</v>
      </c>
      <c r="CE137" s="103">
        <f t="shared" ca="1" si="115"/>
        <v>0</v>
      </c>
      <c r="CF137" s="103">
        <f t="shared" ca="1" si="115"/>
        <v>0</v>
      </c>
      <c r="CG137" s="103">
        <f t="shared" ca="1" si="115"/>
        <v>0</v>
      </c>
      <c r="CH137" s="106">
        <f ca="1">COUNTIF(BZ137:CG137,"&lt;"&amp;MAX(BZ137:CG137))+IF(Calcs[[#This Row],[RL1]]=0,0,1)</f>
        <v>0</v>
      </c>
      <c r="CI13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7" s="103">
        <f ca="1">IFERROR(OFFSET(CJ137,-1,0)+0,0)+IF(INDEX(INDIRECT(RangeContrQty),MATCH(Calcs[[#This Row],[Line]],OFFSET(Items[Line],0,0,ROW(Proposed[])-ROW(Items[])+ROWS(Proposed[]),1),0)),1,0)</f>
        <v>0</v>
      </c>
    </row>
    <row r="138" spans="1:88" x14ac:dyDescent="0.15">
      <c r="A138" s="64">
        <f ca="1">IFERROR(OFFSET(A138,-1,0)+0,0)+MAX(IF(LEN(Calcs[[#This Row],[Line]])&gt;0,1,0),Calcs[[#This Row],[DL]],Calcs[[#This Row],[RL]])</f>
        <v>10</v>
      </c>
      <c r="B138" s="90" t="str">
        <f ca="1">IFERROR(INDEX(OFFSET(Items[Line],0,0,ROW(Proposed[])-ROW(Items[])+ROWS(Proposed[]),1),MATCH(ROW(B138)-ROW(B$3),INDIRECT(RangeCount),0)),"")</f>
        <v/>
      </c>
      <c r="C138" s="90" t="str">
        <f ca="1">IF(LEN(Calcs[[#This Row],[Line]])&gt;0,TRIM(IFERROR(INDEX(Items[Description],MATCH(Calcs[[#This Row],[Line]],Items[Line],0))&amp;INDEX(Items[Description2],MATCH(Calcs[[#This Row],[Line]],Items[Line],0)),INDEX(Proposed[Description],MATCH(Calcs[[#This Row],[Line]],Proposed[Line],0)))),"")</f>
        <v/>
      </c>
      <c r="D138" s="96">
        <f t="shared" ca="1" si="42"/>
        <v>0</v>
      </c>
      <c r="E138" s="103">
        <f t="shared" ca="1" si="43"/>
        <v>0</v>
      </c>
      <c r="F138" s="103">
        <f t="shared" ca="1" si="44"/>
        <v>0</v>
      </c>
      <c r="G138" s="103">
        <f t="shared" ca="1" si="45"/>
        <v>0</v>
      </c>
      <c r="H138" s="103">
        <f t="shared" ca="1" si="46"/>
        <v>0</v>
      </c>
      <c r="I138" s="103">
        <f t="shared" ca="1" si="47"/>
        <v>0</v>
      </c>
      <c r="J138" s="103">
        <f t="shared" ca="1" si="48"/>
        <v>0</v>
      </c>
      <c r="K138" s="103">
        <f t="shared" ca="1" si="49"/>
        <v>0</v>
      </c>
      <c r="L138" s="103">
        <f t="shared" ca="1" si="50"/>
        <v>0</v>
      </c>
      <c r="M138" s="103">
        <f t="shared" ca="1" si="51"/>
        <v>0</v>
      </c>
      <c r="N138" s="103">
        <f t="shared" ca="1" si="52"/>
        <v>0</v>
      </c>
      <c r="O138" s="103">
        <f t="shared" ca="1" si="53"/>
        <v>0</v>
      </c>
      <c r="P138" s="103">
        <f t="shared" ca="1" si="54"/>
        <v>0</v>
      </c>
      <c r="Q138" s="103">
        <f t="shared" ca="1" si="55"/>
        <v>0</v>
      </c>
      <c r="R138" s="103">
        <f t="shared" ca="1" si="56"/>
        <v>0</v>
      </c>
      <c r="S138" s="103">
        <f t="shared" ca="1" si="57"/>
        <v>0</v>
      </c>
      <c r="T138" s="103">
        <f t="shared" ca="1" si="58"/>
        <v>0</v>
      </c>
      <c r="U138" s="103">
        <f t="shared" ca="1" si="59"/>
        <v>0</v>
      </c>
      <c r="V138" s="103">
        <f t="shared" ca="1" si="60"/>
        <v>0</v>
      </c>
      <c r="W138" s="103">
        <f t="shared" ca="1" si="61"/>
        <v>0</v>
      </c>
      <c r="X138" s="103">
        <f t="shared" ca="1" si="62"/>
        <v>0</v>
      </c>
      <c r="Y138" s="103">
        <f t="shared" ca="1" si="63"/>
        <v>0</v>
      </c>
      <c r="Z138" s="103">
        <f t="shared" ca="1" si="64"/>
        <v>0</v>
      </c>
      <c r="AA138" s="103">
        <f t="shared" ca="1" si="65"/>
        <v>0</v>
      </c>
      <c r="AB138" s="103">
        <f t="shared" ca="1" si="66"/>
        <v>0</v>
      </c>
      <c r="AC138" s="103">
        <f t="shared" ca="1" si="67"/>
        <v>0</v>
      </c>
      <c r="AD138" s="103">
        <f t="shared" ca="1" si="68"/>
        <v>0</v>
      </c>
      <c r="AE138" s="103">
        <f t="shared" ca="1" si="69"/>
        <v>0</v>
      </c>
      <c r="AF138" s="103">
        <f t="shared" ca="1" si="70"/>
        <v>0</v>
      </c>
      <c r="AG138" s="103">
        <f t="shared" ca="1" si="71"/>
        <v>0</v>
      </c>
      <c r="AH138" s="103">
        <f t="shared" ca="1" si="72"/>
        <v>0</v>
      </c>
      <c r="AI138" s="103">
        <f t="shared" ca="1" si="73"/>
        <v>0</v>
      </c>
      <c r="AJ138" s="98">
        <f t="shared" ca="1" si="114"/>
        <v>0</v>
      </c>
      <c r="AK138" s="103">
        <f t="shared" ca="1" si="114"/>
        <v>0</v>
      </c>
      <c r="AL138" s="103">
        <f t="shared" ca="1" si="114"/>
        <v>0</v>
      </c>
      <c r="AM138" s="103">
        <f t="shared" ca="1" si="114"/>
        <v>0</v>
      </c>
      <c r="AN138" s="103">
        <f t="shared" ca="1" si="114"/>
        <v>0</v>
      </c>
      <c r="AO138" s="103">
        <f t="shared" ca="1" si="114"/>
        <v>0</v>
      </c>
      <c r="AP138" s="103">
        <f t="shared" ca="1" si="114"/>
        <v>0</v>
      </c>
      <c r="AQ138" s="103">
        <f t="shared" ca="1" si="114"/>
        <v>0</v>
      </c>
      <c r="AR138" s="104">
        <f ca="1">COUNTIF(AJ138:AQ138,"&lt;"&amp;MAX(AJ138:AQ138))+IF(Calcs[[#This Row],[DL1]]=0,0,1)</f>
        <v>0</v>
      </c>
      <c r="AS138" s="105" t="str">
        <f ca="1">IF(LEN(Calcs[[#This Row],[Line]])&gt;0,IF(RIGHT(Calcs[[#This Row],[Remark]],3)=".  ",LEFT(Calcs[[#This Row],[Remark]],LEN(Calcs[[#This Row],[Remark]])-3),Calcs[[#This Row],[Remark]]),"")</f>
        <v/>
      </c>
      <c r="AT138" s="96">
        <f t="shared" ca="1" si="75"/>
        <v>0</v>
      </c>
      <c r="AU138" s="103">
        <f t="shared" ca="1" si="76"/>
        <v>0</v>
      </c>
      <c r="AV138" s="103">
        <f t="shared" ca="1" si="77"/>
        <v>0</v>
      </c>
      <c r="AW138" s="103">
        <f t="shared" ca="1" si="78"/>
        <v>0</v>
      </c>
      <c r="AX138" s="103">
        <f t="shared" ca="1" si="79"/>
        <v>0</v>
      </c>
      <c r="AY138" s="103">
        <f t="shared" ca="1" si="80"/>
        <v>0</v>
      </c>
      <c r="AZ138" s="103">
        <f t="shared" ca="1" si="81"/>
        <v>0</v>
      </c>
      <c r="BA138" s="103">
        <f t="shared" ca="1" si="82"/>
        <v>0</v>
      </c>
      <c r="BB138" s="103">
        <f t="shared" ca="1" si="83"/>
        <v>0</v>
      </c>
      <c r="BC138" s="103">
        <f t="shared" ca="1" si="84"/>
        <v>0</v>
      </c>
      <c r="BD138" s="103">
        <f t="shared" ca="1" si="85"/>
        <v>0</v>
      </c>
      <c r="BE138" s="103">
        <f t="shared" ca="1" si="86"/>
        <v>0</v>
      </c>
      <c r="BF138" s="103">
        <f t="shared" ca="1" si="87"/>
        <v>0</v>
      </c>
      <c r="BG138" s="103">
        <f t="shared" ca="1" si="88"/>
        <v>0</v>
      </c>
      <c r="BH138" s="103">
        <f t="shared" ca="1" si="89"/>
        <v>0</v>
      </c>
      <c r="BI138" s="103">
        <f t="shared" ca="1" si="90"/>
        <v>0</v>
      </c>
      <c r="BJ138" s="103">
        <f t="shared" ca="1" si="91"/>
        <v>0</v>
      </c>
      <c r="BK138" s="103">
        <f t="shared" ca="1" si="92"/>
        <v>0</v>
      </c>
      <c r="BL138" s="103">
        <f t="shared" ca="1" si="93"/>
        <v>0</v>
      </c>
      <c r="BM138" s="103">
        <f t="shared" ca="1" si="94"/>
        <v>0</v>
      </c>
      <c r="BN138" s="103">
        <f t="shared" ca="1" si="95"/>
        <v>0</v>
      </c>
      <c r="BO138" s="103">
        <f t="shared" ca="1" si="96"/>
        <v>0</v>
      </c>
      <c r="BP138" s="103">
        <f t="shared" ca="1" si="97"/>
        <v>0</v>
      </c>
      <c r="BQ138" s="103">
        <f t="shared" ca="1" si="98"/>
        <v>0</v>
      </c>
      <c r="BR138" s="103">
        <f t="shared" ca="1" si="99"/>
        <v>0</v>
      </c>
      <c r="BS138" s="103">
        <f t="shared" ca="1" si="100"/>
        <v>0</v>
      </c>
      <c r="BT138" s="103">
        <f t="shared" ca="1" si="101"/>
        <v>0</v>
      </c>
      <c r="BU138" s="103">
        <f t="shared" ca="1" si="102"/>
        <v>0</v>
      </c>
      <c r="BV138" s="103">
        <f t="shared" ca="1" si="103"/>
        <v>0</v>
      </c>
      <c r="BW138" s="103">
        <f t="shared" ca="1" si="104"/>
        <v>0</v>
      </c>
      <c r="BX138" s="103">
        <f t="shared" ca="1" si="105"/>
        <v>0</v>
      </c>
      <c r="BY138" s="103">
        <f t="shared" ca="1" si="106"/>
        <v>0</v>
      </c>
      <c r="BZ138" s="98">
        <f t="shared" ca="1" si="115"/>
        <v>0</v>
      </c>
      <c r="CA138" s="103">
        <f t="shared" ca="1" si="115"/>
        <v>0</v>
      </c>
      <c r="CB138" s="103">
        <f t="shared" ca="1" si="115"/>
        <v>0</v>
      </c>
      <c r="CC138" s="103">
        <f t="shared" ca="1" si="115"/>
        <v>0</v>
      </c>
      <c r="CD138" s="103">
        <f t="shared" ca="1" si="115"/>
        <v>0</v>
      </c>
      <c r="CE138" s="103">
        <f t="shared" ca="1" si="115"/>
        <v>0</v>
      </c>
      <c r="CF138" s="103">
        <f t="shared" ca="1" si="115"/>
        <v>0</v>
      </c>
      <c r="CG138" s="103">
        <f t="shared" ca="1" si="115"/>
        <v>0</v>
      </c>
      <c r="CH138" s="106">
        <f ca="1">COUNTIF(BZ138:CG138,"&lt;"&amp;MAX(BZ138:CG138))+IF(Calcs[[#This Row],[RL1]]=0,0,1)</f>
        <v>0</v>
      </c>
      <c r="CI13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8" s="103">
        <f ca="1">IFERROR(OFFSET(CJ138,-1,0)+0,0)+IF(INDEX(INDIRECT(RangeContrQty),MATCH(Calcs[[#This Row],[Line]],OFFSET(Items[Line],0,0,ROW(Proposed[])-ROW(Items[])+ROWS(Proposed[]),1),0)),1,0)</f>
        <v>0</v>
      </c>
    </row>
    <row r="139" spans="1:88" x14ac:dyDescent="0.15">
      <c r="A139" s="64">
        <f ca="1">IFERROR(OFFSET(A139,-1,0)+0,0)+MAX(IF(LEN(Calcs[[#This Row],[Line]])&gt;0,1,0),Calcs[[#This Row],[DL]],Calcs[[#This Row],[RL]])</f>
        <v>10</v>
      </c>
      <c r="B139" s="90" t="str">
        <f ca="1">IFERROR(INDEX(OFFSET(Items[Line],0,0,ROW(Proposed[])-ROW(Items[])+ROWS(Proposed[]),1),MATCH(ROW(B139)-ROW(B$3),INDIRECT(RangeCount),0)),"")</f>
        <v/>
      </c>
      <c r="C139" s="90" t="str">
        <f ca="1">IF(LEN(Calcs[[#This Row],[Line]])&gt;0,TRIM(IFERROR(INDEX(Items[Description],MATCH(Calcs[[#This Row],[Line]],Items[Line],0))&amp;INDEX(Items[Description2],MATCH(Calcs[[#This Row],[Line]],Items[Line],0)),INDEX(Proposed[Description],MATCH(Calcs[[#This Row],[Line]],Proposed[Line],0)))),"")</f>
        <v/>
      </c>
      <c r="D139" s="96">
        <f t="shared" ca="1" si="42"/>
        <v>0</v>
      </c>
      <c r="E139" s="103">
        <f t="shared" ca="1" si="43"/>
        <v>0</v>
      </c>
      <c r="F139" s="103">
        <f t="shared" ca="1" si="44"/>
        <v>0</v>
      </c>
      <c r="G139" s="103">
        <f t="shared" ca="1" si="45"/>
        <v>0</v>
      </c>
      <c r="H139" s="103">
        <f t="shared" ca="1" si="46"/>
        <v>0</v>
      </c>
      <c r="I139" s="103">
        <f t="shared" ca="1" si="47"/>
        <v>0</v>
      </c>
      <c r="J139" s="103">
        <f t="shared" ca="1" si="48"/>
        <v>0</v>
      </c>
      <c r="K139" s="103">
        <f t="shared" ca="1" si="49"/>
        <v>0</v>
      </c>
      <c r="L139" s="103">
        <f t="shared" ca="1" si="50"/>
        <v>0</v>
      </c>
      <c r="M139" s="103">
        <f t="shared" ca="1" si="51"/>
        <v>0</v>
      </c>
      <c r="N139" s="103">
        <f t="shared" ca="1" si="52"/>
        <v>0</v>
      </c>
      <c r="O139" s="103">
        <f t="shared" ca="1" si="53"/>
        <v>0</v>
      </c>
      <c r="P139" s="103">
        <f t="shared" ca="1" si="54"/>
        <v>0</v>
      </c>
      <c r="Q139" s="103">
        <f t="shared" ca="1" si="55"/>
        <v>0</v>
      </c>
      <c r="R139" s="103">
        <f t="shared" ca="1" si="56"/>
        <v>0</v>
      </c>
      <c r="S139" s="103">
        <f t="shared" ca="1" si="57"/>
        <v>0</v>
      </c>
      <c r="T139" s="103">
        <f t="shared" ca="1" si="58"/>
        <v>0</v>
      </c>
      <c r="U139" s="103">
        <f t="shared" ca="1" si="59"/>
        <v>0</v>
      </c>
      <c r="V139" s="103">
        <f t="shared" ca="1" si="60"/>
        <v>0</v>
      </c>
      <c r="W139" s="103">
        <f t="shared" ca="1" si="61"/>
        <v>0</v>
      </c>
      <c r="X139" s="103">
        <f t="shared" ca="1" si="62"/>
        <v>0</v>
      </c>
      <c r="Y139" s="103">
        <f t="shared" ca="1" si="63"/>
        <v>0</v>
      </c>
      <c r="Z139" s="103">
        <f t="shared" ca="1" si="64"/>
        <v>0</v>
      </c>
      <c r="AA139" s="103">
        <f t="shared" ca="1" si="65"/>
        <v>0</v>
      </c>
      <c r="AB139" s="103">
        <f t="shared" ca="1" si="66"/>
        <v>0</v>
      </c>
      <c r="AC139" s="103">
        <f t="shared" ca="1" si="67"/>
        <v>0</v>
      </c>
      <c r="AD139" s="103">
        <f t="shared" ca="1" si="68"/>
        <v>0</v>
      </c>
      <c r="AE139" s="103">
        <f t="shared" ca="1" si="69"/>
        <v>0</v>
      </c>
      <c r="AF139" s="103">
        <f t="shared" ca="1" si="70"/>
        <v>0</v>
      </c>
      <c r="AG139" s="103">
        <f t="shared" ca="1" si="71"/>
        <v>0</v>
      </c>
      <c r="AH139" s="103">
        <f t="shared" ca="1" si="72"/>
        <v>0</v>
      </c>
      <c r="AI139" s="103">
        <f t="shared" ca="1" si="73"/>
        <v>0</v>
      </c>
      <c r="AJ139" s="98">
        <f t="shared" ca="1" si="114"/>
        <v>0</v>
      </c>
      <c r="AK139" s="103">
        <f t="shared" ca="1" si="114"/>
        <v>0</v>
      </c>
      <c r="AL139" s="103">
        <f t="shared" ca="1" si="114"/>
        <v>0</v>
      </c>
      <c r="AM139" s="103">
        <f t="shared" ca="1" si="114"/>
        <v>0</v>
      </c>
      <c r="AN139" s="103">
        <f t="shared" ca="1" si="114"/>
        <v>0</v>
      </c>
      <c r="AO139" s="103">
        <f t="shared" ca="1" si="114"/>
        <v>0</v>
      </c>
      <c r="AP139" s="103">
        <f t="shared" ca="1" si="114"/>
        <v>0</v>
      </c>
      <c r="AQ139" s="103">
        <f t="shared" ca="1" si="114"/>
        <v>0</v>
      </c>
      <c r="AR139" s="104">
        <f ca="1">COUNTIF(AJ139:AQ139,"&lt;"&amp;MAX(AJ139:AQ139))+IF(Calcs[[#This Row],[DL1]]=0,0,1)</f>
        <v>0</v>
      </c>
      <c r="AS139" s="105" t="str">
        <f ca="1">IF(LEN(Calcs[[#This Row],[Line]])&gt;0,IF(RIGHT(Calcs[[#This Row],[Remark]],3)=".  ",LEFT(Calcs[[#This Row],[Remark]],LEN(Calcs[[#This Row],[Remark]])-3),Calcs[[#This Row],[Remark]]),"")</f>
        <v/>
      </c>
      <c r="AT139" s="96">
        <f t="shared" ca="1" si="75"/>
        <v>0</v>
      </c>
      <c r="AU139" s="103">
        <f t="shared" ca="1" si="76"/>
        <v>0</v>
      </c>
      <c r="AV139" s="103">
        <f t="shared" ca="1" si="77"/>
        <v>0</v>
      </c>
      <c r="AW139" s="103">
        <f t="shared" ca="1" si="78"/>
        <v>0</v>
      </c>
      <c r="AX139" s="103">
        <f t="shared" ca="1" si="79"/>
        <v>0</v>
      </c>
      <c r="AY139" s="103">
        <f t="shared" ca="1" si="80"/>
        <v>0</v>
      </c>
      <c r="AZ139" s="103">
        <f t="shared" ca="1" si="81"/>
        <v>0</v>
      </c>
      <c r="BA139" s="103">
        <f t="shared" ca="1" si="82"/>
        <v>0</v>
      </c>
      <c r="BB139" s="103">
        <f t="shared" ca="1" si="83"/>
        <v>0</v>
      </c>
      <c r="BC139" s="103">
        <f t="shared" ca="1" si="84"/>
        <v>0</v>
      </c>
      <c r="BD139" s="103">
        <f t="shared" ca="1" si="85"/>
        <v>0</v>
      </c>
      <c r="BE139" s="103">
        <f t="shared" ca="1" si="86"/>
        <v>0</v>
      </c>
      <c r="BF139" s="103">
        <f t="shared" ca="1" si="87"/>
        <v>0</v>
      </c>
      <c r="BG139" s="103">
        <f t="shared" ca="1" si="88"/>
        <v>0</v>
      </c>
      <c r="BH139" s="103">
        <f t="shared" ca="1" si="89"/>
        <v>0</v>
      </c>
      <c r="BI139" s="103">
        <f t="shared" ca="1" si="90"/>
        <v>0</v>
      </c>
      <c r="BJ139" s="103">
        <f t="shared" ca="1" si="91"/>
        <v>0</v>
      </c>
      <c r="BK139" s="103">
        <f t="shared" ca="1" si="92"/>
        <v>0</v>
      </c>
      <c r="BL139" s="103">
        <f t="shared" ca="1" si="93"/>
        <v>0</v>
      </c>
      <c r="BM139" s="103">
        <f t="shared" ca="1" si="94"/>
        <v>0</v>
      </c>
      <c r="BN139" s="103">
        <f t="shared" ca="1" si="95"/>
        <v>0</v>
      </c>
      <c r="BO139" s="103">
        <f t="shared" ca="1" si="96"/>
        <v>0</v>
      </c>
      <c r="BP139" s="103">
        <f t="shared" ca="1" si="97"/>
        <v>0</v>
      </c>
      <c r="BQ139" s="103">
        <f t="shared" ca="1" si="98"/>
        <v>0</v>
      </c>
      <c r="BR139" s="103">
        <f t="shared" ca="1" si="99"/>
        <v>0</v>
      </c>
      <c r="BS139" s="103">
        <f t="shared" ca="1" si="100"/>
        <v>0</v>
      </c>
      <c r="BT139" s="103">
        <f t="shared" ca="1" si="101"/>
        <v>0</v>
      </c>
      <c r="BU139" s="103">
        <f t="shared" ca="1" si="102"/>
        <v>0</v>
      </c>
      <c r="BV139" s="103">
        <f t="shared" ca="1" si="103"/>
        <v>0</v>
      </c>
      <c r="BW139" s="103">
        <f t="shared" ca="1" si="104"/>
        <v>0</v>
      </c>
      <c r="BX139" s="103">
        <f t="shared" ca="1" si="105"/>
        <v>0</v>
      </c>
      <c r="BY139" s="103">
        <f t="shared" ca="1" si="106"/>
        <v>0</v>
      </c>
      <c r="BZ139" s="98">
        <f t="shared" ca="1" si="115"/>
        <v>0</v>
      </c>
      <c r="CA139" s="103">
        <f t="shared" ca="1" si="115"/>
        <v>0</v>
      </c>
      <c r="CB139" s="103">
        <f t="shared" ca="1" si="115"/>
        <v>0</v>
      </c>
      <c r="CC139" s="103">
        <f t="shared" ca="1" si="115"/>
        <v>0</v>
      </c>
      <c r="CD139" s="103">
        <f t="shared" ca="1" si="115"/>
        <v>0</v>
      </c>
      <c r="CE139" s="103">
        <f t="shared" ca="1" si="115"/>
        <v>0</v>
      </c>
      <c r="CF139" s="103">
        <f t="shared" ca="1" si="115"/>
        <v>0</v>
      </c>
      <c r="CG139" s="103">
        <f t="shared" ca="1" si="115"/>
        <v>0</v>
      </c>
      <c r="CH139" s="106">
        <f ca="1">COUNTIF(BZ139:CG139,"&lt;"&amp;MAX(BZ139:CG139))+IF(Calcs[[#This Row],[RL1]]=0,0,1)</f>
        <v>0</v>
      </c>
      <c r="CI13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9" s="103">
        <f ca="1">IFERROR(OFFSET(CJ139,-1,0)+0,0)+IF(INDEX(INDIRECT(RangeContrQty),MATCH(Calcs[[#This Row],[Line]],OFFSET(Items[Line],0,0,ROW(Proposed[])-ROW(Items[])+ROWS(Proposed[]),1),0)),1,0)</f>
        <v>0</v>
      </c>
    </row>
    <row r="140" spans="1:88" x14ac:dyDescent="0.15">
      <c r="A140" s="64">
        <f ca="1">IFERROR(OFFSET(A140,-1,0)+0,0)+MAX(IF(LEN(Calcs[[#This Row],[Line]])&gt;0,1,0),Calcs[[#This Row],[DL]],Calcs[[#This Row],[RL]])</f>
        <v>10</v>
      </c>
      <c r="B140" s="90" t="str">
        <f ca="1">IFERROR(INDEX(OFFSET(Items[Line],0,0,ROW(Proposed[])-ROW(Items[])+ROWS(Proposed[]),1),MATCH(ROW(B140)-ROW(B$3),INDIRECT(RangeCount),0)),"")</f>
        <v/>
      </c>
      <c r="C140" s="90" t="str">
        <f ca="1">IF(LEN(Calcs[[#This Row],[Line]])&gt;0,TRIM(IFERROR(INDEX(Items[Description],MATCH(Calcs[[#This Row],[Line]],Items[Line],0))&amp;INDEX(Items[Description2],MATCH(Calcs[[#This Row],[Line]],Items[Line],0)),INDEX(Proposed[Description],MATCH(Calcs[[#This Row],[Line]],Proposed[Line],0)))),"")</f>
        <v/>
      </c>
      <c r="D140" s="96">
        <f t="shared" ca="1" si="42"/>
        <v>0</v>
      </c>
      <c r="E140" s="103">
        <f t="shared" ca="1" si="43"/>
        <v>0</v>
      </c>
      <c r="F140" s="103">
        <f t="shared" ca="1" si="44"/>
        <v>0</v>
      </c>
      <c r="G140" s="103">
        <f t="shared" ca="1" si="45"/>
        <v>0</v>
      </c>
      <c r="H140" s="103">
        <f t="shared" ca="1" si="46"/>
        <v>0</v>
      </c>
      <c r="I140" s="103">
        <f t="shared" ca="1" si="47"/>
        <v>0</v>
      </c>
      <c r="J140" s="103">
        <f t="shared" ca="1" si="48"/>
        <v>0</v>
      </c>
      <c r="K140" s="103">
        <f t="shared" ca="1" si="49"/>
        <v>0</v>
      </c>
      <c r="L140" s="103">
        <f t="shared" ca="1" si="50"/>
        <v>0</v>
      </c>
      <c r="M140" s="103">
        <f t="shared" ca="1" si="51"/>
        <v>0</v>
      </c>
      <c r="N140" s="103">
        <f t="shared" ca="1" si="52"/>
        <v>0</v>
      </c>
      <c r="O140" s="103">
        <f t="shared" ca="1" si="53"/>
        <v>0</v>
      </c>
      <c r="P140" s="103">
        <f t="shared" ca="1" si="54"/>
        <v>0</v>
      </c>
      <c r="Q140" s="103">
        <f t="shared" ca="1" si="55"/>
        <v>0</v>
      </c>
      <c r="R140" s="103">
        <f t="shared" ca="1" si="56"/>
        <v>0</v>
      </c>
      <c r="S140" s="103">
        <f t="shared" ca="1" si="57"/>
        <v>0</v>
      </c>
      <c r="T140" s="103">
        <f t="shared" ca="1" si="58"/>
        <v>0</v>
      </c>
      <c r="U140" s="103">
        <f t="shared" ca="1" si="59"/>
        <v>0</v>
      </c>
      <c r="V140" s="103">
        <f t="shared" ca="1" si="60"/>
        <v>0</v>
      </c>
      <c r="W140" s="103">
        <f t="shared" ca="1" si="61"/>
        <v>0</v>
      </c>
      <c r="X140" s="103">
        <f t="shared" ca="1" si="62"/>
        <v>0</v>
      </c>
      <c r="Y140" s="103">
        <f t="shared" ca="1" si="63"/>
        <v>0</v>
      </c>
      <c r="Z140" s="103">
        <f t="shared" ca="1" si="64"/>
        <v>0</v>
      </c>
      <c r="AA140" s="103">
        <f t="shared" ca="1" si="65"/>
        <v>0</v>
      </c>
      <c r="AB140" s="103">
        <f t="shared" ca="1" si="66"/>
        <v>0</v>
      </c>
      <c r="AC140" s="103">
        <f t="shared" ca="1" si="67"/>
        <v>0</v>
      </c>
      <c r="AD140" s="103">
        <f t="shared" ca="1" si="68"/>
        <v>0</v>
      </c>
      <c r="AE140" s="103">
        <f t="shared" ca="1" si="69"/>
        <v>0</v>
      </c>
      <c r="AF140" s="103">
        <f t="shared" ca="1" si="70"/>
        <v>0</v>
      </c>
      <c r="AG140" s="103">
        <f t="shared" ca="1" si="71"/>
        <v>0</v>
      </c>
      <c r="AH140" s="103">
        <f t="shared" ca="1" si="72"/>
        <v>0</v>
      </c>
      <c r="AI140" s="103">
        <f t="shared" ca="1" si="73"/>
        <v>0</v>
      </c>
      <c r="AJ140" s="98">
        <f t="shared" ca="1" si="114"/>
        <v>0</v>
      </c>
      <c r="AK140" s="103">
        <f t="shared" ca="1" si="114"/>
        <v>0</v>
      </c>
      <c r="AL140" s="103">
        <f t="shared" ca="1" si="114"/>
        <v>0</v>
      </c>
      <c r="AM140" s="103">
        <f t="shared" ca="1" si="114"/>
        <v>0</v>
      </c>
      <c r="AN140" s="103">
        <f t="shared" ca="1" si="114"/>
        <v>0</v>
      </c>
      <c r="AO140" s="103">
        <f t="shared" ca="1" si="114"/>
        <v>0</v>
      </c>
      <c r="AP140" s="103">
        <f t="shared" ca="1" si="114"/>
        <v>0</v>
      </c>
      <c r="AQ140" s="103">
        <f t="shared" ca="1" si="114"/>
        <v>0</v>
      </c>
      <c r="AR140" s="104">
        <f ca="1">COUNTIF(AJ140:AQ140,"&lt;"&amp;MAX(AJ140:AQ140))+IF(Calcs[[#This Row],[DL1]]=0,0,1)</f>
        <v>0</v>
      </c>
      <c r="AS140" s="105" t="str">
        <f ca="1">IF(LEN(Calcs[[#This Row],[Line]])&gt;0,IF(RIGHT(Calcs[[#This Row],[Remark]],3)=".  ",LEFT(Calcs[[#This Row],[Remark]],LEN(Calcs[[#This Row],[Remark]])-3),Calcs[[#This Row],[Remark]]),"")</f>
        <v/>
      </c>
      <c r="AT140" s="96">
        <f t="shared" ca="1" si="75"/>
        <v>0</v>
      </c>
      <c r="AU140" s="103">
        <f t="shared" ca="1" si="76"/>
        <v>0</v>
      </c>
      <c r="AV140" s="103">
        <f t="shared" ca="1" si="77"/>
        <v>0</v>
      </c>
      <c r="AW140" s="103">
        <f t="shared" ca="1" si="78"/>
        <v>0</v>
      </c>
      <c r="AX140" s="103">
        <f t="shared" ca="1" si="79"/>
        <v>0</v>
      </c>
      <c r="AY140" s="103">
        <f t="shared" ca="1" si="80"/>
        <v>0</v>
      </c>
      <c r="AZ140" s="103">
        <f t="shared" ca="1" si="81"/>
        <v>0</v>
      </c>
      <c r="BA140" s="103">
        <f t="shared" ca="1" si="82"/>
        <v>0</v>
      </c>
      <c r="BB140" s="103">
        <f t="shared" ca="1" si="83"/>
        <v>0</v>
      </c>
      <c r="BC140" s="103">
        <f t="shared" ca="1" si="84"/>
        <v>0</v>
      </c>
      <c r="BD140" s="103">
        <f t="shared" ca="1" si="85"/>
        <v>0</v>
      </c>
      <c r="BE140" s="103">
        <f t="shared" ca="1" si="86"/>
        <v>0</v>
      </c>
      <c r="BF140" s="103">
        <f t="shared" ca="1" si="87"/>
        <v>0</v>
      </c>
      <c r="BG140" s="103">
        <f t="shared" ca="1" si="88"/>
        <v>0</v>
      </c>
      <c r="BH140" s="103">
        <f t="shared" ca="1" si="89"/>
        <v>0</v>
      </c>
      <c r="BI140" s="103">
        <f t="shared" ca="1" si="90"/>
        <v>0</v>
      </c>
      <c r="BJ140" s="103">
        <f t="shared" ca="1" si="91"/>
        <v>0</v>
      </c>
      <c r="BK140" s="103">
        <f t="shared" ca="1" si="92"/>
        <v>0</v>
      </c>
      <c r="BL140" s="103">
        <f t="shared" ca="1" si="93"/>
        <v>0</v>
      </c>
      <c r="BM140" s="103">
        <f t="shared" ca="1" si="94"/>
        <v>0</v>
      </c>
      <c r="BN140" s="103">
        <f t="shared" ca="1" si="95"/>
        <v>0</v>
      </c>
      <c r="BO140" s="103">
        <f t="shared" ca="1" si="96"/>
        <v>0</v>
      </c>
      <c r="BP140" s="103">
        <f t="shared" ca="1" si="97"/>
        <v>0</v>
      </c>
      <c r="BQ140" s="103">
        <f t="shared" ca="1" si="98"/>
        <v>0</v>
      </c>
      <c r="BR140" s="103">
        <f t="shared" ca="1" si="99"/>
        <v>0</v>
      </c>
      <c r="BS140" s="103">
        <f t="shared" ca="1" si="100"/>
        <v>0</v>
      </c>
      <c r="BT140" s="103">
        <f t="shared" ca="1" si="101"/>
        <v>0</v>
      </c>
      <c r="BU140" s="103">
        <f t="shared" ca="1" si="102"/>
        <v>0</v>
      </c>
      <c r="BV140" s="103">
        <f t="shared" ca="1" si="103"/>
        <v>0</v>
      </c>
      <c r="BW140" s="103">
        <f t="shared" ca="1" si="104"/>
        <v>0</v>
      </c>
      <c r="BX140" s="103">
        <f t="shared" ca="1" si="105"/>
        <v>0</v>
      </c>
      <c r="BY140" s="103">
        <f t="shared" ca="1" si="106"/>
        <v>0</v>
      </c>
      <c r="BZ140" s="98">
        <f t="shared" ca="1" si="115"/>
        <v>0</v>
      </c>
      <c r="CA140" s="103">
        <f t="shared" ca="1" si="115"/>
        <v>0</v>
      </c>
      <c r="CB140" s="103">
        <f t="shared" ca="1" si="115"/>
        <v>0</v>
      </c>
      <c r="CC140" s="103">
        <f t="shared" ca="1" si="115"/>
        <v>0</v>
      </c>
      <c r="CD140" s="103">
        <f t="shared" ca="1" si="115"/>
        <v>0</v>
      </c>
      <c r="CE140" s="103">
        <f t="shared" ca="1" si="115"/>
        <v>0</v>
      </c>
      <c r="CF140" s="103">
        <f t="shared" ca="1" si="115"/>
        <v>0</v>
      </c>
      <c r="CG140" s="103">
        <f t="shared" ca="1" si="115"/>
        <v>0</v>
      </c>
      <c r="CH140" s="106">
        <f ca="1">COUNTIF(BZ140:CG140,"&lt;"&amp;MAX(BZ140:CG140))+IF(Calcs[[#This Row],[RL1]]=0,0,1)</f>
        <v>0</v>
      </c>
      <c r="CI14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0" s="103">
        <f ca="1">IFERROR(OFFSET(CJ140,-1,0)+0,0)+IF(INDEX(INDIRECT(RangeContrQty),MATCH(Calcs[[#This Row],[Line]],OFFSET(Items[Line],0,0,ROW(Proposed[])-ROW(Items[])+ROWS(Proposed[]),1),0)),1,0)</f>
        <v>0</v>
      </c>
    </row>
    <row r="141" spans="1:88" x14ac:dyDescent="0.15">
      <c r="A141" s="64">
        <f ca="1">IFERROR(OFFSET(A141,-1,0)+0,0)+MAX(IF(LEN(Calcs[[#This Row],[Line]])&gt;0,1,0),Calcs[[#This Row],[DL]],Calcs[[#This Row],[RL]])</f>
        <v>10</v>
      </c>
      <c r="B141" s="90" t="str">
        <f ca="1">IFERROR(INDEX(OFFSET(Items[Line],0,0,ROW(Proposed[])-ROW(Items[])+ROWS(Proposed[]),1),MATCH(ROW(B141)-ROW(B$3),INDIRECT(RangeCount),0)),"")</f>
        <v/>
      </c>
      <c r="C141" s="90" t="str">
        <f ca="1">IF(LEN(Calcs[[#This Row],[Line]])&gt;0,TRIM(IFERROR(INDEX(Items[Description],MATCH(Calcs[[#This Row],[Line]],Items[Line],0))&amp;INDEX(Items[Description2],MATCH(Calcs[[#This Row],[Line]],Items[Line],0)),INDEX(Proposed[Description],MATCH(Calcs[[#This Row],[Line]],Proposed[Line],0)))),"")</f>
        <v/>
      </c>
      <c r="D141" s="96">
        <f t="shared" ca="1" si="42"/>
        <v>0</v>
      </c>
      <c r="E141" s="103">
        <f t="shared" ca="1" si="43"/>
        <v>0</v>
      </c>
      <c r="F141" s="103">
        <f t="shared" ca="1" si="44"/>
        <v>0</v>
      </c>
      <c r="G141" s="103">
        <f t="shared" ca="1" si="45"/>
        <v>0</v>
      </c>
      <c r="H141" s="103">
        <f t="shared" ca="1" si="46"/>
        <v>0</v>
      </c>
      <c r="I141" s="103">
        <f t="shared" ca="1" si="47"/>
        <v>0</v>
      </c>
      <c r="J141" s="103">
        <f t="shared" ca="1" si="48"/>
        <v>0</v>
      </c>
      <c r="K141" s="103">
        <f t="shared" ca="1" si="49"/>
        <v>0</v>
      </c>
      <c r="L141" s="103">
        <f t="shared" ca="1" si="50"/>
        <v>0</v>
      </c>
      <c r="M141" s="103">
        <f t="shared" ca="1" si="51"/>
        <v>0</v>
      </c>
      <c r="N141" s="103">
        <f t="shared" ca="1" si="52"/>
        <v>0</v>
      </c>
      <c r="O141" s="103">
        <f t="shared" ca="1" si="53"/>
        <v>0</v>
      </c>
      <c r="P141" s="103">
        <f t="shared" ca="1" si="54"/>
        <v>0</v>
      </c>
      <c r="Q141" s="103">
        <f t="shared" ca="1" si="55"/>
        <v>0</v>
      </c>
      <c r="R141" s="103">
        <f t="shared" ca="1" si="56"/>
        <v>0</v>
      </c>
      <c r="S141" s="103">
        <f t="shared" ca="1" si="57"/>
        <v>0</v>
      </c>
      <c r="T141" s="103">
        <f t="shared" ca="1" si="58"/>
        <v>0</v>
      </c>
      <c r="U141" s="103">
        <f t="shared" ca="1" si="59"/>
        <v>0</v>
      </c>
      <c r="V141" s="103">
        <f t="shared" ca="1" si="60"/>
        <v>0</v>
      </c>
      <c r="W141" s="103">
        <f t="shared" ca="1" si="61"/>
        <v>0</v>
      </c>
      <c r="X141" s="103">
        <f t="shared" ca="1" si="62"/>
        <v>0</v>
      </c>
      <c r="Y141" s="103">
        <f t="shared" ca="1" si="63"/>
        <v>0</v>
      </c>
      <c r="Z141" s="103">
        <f t="shared" ca="1" si="64"/>
        <v>0</v>
      </c>
      <c r="AA141" s="103">
        <f t="shared" ca="1" si="65"/>
        <v>0</v>
      </c>
      <c r="AB141" s="103">
        <f t="shared" ca="1" si="66"/>
        <v>0</v>
      </c>
      <c r="AC141" s="103">
        <f t="shared" ca="1" si="67"/>
        <v>0</v>
      </c>
      <c r="AD141" s="103">
        <f t="shared" ca="1" si="68"/>
        <v>0</v>
      </c>
      <c r="AE141" s="103">
        <f t="shared" ca="1" si="69"/>
        <v>0</v>
      </c>
      <c r="AF141" s="103">
        <f t="shared" ca="1" si="70"/>
        <v>0</v>
      </c>
      <c r="AG141" s="103">
        <f t="shared" ca="1" si="71"/>
        <v>0</v>
      </c>
      <c r="AH141" s="103">
        <f t="shared" ca="1" si="72"/>
        <v>0</v>
      </c>
      <c r="AI141" s="103">
        <f t="shared" ca="1" si="73"/>
        <v>0</v>
      </c>
      <c r="AJ141" s="98">
        <f t="shared" ca="1" si="114"/>
        <v>0</v>
      </c>
      <c r="AK141" s="103">
        <f t="shared" ca="1" si="114"/>
        <v>0</v>
      </c>
      <c r="AL141" s="103">
        <f t="shared" ca="1" si="114"/>
        <v>0</v>
      </c>
      <c r="AM141" s="103">
        <f t="shared" ca="1" si="114"/>
        <v>0</v>
      </c>
      <c r="AN141" s="103">
        <f t="shared" ca="1" si="114"/>
        <v>0</v>
      </c>
      <c r="AO141" s="103">
        <f t="shared" ca="1" si="114"/>
        <v>0</v>
      </c>
      <c r="AP141" s="103">
        <f t="shared" ca="1" si="114"/>
        <v>0</v>
      </c>
      <c r="AQ141" s="103">
        <f t="shared" ca="1" si="114"/>
        <v>0</v>
      </c>
      <c r="AR141" s="104">
        <f ca="1">COUNTIF(AJ141:AQ141,"&lt;"&amp;MAX(AJ141:AQ141))+IF(Calcs[[#This Row],[DL1]]=0,0,1)</f>
        <v>0</v>
      </c>
      <c r="AS141" s="105" t="str">
        <f ca="1">IF(LEN(Calcs[[#This Row],[Line]])&gt;0,IF(RIGHT(Calcs[[#This Row],[Remark]],3)=".  ",LEFT(Calcs[[#This Row],[Remark]],LEN(Calcs[[#This Row],[Remark]])-3),Calcs[[#This Row],[Remark]]),"")</f>
        <v/>
      </c>
      <c r="AT141" s="96">
        <f t="shared" ca="1" si="75"/>
        <v>0</v>
      </c>
      <c r="AU141" s="103">
        <f t="shared" ca="1" si="76"/>
        <v>0</v>
      </c>
      <c r="AV141" s="103">
        <f t="shared" ca="1" si="77"/>
        <v>0</v>
      </c>
      <c r="AW141" s="103">
        <f t="shared" ca="1" si="78"/>
        <v>0</v>
      </c>
      <c r="AX141" s="103">
        <f t="shared" ca="1" si="79"/>
        <v>0</v>
      </c>
      <c r="AY141" s="103">
        <f t="shared" ca="1" si="80"/>
        <v>0</v>
      </c>
      <c r="AZ141" s="103">
        <f t="shared" ca="1" si="81"/>
        <v>0</v>
      </c>
      <c r="BA141" s="103">
        <f t="shared" ca="1" si="82"/>
        <v>0</v>
      </c>
      <c r="BB141" s="103">
        <f t="shared" ca="1" si="83"/>
        <v>0</v>
      </c>
      <c r="BC141" s="103">
        <f t="shared" ca="1" si="84"/>
        <v>0</v>
      </c>
      <c r="BD141" s="103">
        <f t="shared" ca="1" si="85"/>
        <v>0</v>
      </c>
      <c r="BE141" s="103">
        <f t="shared" ca="1" si="86"/>
        <v>0</v>
      </c>
      <c r="BF141" s="103">
        <f t="shared" ca="1" si="87"/>
        <v>0</v>
      </c>
      <c r="BG141" s="103">
        <f t="shared" ca="1" si="88"/>
        <v>0</v>
      </c>
      <c r="BH141" s="103">
        <f t="shared" ca="1" si="89"/>
        <v>0</v>
      </c>
      <c r="BI141" s="103">
        <f t="shared" ca="1" si="90"/>
        <v>0</v>
      </c>
      <c r="BJ141" s="103">
        <f t="shared" ca="1" si="91"/>
        <v>0</v>
      </c>
      <c r="BK141" s="103">
        <f t="shared" ca="1" si="92"/>
        <v>0</v>
      </c>
      <c r="BL141" s="103">
        <f t="shared" ca="1" si="93"/>
        <v>0</v>
      </c>
      <c r="BM141" s="103">
        <f t="shared" ca="1" si="94"/>
        <v>0</v>
      </c>
      <c r="BN141" s="103">
        <f t="shared" ca="1" si="95"/>
        <v>0</v>
      </c>
      <c r="BO141" s="103">
        <f t="shared" ca="1" si="96"/>
        <v>0</v>
      </c>
      <c r="BP141" s="103">
        <f t="shared" ca="1" si="97"/>
        <v>0</v>
      </c>
      <c r="BQ141" s="103">
        <f t="shared" ca="1" si="98"/>
        <v>0</v>
      </c>
      <c r="BR141" s="103">
        <f t="shared" ca="1" si="99"/>
        <v>0</v>
      </c>
      <c r="BS141" s="103">
        <f t="shared" ca="1" si="100"/>
        <v>0</v>
      </c>
      <c r="BT141" s="103">
        <f t="shared" ca="1" si="101"/>
        <v>0</v>
      </c>
      <c r="BU141" s="103">
        <f t="shared" ca="1" si="102"/>
        <v>0</v>
      </c>
      <c r="BV141" s="103">
        <f t="shared" ca="1" si="103"/>
        <v>0</v>
      </c>
      <c r="BW141" s="103">
        <f t="shared" ca="1" si="104"/>
        <v>0</v>
      </c>
      <c r="BX141" s="103">
        <f t="shared" ca="1" si="105"/>
        <v>0</v>
      </c>
      <c r="BY141" s="103">
        <f t="shared" ca="1" si="106"/>
        <v>0</v>
      </c>
      <c r="BZ141" s="98">
        <f t="shared" ca="1" si="115"/>
        <v>0</v>
      </c>
      <c r="CA141" s="103">
        <f t="shared" ca="1" si="115"/>
        <v>0</v>
      </c>
      <c r="CB141" s="103">
        <f t="shared" ca="1" si="115"/>
        <v>0</v>
      </c>
      <c r="CC141" s="103">
        <f t="shared" ca="1" si="115"/>
        <v>0</v>
      </c>
      <c r="CD141" s="103">
        <f t="shared" ca="1" si="115"/>
        <v>0</v>
      </c>
      <c r="CE141" s="103">
        <f t="shared" ca="1" si="115"/>
        <v>0</v>
      </c>
      <c r="CF141" s="103">
        <f t="shared" ca="1" si="115"/>
        <v>0</v>
      </c>
      <c r="CG141" s="103">
        <f t="shared" ca="1" si="115"/>
        <v>0</v>
      </c>
      <c r="CH141" s="106">
        <f ca="1">COUNTIF(BZ141:CG141,"&lt;"&amp;MAX(BZ141:CG141))+IF(Calcs[[#This Row],[RL1]]=0,0,1)</f>
        <v>0</v>
      </c>
      <c r="CI14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1" s="103">
        <f ca="1">IFERROR(OFFSET(CJ141,-1,0)+0,0)+IF(INDEX(INDIRECT(RangeContrQty),MATCH(Calcs[[#This Row],[Line]],OFFSET(Items[Line],0,0,ROW(Proposed[])-ROW(Items[])+ROWS(Proposed[]),1),0)),1,0)</f>
        <v>0</v>
      </c>
    </row>
    <row r="142" spans="1:88" x14ac:dyDescent="0.15">
      <c r="A142" s="64">
        <f ca="1">IFERROR(OFFSET(A142,-1,0)+0,0)+MAX(IF(LEN(Calcs[[#This Row],[Line]])&gt;0,1,0),Calcs[[#This Row],[DL]],Calcs[[#This Row],[RL]])</f>
        <v>10</v>
      </c>
      <c r="B142" s="90" t="str">
        <f ca="1">IFERROR(INDEX(OFFSET(Items[Line],0,0,ROW(Proposed[])-ROW(Items[])+ROWS(Proposed[]),1),MATCH(ROW(B142)-ROW(B$3),INDIRECT(RangeCount),0)),"")</f>
        <v/>
      </c>
      <c r="C142" s="90" t="str">
        <f ca="1">IF(LEN(Calcs[[#This Row],[Line]])&gt;0,TRIM(IFERROR(INDEX(Items[Description],MATCH(Calcs[[#This Row],[Line]],Items[Line],0))&amp;INDEX(Items[Description2],MATCH(Calcs[[#This Row],[Line]],Items[Line],0)),INDEX(Proposed[Description],MATCH(Calcs[[#This Row],[Line]],Proposed[Line],0)))),"")</f>
        <v/>
      </c>
      <c r="D142" s="96">
        <f t="shared" ca="1" si="42"/>
        <v>0</v>
      </c>
      <c r="E142" s="103">
        <f t="shared" ca="1" si="43"/>
        <v>0</v>
      </c>
      <c r="F142" s="103">
        <f t="shared" ca="1" si="44"/>
        <v>0</v>
      </c>
      <c r="G142" s="103">
        <f t="shared" ca="1" si="45"/>
        <v>0</v>
      </c>
      <c r="H142" s="103">
        <f t="shared" ca="1" si="46"/>
        <v>0</v>
      </c>
      <c r="I142" s="103">
        <f t="shared" ca="1" si="47"/>
        <v>0</v>
      </c>
      <c r="J142" s="103">
        <f t="shared" ca="1" si="48"/>
        <v>0</v>
      </c>
      <c r="K142" s="103">
        <f t="shared" ca="1" si="49"/>
        <v>0</v>
      </c>
      <c r="L142" s="103">
        <f t="shared" ca="1" si="50"/>
        <v>0</v>
      </c>
      <c r="M142" s="103">
        <f t="shared" ca="1" si="51"/>
        <v>0</v>
      </c>
      <c r="N142" s="103">
        <f t="shared" ca="1" si="52"/>
        <v>0</v>
      </c>
      <c r="O142" s="103">
        <f t="shared" ca="1" si="53"/>
        <v>0</v>
      </c>
      <c r="P142" s="103">
        <f t="shared" ca="1" si="54"/>
        <v>0</v>
      </c>
      <c r="Q142" s="103">
        <f t="shared" ca="1" si="55"/>
        <v>0</v>
      </c>
      <c r="R142" s="103">
        <f t="shared" ca="1" si="56"/>
        <v>0</v>
      </c>
      <c r="S142" s="103">
        <f t="shared" ca="1" si="57"/>
        <v>0</v>
      </c>
      <c r="T142" s="103">
        <f t="shared" ca="1" si="58"/>
        <v>0</v>
      </c>
      <c r="U142" s="103">
        <f t="shared" ca="1" si="59"/>
        <v>0</v>
      </c>
      <c r="V142" s="103">
        <f t="shared" ca="1" si="60"/>
        <v>0</v>
      </c>
      <c r="W142" s="103">
        <f t="shared" ca="1" si="61"/>
        <v>0</v>
      </c>
      <c r="X142" s="103">
        <f t="shared" ca="1" si="62"/>
        <v>0</v>
      </c>
      <c r="Y142" s="103">
        <f t="shared" ca="1" si="63"/>
        <v>0</v>
      </c>
      <c r="Z142" s="103">
        <f t="shared" ca="1" si="64"/>
        <v>0</v>
      </c>
      <c r="AA142" s="103">
        <f t="shared" ca="1" si="65"/>
        <v>0</v>
      </c>
      <c r="AB142" s="103">
        <f t="shared" ca="1" si="66"/>
        <v>0</v>
      </c>
      <c r="AC142" s="103">
        <f t="shared" ca="1" si="67"/>
        <v>0</v>
      </c>
      <c r="AD142" s="103">
        <f t="shared" ca="1" si="68"/>
        <v>0</v>
      </c>
      <c r="AE142" s="103">
        <f t="shared" ca="1" si="69"/>
        <v>0</v>
      </c>
      <c r="AF142" s="103">
        <f t="shared" ca="1" si="70"/>
        <v>0</v>
      </c>
      <c r="AG142" s="103">
        <f t="shared" ca="1" si="71"/>
        <v>0</v>
      </c>
      <c r="AH142" s="103">
        <f t="shared" ca="1" si="72"/>
        <v>0</v>
      </c>
      <c r="AI142" s="103">
        <f t="shared" ca="1" si="73"/>
        <v>0</v>
      </c>
      <c r="AJ142" s="98">
        <f t="shared" ref="AJ142:AQ151" ca="1" si="116">HLOOKUP(IF(COLUMN(AJ142)-COLUMN($AJ$3)=0,0,OFFSET(AJ142,0,-1))+widthPayItem,$D142:$AI142,1)</f>
        <v>0</v>
      </c>
      <c r="AK142" s="103">
        <f t="shared" ca="1" si="116"/>
        <v>0</v>
      </c>
      <c r="AL142" s="103">
        <f t="shared" ca="1" si="116"/>
        <v>0</v>
      </c>
      <c r="AM142" s="103">
        <f t="shared" ca="1" si="116"/>
        <v>0</v>
      </c>
      <c r="AN142" s="103">
        <f t="shared" ca="1" si="116"/>
        <v>0</v>
      </c>
      <c r="AO142" s="103">
        <f t="shared" ca="1" si="116"/>
        <v>0</v>
      </c>
      <c r="AP142" s="103">
        <f t="shared" ca="1" si="116"/>
        <v>0</v>
      </c>
      <c r="AQ142" s="103">
        <f t="shared" ca="1" si="116"/>
        <v>0</v>
      </c>
      <c r="AR142" s="104">
        <f ca="1">COUNTIF(AJ142:AQ142,"&lt;"&amp;MAX(AJ142:AQ142))+IF(Calcs[[#This Row],[DL1]]=0,0,1)</f>
        <v>0</v>
      </c>
      <c r="AS142" s="105" t="str">
        <f ca="1">IF(LEN(Calcs[[#This Row],[Line]])&gt;0,IF(RIGHT(Calcs[[#This Row],[Remark]],3)=".  ",LEFT(Calcs[[#This Row],[Remark]],LEN(Calcs[[#This Row],[Remark]])-3),Calcs[[#This Row],[Remark]]),"")</f>
        <v/>
      </c>
      <c r="AT142" s="96">
        <f t="shared" ca="1" si="75"/>
        <v>0</v>
      </c>
      <c r="AU142" s="103">
        <f t="shared" ca="1" si="76"/>
        <v>0</v>
      </c>
      <c r="AV142" s="103">
        <f t="shared" ca="1" si="77"/>
        <v>0</v>
      </c>
      <c r="AW142" s="103">
        <f t="shared" ca="1" si="78"/>
        <v>0</v>
      </c>
      <c r="AX142" s="103">
        <f t="shared" ca="1" si="79"/>
        <v>0</v>
      </c>
      <c r="AY142" s="103">
        <f t="shared" ca="1" si="80"/>
        <v>0</v>
      </c>
      <c r="AZ142" s="103">
        <f t="shared" ca="1" si="81"/>
        <v>0</v>
      </c>
      <c r="BA142" s="103">
        <f t="shared" ca="1" si="82"/>
        <v>0</v>
      </c>
      <c r="BB142" s="103">
        <f t="shared" ca="1" si="83"/>
        <v>0</v>
      </c>
      <c r="BC142" s="103">
        <f t="shared" ca="1" si="84"/>
        <v>0</v>
      </c>
      <c r="BD142" s="103">
        <f t="shared" ca="1" si="85"/>
        <v>0</v>
      </c>
      <c r="BE142" s="103">
        <f t="shared" ca="1" si="86"/>
        <v>0</v>
      </c>
      <c r="BF142" s="103">
        <f t="shared" ca="1" si="87"/>
        <v>0</v>
      </c>
      <c r="BG142" s="103">
        <f t="shared" ca="1" si="88"/>
        <v>0</v>
      </c>
      <c r="BH142" s="103">
        <f t="shared" ca="1" si="89"/>
        <v>0</v>
      </c>
      <c r="BI142" s="103">
        <f t="shared" ca="1" si="90"/>
        <v>0</v>
      </c>
      <c r="BJ142" s="103">
        <f t="shared" ca="1" si="91"/>
        <v>0</v>
      </c>
      <c r="BK142" s="103">
        <f t="shared" ca="1" si="92"/>
        <v>0</v>
      </c>
      <c r="BL142" s="103">
        <f t="shared" ca="1" si="93"/>
        <v>0</v>
      </c>
      <c r="BM142" s="103">
        <f t="shared" ca="1" si="94"/>
        <v>0</v>
      </c>
      <c r="BN142" s="103">
        <f t="shared" ca="1" si="95"/>
        <v>0</v>
      </c>
      <c r="BO142" s="103">
        <f t="shared" ca="1" si="96"/>
        <v>0</v>
      </c>
      <c r="BP142" s="103">
        <f t="shared" ca="1" si="97"/>
        <v>0</v>
      </c>
      <c r="BQ142" s="103">
        <f t="shared" ca="1" si="98"/>
        <v>0</v>
      </c>
      <c r="BR142" s="103">
        <f t="shared" ca="1" si="99"/>
        <v>0</v>
      </c>
      <c r="BS142" s="103">
        <f t="shared" ca="1" si="100"/>
        <v>0</v>
      </c>
      <c r="BT142" s="103">
        <f t="shared" ca="1" si="101"/>
        <v>0</v>
      </c>
      <c r="BU142" s="103">
        <f t="shared" ca="1" si="102"/>
        <v>0</v>
      </c>
      <c r="BV142" s="103">
        <f t="shared" ca="1" si="103"/>
        <v>0</v>
      </c>
      <c r="BW142" s="103">
        <f t="shared" ca="1" si="104"/>
        <v>0</v>
      </c>
      <c r="BX142" s="103">
        <f t="shared" ca="1" si="105"/>
        <v>0</v>
      </c>
      <c r="BY142" s="103">
        <f t="shared" ca="1" si="106"/>
        <v>0</v>
      </c>
      <c r="BZ142" s="98">
        <f t="shared" ref="BZ142:CG151" ca="1" si="117">HLOOKUP(IF(COLUMN(BZ142)-COLUMN($BZ$3)=0,0,OFFSET(BZ142,0,-1))+widthRemarks,$AT142:$BY142,1)</f>
        <v>0</v>
      </c>
      <c r="CA142" s="103">
        <f t="shared" ca="1" si="117"/>
        <v>0</v>
      </c>
      <c r="CB142" s="103">
        <f t="shared" ca="1" si="117"/>
        <v>0</v>
      </c>
      <c r="CC142" s="103">
        <f t="shared" ca="1" si="117"/>
        <v>0</v>
      </c>
      <c r="CD142" s="103">
        <f t="shared" ca="1" si="117"/>
        <v>0</v>
      </c>
      <c r="CE142" s="103">
        <f t="shared" ca="1" si="117"/>
        <v>0</v>
      </c>
      <c r="CF142" s="103">
        <f t="shared" ca="1" si="117"/>
        <v>0</v>
      </c>
      <c r="CG142" s="103">
        <f t="shared" ca="1" si="117"/>
        <v>0</v>
      </c>
      <c r="CH142" s="106">
        <f ca="1">COUNTIF(BZ142:CG142,"&lt;"&amp;MAX(BZ142:CG142))+IF(Calcs[[#This Row],[RL1]]=0,0,1)</f>
        <v>0</v>
      </c>
      <c r="CI14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2" s="103">
        <f ca="1">IFERROR(OFFSET(CJ142,-1,0)+0,0)+IF(INDEX(INDIRECT(RangeContrQty),MATCH(Calcs[[#This Row],[Line]],OFFSET(Items[Line],0,0,ROW(Proposed[])-ROW(Items[])+ROWS(Proposed[]),1),0)),1,0)</f>
        <v>0</v>
      </c>
    </row>
    <row r="143" spans="1:88" x14ac:dyDescent="0.15">
      <c r="A143" s="64">
        <f ca="1">IFERROR(OFFSET(A143,-1,0)+0,0)+MAX(IF(LEN(Calcs[[#This Row],[Line]])&gt;0,1,0),Calcs[[#This Row],[DL]],Calcs[[#This Row],[RL]])</f>
        <v>10</v>
      </c>
      <c r="B143" s="90" t="str">
        <f ca="1">IFERROR(INDEX(OFFSET(Items[Line],0,0,ROW(Proposed[])-ROW(Items[])+ROWS(Proposed[]),1),MATCH(ROW(B143)-ROW(B$3),INDIRECT(RangeCount),0)),"")</f>
        <v/>
      </c>
      <c r="C143" s="90" t="str">
        <f ca="1">IF(LEN(Calcs[[#This Row],[Line]])&gt;0,TRIM(IFERROR(INDEX(Items[Description],MATCH(Calcs[[#This Row],[Line]],Items[Line],0))&amp;INDEX(Items[Description2],MATCH(Calcs[[#This Row],[Line]],Items[Line],0)),INDEX(Proposed[Description],MATCH(Calcs[[#This Row],[Line]],Proposed[Line],0)))),"")</f>
        <v/>
      </c>
      <c r="D143" s="96">
        <f t="shared" ca="1" si="42"/>
        <v>0</v>
      </c>
      <c r="E143" s="103">
        <f t="shared" ca="1" si="43"/>
        <v>0</v>
      </c>
      <c r="F143" s="103">
        <f t="shared" ca="1" si="44"/>
        <v>0</v>
      </c>
      <c r="G143" s="103">
        <f t="shared" ca="1" si="45"/>
        <v>0</v>
      </c>
      <c r="H143" s="103">
        <f t="shared" ca="1" si="46"/>
        <v>0</v>
      </c>
      <c r="I143" s="103">
        <f t="shared" ca="1" si="47"/>
        <v>0</v>
      </c>
      <c r="J143" s="103">
        <f t="shared" ca="1" si="48"/>
        <v>0</v>
      </c>
      <c r="K143" s="103">
        <f t="shared" ca="1" si="49"/>
        <v>0</v>
      </c>
      <c r="L143" s="103">
        <f t="shared" ca="1" si="50"/>
        <v>0</v>
      </c>
      <c r="M143" s="103">
        <f t="shared" ca="1" si="51"/>
        <v>0</v>
      </c>
      <c r="N143" s="103">
        <f t="shared" ca="1" si="52"/>
        <v>0</v>
      </c>
      <c r="O143" s="103">
        <f t="shared" ca="1" si="53"/>
        <v>0</v>
      </c>
      <c r="P143" s="103">
        <f t="shared" ca="1" si="54"/>
        <v>0</v>
      </c>
      <c r="Q143" s="103">
        <f t="shared" ca="1" si="55"/>
        <v>0</v>
      </c>
      <c r="R143" s="103">
        <f t="shared" ca="1" si="56"/>
        <v>0</v>
      </c>
      <c r="S143" s="103">
        <f t="shared" ca="1" si="57"/>
        <v>0</v>
      </c>
      <c r="T143" s="103">
        <f t="shared" ca="1" si="58"/>
        <v>0</v>
      </c>
      <c r="U143" s="103">
        <f t="shared" ca="1" si="59"/>
        <v>0</v>
      </c>
      <c r="V143" s="103">
        <f t="shared" ca="1" si="60"/>
        <v>0</v>
      </c>
      <c r="W143" s="103">
        <f t="shared" ca="1" si="61"/>
        <v>0</v>
      </c>
      <c r="X143" s="103">
        <f t="shared" ca="1" si="62"/>
        <v>0</v>
      </c>
      <c r="Y143" s="103">
        <f t="shared" ca="1" si="63"/>
        <v>0</v>
      </c>
      <c r="Z143" s="103">
        <f t="shared" ca="1" si="64"/>
        <v>0</v>
      </c>
      <c r="AA143" s="103">
        <f t="shared" ca="1" si="65"/>
        <v>0</v>
      </c>
      <c r="AB143" s="103">
        <f t="shared" ca="1" si="66"/>
        <v>0</v>
      </c>
      <c r="AC143" s="103">
        <f t="shared" ca="1" si="67"/>
        <v>0</v>
      </c>
      <c r="AD143" s="103">
        <f t="shared" ca="1" si="68"/>
        <v>0</v>
      </c>
      <c r="AE143" s="103">
        <f t="shared" ca="1" si="69"/>
        <v>0</v>
      </c>
      <c r="AF143" s="103">
        <f t="shared" ca="1" si="70"/>
        <v>0</v>
      </c>
      <c r="AG143" s="103">
        <f t="shared" ca="1" si="71"/>
        <v>0</v>
      </c>
      <c r="AH143" s="103">
        <f t="shared" ca="1" si="72"/>
        <v>0</v>
      </c>
      <c r="AI143" s="103">
        <f t="shared" ca="1" si="73"/>
        <v>0</v>
      </c>
      <c r="AJ143" s="98">
        <f t="shared" ca="1" si="116"/>
        <v>0</v>
      </c>
      <c r="AK143" s="103">
        <f t="shared" ca="1" si="116"/>
        <v>0</v>
      </c>
      <c r="AL143" s="103">
        <f t="shared" ca="1" si="116"/>
        <v>0</v>
      </c>
      <c r="AM143" s="103">
        <f t="shared" ca="1" si="116"/>
        <v>0</v>
      </c>
      <c r="AN143" s="103">
        <f t="shared" ca="1" si="116"/>
        <v>0</v>
      </c>
      <c r="AO143" s="103">
        <f t="shared" ca="1" si="116"/>
        <v>0</v>
      </c>
      <c r="AP143" s="103">
        <f t="shared" ca="1" si="116"/>
        <v>0</v>
      </c>
      <c r="AQ143" s="103">
        <f t="shared" ca="1" si="116"/>
        <v>0</v>
      </c>
      <c r="AR143" s="104">
        <f ca="1">COUNTIF(AJ143:AQ143,"&lt;"&amp;MAX(AJ143:AQ143))+IF(Calcs[[#This Row],[DL1]]=0,0,1)</f>
        <v>0</v>
      </c>
      <c r="AS143" s="105" t="str">
        <f ca="1">IF(LEN(Calcs[[#This Row],[Line]])&gt;0,IF(RIGHT(Calcs[[#This Row],[Remark]],3)=".  ",LEFT(Calcs[[#This Row],[Remark]],LEN(Calcs[[#This Row],[Remark]])-3),Calcs[[#This Row],[Remark]]),"")</f>
        <v/>
      </c>
      <c r="AT143" s="96">
        <f t="shared" ca="1" si="75"/>
        <v>0</v>
      </c>
      <c r="AU143" s="103">
        <f t="shared" ca="1" si="76"/>
        <v>0</v>
      </c>
      <c r="AV143" s="103">
        <f t="shared" ca="1" si="77"/>
        <v>0</v>
      </c>
      <c r="AW143" s="103">
        <f t="shared" ca="1" si="78"/>
        <v>0</v>
      </c>
      <c r="AX143" s="103">
        <f t="shared" ca="1" si="79"/>
        <v>0</v>
      </c>
      <c r="AY143" s="103">
        <f t="shared" ca="1" si="80"/>
        <v>0</v>
      </c>
      <c r="AZ143" s="103">
        <f t="shared" ca="1" si="81"/>
        <v>0</v>
      </c>
      <c r="BA143" s="103">
        <f t="shared" ca="1" si="82"/>
        <v>0</v>
      </c>
      <c r="BB143" s="103">
        <f t="shared" ca="1" si="83"/>
        <v>0</v>
      </c>
      <c r="BC143" s="103">
        <f t="shared" ca="1" si="84"/>
        <v>0</v>
      </c>
      <c r="BD143" s="103">
        <f t="shared" ca="1" si="85"/>
        <v>0</v>
      </c>
      <c r="BE143" s="103">
        <f t="shared" ca="1" si="86"/>
        <v>0</v>
      </c>
      <c r="BF143" s="103">
        <f t="shared" ca="1" si="87"/>
        <v>0</v>
      </c>
      <c r="BG143" s="103">
        <f t="shared" ca="1" si="88"/>
        <v>0</v>
      </c>
      <c r="BH143" s="103">
        <f t="shared" ca="1" si="89"/>
        <v>0</v>
      </c>
      <c r="BI143" s="103">
        <f t="shared" ca="1" si="90"/>
        <v>0</v>
      </c>
      <c r="BJ143" s="103">
        <f t="shared" ca="1" si="91"/>
        <v>0</v>
      </c>
      <c r="BK143" s="103">
        <f t="shared" ca="1" si="92"/>
        <v>0</v>
      </c>
      <c r="BL143" s="103">
        <f t="shared" ca="1" si="93"/>
        <v>0</v>
      </c>
      <c r="BM143" s="103">
        <f t="shared" ca="1" si="94"/>
        <v>0</v>
      </c>
      <c r="BN143" s="103">
        <f t="shared" ca="1" si="95"/>
        <v>0</v>
      </c>
      <c r="BO143" s="103">
        <f t="shared" ca="1" si="96"/>
        <v>0</v>
      </c>
      <c r="BP143" s="103">
        <f t="shared" ca="1" si="97"/>
        <v>0</v>
      </c>
      <c r="BQ143" s="103">
        <f t="shared" ca="1" si="98"/>
        <v>0</v>
      </c>
      <c r="BR143" s="103">
        <f t="shared" ca="1" si="99"/>
        <v>0</v>
      </c>
      <c r="BS143" s="103">
        <f t="shared" ca="1" si="100"/>
        <v>0</v>
      </c>
      <c r="BT143" s="103">
        <f t="shared" ca="1" si="101"/>
        <v>0</v>
      </c>
      <c r="BU143" s="103">
        <f t="shared" ca="1" si="102"/>
        <v>0</v>
      </c>
      <c r="BV143" s="103">
        <f t="shared" ca="1" si="103"/>
        <v>0</v>
      </c>
      <c r="BW143" s="103">
        <f t="shared" ca="1" si="104"/>
        <v>0</v>
      </c>
      <c r="BX143" s="103">
        <f t="shared" ca="1" si="105"/>
        <v>0</v>
      </c>
      <c r="BY143" s="103">
        <f t="shared" ca="1" si="106"/>
        <v>0</v>
      </c>
      <c r="BZ143" s="98">
        <f t="shared" ca="1" si="117"/>
        <v>0</v>
      </c>
      <c r="CA143" s="103">
        <f t="shared" ca="1" si="117"/>
        <v>0</v>
      </c>
      <c r="CB143" s="103">
        <f t="shared" ca="1" si="117"/>
        <v>0</v>
      </c>
      <c r="CC143" s="103">
        <f t="shared" ca="1" si="117"/>
        <v>0</v>
      </c>
      <c r="CD143" s="103">
        <f t="shared" ca="1" si="117"/>
        <v>0</v>
      </c>
      <c r="CE143" s="103">
        <f t="shared" ca="1" si="117"/>
        <v>0</v>
      </c>
      <c r="CF143" s="103">
        <f t="shared" ca="1" si="117"/>
        <v>0</v>
      </c>
      <c r="CG143" s="103">
        <f t="shared" ca="1" si="117"/>
        <v>0</v>
      </c>
      <c r="CH143" s="106">
        <f ca="1">COUNTIF(BZ143:CG143,"&lt;"&amp;MAX(BZ143:CG143))+IF(Calcs[[#This Row],[RL1]]=0,0,1)</f>
        <v>0</v>
      </c>
      <c r="CI14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3" s="103">
        <f ca="1">IFERROR(OFFSET(CJ143,-1,0)+0,0)+IF(INDEX(INDIRECT(RangeContrQty),MATCH(Calcs[[#This Row],[Line]],OFFSET(Items[Line],0,0,ROW(Proposed[])-ROW(Items[])+ROWS(Proposed[]),1),0)),1,0)</f>
        <v>0</v>
      </c>
    </row>
    <row r="144" spans="1:88" x14ac:dyDescent="0.15">
      <c r="A144" s="64">
        <f ca="1">IFERROR(OFFSET(A144,-1,0)+0,0)+MAX(IF(LEN(Calcs[[#This Row],[Line]])&gt;0,1,0),Calcs[[#This Row],[DL]],Calcs[[#This Row],[RL]])</f>
        <v>10</v>
      </c>
      <c r="B144" s="90" t="str">
        <f ca="1">IFERROR(INDEX(OFFSET(Items[Line],0,0,ROW(Proposed[])-ROW(Items[])+ROWS(Proposed[]),1),MATCH(ROW(B144)-ROW(B$3),INDIRECT(RangeCount),0)),"")</f>
        <v/>
      </c>
      <c r="C144" s="90" t="str">
        <f ca="1">IF(LEN(Calcs[[#This Row],[Line]])&gt;0,TRIM(IFERROR(INDEX(Items[Description],MATCH(Calcs[[#This Row],[Line]],Items[Line],0))&amp;INDEX(Items[Description2],MATCH(Calcs[[#This Row],[Line]],Items[Line],0)),INDEX(Proposed[Description],MATCH(Calcs[[#This Row],[Line]],Proposed[Line],0)))),"")</f>
        <v/>
      </c>
      <c r="D144" s="96">
        <f t="shared" ca="1" si="42"/>
        <v>0</v>
      </c>
      <c r="E144" s="103">
        <f t="shared" ca="1" si="43"/>
        <v>0</v>
      </c>
      <c r="F144" s="103">
        <f t="shared" ca="1" si="44"/>
        <v>0</v>
      </c>
      <c r="G144" s="103">
        <f t="shared" ca="1" si="45"/>
        <v>0</v>
      </c>
      <c r="H144" s="103">
        <f t="shared" ca="1" si="46"/>
        <v>0</v>
      </c>
      <c r="I144" s="103">
        <f t="shared" ca="1" si="47"/>
        <v>0</v>
      </c>
      <c r="J144" s="103">
        <f t="shared" ca="1" si="48"/>
        <v>0</v>
      </c>
      <c r="K144" s="103">
        <f t="shared" ca="1" si="49"/>
        <v>0</v>
      </c>
      <c r="L144" s="103">
        <f t="shared" ca="1" si="50"/>
        <v>0</v>
      </c>
      <c r="M144" s="103">
        <f t="shared" ca="1" si="51"/>
        <v>0</v>
      </c>
      <c r="N144" s="103">
        <f t="shared" ca="1" si="52"/>
        <v>0</v>
      </c>
      <c r="O144" s="103">
        <f t="shared" ca="1" si="53"/>
        <v>0</v>
      </c>
      <c r="P144" s="103">
        <f t="shared" ca="1" si="54"/>
        <v>0</v>
      </c>
      <c r="Q144" s="103">
        <f t="shared" ca="1" si="55"/>
        <v>0</v>
      </c>
      <c r="R144" s="103">
        <f t="shared" ca="1" si="56"/>
        <v>0</v>
      </c>
      <c r="S144" s="103">
        <f t="shared" ca="1" si="57"/>
        <v>0</v>
      </c>
      <c r="T144" s="103">
        <f t="shared" ca="1" si="58"/>
        <v>0</v>
      </c>
      <c r="U144" s="103">
        <f t="shared" ca="1" si="59"/>
        <v>0</v>
      </c>
      <c r="V144" s="103">
        <f t="shared" ca="1" si="60"/>
        <v>0</v>
      </c>
      <c r="W144" s="103">
        <f t="shared" ca="1" si="61"/>
        <v>0</v>
      </c>
      <c r="X144" s="103">
        <f t="shared" ca="1" si="62"/>
        <v>0</v>
      </c>
      <c r="Y144" s="103">
        <f t="shared" ca="1" si="63"/>
        <v>0</v>
      </c>
      <c r="Z144" s="103">
        <f t="shared" ca="1" si="64"/>
        <v>0</v>
      </c>
      <c r="AA144" s="103">
        <f t="shared" ca="1" si="65"/>
        <v>0</v>
      </c>
      <c r="AB144" s="103">
        <f t="shared" ca="1" si="66"/>
        <v>0</v>
      </c>
      <c r="AC144" s="103">
        <f t="shared" ca="1" si="67"/>
        <v>0</v>
      </c>
      <c r="AD144" s="103">
        <f t="shared" ca="1" si="68"/>
        <v>0</v>
      </c>
      <c r="AE144" s="103">
        <f t="shared" ca="1" si="69"/>
        <v>0</v>
      </c>
      <c r="AF144" s="103">
        <f t="shared" ca="1" si="70"/>
        <v>0</v>
      </c>
      <c r="AG144" s="103">
        <f t="shared" ca="1" si="71"/>
        <v>0</v>
      </c>
      <c r="AH144" s="103">
        <f t="shared" ca="1" si="72"/>
        <v>0</v>
      </c>
      <c r="AI144" s="103">
        <f t="shared" ca="1" si="73"/>
        <v>0</v>
      </c>
      <c r="AJ144" s="98">
        <f t="shared" ca="1" si="116"/>
        <v>0</v>
      </c>
      <c r="AK144" s="103">
        <f t="shared" ca="1" si="116"/>
        <v>0</v>
      </c>
      <c r="AL144" s="103">
        <f t="shared" ca="1" si="116"/>
        <v>0</v>
      </c>
      <c r="AM144" s="103">
        <f t="shared" ca="1" si="116"/>
        <v>0</v>
      </c>
      <c r="AN144" s="103">
        <f t="shared" ca="1" si="116"/>
        <v>0</v>
      </c>
      <c r="AO144" s="103">
        <f t="shared" ca="1" si="116"/>
        <v>0</v>
      </c>
      <c r="AP144" s="103">
        <f t="shared" ca="1" si="116"/>
        <v>0</v>
      </c>
      <c r="AQ144" s="103">
        <f t="shared" ca="1" si="116"/>
        <v>0</v>
      </c>
      <c r="AR144" s="104">
        <f ca="1">COUNTIF(AJ144:AQ144,"&lt;"&amp;MAX(AJ144:AQ144))+IF(Calcs[[#This Row],[DL1]]=0,0,1)</f>
        <v>0</v>
      </c>
      <c r="AS144" s="105" t="str">
        <f ca="1">IF(LEN(Calcs[[#This Row],[Line]])&gt;0,IF(RIGHT(Calcs[[#This Row],[Remark]],3)=".  ",LEFT(Calcs[[#This Row],[Remark]],LEN(Calcs[[#This Row],[Remark]])-3),Calcs[[#This Row],[Remark]]),"")</f>
        <v/>
      </c>
      <c r="AT144" s="96">
        <f t="shared" ca="1" si="75"/>
        <v>0</v>
      </c>
      <c r="AU144" s="103">
        <f t="shared" ca="1" si="76"/>
        <v>0</v>
      </c>
      <c r="AV144" s="103">
        <f t="shared" ca="1" si="77"/>
        <v>0</v>
      </c>
      <c r="AW144" s="103">
        <f t="shared" ca="1" si="78"/>
        <v>0</v>
      </c>
      <c r="AX144" s="103">
        <f t="shared" ca="1" si="79"/>
        <v>0</v>
      </c>
      <c r="AY144" s="103">
        <f t="shared" ca="1" si="80"/>
        <v>0</v>
      </c>
      <c r="AZ144" s="103">
        <f t="shared" ca="1" si="81"/>
        <v>0</v>
      </c>
      <c r="BA144" s="103">
        <f t="shared" ca="1" si="82"/>
        <v>0</v>
      </c>
      <c r="BB144" s="103">
        <f t="shared" ca="1" si="83"/>
        <v>0</v>
      </c>
      <c r="BC144" s="103">
        <f t="shared" ca="1" si="84"/>
        <v>0</v>
      </c>
      <c r="BD144" s="103">
        <f t="shared" ca="1" si="85"/>
        <v>0</v>
      </c>
      <c r="BE144" s="103">
        <f t="shared" ca="1" si="86"/>
        <v>0</v>
      </c>
      <c r="BF144" s="103">
        <f t="shared" ca="1" si="87"/>
        <v>0</v>
      </c>
      <c r="BG144" s="103">
        <f t="shared" ca="1" si="88"/>
        <v>0</v>
      </c>
      <c r="BH144" s="103">
        <f t="shared" ca="1" si="89"/>
        <v>0</v>
      </c>
      <c r="BI144" s="103">
        <f t="shared" ca="1" si="90"/>
        <v>0</v>
      </c>
      <c r="BJ144" s="103">
        <f t="shared" ca="1" si="91"/>
        <v>0</v>
      </c>
      <c r="BK144" s="103">
        <f t="shared" ca="1" si="92"/>
        <v>0</v>
      </c>
      <c r="BL144" s="103">
        <f t="shared" ca="1" si="93"/>
        <v>0</v>
      </c>
      <c r="BM144" s="103">
        <f t="shared" ca="1" si="94"/>
        <v>0</v>
      </c>
      <c r="BN144" s="103">
        <f t="shared" ca="1" si="95"/>
        <v>0</v>
      </c>
      <c r="BO144" s="103">
        <f t="shared" ca="1" si="96"/>
        <v>0</v>
      </c>
      <c r="BP144" s="103">
        <f t="shared" ca="1" si="97"/>
        <v>0</v>
      </c>
      <c r="BQ144" s="103">
        <f t="shared" ca="1" si="98"/>
        <v>0</v>
      </c>
      <c r="BR144" s="103">
        <f t="shared" ca="1" si="99"/>
        <v>0</v>
      </c>
      <c r="BS144" s="103">
        <f t="shared" ca="1" si="100"/>
        <v>0</v>
      </c>
      <c r="BT144" s="103">
        <f t="shared" ca="1" si="101"/>
        <v>0</v>
      </c>
      <c r="BU144" s="103">
        <f t="shared" ca="1" si="102"/>
        <v>0</v>
      </c>
      <c r="BV144" s="103">
        <f t="shared" ca="1" si="103"/>
        <v>0</v>
      </c>
      <c r="BW144" s="103">
        <f t="shared" ca="1" si="104"/>
        <v>0</v>
      </c>
      <c r="BX144" s="103">
        <f t="shared" ca="1" si="105"/>
        <v>0</v>
      </c>
      <c r="BY144" s="103">
        <f t="shared" ca="1" si="106"/>
        <v>0</v>
      </c>
      <c r="BZ144" s="98">
        <f t="shared" ca="1" si="117"/>
        <v>0</v>
      </c>
      <c r="CA144" s="103">
        <f t="shared" ca="1" si="117"/>
        <v>0</v>
      </c>
      <c r="CB144" s="103">
        <f t="shared" ca="1" si="117"/>
        <v>0</v>
      </c>
      <c r="CC144" s="103">
        <f t="shared" ca="1" si="117"/>
        <v>0</v>
      </c>
      <c r="CD144" s="103">
        <f t="shared" ca="1" si="117"/>
        <v>0</v>
      </c>
      <c r="CE144" s="103">
        <f t="shared" ca="1" si="117"/>
        <v>0</v>
      </c>
      <c r="CF144" s="103">
        <f t="shared" ca="1" si="117"/>
        <v>0</v>
      </c>
      <c r="CG144" s="103">
        <f t="shared" ca="1" si="117"/>
        <v>0</v>
      </c>
      <c r="CH144" s="106">
        <f ca="1">COUNTIF(BZ144:CG144,"&lt;"&amp;MAX(BZ144:CG144))+IF(Calcs[[#This Row],[RL1]]=0,0,1)</f>
        <v>0</v>
      </c>
      <c r="CI14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4" s="103">
        <f ca="1">IFERROR(OFFSET(CJ144,-1,0)+0,0)+IF(INDEX(INDIRECT(RangeContrQty),MATCH(Calcs[[#This Row],[Line]],OFFSET(Items[Line],0,0,ROW(Proposed[])-ROW(Items[])+ROWS(Proposed[]),1),0)),1,0)</f>
        <v>0</v>
      </c>
    </row>
    <row r="145" spans="1:88" x14ac:dyDescent="0.15">
      <c r="A145" s="64">
        <f ca="1">IFERROR(OFFSET(A145,-1,0)+0,0)+MAX(IF(LEN(Calcs[[#This Row],[Line]])&gt;0,1,0),Calcs[[#This Row],[DL]],Calcs[[#This Row],[RL]])</f>
        <v>10</v>
      </c>
      <c r="B145" s="90" t="str">
        <f ca="1">IFERROR(INDEX(OFFSET(Items[Line],0,0,ROW(Proposed[])-ROW(Items[])+ROWS(Proposed[]),1),MATCH(ROW(B145)-ROW(B$3),INDIRECT(RangeCount),0)),"")</f>
        <v/>
      </c>
      <c r="C145" s="90" t="str">
        <f ca="1">IF(LEN(Calcs[[#This Row],[Line]])&gt;0,TRIM(IFERROR(INDEX(Items[Description],MATCH(Calcs[[#This Row],[Line]],Items[Line],0))&amp;INDEX(Items[Description2],MATCH(Calcs[[#This Row],[Line]],Items[Line],0)),INDEX(Proposed[Description],MATCH(Calcs[[#This Row],[Line]],Proposed[Line],0)))),"")</f>
        <v/>
      </c>
      <c r="D145" s="96">
        <f t="shared" ca="1" si="42"/>
        <v>0</v>
      </c>
      <c r="E145" s="103">
        <f t="shared" ca="1" si="43"/>
        <v>0</v>
      </c>
      <c r="F145" s="103">
        <f t="shared" ca="1" si="44"/>
        <v>0</v>
      </c>
      <c r="G145" s="103">
        <f t="shared" ca="1" si="45"/>
        <v>0</v>
      </c>
      <c r="H145" s="103">
        <f t="shared" ca="1" si="46"/>
        <v>0</v>
      </c>
      <c r="I145" s="103">
        <f t="shared" ca="1" si="47"/>
        <v>0</v>
      </c>
      <c r="J145" s="103">
        <f t="shared" ca="1" si="48"/>
        <v>0</v>
      </c>
      <c r="K145" s="103">
        <f t="shared" ca="1" si="49"/>
        <v>0</v>
      </c>
      <c r="L145" s="103">
        <f t="shared" ca="1" si="50"/>
        <v>0</v>
      </c>
      <c r="M145" s="103">
        <f t="shared" ca="1" si="51"/>
        <v>0</v>
      </c>
      <c r="N145" s="103">
        <f t="shared" ca="1" si="52"/>
        <v>0</v>
      </c>
      <c r="O145" s="103">
        <f t="shared" ca="1" si="53"/>
        <v>0</v>
      </c>
      <c r="P145" s="103">
        <f t="shared" ca="1" si="54"/>
        <v>0</v>
      </c>
      <c r="Q145" s="103">
        <f t="shared" ca="1" si="55"/>
        <v>0</v>
      </c>
      <c r="R145" s="103">
        <f t="shared" ca="1" si="56"/>
        <v>0</v>
      </c>
      <c r="S145" s="103">
        <f t="shared" ca="1" si="57"/>
        <v>0</v>
      </c>
      <c r="T145" s="103">
        <f t="shared" ca="1" si="58"/>
        <v>0</v>
      </c>
      <c r="U145" s="103">
        <f t="shared" ca="1" si="59"/>
        <v>0</v>
      </c>
      <c r="V145" s="103">
        <f t="shared" ca="1" si="60"/>
        <v>0</v>
      </c>
      <c r="W145" s="103">
        <f t="shared" ca="1" si="61"/>
        <v>0</v>
      </c>
      <c r="X145" s="103">
        <f t="shared" ca="1" si="62"/>
        <v>0</v>
      </c>
      <c r="Y145" s="103">
        <f t="shared" ca="1" si="63"/>
        <v>0</v>
      </c>
      <c r="Z145" s="103">
        <f t="shared" ca="1" si="64"/>
        <v>0</v>
      </c>
      <c r="AA145" s="103">
        <f t="shared" ca="1" si="65"/>
        <v>0</v>
      </c>
      <c r="AB145" s="103">
        <f t="shared" ca="1" si="66"/>
        <v>0</v>
      </c>
      <c r="AC145" s="103">
        <f t="shared" ca="1" si="67"/>
        <v>0</v>
      </c>
      <c r="AD145" s="103">
        <f t="shared" ca="1" si="68"/>
        <v>0</v>
      </c>
      <c r="AE145" s="103">
        <f t="shared" ca="1" si="69"/>
        <v>0</v>
      </c>
      <c r="AF145" s="103">
        <f t="shared" ca="1" si="70"/>
        <v>0</v>
      </c>
      <c r="AG145" s="103">
        <f t="shared" ca="1" si="71"/>
        <v>0</v>
      </c>
      <c r="AH145" s="103">
        <f t="shared" ca="1" si="72"/>
        <v>0</v>
      </c>
      <c r="AI145" s="103">
        <f t="shared" ca="1" si="73"/>
        <v>0</v>
      </c>
      <c r="AJ145" s="98">
        <f t="shared" ca="1" si="116"/>
        <v>0</v>
      </c>
      <c r="AK145" s="103">
        <f t="shared" ca="1" si="116"/>
        <v>0</v>
      </c>
      <c r="AL145" s="103">
        <f t="shared" ca="1" si="116"/>
        <v>0</v>
      </c>
      <c r="AM145" s="103">
        <f t="shared" ca="1" si="116"/>
        <v>0</v>
      </c>
      <c r="AN145" s="103">
        <f t="shared" ca="1" si="116"/>
        <v>0</v>
      </c>
      <c r="AO145" s="103">
        <f t="shared" ca="1" si="116"/>
        <v>0</v>
      </c>
      <c r="AP145" s="103">
        <f t="shared" ca="1" si="116"/>
        <v>0</v>
      </c>
      <c r="AQ145" s="103">
        <f t="shared" ca="1" si="116"/>
        <v>0</v>
      </c>
      <c r="AR145" s="104">
        <f ca="1">COUNTIF(AJ145:AQ145,"&lt;"&amp;MAX(AJ145:AQ145))+IF(Calcs[[#This Row],[DL1]]=0,0,1)</f>
        <v>0</v>
      </c>
      <c r="AS145" s="105" t="str">
        <f ca="1">IF(LEN(Calcs[[#This Row],[Line]])&gt;0,IF(RIGHT(Calcs[[#This Row],[Remark]],3)=".  ",LEFT(Calcs[[#This Row],[Remark]],LEN(Calcs[[#This Row],[Remark]])-3),Calcs[[#This Row],[Remark]]),"")</f>
        <v/>
      </c>
      <c r="AT145" s="96">
        <f t="shared" ca="1" si="75"/>
        <v>0</v>
      </c>
      <c r="AU145" s="103">
        <f t="shared" ca="1" si="76"/>
        <v>0</v>
      </c>
      <c r="AV145" s="103">
        <f t="shared" ca="1" si="77"/>
        <v>0</v>
      </c>
      <c r="AW145" s="103">
        <f t="shared" ca="1" si="78"/>
        <v>0</v>
      </c>
      <c r="AX145" s="103">
        <f t="shared" ca="1" si="79"/>
        <v>0</v>
      </c>
      <c r="AY145" s="103">
        <f t="shared" ca="1" si="80"/>
        <v>0</v>
      </c>
      <c r="AZ145" s="103">
        <f t="shared" ca="1" si="81"/>
        <v>0</v>
      </c>
      <c r="BA145" s="103">
        <f t="shared" ca="1" si="82"/>
        <v>0</v>
      </c>
      <c r="BB145" s="103">
        <f t="shared" ca="1" si="83"/>
        <v>0</v>
      </c>
      <c r="BC145" s="103">
        <f t="shared" ca="1" si="84"/>
        <v>0</v>
      </c>
      <c r="BD145" s="103">
        <f t="shared" ca="1" si="85"/>
        <v>0</v>
      </c>
      <c r="BE145" s="103">
        <f t="shared" ca="1" si="86"/>
        <v>0</v>
      </c>
      <c r="BF145" s="103">
        <f t="shared" ca="1" si="87"/>
        <v>0</v>
      </c>
      <c r="BG145" s="103">
        <f t="shared" ca="1" si="88"/>
        <v>0</v>
      </c>
      <c r="BH145" s="103">
        <f t="shared" ca="1" si="89"/>
        <v>0</v>
      </c>
      <c r="BI145" s="103">
        <f t="shared" ca="1" si="90"/>
        <v>0</v>
      </c>
      <c r="BJ145" s="103">
        <f t="shared" ca="1" si="91"/>
        <v>0</v>
      </c>
      <c r="BK145" s="103">
        <f t="shared" ca="1" si="92"/>
        <v>0</v>
      </c>
      <c r="BL145" s="103">
        <f t="shared" ca="1" si="93"/>
        <v>0</v>
      </c>
      <c r="BM145" s="103">
        <f t="shared" ca="1" si="94"/>
        <v>0</v>
      </c>
      <c r="BN145" s="103">
        <f t="shared" ca="1" si="95"/>
        <v>0</v>
      </c>
      <c r="BO145" s="103">
        <f t="shared" ca="1" si="96"/>
        <v>0</v>
      </c>
      <c r="BP145" s="103">
        <f t="shared" ca="1" si="97"/>
        <v>0</v>
      </c>
      <c r="BQ145" s="103">
        <f t="shared" ca="1" si="98"/>
        <v>0</v>
      </c>
      <c r="BR145" s="103">
        <f t="shared" ca="1" si="99"/>
        <v>0</v>
      </c>
      <c r="BS145" s="103">
        <f t="shared" ca="1" si="100"/>
        <v>0</v>
      </c>
      <c r="BT145" s="103">
        <f t="shared" ca="1" si="101"/>
        <v>0</v>
      </c>
      <c r="BU145" s="103">
        <f t="shared" ca="1" si="102"/>
        <v>0</v>
      </c>
      <c r="BV145" s="103">
        <f t="shared" ca="1" si="103"/>
        <v>0</v>
      </c>
      <c r="BW145" s="103">
        <f t="shared" ca="1" si="104"/>
        <v>0</v>
      </c>
      <c r="BX145" s="103">
        <f t="shared" ca="1" si="105"/>
        <v>0</v>
      </c>
      <c r="BY145" s="103">
        <f t="shared" ca="1" si="106"/>
        <v>0</v>
      </c>
      <c r="BZ145" s="98">
        <f t="shared" ca="1" si="117"/>
        <v>0</v>
      </c>
      <c r="CA145" s="103">
        <f t="shared" ca="1" si="117"/>
        <v>0</v>
      </c>
      <c r="CB145" s="103">
        <f t="shared" ca="1" si="117"/>
        <v>0</v>
      </c>
      <c r="CC145" s="103">
        <f t="shared" ca="1" si="117"/>
        <v>0</v>
      </c>
      <c r="CD145" s="103">
        <f t="shared" ca="1" si="117"/>
        <v>0</v>
      </c>
      <c r="CE145" s="103">
        <f t="shared" ca="1" si="117"/>
        <v>0</v>
      </c>
      <c r="CF145" s="103">
        <f t="shared" ca="1" si="117"/>
        <v>0</v>
      </c>
      <c r="CG145" s="103">
        <f t="shared" ca="1" si="117"/>
        <v>0</v>
      </c>
      <c r="CH145" s="106">
        <f ca="1">COUNTIF(BZ145:CG145,"&lt;"&amp;MAX(BZ145:CG145))+IF(Calcs[[#This Row],[RL1]]=0,0,1)</f>
        <v>0</v>
      </c>
      <c r="CI14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5" s="103">
        <f ca="1">IFERROR(OFFSET(CJ145,-1,0)+0,0)+IF(INDEX(INDIRECT(RangeContrQty),MATCH(Calcs[[#This Row],[Line]],OFFSET(Items[Line],0,0,ROW(Proposed[])-ROW(Items[])+ROWS(Proposed[]),1),0)),1,0)</f>
        <v>0</v>
      </c>
    </row>
    <row r="146" spans="1:88" x14ac:dyDescent="0.15">
      <c r="A146" s="64">
        <f ca="1">IFERROR(OFFSET(A146,-1,0)+0,0)+MAX(IF(LEN(Calcs[[#This Row],[Line]])&gt;0,1,0),Calcs[[#This Row],[DL]],Calcs[[#This Row],[RL]])</f>
        <v>10</v>
      </c>
      <c r="B146" s="90" t="str">
        <f ca="1">IFERROR(INDEX(OFFSET(Items[Line],0,0,ROW(Proposed[])-ROW(Items[])+ROWS(Proposed[]),1),MATCH(ROW(B146)-ROW(B$3),INDIRECT(RangeCount),0)),"")</f>
        <v/>
      </c>
      <c r="C146" s="90" t="str">
        <f ca="1">IF(LEN(Calcs[[#This Row],[Line]])&gt;0,TRIM(IFERROR(INDEX(Items[Description],MATCH(Calcs[[#This Row],[Line]],Items[Line],0))&amp;INDEX(Items[Description2],MATCH(Calcs[[#This Row],[Line]],Items[Line],0)),INDEX(Proposed[Description],MATCH(Calcs[[#This Row],[Line]],Proposed[Line],0)))),"")</f>
        <v/>
      </c>
      <c r="D146" s="96">
        <f t="shared" ca="1" si="42"/>
        <v>0</v>
      </c>
      <c r="E146" s="103">
        <f t="shared" ca="1" si="43"/>
        <v>0</v>
      </c>
      <c r="F146" s="103">
        <f t="shared" ca="1" si="44"/>
        <v>0</v>
      </c>
      <c r="G146" s="103">
        <f t="shared" ca="1" si="45"/>
        <v>0</v>
      </c>
      <c r="H146" s="103">
        <f t="shared" ca="1" si="46"/>
        <v>0</v>
      </c>
      <c r="I146" s="103">
        <f t="shared" ca="1" si="47"/>
        <v>0</v>
      </c>
      <c r="J146" s="103">
        <f t="shared" ca="1" si="48"/>
        <v>0</v>
      </c>
      <c r="K146" s="103">
        <f t="shared" ca="1" si="49"/>
        <v>0</v>
      </c>
      <c r="L146" s="103">
        <f t="shared" ca="1" si="50"/>
        <v>0</v>
      </c>
      <c r="M146" s="103">
        <f t="shared" ca="1" si="51"/>
        <v>0</v>
      </c>
      <c r="N146" s="103">
        <f t="shared" ca="1" si="52"/>
        <v>0</v>
      </c>
      <c r="O146" s="103">
        <f t="shared" ca="1" si="53"/>
        <v>0</v>
      </c>
      <c r="P146" s="103">
        <f t="shared" ca="1" si="54"/>
        <v>0</v>
      </c>
      <c r="Q146" s="103">
        <f t="shared" ca="1" si="55"/>
        <v>0</v>
      </c>
      <c r="R146" s="103">
        <f t="shared" ca="1" si="56"/>
        <v>0</v>
      </c>
      <c r="S146" s="103">
        <f t="shared" ca="1" si="57"/>
        <v>0</v>
      </c>
      <c r="T146" s="103">
        <f t="shared" ca="1" si="58"/>
        <v>0</v>
      </c>
      <c r="U146" s="103">
        <f t="shared" ca="1" si="59"/>
        <v>0</v>
      </c>
      <c r="V146" s="103">
        <f t="shared" ca="1" si="60"/>
        <v>0</v>
      </c>
      <c r="W146" s="103">
        <f t="shared" ca="1" si="61"/>
        <v>0</v>
      </c>
      <c r="X146" s="103">
        <f t="shared" ca="1" si="62"/>
        <v>0</v>
      </c>
      <c r="Y146" s="103">
        <f t="shared" ca="1" si="63"/>
        <v>0</v>
      </c>
      <c r="Z146" s="103">
        <f t="shared" ca="1" si="64"/>
        <v>0</v>
      </c>
      <c r="AA146" s="103">
        <f t="shared" ca="1" si="65"/>
        <v>0</v>
      </c>
      <c r="AB146" s="103">
        <f t="shared" ca="1" si="66"/>
        <v>0</v>
      </c>
      <c r="AC146" s="103">
        <f t="shared" ca="1" si="67"/>
        <v>0</v>
      </c>
      <c r="AD146" s="103">
        <f t="shared" ca="1" si="68"/>
        <v>0</v>
      </c>
      <c r="AE146" s="103">
        <f t="shared" ca="1" si="69"/>
        <v>0</v>
      </c>
      <c r="AF146" s="103">
        <f t="shared" ca="1" si="70"/>
        <v>0</v>
      </c>
      <c r="AG146" s="103">
        <f t="shared" ca="1" si="71"/>
        <v>0</v>
      </c>
      <c r="AH146" s="103">
        <f t="shared" ca="1" si="72"/>
        <v>0</v>
      </c>
      <c r="AI146" s="103">
        <f t="shared" ca="1" si="73"/>
        <v>0</v>
      </c>
      <c r="AJ146" s="98">
        <f t="shared" ca="1" si="116"/>
        <v>0</v>
      </c>
      <c r="AK146" s="103">
        <f t="shared" ca="1" si="116"/>
        <v>0</v>
      </c>
      <c r="AL146" s="103">
        <f t="shared" ca="1" si="116"/>
        <v>0</v>
      </c>
      <c r="AM146" s="103">
        <f t="shared" ca="1" si="116"/>
        <v>0</v>
      </c>
      <c r="AN146" s="103">
        <f t="shared" ca="1" si="116"/>
        <v>0</v>
      </c>
      <c r="AO146" s="103">
        <f t="shared" ca="1" si="116"/>
        <v>0</v>
      </c>
      <c r="AP146" s="103">
        <f t="shared" ca="1" si="116"/>
        <v>0</v>
      </c>
      <c r="AQ146" s="103">
        <f t="shared" ca="1" si="116"/>
        <v>0</v>
      </c>
      <c r="AR146" s="104">
        <f ca="1">COUNTIF(AJ146:AQ146,"&lt;"&amp;MAX(AJ146:AQ146))+IF(Calcs[[#This Row],[DL1]]=0,0,1)</f>
        <v>0</v>
      </c>
      <c r="AS146" s="105" t="str">
        <f ca="1">IF(LEN(Calcs[[#This Row],[Line]])&gt;0,IF(RIGHT(Calcs[[#This Row],[Remark]],3)=".  ",LEFT(Calcs[[#This Row],[Remark]],LEN(Calcs[[#This Row],[Remark]])-3),Calcs[[#This Row],[Remark]]),"")</f>
        <v/>
      </c>
      <c r="AT146" s="96">
        <f t="shared" ca="1" si="75"/>
        <v>0</v>
      </c>
      <c r="AU146" s="103">
        <f t="shared" ca="1" si="76"/>
        <v>0</v>
      </c>
      <c r="AV146" s="103">
        <f t="shared" ca="1" si="77"/>
        <v>0</v>
      </c>
      <c r="AW146" s="103">
        <f t="shared" ca="1" si="78"/>
        <v>0</v>
      </c>
      <c r="AX146" s="103">
        <f t="shared" ca="1" si="79"/>
        <v>0</v>
      </c>
      <c r="AY146" s="103">
        <f t="shared" ca="1" si="80"/>
        <v>0</v>
      </c>
      <c r="AZ146" s="103">
        <f t="shared" ca="1" si="81"/>
        <v>0</v>
      </c>
      <c r="BA146" s="103">
        <f t="shared" ca="1" si="82"/>
        <v>0</v>
      </c>
      <c r="BB146" s="103">
        <f t="shared" ca="1" si="83"/>
        <v>0</v>
      </c>
      <c r="BC146" s="103">
        <f t="shared" ca="1" si="84"/>
        <v>0</v>
      </c>
      <c r="BD146" s="103">
        <f t="shared" ca="1" si="85"/>
        <v>0</v>
      </c>
      <c r="BE146" s="103">
        <f t="shared" ca="1" si="86"/>
        <v>0</v>
      </c>
      <c r="BF146" s="103">
        <f t="shared" ca="1" si="87"/>
        <v>0</v>
      </c>
      <c r="BG146" s="103">
        <f t="shared" ca="1" si="88"/>
        <v>0</v>
      </c>
      <c r="BH146" s="103">
        <f t="shared" ca="1" si="89"/>
        <v>0</v>
      </c>
      <c r="BI146" s="103">
        <f t="shared" ca="1" si="90"/>
        <v>0</v>
      </c>
      <c r="BJ146" s="103">
        <f t="shared" ca="1" si="91"/>
        <v>0</v>
      </c>
      <c r="BK146" s="103">
        <f t="shared" ca="1" si="92"/>
        <v>0</v>
      </c>
      <c r="BL146" s="103">
        <f t="shared" ca="1" si="93"/>
        <v>0</v>
      </c>
      <c r="BM146" s="103">
        <f t="shared" ca="1" si="94"/>
        <v>0</v>
      </c>
      <c r="BN146" s="103">
        <f t="shared" ca="1" si="95"/>
        <v>0</v>
      </c>
      <c r="BO146" s="103">
        <f t="shared" ca="1" si="96"/>
        <v>0</v>
      </c>
      <c r="BP146" s="103">
        <f t="shared" ca="1" si="97"/>
        <v>0</v>
      </c>
      <c r="BQ146" s="103">
        <f t="shared" ca="1" si="98"/>
        <v>0</v>
      </c>
      <c r="BR146" s="103">
        <f t="shared" ca="1" si="99"/>
        <v>0</v>
      </c>
      <c r="BS146" s="103">
        <f t="shared" ca="1" si="100"/>
        <v>0</v>
      </c>
      <c r="BT146" s="103">
        <f t="shared" ca="1" si="101"/>
        <v>0</v>
      </c>
      <c r="BU146" s="103">
        <f t="shared" ca="1" si="102"/>
        <v>0</v>
      </c>
      <c r="BV146" s="103">
        <f t="shared" ca="1" si="103"/>
        <v>0</v>
      </c>
      <c r="BW146" s="103">
        <f t="shared" ca="1" si="104"/>
        <v>0</v>
      </c>
      <c r="BX146" s="103">
        <f t="shared" ca="1" si="105"/>
        <v>0</v>
      </c>
      <c r="BY146" s="103">
        <f t="shared" ca="1" si="106"/>
        <v>0</v>
      </c>
      <c r="BZ146" s="98">
        <f t="shared" ca="1" si="117"/>
        <v>0</v>
      </c>
      <c r="CA146" s="103">
        <f t="shared" ca="1" si="117"/>
        <v>0</v>
      </c>
      <c r="CB146" s="103">
        <f t="shared" ca="1" si="117"/>
        <v>0</v>
      </c>
      <c r="CC146" s="103">
        <f t="shared" ca="1" si="117"/>
        <v>0</v>
      </c>
      <c r="CD146" s="103">
        <f t="shared" ca="1" si="117"/>
        <v>0</v>
      </c>
      <c r="CE146" s="103">
        <f t="shared" ca="1" si="117"/>
        <v>0</v>
      </c>
      <c r="CF146" s="103">
        <f t="shared" ca="1" si="117"/>
        <v>0</v>
      </c>
      <c r="CG146" s="103">
        <f t="shared" ca="1" si="117"/>
        <v>0</v>
      </c>
      <c r="CH146" s="106">
        <f ca="1">COUNTIF(BZ146:CG146,"&lt;"&amp;MAX(BZ146:CG146))+IF(Calcs[[#This Row],[RL1]]=0,0,1)</f>
        <v>0</v>
      </c>
      <c r="CI14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6" s="103">
        <f ca="1">IFERROR(OFFSET(CJ146,-1,0)+0,0)+IF(INDEX(INDIRECT(RangeContrQty),MATCH(Calcs[[#This Row],[Line]],OFFSET(Items[Line],0,0,ROW(Proposed[])-ROW(Items[])+ROWS(Proposed[]),1),0)),1,0)</f>
        <v>0</v>
      </c>
    </row>
    <row r="147" spans="1:88" x14ac:dyDescent="0.15">
      <c r="A147" s="64">
        <f ca="1">IFERROR(OFFSET(A147,-1,0)+0,0)+MAX(IF(LEN(Calcs[[#This Row],[Line]])&gt;0,1,0),Calcs[[#This Row],[DL]],Calcs[[#This Row],[RL]])</f>
        <v>10</v>
      </c>
      <c r="B147" s="90" t="str">
        <f ca="1">IFERROR(INDEX(OFFSET(Items[Line],0,0,ROW(Proposed[])-ROW(Items[])+ROWS(Proposed[]),1),MATCH(ROW(B147)-ROW(B$3),INDIRECT(RangeCount),0)),"")</f>
        <v/>
      </c>
      <c r="C147" s="90" t="str">
        <f ca="1">IF(LEN(Calcs[[#This Row],[Line]])&gt;0,TRIM(IFERROR(INDEX(Items[Description],MATCH(Calcs[[#This Row],[Line]],Items[Line],0))&amp;INDEX(Items[Description2],MATCH(Calcs[[#This Row],[Line]],Items[Line],0)),INDEX(Proposed[Description],MATCH(Calcs[[#This Row],[Line]],Proposed[Line],0)))),"")</f>
        <v/>
      </c>
      <c r="D147" s="96">
        <f t="shared" ca="1" si="42"/>
        <v>0</v>
      </c>
      <c r="E147" s="103">
        <f t="shared" ca="1" si="43"/>
        <v>0</v>
      </c>
      <c r="F147" s="103">
        <f t="shared" ca="1" si="44"/>
        <v>0</v>
      </c>
      <c r="G147" s="103">
        <f t="shared" ca="1" si="45"/>
        <v>0</v>
      </c>
      <c r="H147" s="103">
        <f t="shared" ca="1" si="46"/>
        <v>0</v>
      </c>
      <c r="I147" s="103">
        <f t="shared" ca="1" si="47"/>
        <v>0</v>
      </c>
      <c r="J147" s="103">
        <f t="shared" ca="1" si="48"/>
        <v>0</v>
      </c>
      <c r="K147" s="103">
        <f t="shared" ca="1" si="49"/>
        <v>0</v>
      </c>
      <c r="L147" s="103">
        <f t="shared" ca="1" si="50"/>
        <v>0</v>
      </c>
      <c r="M147" s="103">
        <f t="shared" ca="1" si="51"/>
        <v>0</v>
      </c>
      <c r="N147" s="103">
        <f t="shared" ca="1" si="52"/>
        <v>0</v>
      </c>
      <c r="O147" s="103">
        <f t="shared" ca="1" si="53"/>
        <v>0</v>
      </c>
      <c r="P147" s="103">
        <f t="shared" ca="1" si="54"/>
        <v>0</v>
      </c>
      <c r="Q147" s="103">
        <f t="shared" ca="1" si="55"/>
        <v>0</v>
      </c>
      <c r="R147" s="103">
        <f t="shared" ca="1" si="56"/>
        <v>0</v>
      </c>
      <c r="S147" s="103">
        <f t="shared" ca="1" si="57"/>
        <v>0</v>
      </c>
      <c r="T147" s="103">
        <f t="shared" ca="1" si="58"/>
        <v>0</v>
      </c>
      <c r="U147" s="103">
        <f t="shared" ca="1" si="59"/>
        <v>0</v>
      </c>
      <c r="V147" s="103">
        <f t="shared" ca="1" si="60"/>
        <v>0</v>
      </c>
      <c r="W147" s="103">
        <f t="shared" ca="1" si="61"/>
        <v>0</v>
      </c>
      <c r="X147" s="103">
        <f t="shared" ca="1" si="62"/>
        <v>0</v>
      </c>
      <c r="Y147" s="103">
        <f t="shared" ca="1" si="63"/>
        <v>0</v>
      </c>
      <c r="Z147" s="103">
        <f t="shared" ca="1" si="64"/>
        <v>0</v>
      </c>
      <c r="AA147" s="103">
        <f t="shared" ca="1" si="65"/>
        <v>0</v>
      </c>
      <c r="AB147" s="103">
        <f t="shared" ca="1" si="66"/>
        <v>0</v>
      </c>
      <c r="AC147" s="103">
        <f t="shared" ca="1" si="67"/>
        <v>0</v>
      </c>
      <c r="AD147" s="103">
        <f t="shared" ca="1" si="68"/>
        <v>0</v>
      </c>
      <c r="AE147" s="103">
        <f t="shared" ca="1" si="69"/>
        <v>0</v>
      </c>
      <c r="AF147" s="103">
        <f t="shared" ca="1" si="70"/>
        <v>0</v>
      </c>
      <c r="AG147" s="103">
        <f t="shared" ca="1" si="71"/>
        <v>0</v>
      </c>
      <c r="AH147" s="103">
        <f t="shared" ca="1" si="72"/>
        <v>0</v>
      </c>
      <c r="AI147" s="103">
        <f t="shared" ca="1" si="73"/>
        <v>0</v>
      </c>
      <c r="AJ147" s="98">
        <f t="shared" ca="1" si="116"/>
        <v>0</v>
      </c>
      <c r="AK147" s="103">
        <f t="shared" ca="1" si="116"/>
        <v>0</v>
      </c>
      <c r="AL147" s="103">
        <f t="shared" ca="1" si="116"/>
        <v>0</v>
      </c>
      <c r="AM147" s="103">
        <f t="shared" ca="1" si="116"/>
        <v>0</v>
      </c>
      <c r="AN147" s="103">
        <f t="shared" ca="1" si="116"/>
        <v>0</v>
      </c>
      <c r="AO147" s="103">
        <f t="shared" ca="1" si="116"/>
        <v>0</v>
      </c>
      <c r="AP147" s="103">
        <f t="shared" ca="1" si="116"/>
        <v>0</v>
      </c>
      <c r="AQ147" s="103">
        <f t="shared" ca="1" si="116"/>
        <v>0</v>
      </c>
      <c r="AR147" s="104">
        <f ca="1">COUNTIF(AJ147:AQ147,"&lt;"&amp;MAX(AJ147:AQ147))+IF(Calcs[[#This Row],[DL1]]=0,0,1)</f>
        <v>0</v>
      </c>
      <c r="AS147" s="105" t="str">
        <f ca="1">IF(LEN(Calcs[[#This Row],[Line]])&gt;0,IF(RIGHT(Calcs[[#This Row],[Remark]],3)=".  ",LEFT(Calcs[[#This Row],[Remark]],LEN(Calcs[[#This Row],[Remark]])-3),Calcs[[#This Row],[Remark]]),"")</f>
        <v/>
      </c>
      <c r="AT147" s="96">
        <f t="shared" ca="1" si="75"/>
        <v>0</v>
      </c>
      <c r="AU147" s="103">
        <f t="shared" ca="1" si="76"/>
        <v>0</v>
      </c>
      <c r="AV147" s="103">
        <f t="shared" ca="1" si="77"/>
        <v>0</v>
      </c>
      <c r="AW147" s="103">
        <f t="shared" ca="1" si="78"/>
        <v>0</v>
      </c>
      <c r="AX147" s="103">
        <f t="shared" ca="1" si="79"/>
        <v>0</v>
      </c>
      <c r="AY147" s="103">
        <f t="shared" ca="1" si="80"/>
        <v>0</v>
      </c>
      <c r="AZ147" s="103">
        <f t="shared" ca="1" si="81"/>
        <v>0</v>
      </c>
      <c r="BA147" s="103">
        <f t="shared" ca="1" si="82"/>
        <v>0</v>
      </c>
      <c r="BB147" s="103">
        <f t="shared" ca="1" si="83"/>
        <v>0</v>
      </c>
      <c r="BC147" s="103">
        <f t="shared" ca="1" si="84"/>
        <v>0</v>
      </c>
      <c r="BD147" s="103">
        <f t="shared" ca="1" si="85"/>
        <v>0</v>
      </c>
      <c r="BE147" s="103">
        <f t="shared" ca="1" si="86"/>
        <v>0</v>
      </c>
      <c r="BF147" s="103">
        <f t="shared" ca="1" si="87"/>
        <v>0</v>
      </c>
      <c r="BG147" s="103">
        <f t="shared" ca="1" si="88"/>
        <v>0</v>
      </c>
      <c r="BH147" s="103">
        <f t="shared" ca="1" si="89"/>
        <v>0</v>
      </c>
      <c r="BI147" s="103">
        <f t="shared" ca="1" si="90"/>
        <v>0</v>
      </c>
      <c r="BJ147" s="103">
        <f t="shared" ca="1" si="91"/>
        <v>0</v>
      </c>
      <c r="BK147" s="103">
        <f t="shared" ca="1" si="92"/>
        <v>0</v>
      </c>
      <c r="BL147" s="103">
        <f t="shared" ca="1" si="93"/>
        <v>0</v>
      </c>
      <c r="BM147" s="103">
        <f t="shared" ca="1" si="94"/>
        <v>0</v>
      </c>
      <c r="BN147" s="103">
        <f t="shared" ca="1" si="95"/>
        <v>0</v>
      </c>
      <c r="BO147" s="103">
        <f t="shared" ca="1" si="96"/>
        <v>0</v>
      </c>
      <c r="BP147" s="103">
        <f t="shared" ca="1" si="97"/>
        <v>0</v>
      </c>
      <c r="BQ147" s="103">
        <f t="shared" ca="1" si="98"/>
        <v>0</v>
      </c>
      <c r="BR147" s="103">
        <f t="shared" ca="1" si="99"/>
        <v>0</v>
      </c>
      <c r="BS147" s="103">
        <f t="shared" ca="1" si="100"/>
        <v>0</v>
      </c>
      <c r="BT147" s="103">
        <f t="shared" ca="1" si="101"/>
        <v>0</v>
      </c>
      <c r="BU147" s="103">
        <f t="shared" ca="1" si="102"/>
        <v>0</v>
      </c>
      <c r="BV147" s="103">
        <f t="shared" ca="1" si="103"/>
        <v>0</v>
      </c>
      <c r="BW147" s="103">
        <f t="shared" ca="1" si="104"/>
        <v>0</v>
      </c>
      <c r="BX147" s="103">
        <f t="shared" ca="1" si="105"/>
        <v>0</v>
      </c>
      <c r="BY147" s="103">
        <f t="shared" ca="1" si="106"/>
        <v>0</v>
      </c>
      <c r="BZ147" s="98">
        <f t="shared" ca="1" si="117"/>
        <v>0</v>
      </c>
      <c r="CA147" s="103">
        <f t="shared" ca="1" si="117"/>
        <v>0</v>
      </c>
      <c r="CB147" s="103">
        <f t="shared" ca="1" si="117"/>
        <v>0</v>
      </c>
      <c r="CC147" s="103">
        <f t="shared" ca="1" si="117"/>
        <v>0</v>
      </c>
      <c r="CD147" s="103">
        <f t="shared" ca="1" si="117"/>
        <v>0</v>
      </c>
      <c r="CE147" s="103">
        <f t="shared" ca="1" si="117"/>
        <v>0</v>
      </c>
      <c r="CF147" s="103">
        <f t="shared" ca="1" si="117"/>
        <v>0</v>
      </c>
      <c r="CG147" s="103">
        <f t="shared" ca="1" si="117"/>
        <v>0</v>
      </c>
      <c r="CH147" s="106">
        <f ca="1">COUNTIF(BZ147:CG147,"&lt;"&amp;MAX(BZ147:CG147))+IF(Calcs[[#This Row],[RL1]]=0,0,1)</f>
        <v>0</v>
      </c>
      <c r="CI14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7" s="103">
        <f ca="1">IFERROR(OFFSET(CJ147,-1,0)+0,0)+IF(INDEX(INDIRECT(RangeContrQty),MATCH(Calcs[[#This Row],[Line]],OFFSET(Items[Line],0,0,ROW(Proposed[])-ROW(Items[])+ROWS(Proposed[]),1),0)),1,0)</f>
        <v>0</v>
      </c>
    </row>
    <row r="148" spans="1:88" x14ac:dyDescent="0.15">
      <c r="A148" s="64">
        <f ca="1">IFERROR(OFFSET(A148,-1,0)+0,0)+MAX(IF(LEN(Calcs[[#This Row],[Line]])&gt;0,1,0),Calcs[[#This Row],[DL]],Calcs[[#This Row],[RL]])</f>
        <v>10</v>
      </c>
      <c r="B148" s="90" t="str">
        <f ca="1">IFERROR(INDEX(OFFSET(Items[Line],0,0,ROW(Proposed[])-ROW(Items[])+ROWS(Proposed[]),1),MATCH(ROW(B148)-ROW(B$3),INDIRECT(RangeCount),0)),"")</f>
        <v/>
      </c>
      <c r="C148" s="90" t="str">
        <f ca="1">IF(LEN(Calcs[[#This Row],[Line]])&gt;0,TRIM(IFERROR(INDEX(Items[Description],MATCH(Calcs[[#This Row],[Line]],Items[Line],0))&amp;INDEX(Items[Description2],MATCH(Calcs[[#This Row],[Line]],Items[Line],0)),INDEX(Proposed[Description],MATCH(Calcs[[#This Row],[Line]],Proposed[Line],0)))),"")</f>
        <v/>
      </c>
      <c r="D148" s="96">
        <f t="shared" ca="1" si="42"/>
        <v>0</v>
      </c>
      <c r="E148" s="103">
        <f t="shared" ca="1" si="43"/>
        <v>0</v>
      </c>
      <c r="F148" s="103">
        <f t="shared" ca="1" si="44"/>
        <v>0</v>
      </c>
      <c r="G148" s="103">
        <f t="shared" ca="1" si="45"/>
        <v>0</v>
      </c>
      <c r="H148" s="103">
        <f t="shared" ca="1" si="46"/>
        <v>0</v>
      </c>
      <c r="I148" s="103">
        <f t="shared" ca="1" si="47"/>
        <v>0</v>
      </c>
      <c r="J148" s="103">
        <f t="shared" ca="1" si="48"/>
        <v>0</v>
      </c>
      <c r="K148" s="103">
        <f t="shared" ca="1" si="49"/>
        <v>0</v>
      </c>
      <c r="L148" s="103">
        <f t="shared" ca="1" si="50"/>
        <v>0</v>
      </c>
      <c r="M148" s="103">
        <f t="shared" ca="1" si="51"/>
        <v>0</v>
      </c>
      <c r="N148" s="103">
        <f t="shared" ca="1" si="52"/>
        <v>0</v>
      </c>
      <c r="O148" s="103">
        <f t="shared" ca="1" si="53"/>
        <v>0</v>
      </c>
      <c r="P148" s="103">
        <f t="shared" ca="1" si="54"/>
        <v>0</v>
      </c>
      <c r="Q148" s="103">
        <f t="shared" ca="1" si="55"/>
        <v>0</v>
      </c>
      <c r="R148" s="103">
        <f t="shared" ca="1" si="56"/>
        <v>0</v>
      </c>
      <c r="S148" s="103">
        <f t="shared" ca="1" si="57"/>
        <v>0</v>
      </c>
      <c r="T148" s="103">
        <f t="shared" ca="1" si="58"/>
        <v>0</v>
      </c>
      <c r="U148" s="103">
        <f t="shared" ca="1" si="59"/>
        <v>0</v>
      </c>
      <c r="V148" s="103">
        <f t="shared" ca="1" si="60"/>
        <v>0</v>
      </c>
      <c r="W148" s="103">
        <f t="shared" ca="1" si="61"/>
        <v>0</v>
      </c>
      <c r="X148" s="103">
        <f t="shared" ca="1" si="62"/>
        <v>0</v>
      </c>
      <c r="Y148" s="103">
        <f t="shared" ca="1" si="63"/>
        <v>0</v>
      </c>
      <c r="Z148" s="103">
        <f t="shared" ca="1" si="64"/>
        <v>0</v>
      </c>
      <c r="AA148" s="103">
        <f t="shared" ca="1" si="65"/>
        <v>0</v>
      </c>
      <c r="AB148" s="103">
        <f t="shared" ca="1" si="66"/>
        <v>0</v>
      </c>
      <c r="AC148" s="103">
        <f t="shared" ca="1" si="67"/>
        <v>0</v>
      </c>
      <c r="AD148" s="103">
        <f t="shared" ca="1" si="68"/>
        <v>0</v>
      </c>
      <c r="AE148" s="103">
        <f t="shared" ca="1" si="69"/>
        <v>0</v>
      </c>
      <c r="AF148" s="103">
        <f t="shared" ca="1" si="70"/>
        <v>0</v>
      </c>
      <c r="AG148" s="103">
        <f t="shared" ca="1" si="71"/>
        <v>0</v>
      </c>
      <c r="AH148" s="103">
        <f t="shared" ca="1" si="72"/>
        <v>0</v>
      </c>
      <c r="AI148" s="103">
        <f t="shared" ca="1" si="73"/>
        <v>0</v>
      </c>
      <c r="AJ148" s="98">
        <f t="shared" ca="1" si="116"/>
        <v>0</v>
      </c>
      <c r="AK148" s="103">
        <f t="shared" ca="1" si="116"/>
        <v>0</v>
      </c>
      <c r="AL148" s="103">
        <f t="shared" ca="1" si="116"/>
        <v>0</v>
      </c>
      <c r="AM148" s="103">
        <f t="shared" ca="1" si="116"/>
        <v>0</v>
      </c>
      <c r="AN148" s="103">
        <f t="shared" ca="1" si="116"/>
        <v>0</v>
      </c>
      <c r="AO148" s="103">
        <f t="shared" ca="1" si="116"/>
        <v>0</v>
      </c>
      <c r="AP148" s="103">
        <f t="shared" ca="1" si="116"/>
        <v>0</v>
      </c>
      <c r="AQ148" s="103">
        <f t="shared" ca="1" si="116"/>
        <v>0</v>
      </c>
      <c r="AR148" s="104">
        <f ca="1">COUNTIF(AJ148:AQ148,"&lt;"&amp;MAX(AJ148:AQ148))+IF(Calcs[[#This Row],[DL1]]=0,0,1)</f>
        <v>0</v>
      </c>
      <c r="AS148" s="105" t="str">
        <f ca="1">IF(LEN(Calcs[[#This Row],[Line]])&gt;0,IF(RIGHT(Calcs[[#This Row],[Remark]],3)=".  ",LEFT(Calcs[[#This Row],[Remark]],LEN(Calcs[[#This Row],[Remark]])-3),Calcs[[#This Row],[Remark]]),"")</f>
        <v/>
      </c>
      <c r="AT148" s="96">
        <f t="shared" ca="1" si="75"/>
        <v>0</v>
      </c>
      <c r="AU148" s="103">
        <f t="shared" ca="1" si="76"/>
        <v>0</v>
      </c>
      <c r="AV148" s="103">
        <f t="shared" ca="1" si="77"/>
        <v>0</v>
      </c>
      <c r="AW148" s="103">
        <f t="shared" ca="1" si="78"/>
        <v>0</v>
      </c>
      <c r="AX148" s="103">
        <f t="shared" ca="1" si="79"/>
        <v>0</v>
      </c>
      <c r="AY148" s="103">
        <f t="shared" ca="1" si="80"/>
        <v>0</v>
      </c>
      <c r="AZ148" s="103">
        <f t="shared" ca="1" si="81"/>
        <v>0</v>
      </c>
      <c r="BA148" s="103">
        <f t="shared" ca="1" si="82"/>
        <v>0</v>
      </c>
      <c r="BB148" s="103">
        <f t="shared" ca="1" si="83"/>
        <v>0</v>
      </c>
      <c r="BC148" s="103">
        <f t="shared" ca="1" si="84"/>
        <v>0</v>
      </c>
      <c r="BD148" s="103">
        <f t="shared" ca="1" si="85"/>
        <v>0</v>
      </c>
      <c r="BE148" s="103">
        <f t="shared" ca="1" si="86"/>
        <v>0</v>
      </c>
      <c r="BF148" s="103">
        <f t="shared" ca="1" si="87"/>
        <v>0</v>
      </c>
      <c r="BG148" s="103">
        <f t="shared" ca="1" si="88"/>
        <v>0</v>
      </c>
      <c r="BH148" s="103">
        <f t="shared" ca="1" si="89"/>
        <v>0</v>
      </c>
      <c r="BI148" s="103">
        <f t="shared" ca="1" si="90"/>
        <v>0</v>
      </c>
      <c r="BJ148" s="103">
        <f t="shared" ca="1" si="91"/>
        <v>0</v>
      </c>
      <c r="BK148" s="103">
        <f t="shared" ca="1" si="92"/>
        <v>0</v>
      </c>
      <c r="BL148" s="103">
        <f t="shared" ca="1" si="93"/>
        <v>0</v>
      </c>
      <c r="BM148" s="103">
        <f t="shared" ca="1" si="94"/>
        <v>0</v>
      </c>
      <c r="BN148" s="103">
        <f t="shared" ca="1" si="95"/>
        <v>0</v>
      </c>
      <c r="BO148" s="103">
        <f t="shared" ca="1" si="96"/>
        <v>0</v>
      </c>
      <c r="BP148" s="103">
        <f t="shared" ca="1" si="97"/>
        <v>0</v>
      </c>
      <c r="BQ148" s="103">
        <f t="shared" ca="1" si="98"/>
        <v>0</v>
      </c>
      <c r="BR148" s="103">
        <f t="shared" ca="1" si="99"/>
        <v>0</v>
      </c>
      <c r="BS148" s="103">
        <f t="shared" ca="1" si="100"/>
        <v>0</v>
      </c>
      <c r="BT148" s="103">
        <f t="shared" ca="1" si="101"/>
        <v>0</v>
      </c>
      <c r="BU148" s="103">
        <f t="shared" ca="1" si="102"/>
        <v>0</v>
      </c>
      <c r="BV148" s="103">
        <f t="shared" ca="1" si="103"/>
        <v>0</v>
      </c>
      <c r="BW148" s="103">
        <f t="shared" ca="1" si="104"/>
        <v>0</v>
      </c>
      <c r="BX148" s="103">
        <f t="shared" ca="1" si="105"/>
        <v>0</v>
      </c>
      <c r="BY148" s="103">
        <f t="shared" ca="1" si="106"/>
        <v>0</v>
      </c>
      <c r="BZ148" s="98">
        <f t="shared" ca="1" si="117"/>
        <v>0</v>
      </c>
      <c r="CA148" s="103">
        <f t="shared" ca="1" si="117"/>
        <v>0</v>
      </c>
      <c r="CB148" s="103">
        <f t="shared" ca="1" si="117"/>
        <v>0</v>
      </c>
      <c r="CC148" s="103">
        <f t="shared" ca="1" si="117"/>
        <v>0</v>
      </c>
      <c r="CD148" s="103">
        <f t="shared" ca="1" si="117"/>
        <v>0</v>
      </c>
      <c r="CE148" s="103">
        <f t="shared" ca="1" si="117"/>
        <v>0</v>
      </c>
      <c r="CF148" s="103">
        <f t="shared" ca="1" si="117"/>
        <v>0</v>
      </c>
      <c r="CG148" s="103">
        <f t="shared" ca="1" si="117"/>
        <v>0</v>
      </c>
      <c r="CH148" s="106">
        <f ca="1">COUNTIF(BZ148:CG148,"&lt;"&amp;MAX(BZ148:CG148))+IF(Calcs[[#This Row],[RL1]]=0,0,1)</f>
        <v>0</v>
      </c>
      <c r="CI14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8" s="103">
        <f ca="1">IFERROR(OFFSET(CJ148,-1,0)+0,0)+IF(INDEX(INDIRECT(RangeContrQty),MATCH(Calcs[[#This Row],[Line]],OFFSET(Items[Line],0,0,ROW(Proposed[])-ROW(Items[])+ROWS(Proposed[]),1),0)),1,0)</f>
        <v>0</v>
      </c>
    </row>
    <row r="149" spans="1:88" x14ac:dyDescent="0.15">
      <c r="A149" s="64">
        <f ca="1">IFERROR(OFFSET(A149,-1,0)+0,0)+MAX(IF(LEN(Calcs[[#This Row],[Line]])&gt;0,1,0),Calcs[[#This Row],[DL]],Calcs[[#This Row],[RL]])</f>
        <v>10</v>
      </c>
      <c r="B149" s="90" t="str">
        <f ca="1">IFERROR(INDEX(OFFSET(Items[Line],0,0,ROW(Proposed[])-ROW(Items[])+ROWS(Proposed[]),1),MATCH(ROW(B149)-ROW(B$3),INDIRECT(RangeCount),0)),"")</f>
        <v/>
      </c>
      <c r="C149" s="90" t="str">
        <f ca="1">IF(LEN(Calcs[[#This Row],[Line]])&gt;0,TRIM(IFERROR(INDEX(Items[Description],MATCH(Calcs[[#This Row],[Line]],Items[Line],0))&amp;INDEX(Items[Description2],MATCH(Calcs[[#This Row],[Line]],Items[Line],0)),INDEX(Proposed[Description],MATCH(Calcs[[#This Row],[Line]],Proposed[Line],0)))),"")</f>
        <v/>
      </c>
      <c r="D149" s="96">
        <f t="shared" ca="1" si="42"/>
        <v>0</v>
      </c>
      <c r="E149" s="103">
        <f t="shared" ca="1" si="43"/>
        <v>0</v>
      </c>
      <c r="F149" s="103">
        <f t="shared" ca="1" si="44"/>
        <v>0</v>
      </c>
      <c r="G149" s="103">
        <f t="shared" ca="1" si="45"/>
        <v>0</v>
      </c>
      <c r="H149" s="103">
        <f t="shared" ca="1" si="46"/>
        <v>0</v>
      </c>
      <c r="I149" s="103">
        <f t="shared" ca="1" si="47"/>
        <v>0</v>
      </c>
      <c r="J149" s="103">
        <f t="shared" ca="1" si="48"/>
        <v>0</v>
      </c>
      <c r="K149" s="103">
        <f t="shared" ca="1" si="49"/>
        <v>0</v>
      </c>
      <c r="L149" s="103">
        <f t="shared" ca="1" si="50"/>
        <v>0</v>
      </c>
      <c r="M149" s="103">
        <f t="shared" ca="1" si="51"/>
        <v>0</v>
      </c>
      <c r="N149" s="103">
        <f t="shared" ca="1" si="52"/>
        <v>0</v>
      </c>
      <c r="O149" s="103">
        <f t="shared" ca="1" si="53"/>
        <v>0</v>
      </c>
      <c r="P149" s="103">
        <f t="shared" ca="1" si="54"/>
        <v>0</v>
      </c>
      <c r="Q149" s="103">
        <f t="shared" ca="1" si="55"/>
        <v>0</v>
      </c>
      <c r="R149" s="103">
        <f t="shared" ca="1" si="56"/>
        <v>0</v>
      </c>
      <c r="S149" s="103">
        <f t="shared" ca="1" si="57"/>
        <v>0</v>
      </c>
      <c r="T149" s="103">
        <f t="shared" ca="1" si="58"/>
        <v>0</v>
      </c>
      <c r="U149" s="103">
        <f t="shared" ca="1" si="59"/>
        <v>0</v>
      </c>
      <c r="V149" s="103">
        <f t="shared" ca="1" si="60"/>
        <v>0</v>
      </c>
      <c r="W149" s="103">
        <f t="shared" ca="1" si="61"/>
        <v>0</v>
      </c>
      <c r="X149" s="103">
        <f t="shared" ca="1" si="62"/>
        <v>0</v>
      </c>
      <c r="Y149" s="103">
        <f t="shared" ca="1" si="63"/>
        <v>0</v>
      </c>
      <c r="Z149" s="103">
        <f t="shared" ca="1" si="64"/>
        <v>0</v>
      </c>
      <c r="AA149" s="103">
        <f t="shared" ca="1" si="65"/>
        <v>0</v>
      </c>
      <c r="AB149" s="103">
        <f t="shared" ca="1" si="66"/>
        <v>0</v>
      </c>
      <c r="AC149" s="103">
        <f t="shared" ca="1" si="67"/>
        <v>0</v>
      </c>
      <c r="AD149" s="103">
        <f t="shared" ca="1" si="68"/>
        <v>0</v>
      </c>
      <c r="AE149" s="103">
        <f t="shared" ca="1" si="69"/>
        <v>0</v>
      </c>
      <c r="AF149" s="103">
        <f t="shared" ca="1" si="70"/>
        <v>0</v>
      </c>
      <c r="AG149" s="103">
        <f t="shared" ca="1" si="71"/>
        <v>0</v>
      </c>
      <c r="AH149" s="103">
        <f t="shared" ca="1" si="72"/>
        <v>0</v>
      </c>
      <c r="AI149" s="103">
        <f t="shared" ca="1" si="73"/>
        <v>0</v>
      </c>
      <c r="AJ149" s="98">
        <f t="shared" ca="1" si="116"/>
        <v>0</v>
      </c>
      <c r="AK149" s="103">
        <f t="shared" ca="1" si="116"/>
        <v>0</v>
      </c>
      <c r="AL149" s="103">
        <f t="shared" ca="1" si="116"/>
        <v>0</v>
      </c>
      <c r="AM149" s="103">
        <f t="shared" ca="1" si="116"/>
        <v>0</v>
      </c>
      <c r="AN149" s="103">
        <f t="shared" ca="1" si="116"/>
        <v>0</v>
      </c>
      <c r="AO149" s="103">
        <f t="shared" ca="1" si="116"/>
        <v>0</v>
      </c>
      <c r="AP149" s="103">
        <f t="shared" ca="1" si="116"/>
        <v>0</v>
      </c>
      <c r="AQ149" s="103">
        <f t="shared" ca="1" si="116"/>
        <v>0</v>
      </c>
      <c r="AR149" s="104">
        <f ca="1">COUNTIF(AJ149:AQ149,"&lt;"&amp;MAX(AJ149:AQ149))+IF(Calcs[[#This Row],[DL1]]=0,0,1)</f>
        <v>0</v>
      </c>
      <c r="AS149" s="105" t="str">
        <f ca="1">IF(LEN(Calcs[[#This Row],[Line]])&gt;0,IF(RIGHT(Calcs[[#This Row],[Remark]],3)=".  ",LEFT(Calcs[[#This Row],[Remark]],LEN(Calcs[[#This Row],[Remark]])-3),Calcs[[#This Row],[Remark]]),"")</f>
        <v/>
      </c>
      <c r="AT149" s="96">
        <f t="shared" ca="1" si="75"/>
        <v>0</v>
      </c>
      <c r="AU149" s="103">
        <f t="shared" ca="1" si="76"/>
        <v>0</v>
      </c>
      <c r="AV149" s="103">
        <f t="shared" ca="1" si="77"/>
        <v>0</v>
      </c>
      <c r="AW149" s="103">
        <f t="shared" ca="1" si="78"/>
        <v>0</v>
      </c>
      <c r="AX149" s="103">
        <f t="shared" ca="1" si="79"/>
        <v>0</v>
      </c>
      <c r="AY149" s="103">
        <f t="shared" ca="1" si="80"/>
        <v>0</v>
      </c>
      <c r="AZ149" s="103">
        <f t="shared" ca="1" si="81"/>
        <v>0</v>
      </c>
      <c r="BA149" s="103">
        <f t="shared" ca="1" si="82"/>
        <v>0</v>
      </c>
      <c r="BB149" s="103">
        <f t="shared" ca="1" si="83"/>
        <v>0</v>
      </c>
      <c r="BC149" s="103">
        <f t="shared" ca="1" si="84"/>
        <v>0</v>
      </c>
      <c r="BD149" s="103">
        <f t="shared" ca="1" si="85"/>
        <v>0</v>
      </c>
      <c r="BE149" s="103">
        <f t="shared" ca="1" si="86"/>
        <v>0</v>
      </c>
      <c r="BF149" s="103">
        <f t="shared" ca="1" si="87"/>
        <v>0</v>
      </c>
      <c r="BG149" s="103">
        <f t="shared" ca="1" si="88"/>
        <v>0</v>
      </c>
      <c r="BH149" s="103">
        <f t="shared" ca="1" si="89"/>
        <v>0</v>
      </c>
      <c r="BI149" s="103">
        <f t="shared" ca="1" si="90"/>
        <v>0</v>
      </c>
      <c r="BJ149" s="103">
        <f t="shared" ca="1" si="91"/>
        <v>0</v>
      </c>
      <c r="BK149" s="103">
        <f t="shared" ca="1" si="92"/>
        <v>0</v>
      </c>
      <c r="BL149" s="103">
        <f t="shared" ca="1" si="93"/>
        <v>0</v>
      </c>
      <c r="BM149" s="103">
        <f t="shared" ca="1" si="94"/>
        <v>0</v>
      </c>
      <c r="BN149" s="103">
        <f t="shared" ca="1" si="95"/>
        <v>0</v>
      </c>
      <c r="BO149" s="103">
        <f t="shared" ca="1" si="96"/>
        <v>0</v>
      </c>
      <c r="BP149" s="103">
        <f t="shared" ca="1" si="97"/>
        <v>0</v>
      </c>
      <c r="BQ149" s="103">
        <f t="shared" ca="1" si="98"/>
        <v>0</v>
      </c>
      <c r="BR149" s="103">
        <f t="shared" ca="1" si="99"/>
        <v>0</v>
      </c>
      <c r="BS149" s="103">
        <f t="shared" ca="1" si="100"/>
        <v>0</v>
      </c>
      <c r="BT149" s="103">
        <f t="shared" ca="1" si="101"/>
        <v>0</v>
      </c>
      <c r="BU149" s="103">
        <f t="shared" ca="1" si="102"/>
        <v>0</v>
      </c>
      <c r="BV149" s="103">
        <f t="shared" ca="1" si="103"/>
        <v>0</v>
      </c>
      <c r="BW149" s="103">
        <f t="shared" ca="1" si="104"/>
        <v>0</v>
      </c>
      <c r="BX149" s="103">
        <f t="shared" ca="1" si="105"/>
        <v>0</v>
      </c>
      <c r="BY149" s="103">
        <f t="shared" ca="1" si="106"/>
        <v>0</v>
      </c>
      <c r="BZ149" s="98">
        <f t="shared" ca="1" si="117"/>
        <v>0</v>
      </c>
      <c r="CA149" s="103">
        <f t="shared" ca="1" si="117"/>
        <v>0</v>
      </c>
      <c r="CB149" s="103">
        <f t="shared" ca="1" si="117"/>
        <v>0</v>
      </c>
      <c r="CC149" s="103">
        <f t="shared" ca="1" si="117"/>
        <v>0</v>
      </c>
      <c r="CD149" s="103">
        <f t="shared" ca="1" si="117"/>
        <v>0</v>
      </c>
      <c r="CE149" s="103">
        <f t="shared" ca="1" si="117"/>
        <v>0</v>
      </c>
      <c r="CF149" s="103">
        <f t="shared" ca="1" si="117"/>
        <v>0</v>
      </c>
      <c r="CG149" s="103">
        <f t="shared" ca="1" si="117"/>
        <v>0</v>
      </c>
      <c r="CH149" s="106">
        <f ca="1">COUNTIF(BZ149:CG149,"&lt;"&amp;MAX(BZ149:CG149))+IF(Calcs[[#This Row],[RL1]]=0,0,1)</f>
        <v>0</v>
      </c>
      <c r="CI14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9" s="103">
        <f ca="1">IFERROR(OFFSET(CJ149,-1,0)+0,0)+IF(INDEX(INDIRECT(RangeContrQty),MATCH(Calcs[[#This Row],[Line]],OFFSET(Items[Line],0,0,ROW(Proposed[])-ROW(Items[])+ROWS(Proposed[]),1),0)),1,0)</f>
        <v>0</v>
      </c>
    </row>
    <row r="150" spans="1:88" x14ac:dyDescent="0.15">
      <c r="A150" s="64">
        <f ca="1">IFERROR(OFFSET(A150,-1,0)+0,0)+MAX(IF(LEN(Calcs[[#This Row],[Line]])&gt;0,1,0),Calcs[[#This Row],[DL]],Calcs[[#This Row],[RL]])</f>
        <v>10</v>
      </c>
      <c r="B150" s="90" t="str">
        <f ca="1">IFERROR(INDEX(OFFSET(Items[Line],0,0,ROW(Proposed[])-ROW(Items[])+ROWS(Proposed[]),1),MATCH(ROW(B150)-ROW(B$3),INDIRECT(RangeCount),0)),"")</f>
        <v/>
      </c>
      <c r="C150" s="90" t="str">
        <f ca="1">IF(LEN(Calcs[[#This Row],[Line]])&gt;0,TRIM(IFERROR(INDEX(Items[Description],MATCH(Calcs[[#This Row],[Line]],Items[Line],0))&amp;INDEX(Items[Description2],MATCH(Calcs[[#This Row],[Line]],Items[Line],0)),INDEX(Proposed[Description],MATCH(Calcs[[#This Row],[Line]],Proposed[Line],0)))),"")</f>
        <v/>
      </c>
      <c r="D150" s="96">
        <f t="shared" ca="1" si="42"/>
        <v>0</v>
      </c>
      <c r="E150" s="103">
        <f t="shared" ca="1" si="43"/>
        <v>0</v>
      </c>
      <c r="F150" s="103">
        <f t="shared" ca="1" si="44"/>
        <v>0</v>
      </c>
      <c r="G150" s="103">
        <f t="shared" ca="1" si="45"/>
        <v>0</v>
      </c>
      <c r="H150" s="103">
        <f t="shared" ca="1" si="46"/>
        <v>0</v>
      </c>
      <c r="I150" s="103">
        <f t="shared" ca="1" si="47"/>
        <v>0</v>
      </c>
      <c r="J150" s="103">
        <f t="shared" ca="1" si="48"/>
        <v>0</v>
      </c>
      <c r="K150" s="103">
        <f t="shared" ca="1" si="49"/>
        <v>0</v>
      </c>
      <c r="L150" s="103">
        <f t="shared" ca="1" si="50"/>
        <v>0</v>
      </c>
      <c r="M150" s="103">
        <f t="shared" ca="1" si="51"/>
        <v>0</v>
      </c>
      <c r="N150" s="103">
        <f t="shared" ca="1" si="52"/>
        <v>0</v>
      </c>
      <c r="O150" s="103">
        <f t="shared" ca="1" si="53"/>
        <v>0</v>
      </c>
      <c r="P150" s="103">
        <f t="shared" ca="1" si="54"/>
        <v>0</v>
      </c>
      <c r="Q150" s="103">
        <f t="shared" ca="1" si="55"/>
        <v>0</v>
      </c>
      <c r="R150" s="103">
        <f t="shared" ca="1" si="56"/>
        <v>0</v>
      </c>
      <c r="S150" s="103">
        <f t="shared" ca="1" si="57"/>
        <v>0</v>
      </c>
      <c r="T150" s="103">
        <f t="shared" ca="1" si="58"/>
        <v>0</v>
      </c>
      <c r="U150" s="103">
        <f t="shared" ca="1" si="59"/>
        <v>0</v>
      </c>
      <c r="V150" s="103">
        <f t="shared" ca="1" si="60"/>
        <v>0</v>
      </c>
      <c r="W150" s="103">
        <f t="shared" ca="1" si="61"/>
        <v>0</v>
      </c>
      <c r="X150" s="103">
        <f t="shared" ca="1" si="62"/>
        <v>0</v>
      </c>
      <c r="Y150" s="103">
        <f t="shared" ca="1" si="63"/>
        <v>0</v>
      </c>
      <c r="Z150" s="103">
        <f t="shared" ca="1" si="64"/>
        <v>0</v>
      </c>
      <c r="AA150" s="103">
        <f t="shared" ca="1" si="65"/>
        <v>0</v>
      </c>
      <c r="AB150" s="103">
        <f t="shared" ca="1" si="66"/>
        <v>0</v>
      </c>
      <c r="AC150" s="103">
        <f t="shared" ca="1" si="67"/>
        <v>0</v>
      </c>
      <c r="AD150" s="103">
        <f t="shared" ca="1" si="68"/>
        <v>0</v>
      </c>
      <c r="AE150" s="103">
        <f t="shared" ca="1" si="69"/>
        <v>0</v>
      </c>
      <c r="AF150" s="103">
        <f t="shared" ca="1" si="70"/>
        <v>0</v>
      </c>
      <c r="AG150" s="103">
        <f t="shared" ca="1" si="71"/>
        <v>0</v>
      </c>
      <c r="AH150" s="103">
        <f t="shared" ca="1" si="72"/>
        <v>0</v>
      </c>
      <c r="AI150" s="103">
        <f t="shared" ca="1" si="73"/>
        <v>0</v>
      </c>
      <c r="AJ150" s="98">
        <f t="shared" ca="1" si="116"/>
        <v>0</v>
      </c>
      <c r="AK150" s="103">
        <f t="shared" ca="1" si="116"/>
        <v>0</v>
      </c>
      <c r="AL150" s="103">
        <f t="shared" ca="1" si="116"/>
        <v>0</v>
      </c>
      <c r="AM150" s="103">
        <f t="shared" ca="1" si="116"/>
        <v>0</v>
      </c>
      <c r="AN150" s="103">
        <f t="shared" ca="1" si="116"/>
        <v>0</v>
      </c>
      <c r="AO150" s="103">
        <f t="shared" ca="1" si="116"/>
        <v>0</v>
      </c>
      <c r="AP150" s="103">
        <f t="shared" ca="1" si="116"/>
        <v>0</v>
      </c>
      <c r="AQ150" s="103">
        <f t="shared" ca="1" si="116"/>
        <v>0</v>
      </c>
      <c r="AR150" s="104">
        <f ca="1">COUNTIF(AJ150:AQ150,"&lt;"&amp;MAX(AJ150:AQ150))+IF(Calcs[[#This Row],[DL1]]=0,0,1)</f>
        <v>0</v>
      </c>
      <c r="AS150" s="105" t="str">
        <f ca="1">IF(LEN(Calcs[[#This Row],[Line]])&gt;0,IF(RIGHT(Calcs[[#This Row],[Remark]],3)=".  ",LEFT(Calcs[[#This Row],[Remark]],LEN(Calcs[[#This Row],[Remark]])-3),Calcs[[#This Row],[Remark]]),"")</f>
        <v/>
      </c>
      <c r="AT150" s="96">
        <f t="shared" ca="1" si="75"/>
        <v>0</v>
      </c>
      <c r="AU150" s="103">
        <f t="shared" ca="1" si="76"/>
        <v>0</v>
      </c>
      <c r="AV150" s="103">
        <f t="shared" ca="1" si="77"/>
        <v>0</v>
      </c>
      <c r="AW150" s="103">
        <f t="shared" ca="1" si="78"/>
        <v>0</v>
      </c>
      <c r="AX150" s="103">
        <f t="shared" ca="1" si="79"/>
        <v>0</v>
      </c>
      <c r="AY150" s="103">
        <f t="shared" ca="1" si="80"/>
        <v>0</v>
      </c>
      <c r="AZ150" s="103">
        <f t="shared" ca="1" si="81"/>
        <v>0</v>
      </c>
      <c r="BA150" s="103">
        <f t="shared" ca="1" si="82"/>
        <v>0</v>
      </c>
      <c r="BB150" s="103">
        <f t="shared" ca="1" si="83"/>
        <v>0</v>
      </c>
      <c r="BC150" s="103">
        <f t="shared" ca="1" si="84"/>
        <v>0</v>
      </c>
      <c r="BD150" s="103">
        <f t="shared" ca="1" si="85"/>
        <v>0</v>
      </c>
      <c r="BE150" s="103">
        <f t="shared" ca="1" si="86"/>
        <v>0</v>
      </c>
      <c r="BF150" s="103">
        <f t="shared" ca="1" si="87"/>
        <v>0</v>
      </c>
      <c r="BG150" s="103">
        <f t="shared" ca="1" si="88"/>
        <v>0</v>
      </c>
      <c r="BH150" s="103">
        <f t="shared" ca="1" si="89"/>
        <v>0</v>
      </c>
      <c r="BI150" s="103">
        <f t="shared" ca="1" si="90"/>
        <v>0</v>
      </c>
      <c r="BJ150" s="103">
        <f t="shared" ca="1" si="91"/>
        <v>0</v>
      </c>
      <c r="BK150" s="103">
        <f t="shared" ca="1" si="92"/>
        <v>0</v>
      </c>
      <c r="BL150" s="103">
        <f t="shared" ca="1" si="93"/>
        <v>0</v>
      </c>
      <c r="BM150" s="103">
        <f t="shared" ca="1" si="94"/>
        <v>0</v>
      </c>
      <c r="BN150" s="103">
        <f t="shared" ca="1" si="95"/>
        <v>0</v>
      </c>
      <c r="BO150" s="103">
        <f t="shared" ca="1" si="96"/>
        <v>0</v>
      </c>
      <c r="BP150" s="103">
        <f t="shared" ca="1" si="97"/>
        <v>0</v>
      </c>
      <c r="BQ150" s="103">
        <f t="shared" ca="1" si="98"/>
        <v>0</v>
      </c>
      <c r="BR150" s="103">
        <f t="shared" ca="1" si="99"/>
        <v>0</v>
      </c>
      <c r="BS150" s="103">
        <f t="shared" ca="1" si="100"/>
        <v>0</v>
      </c>
      <c r="BT150" s="103">
        <f t="shared" ca="1" si="101"/>
        <v>0</v>
      </c>
      <c r="BU150" s="103">
        <f t="shared" ca="1" si="102"/>
        <v>0</v>
      </c>
      <c r="BV150" s="103">
        <f t="shared" ca="1" si="103"/>
        <v>0</v>
      </c>
      <c r="BW150" s="103">
        <f t="shared" ca="1" si="104"/>
        <v>0</v>
      </c>
      <c r="BX150" s="103">
        <f t="shared" ca="1" si="105"/>
        <v>0</v>
      </c>
      <c r="BY150" s="103">
        <f t="shared" ca="1" si="106"/>
        <v>0</v>
      </c>
      <c r="BZ150" s="98">
        <f t="shared" ca="1" si="117"/>
        <v>0</v>
      </c>
      <c r="CA150" s="103">
        <f t="shared" ca="1" si="117"/>
        <v>0</v>
      </c>
      <c r="CB150" s="103">
        <f t="shared" ca="1" si="117"/>
        <v>0</v>
      </c>
      <c r="CC150" s="103">
        <f t="shared" ca="1" si="117"/>
        <v>0</v>
      </c>
      <c r="CD150" s="103">
        <f t="shared" ca="1" si="117"/>
        <v>0</v>
      </c>
      <c r="CE150" s="103">
        <f t="shared" ca="1" si="117"/>
        <v>0</v>
      </c>
      <c r="CF150" s="103">
        <f t="shared" ca="1" si="117"/>
        <v>0</v>
      </c>
      <c r="CG150" s="103">
        <f t="shared" ca="1" si="117"/>
        <v>0</v>
      </c>
      <c r="CH150" s="106">
        <f ca="1">COUNTIF(BZ150:CG150,"&lt;"&amp;MAX(BZ150:CG150))+IF(Calcs[[#This Row],[RL1]]=0,0,1)</f>
        <v>0</v>
      </c>
      <c r="CI15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0" s="103">
        <f ca="1">IFERROR(OFFSET(CJ150,-1,0)+0,0)+IF(INDEX(INDIRECT(RangeContrQty),MATCH(Calcs[[#This Row],[Line]],OFFSET(Items[Line],0,0,ROW(Proposed[])-ROW(Items[])+ROWS(Proposed[]),1),0)),1,0)</f>
        <v>0</v>
      </c>
    </row>
    <row r="151" spans="1:88" x14ac:dyDescent="0.15">
      <c r="A151" s="64">
        <f ca="1">IFERROR(OFFSET(A151,-1,0)+0,0)+MAX(IF(LEN(Calcs[[#This Row],[Line]])&gt;0,1,0),Calcs[[#This Row],[DL]],Calcs[[#This Row],[RL]])</f>
        <v>10</v>
      </c>
      <c r="B151" s="90" t="str">
        <f ca="1">IFERROR(INDEX(OFFSET(Items[Line],0,0,ROW(Proposed[])-ROW(Items[])+ROWS(Proposed[]),1),MATCH(ROW(B151)-ROW(B$3),INDIRECT(RangeCount),0)),"")</f>
        <v/>
      </c>
      <c r="C151" s="90" t="str">
        <f ca="1">IF(LEN(Calcs[[#This Row],[Line]])&gt;0,TRIM(IFERROR(INDEX(Items[Description],MATCH(Calcs[[#This Row],[Line]],Items[Line],0))&amp;INDEX(Items[Description2],MATCH(Calcs[[#This Row],[Line]],Items[Line],0)),INDEX(Proposed[Description],MATCH(Calcs[[#This Row],[Line]],Proposed[Line],0)))),"")</f>
        <v/>
      </c>
      <c r="D151" s="96">
        <f t="shared" ca="1" si="42"/>
        <v>0</v>
      </c>
      <c r="E151" s="103">
        <f t="shared" ca="1" si="43"/>
        <v>0</v>
      </c>
      <c r="F151" s="103">
        <f t="shared" ca="1" si="44"/>
        <v>0</v>
      </c>
      <c r="G151" s="103">
        <f t="shared" ca="1" si="45"/>
        <v>0</v>
      </c>
      <c r="H151" s="103">
        <f t="shared" ca="1" si="46"/>
        <v>0</v>
      </c>
      <c r="I151" s="103">
        <f t="shared" ca="1" si="47"/>
        <v>0</v>
      </c>
      <c r="J151" s="103">
        <f t="shared" ca="1" si="48"/>
        <v>0</v>
      </c>
      <c r="K151" s="103">
        <f t="shared" ca="1" si="49"/>
        <v>0</v>
      </c>
      <c r="L151" s="103">
        <f t="shared" ca="1" si="50"/>
        <v>0</v>
      </c>
      <c r="M151" s="103">
        <f t="shared" ca="1" si="51"/>
        <v>0</v>
      </c>
      <c r="N151" s="103">
        <f t="shared" ca="1" si="52"/>
        <v>0</v>
      </c>
      <c r="O151" s="103">
        <f t="shared" ca="1" si="53"/>
        <v>0</v>
      </c>
      <c r="P151" s="103">
        <f t="shared" ca="1" si="54"/>
        <v>0</v>
      </c>
      <c r="Q151" s="103">
        <f t="shared" ca="1" si="55"/>
        <v>0</v>
      </c>
      <c r="R151" s="103">
        <f t="shared" ca="1" si="56"/>
        <v>0</v>
      </c>
      <c r="S151" s="103">
        <f t="shared" ca="1" si="57"/>
        <v>0</v>
      </c>
      <c r="T151" s="103">
        <f t="shared" ca="1" si="58"/>
        <v>0</v>
      </c>
      <c r="U151" s="103">
        <f t="shared" ca="1" si="59"/>
        <v>0</v>
      </c>
      <c r="V151" s="103">
        <f t="shared" ca="1" si="60"/>
        <v>0</v>
      </c>
      <c r="W151" s="103">
        <f t="shared" ca="1" si="61"/>
        <v>0</v>
      </c>
      <c r="X151" s="103">
        <f t="shared" ca="1" si="62"/>
        <v>0</v>
      </c>
      <c r="Y151" s="103">
        <f t="shared" ca="1" si="63"/>
        <v>0</v>
      </c>
      <c r="Z151" s="103">
        <f t="shared" ca="1" si="64"/>
        <v>0</v>
      </c>
      <c r="AA151" s="103">
        <f t="shared" ca="1" si="65"/>
        <v>0</v>
      </c>
      <c r="AB151" s="103">
        <f t="shared" ca="1" si="66"/>
        <v>0</v>
      </c>
      <c r="AC151" s="103">
        <f t="shared" ca="1" si="67"/>
        <v>0</v>
      </c>
      <c r="AD151" s="103">
        <f t="shared" ca="1" si="68"/>
        <v>0</v>
      </c>
      <c r="AE151" s="103">
        <f t="shared" ca="1" si="69"/>
        <v>0</v>
      </c>
      <c r="AF151" s="103">
        <f t="shared" ca="1" si="70"/>
        <v>0</v>
      </c>
      <c r="AG151" s="103">
        <f t="shared" ca="1" si="71"/>
        <v>0</v>
      </c>
      <c r="AH151" s="103">
        <f t="shared" ca="1" si="72"/>
        <v>0</v>
      </c>
      <c r="AI151" s="103">
        <f t="shared" ca="1" si="73"/>
        <v>0</v>
      </c>
      <c r="AJ151" s="98">
        <f t="shared" ca="1" si="116"/>
        <v>0</v>
      </c>
      <c r="AK151" s="103">
        <f t="shared" ca="1" si="116"/>
        <v>0</v>
      </c>
      <c r="AL151" s="103">
        <f t="shared" ca="1" si="116"/>
        <v>0</v>
      </c>
      <c r="AM151" s="103">
        <f t="shared" ca="1" si="116"/>
        <v>0</v>
      </c>
      <c r="AN151" s="103">
        <f t="shared" ca="1" si="116"/>
        <v>0</v>
      </c>
      <c r="AO151" s="103">
        <f t="shared" ca="1" si="116"/>
        <v>0</v>
      </c>
      <c r="AP151" s="103">
        <f t="shared" ca="1" si="116"/>
        <v>0</v>
      </c>
      <c r="AQ151" s="103">
        <f t="shared" ca="1" si="116"/>
        <v>0</v>
      </c>
      <c r="AR151" s="104">
        <f ca="1">COUNTIF(AJ151:AQ151,"&lt;"&amp;MAX(AJ151:AQ151))+IF(Calcs[[#This Row],[DL1]]=0,0,1)</f>
        <v>0</v>
      </c>
      <c r="AS151" s="105" t="str">
        <f ca="1">IF(LEN(Calcs[[#This Row],[Line]])&gt;0,IF(RIGHT(Calcs[[#This Row],[Remark]],3)=".  ",LEFT(Calcs[[#This Row],[Remark]],LEN(Calcs[[#This Row],[Remark]])-3),Calcs[[#This Row],[Remark]]),"")</f>
        <v/>
      </c>
      <c r="AT151" s="96">
        <f t="shared" ca="1" si="75"/>
        <v>0</v>
      </c>
      <c r="AU151" s="103">
        <f t="shared" ca="1" si="76"/>
        <v>0</v>
      </c>
      <c r="AV151" s="103">
        <f t="shared" ca="1" si="77"/>
        <v>0</v>
      </c>
      <c r="AW151" s="103">
        <f t="shared" ca="1" si="78"/>
        <v>0</v>
      </c>
      <c r="AX151" s="103">
        <f t="shared" ca="1" si="79"/>
        <v>0</v>
      </c>
      <c r="AY151" s="103">
        <f t="shared" ca="1" si="80"/>
        <v>0</v>
      </c>
      <c r="AZ151" s="103">
        <f t="shared" ca="1" si="81"/>
        <v>0</v>
      </c>
      <c r="BA151" s="103">
        <f t="shared" ca="1" si="82"/>
        <v>0</v>
      </c>
      <c r="BB151" s="103">
        <f t="shared" ca="1" si="83"/>
        <v>0</v>
      </c>
      <c r="BC151" s="103">
        <f t="shared" ca="1" si="84"/>
        <v>0</v>
      </c>
      <c r="BD151" s="103">
        <f t="shared" ca="1" si="85"/>
        <v>0</v>
      </c>
      <c r="BE151" s="103">
        <f t="shared" ca="1" si="86"/>
        <v>0</v>
      </c>
      <c r="BF151" s="103">
        <f t="shared" ca="1" si="87"/>
        <v>0</v>
      </c>
      <c r="BG151" s="103">
        <f t="shared" ca="1" si="88"/>
        <v>0</v>
      </c>
      <c r="BH151" s="103">
        <f t="shared" ca="1" si="89"/>
        <v>0</v>
      </c>
      <c r="BI151" s="103">
        <f t="shared" ca="1" si="90"/>
        <v>0</v>
      </c>
      <c r="BJ151" s="103">
        <f t="shared" ca="1" si="91"/>
        <v>0</v>
      </c>
      <c r="BK151" s="103">
        <f t="shared" ca="1" si="92"/>
        <v>0</v>
      </c>
      <c r="BL151" s="103">
        <f t="shared" ca="1" si="93"/>
        <v>0</v>
      </c>
      <c r="BM151" s="103">
        <f t="shared" ca="1" si="94"/>
        <v>0</v>
      </c>
      <c r="BN151" s="103">
        <f t="shared" ca="1" si="95"/>
        <v>0</v>
      </c>
      <c r="BO151" s="103">
        <f t="shared" ca="1" si="96"/>
        <v>0</v>
      </c>
      <c r="BP151" s="103">
        <f t="shared" ca="1" si="97"/>
        <v>0</v>
      </c>
      <c r="BQ151" s="103">
        <f t="shared" ca="1" si="98"/>
        <v>0</v>
      </c>
      <c r="BR151" s="103">
        <f t="shared" ca="1" si="99"/>
        <v>0</v>
      </c>
      <c r="BS151" s="103">
        <f t="shared" ca="1" si="100"/>
        <v>0</v>
      </c>
      <c r="BT151" s="103">
        <f t="shared" ca="1" si="101"/>
        <v>0</v>
      </c>
      <c r="BU151" s="103">
        <f t="shared" ca="1" si="102"/>
        <v>0</v>
      </c>
      <c r="BV151" s="103">
        <f t="shared" ca="1" si="103"/>
        <v>0</v>
      </c>
      <c r="BW151" s="103">
        <f t="shared" ca="1" si="104"/>
        <v>0</v>
      </c>
      <c r="BX151" s="103">
        <f t="shared" ca="1" si="105"/>
        <v>0</v>
      </c>
      <c r="BY151" s="103">
        <f t="shared" ca="1" si="106"/>
        <v>0</v>
      </c>
      <c r="BZ151" s="98">
        <f t="shared" ca="1" si="117"/>
        <v>0</v>
      </c>
      <c r="CA151" s="103">
        <f t="shared" ca="1" si="117"/>
        <v>0</v>
      </c>
      <c r="CB151" s="103">
        <f t="shared" ca="1" si="117"/>
        <v>0</v>
      </c>
      <c r="CC151" s="103">
        <f t="shared" ca="1" si="117"/>
        <v>0</v>
      </c>
      <c r="CD151" s="103">
        <f t="shared" ca="1" si="117"/>
        <v>0</v>
      </c>
      <c r="CE151" s="103">
        <f t="shared" ca="1" si="117"/>
        <v>0</v>
      </c>
      <c r="CF151" s="103">
        <f t="shared" ca="1" si="117"/>
        <v>0</v>
      </c>
      <c r="CG151" s="103">
        <f t="shared" ca="1" si="117"/>
        <v>0</v>
      </c>
      <c r="CH151" s="106">
        <f ca="1">COUNTIF(BZ151:CG151,"&lt;"&amp;MAX(BZ151:CG151))+IF(Calcs[[#This Row],[RL1]]=0,0,1)</f>
        <v>0</v>
      </c>
      <c r="CI15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1" s="103">
        <f ca="1">IFERROR(OFFSET(CJ151,-1,0)+0,0)+IF(INDEX(INDIRECT(RangeContrQty),MATCH(Calcs[[#This Row],[Line]],OFFSET(Items[Line],0,0,ROW(Proposed[])-ROW(Items[])+ROWS(Proposed[]),1),0)),1,0)</f>
        <v>0</v>
      </c>
    </row>
    <row r="152" spans="1:88" x14ac:dyDescent="0.15">
      <c r="A152" s="64">
        <f ca="1">IFERROR(OFFSET(A152,-1,0)+0,0)+MAX(IF(LEN(Calcs[[#This Row],[Line]])&gt;0,1,0),Calcs[[#This Row],[DL]],Calcs[[#This Row],[RL]])</f>
        <v>10</v>
      </c>
      <c r="B152" s="90" t="str">
        <f ca="1">IFERROR(INDEX(OFFSET(Items[Line],0,0,ROW(Proposed[])-ROW(Items[])+ROWS(Proposed[]),1),MATCH(ROW(B152)-ROW(B$3),INDIRECT(RangeCount),0)),"")</f>
        <v/>
      </c>
      <c r="C152" s="90" t="str">
        <f ca="1">IF(LEN(Calcs[[#This Row],[Line]])&gt;0,TRIM(IFERROR(INDEX(Items[Description],MATCH(Calcs[[#This Row],[Line]],Items[Line],0))&amp;INDEX(Items[Description2],MATCH(Calcs[[#This Row],[Line]],Items[Line],0)),INDEX(Proposed[Description],MATCH(Calcs[[#This Row],[Line]],Proposed[Line],0)))),"")</f>
        <v/>
      </c>
      <c r="D152" s="96">
        <f t="shared" ca="1" si="42"/>
        <v>0</v>
      </c>
      <c r="E152" s="103">
        <f t="shared" ca="1" si="43"/>
        <v>0</v>
      </c>
      <c r="F152" s="103">
        <f t="shared" ca="1" si="44"/>
        <v>0</v>
      </c>
      <c r="G152" s="103">
        <f t="shared" ca="1" si="45"/>
        <v>0</v>
      </c>
      <c r="H152" s="103">
        <f t="shared" ca="1" si="46"/>
        <v>0</v>
      </c>
      <c r="I152" s="103">
        <f t="shared" ca="1" si="47"/>
        <v>0</v>
      </c>
      <c r="J152" s="103">
        <f t="shared" ca="1" si="48"/>
        <v>0</v>
      </c>
      <c r="K152" s="103">
        <f t="shared" ca="1" si="49"/>
        <v>0</v>
      </c>
      <c r="L152" s="103">
        <f t="shared" ca="1" si="50"/>
        <v>0</v>
      </c>
      <c r="M152" s="103">
        <f t="shared" ca="1" si="51"/>
        <v>0</v>
      </c>
      <c r="N152" s="103">
        <f t="shared" ca="1" si="52"/>
        <v>0</v>
      </c>
      <c r="O152" s="103">
        <f t="shared" ca="1" si="53"/>
        <v>0</v>
      </c>
      <c r="P152" s="103">
        <f t="shared" ca="1" si="54"/>
        <v>0</v>
      </c>
      <c r="Q152" s="103">
        <f t="shared" ca="1" si="55"/>
        <v>0</v>
      </c>
      <c r="R152" s="103">
        <f t="shared" ca="1" si="56"/>
        <v>0</v>
      </c>
      <c r="S152" s="103">
        <f t="shared" ca="1" si="57"/>
        <v>0</v>
      </c>
      <c r="T152" s="103">
        <f t="shared" ca="1" si="58"/>
        <v>0</v>
      </c>
      <c r="U152" s="103">
        <f t="shared" ca="1" si="59"/>
        <v>0</v>
      </c>
      <c r="V152" s="103">
        <f t="shared" ca="1" si="60"/>
        <v>0</v>
      </c>
      <c r="W152" s="103">
        <f t="shared" ca="1" si="61"/>
        <v>0</v>
      </c>
      <c r="X152" s="103">
        <f t="shared" ca="1" si="62"/>
        <v>0</v>
      </c>
      <c r="Y152" s="103">
        <f t="shared" ca="1" si="63"/>
        <v>0</v>
      </c>
      <c r="Z152" s="103">
        <f t="shared" ca="1" si="64"/>
        <v>0</v>
      </c>
      <c r="AA152" s="103">
        <f t="shared" ca="1" si="65"/>
        <v>0</v>
      </c>
      <c r="AB152" s="103">
        <f t="shared" ca="1" si="66"/>
        <v>0</v>
      </c>
      <c r="AC152" s="103">
        <f t="shared" ca="1" si="67"/>
        <v>0</v>
      </c>
      <c r="AD152" s="103">
        <f t="shared" ca="1" si="68"/>
        <v>0</v>
      </c>
      <c r="AE152" s="103">
        <f t="shared" ca="1" si="69"/>
        <v>0</v>
      </c>
      <c r="AF152" s="103">
        <f t="shared" ca="1" si="70"/>
        <v>0</v>
      </c>
      <c r="AG152" s="103">
        <f t="shared" ca="1" si="71"/>
        <v>0</v>
      </c>
      <c r="AH152" s="103">
        <f t="shared" ca="1" si="72"/>
        <v>0</v>
      </c>
      <c r="AI152" s="103">
        <f t="shared" ca="1" si="73"/>
        <v>0</v>
      </c>
      <c r="AJ152" s="98">
        <f t="shared" ref="AJ152:AQ161" ca="1" si="118">HLOOKUP(IF(COLUMN(AJ152)-COLUMN($AJ$3)=0,0,OFFSET(AJ152,0,-1))+widthPayItem,$D152:$AI152,1)</f>
        <v>0</v>
      </c>
      <c r="AK152" s="103">
        <f t="shared" ca="1" si="118"/>
        <v>0</v>
      </c>
      <c r="AL152" s="103">
        <f t="shared" ca="1" si="118"/>
        <v>0</v>
      </c>
      <c r="AM152" s="103">
        <f t="shared" ca="1" si="118"/>
        <v>0</v>
      </c>
      <c r="AN152" s="103">
        <f t="shared" ca="1" si="118"/>
        <v>0</v>
      </c>
      <c r="AO152" s="103">
        <f t="shared" ca="1" si="118"/>
        <v>0</v>
      </c>
      <c r="AP152" s="103">
        <f t="shared" ca="1" si="118"/>
        <v>0</v>
      </c>
      <c r="AQ152" s="103">
        <f t="shared" ca="1" si="118"/>
        <v>0</v>
      </c>
      <c r="AR152" s="104">
        <f ca="1">COUNTIF(AJ152:AQ152,"&lt;"&amp;MAX(AJ152:AQ152))+IF(Calcs[[#This Row],[DL1]]=0,0,1)</f>
        <v>0</v>
      </c>
      <c r="AS152" s="105" t="str">
        <f ca="1">IF(LEN(Calcs[[#This Row],[Line]])&gt;0,IF(RIGHT(Calcs[[#This Row],[Remark]],3)=".  ",LEFT(Calcs[[#This Row],[Remark]],LEN(Calcs[[#This Row],[Remark]])-3),Calcs[[#This Row],[Remark]]),"")</f>
        <v/>
      </c>
      <c r="AT152" s="96">
        <f t="shared" ca="1" si="75"/>
        <v>0</v>
      </c>
      <c r="AU152" s="103">
        <f t="shared" ca="1" si="76"/>
        <v>0</v>
      </c>
      <c r="AV152" s="103">
        <f t="shared" ca="1" si="77"/>
        <v>0</v>
      </c>
      <c r="AW152" s="103">
        <f t="shared" ca="1" si="78"/>
        <v>0</v>
      </c>
      <c r="AX152" s="103">
        <f t="shared" ca="1" si="79"/>
        <v>0</v>
      </c>
      <c r="AY152" s="103">
        <f t="shared" ca="1" si="80"/>
        <v>0</v>
      </c>
      <c r="AZ152" s="103">
        <f t="shared" ca="1" si="81"/>
        <v>0</v>
      </c>
      <c r="BA152" s="103">
        <f t="shared" ca="1" si="82"/>
        <v>0</v>
      </c>
      <c r="BB152" s="103">
        <f t="shared" ca="1" si="83"/>
        <v>0</v>
      </c>
      <c r="BC152" s="103">
        <f t="shared" ca="1" si="84"/>
        <v>0</v>
      </c>
      <c r="BD152" s="103">
        <f t="shared" ca="1" si="85"/>
        <v>0</v>
      </c>
      <c r="BE152" s="103">
        <f t="shared" ca="1" si="86"/>
        <v>0</v>
      </c>
      <c r="BF152" s="103">
        <f t="shared" ca="1" si="87"/>
        <v>0</v>
      </c>
      <c r="BG152" s="103">
        <f t="shared" ca="1" si="88"/>
        <v>0</v>
      </c>
      <c r="BH152" s="103">
        <f t="shared" ca="1" si="89"/>
        <v>0</v>
      </c>
      <c r="BI152" s="103">
        <f t="shared" ca="1" si="90"/>
        <v>0</v>
      </c>
      <c r="BJ152" s="103">
        <f t="shared" ca="1" si="91"/>
        <v>0</v>
      </c>
      <c r="BK152" s="103">
        <f t="shared" ca="1" si="92"/>
        <v>0</v>
      </c>
      <c r="BL152" s="103">
        <f t="shared" ca="1" si="93"/>
        <v>0</v>
      </c>
      <c r="BM152" s="103">
        <f t="shared" ca="1" si="94"/>
        <v>0</v>
      </c>
      <c r="BN152" s="103">
        <f t="shared" ca="1" si="95"/>
        <v>0</v>
      </c>
      <c r="BO152" s="103">
        <f t="shared" ca="1" si="96"/>
        <v>0</v>
      </c>
      <c r="BP152" s="103">
        <f t="shared" ca="1" si="97"/>
        <v>0</v>
      </c>
      <c r="BQ152" s="103">
        <f t="shared" ca="1" si="98"/>
        <v>0</v>
      </c>
      <c r="BR152" s="103">
        <f t="shared" ca="1" si="99"/>
        <v>0</v>
      </c>
      <c r="BS152" s="103">
        <f t="shared" ca="1" si="100"/>
        <v>0</v>
      </c>
      <c r="BT152" s="103">
        <f t="shared" ca="1" si="101"/>
        <v>0</v>
      </c>
      <c r="BU152" s="103">
        <f t="shared" ca="1" si="102"/>
        <v>0</v>
      </c>
      <c r="BV152" s="103">
        <f t="shared" ca="1" si="103"/>
        <v>0</v>
      </c>
      <c r="BW152" s="103">
        <f t="shared" ca="1" si="104"/>
        <v>0</v>
      </c>
      <c r="BX152" s="103">
        <f t="shared" ca="1" si="105"/>
        <v>0</v>
      </c>
      <c r="BY152" s="103">
        <f t="shared" ca="1" si="106"/>
        <v>0</v>
      </c>
      <c r="BZ152" s="98">
        <f t="shared" ref="BZ152:CG161" ca="1" si="119">HLOOKUP(IF(COLUMN(BZ152)-COLUMN($BZ$3)=0,0,OFFSET(BZ152,0,-1))+widthRemarks,$AT152:$BY152,1)</f>
        <v>0</v>
      </c>
      <c r="CA152" s="103">
        <f t="shared" ca="1" si="119"/>
        <v>0</v>
      </c>
      <c r="CB152" s="103">
        <f t="shared" ca="1" si="119"/>
        <v>0</v>
      </c>
      <c r="CC152" s="103">
        <f t="shared" ca="1" si="119"/>
        <v>0</v>
      </c>
      <c r="CD152" s="103">
        <f t="shared" ca="1" si="119"/>
        <v>0</v>
      </c>
      <c r="CE152" s="103">
        <f t="shared" ca="1" si="119"/>
        <v>0</v>
      </c>
      <c r="CF152" s="103">
        <f t="shared" ca="1" si="119"/>
        <v>0</v>
      </c>
      <c r="CG152" s="103">
        <f t="shared" ca="1" si="119"/>
        <v>0</v>
      </c>
      <c r="CH152" s="106">
        <f ca="1">COUNTIF(BZ152:CG152,"&lt;"&amp;MAX(BZ152:CG152))+IF(Calcs[[#This Row],[RL1]]=0,0,1)</f>
        <v>0</v>
      </c>
      <c r="CI15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2" s="103">
        <f ca="1">IFERROR(OFFSET(CJ152,-1,0)+0,0)+IF(INDEX(INDIRECT(RangeContrQty),MATCH(Calcs[[#This Row],[Line]],OFFSET(Items[Line],0,0,ROW(Proposed[])-ROW(Items[])+ROWS(Proposed[]),1),0)),1,0)</f>
        <v>0</v>
      </c>
    </row>
    <row r="153" spans="1:88" x14ac:dyDescent="0.15">
      <c r="A153" s="64">
        <f ca="1">IFERROR(OFFSET(A153,-1,0)+0,0)+MAX(IF(LEN(Calcs[[#This Row],[Line]])&gt;0,1,0),Calcs[[#This Row],[DL]],Calcs[[#This Row],[RL]])</f>
        <v>10</v>
      </c>
      <c r="B153" s="90" t="str">
        <f ca="1">IFERROR(INDEX(OFFSET(Items[Line],0,0,ROW(Proposed[])-ROW(Items[])+ROWS(Proposed[]),1),MATCH(ROW(B153)-ROW(B$3),INDIRECT(RangeCount),0)),"")</f>
        <v/>
      </c>
      <c r="C153" s="90" t="str">
        <f ca="1">IF(LEN(Calcs[[#This Row],[Line]])&gt;0,TRIM(IFERROR(INDEX(Items[Description],MATCH(Calcs[[#This Row],[Line]],Items[Line],0))&amp;INDEX(Items[Description2],MATCH(Calcs[[#This Row],[Line]],Items[Line],0)),INDEX(Proposed[Description],MATCH(Calcs[[#This Row],[Line]],Proposed[Line],0)))),"")</f>
        <v/>
      </c>
      <c r="D153" s="96">
        <f t="shared" ca="1" si="42"/>
        <v>0</v>
      </c>
      <c r="E153" s="103">
        <f t="shared" ca="1" si="43"/>
        <v>0</v>
      </c>
      <c r="F153" s="103">
        <f t="shared" ca="1" si="44"/>
        <v>0</v>
      </c>
      <c r="G153" s="103">
        <f t="shared" ca="1" si="45"/>
        <v>0</v>
      </c>
      <c r="H153" s="103">
        <f t="shared" ca="1" si="46"/>
        <v>0</v>
      </c>
      <c r="I153" s="103">
        <f t="shared" ca="1" si="47"/>
        <v>0</v>
      </c>
      <c r="J153" s="103">
        <f t="shared" ca="1" si="48"/>
        <v>0</v>
      </c>
      <c r="K153" s="103">
        <f t="shared" ca="1" si="49"/>
        <v>0</v>
      </c>
      <c r="L153" s="103">
        <f t="shared" ca="1" si="50"/>
        <v>0</v>
      </c>
      <c r="M153" s="103">
        <f t="shared" ca="1" si="51"/>
        <v>0</v>
      </c>
      <c r="N153" s="103">
        <f t="shared" ca="1" si="52"/>
        <v>0</v>
      </c>
      <c r="O153" s="103">
        <f t="shared" ca="1" si="53"/>
        <v>0</v>
      </c>
      <c r="P153" s="103">
        <f t="shared" ca="1" si="54"/>
        <v>0</v>
      </c>
      <c r="Q153" s="103">
        <f t="shared" ca="1" si="55"/>
        <v>0</v>
      </c>
      <c r="R153" s="103">
        <f t="shared" ca="1" si="56"/>
        <v>0</v>
      </c>
      <c r="S153" s="103">
        <f t="shared" ca="1" si="57"/>
        <v>0</v>
      </c>
      <c r="T153" s="103">
        <f t="shared" ca="1" si="58"/>
        <v>0</v>
      </c>
      <c r="U153" s="103">
        <f t="shared" ca="1" si="59"/>
        <v>0</v>
      </c>
      <c r="V153" s="103">
        <f t="shared" ca="1" si="60"/>
        <v>0</v>
      </c>
      <c r="W153" s="103">
        <f t="shared" ca="1" si="61"/>
        <v>0</v>
      </c>
      <c r="X153" s="103">
        <f t="shared" ca="1" si="62"/>
        <v>0</v>
      </c>
      <c r="Y153" s="103">
        <f t="shared" ca="1" si="63"/>
        <v>0</v>
      </c>
      <c r="Z153" s="103">
        <f t="shared" ca="1" si="64"/>
        <v>0</v>
      </c>
      <c r="AA153" s="103">
        <f t="shared" ca="1" si="65"/>
        <v>0</v>
      </c>
      <c r="AB153" s="103">
        <f t="shared" ca="1" si="66"/>
        <v>0</v>
      </c>
      <c r="AC153" s="103">
        <f t="shared" ca="1" si="67"/>
        <v>0</v>
      </c>
      <c r="AD153" s="103">
        <f t="shared" ca="1" si="68"/>
        <v>0</v>
      </c>
      <c r="AE153" s="103">
        <f t="shared" ca="1" si="69"/>
        <v>0</v>
      </c>
      <c r="AF153" s="103">
        <f t="shared" ca="1" si="70"/>
        <v>0</v>
      </c>
      <c r="AG153" s="103">
        <f t="shared" ca="1" si="71"/>
        <v>0</v>
      </c>
      <c r="AH153" s="103">
        <f t="shared" ca="1" si="72"/>
        <v>0</v>
      </c>
      <c r="AI153" s="103">
        <f t="shared" ca="1" si="73"/>
        <v>0</v>
      </c>
      <c r="AJ153" s="98">
        <f t="shared" ca="1" si="118"/>
        <v>0</v>
      </c>
      <c r="AK153" s="103">
        <f t="shared" ca="1" si="118"/>
        <v>0</v>
      </c>
      <c r="AL153" s="103">
        <f t="shared" ca="1" si="118"/>
        <v>0</v>
      </c>
      <c r="AM153" s="103">
        <f t="shared" ca="1" si="118"/>
        <v>0</v>
      </c>
      <c r="AN153" s="103">
        <f t="shared" ca="1" si="118"/>
        <v>0</v>
      </c>
      <c r="AO153" s="103">
        <f t="shared" ca="1" si="118"/>
        <v>0</v>
      </c>
      <c r="AP153" s="103">
        <f t="shared" ca="1" si="118"/>
        <v>0</v>
      </c>
      <c r="AQ153" s="103">
        <f t="shared" ca="1" si="118"/>
        <v>0</v>
      </c>
      <c r="AR153" s="104">
        <f ca="1">COUNTIF(AJ153:AQ153,"&lt;"&amp;MAX(AJ153:AQ153))+IF(Calcs[[#This Row],[DL1]]=0,0,1)</f>
        <v>0</v>
      </c>
      <c r="AS153" s="105" t="str">
        <f ca="1">IF(LEN(Calcs[[#This Row],[Line]])&gt;0,IF(RIGHT(Calcs[[#This Row],[Remark]],3)=".  ",LEFT(Calcs[[#This Row],[Remark]],LEN(Calcs[[#This Row],[Remark]])-3),Calcs[[#This Row],[Remark]]),"")</f>
        <v/>
      </c>
      <c r="AT153" s="96">
        <f t="shared" ca="1" si="75"/>
        <v>0</v>
      </c>
      <c r="AU153" s="103">
        <f t="shared" ca="1" si="76"/>
        <v>0</v>
      </c>
      <c r="AV153" s="103">
        <f t="shared" ca="1" si="77"/>
        <v>0</v>
      </c>
      <c r="AW153" s="103">
        <f t="shared" ca="1" si="78"/>
        <v>0</v>
      </c>
      <c r="AX153" s="103">
        <f t="shared" ca="1" si="79"/>
        <v>0</v>
      </c>
      <c r="AY153" s="103">
        <f t="shared" ca="1" si="80"/>
        <v>0</v>
      </c>
      <c r="AZ153" s="103">
        <f t="shared" ca="1" si="81"/>
        <v>0</v>
      </c>
      <c r="BA153" s="103">
        <f t="shared" ca="1" si="82"/>
        <v>0</v>
      </c>
      <c r="BB153" s="103">
        <f t="shared" ca="1" si="83"/>
        <v>0</v>
      </c>
      <c r="BC153" s="103">
        <f t="shared" ca="1" si="84"/>
        <v>0</v>
      </c>
      <c r="BD153" s="103">
        <f t="shared" ca="1" si="85"/>
        <v>0</v>
      </c>
      <c r="BE153" s="103">
        <f t="shared" ca="1" si="86"/>
        <v>0</v>
      </c>
      <c r="BF153" s="103">
        <f t="shared" ca="1" si="87"/>
        <v>0</v>
      </c>
      <c r="BG153" s="103">
        <f t="shared" ca="1" si="88"/>
        <v>0</v>
      </c>
      <c r="BH153" s="103">
        <f t="shared" ca="1" si="89"/>
        <v>0</v>
      </c>
      <c r="BI153" s="103">
        <f t="shared" ca="1" si="90"/>
        <v>0</v>
      </c>
      <c r="BJ153" s="103">
        <f t="shared" ca="1" si="91"/>
        <v>0</v>
      </c>
      <c r="BK153" s="103">
        <f t="shared" ca="1" si="92"/>
        <v>0</v>
      </c>
      <c r="BL153" s="103">
        <f t="shared" ca="1" si="93"/>
        <v>0</v>
      </c>
      <c r="BM153" s="103">
        <f t="shared" ca="1" si="94"/>
        <v>0</v>
      </c>
      <c r="BN153" s="103">
        <f t="shared" ca="1" si="95"/>
        <v>0</v>
      </c>
      <c r="BO153" s="103">
        <f t="shared" ca="1" si="96"/>
        <v>0</v>
      </c>
      <c r="BP153" s="103">
        <f t="shared" ca="1" si="97"/>
        <v>0</v>
      </c>
      <c r="BQ153" s="103">
        <f t="shared" ca="1" si="98"/>
        <v>0</v>
      </c>
      <c r="BR153" s="103">
        <f t="shared" ca="1" si="99"/>
        <v>0</v>
      </c>
      <c r="BS153" s="103">
        <f t="shared" ca="1" si="100"/>
        <v>0</v>
      </c>
      <c r="BT153" s="103">
        <f t="shared" ca="1" si="101"/>
        <v>0</v>
      </c>
      <c r="BU153" s="103">
        <f t="shared" ca="1" si="102"/>
        <v>0</v>
      </c>
      <c r="BV153" s="103">
        <f t="shared" ca="1" si="103"/>
        <v>0</v>
      </c>
      <c r="BW153" s="103">
        <f t="shared" ca="1" si="104"/>
        <v>0</v>
      </c>
      <c r="BX153" s="103">
        <f t="shared" ca="1" si="105"/>
        <v>0</v>
      </c>
      <c r="BY153" s="103">
        <f t="shared" ca="1" si="106"/>
        <v>0</v>
      </c>
      <c r="BZ153" s="98">
        <f t="shared" ca="1" si="119"/>
        <v>0</v>
      </c>
      <c r="CA153" s="103">
        <f t="shared" ca="1" si="119"/>
        <v>0</v>
      </c>
      <c r="CB153" s="103">
        <f t="shared" ca="1" si="119"/>
        <v>0</v>
      </c>
      <c r="CC153" s="103">
        <f t="shared" ca="1" si="119"/>
        <v>0</v>
      </c>
      <c r="CD153" s="103">
        <f t="shared" ca="1" si="119"/>
        <v>0</v>
      </c>
      <c r="CE153" s="103">
        <f t="shared" ca="1" si="119"/>
        <v>0</v>
      </c>
      <c r="CF153" s="103">
        <f t="shared" ca="1" si="119"/>
        <v>0</v>
      </c>
      <c r="CG153" s="103">
        <f t="shared" ca="1" si="119"/>
        <v>0</v>
      </c>
      <c r="CH153" s="106">
        <f ca="1">COUNTIF(BZ153:CG153,"&lt;"&amp;MAX(BZ153:CG153))+IF(Calcs[[#This Row],[RL1]]=0,0,1)</f>
        <v>0</v>
      </c>
      <c r="CI15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3" s="103">
        <f ca="1">IFERROR(OFFSET(CJ153,-1,0)+0,0)+IF(INDEX(INDIRECT(RangeContrQty),MATCH(Calcs[[#This Row],[Line]],OFFSET(Items[Line],0,0,ROW(Proposed[])-ROW(Items[])+ROWS(Proposed[]),1),0)),1,0)</f>
        <v>0</v>
      </c>
    </row>
    <row r="154" spans="1:88" x14ac:dyDescent="0.15">
      <c r="A154" s="64">
        <f ca="1">IFERROR(OFFSET(A154,-1,0)+0,0)+MAX(IF(LEN(Calcs[[#This Row],[Line]])&gt;0,1,0),Calcs[[#This Row],[DL]],Calcs[[#This Row],[RL]])</f>
        <v>10</v>
      </c>
      <c r="B154" s="90" t="str">
        <f ca="1">IFERROR(INDEX(OFFSET(Items[Line],0,0,ROW(Proposed[])-ROW(Items[])+ROWS(Proposed[]),1),MATCH(ROW(B154)-ROW(B$3),INDIRECT(RangeCount),0)),"")</f>
        <v/>
      </c>
      <c r="C154" s="90" t="str">
        <f ca="1">IF(LEN(Calcs[[#This Row],[Line]])&gt;0,TRIM(IFERROR(INDEX(Items[Description],MATCH(Calcs[[#This Row],[Line]],Items[Line],0))&amp;INDEX(Items[Description2],MATCH(Calcs[[#This Row],[Line]],Items[Line],0)),INDEX(Proposed[Description],MATCH(Calcs[[#This Row],[Line]],Proposed[Line],0)))),"")</f>
        <v/>
      </c>
      <c r="D154" s="96">
        <f t="shared" ca="1" si="42"/>
        <v>0</v>
      </c>
      <c r="E154" s="103">
        <f t="shared" ca="1" si="43"/>
        <v>0</v>
      </c>
      <c r="F154" s="103">
        <f t="shared" ca="1" si="44"/>
        <v>0</v>
      </c>
      <c r="G154" s="103">
        <f t="shared" ca="1" si="45"/>
        <v>0</v>
      </c>
      <c r="H154" s="103">
        <f t="shared" ca="1" si="46"/>
        <v>0</v>
      </c>
      <c r="I154" s="103">
        <f t="shared" ca="1" si="47"/>
        <v>0</v>
      </c>
      <c r="J154" s="103">
        <f t="shared" ca="1" si="48"/>
        <v>0</v>
      </c>
      <c r="K154" s="103">
        <f t="shared" ca="1" si="49"/>
        <v>0</v>
      </c>
      <c r="L154" s="103">
        <f t="shared" ca="1" si="50"/>
        <v>0</v>
      </c>
      <c r="M154" s="103">
        <f t="shared" ca="1" si="51"/>
        <v>0</v>
      </c>
      <c r="N154" s="103">
        <f t="shared" ca="1" si="52"/>
        <v>0</v>
      </c>
      <c r="O154" s="103">
        <f t="shared" ca="1" si="53"/>
        <v>0</v>
      </c>
      <c r="P154" s="103">
        <f t="shared" ca="1" si="54"/>
        <v>0</v>
      </c>
      <c r="Q154" s="103">
        <f t="shared" ca="1" si="55"/>
        <v>0</v>
      </c>
      <c r="R154" s="103">
        <f t="shared" ca="1" si="56"/>
        <v>0</v>
      </c>
      <c r="S154" s="103">
        <f t="shared" ca="1" si="57"/>
        <v>0</v>
      </c>
      <c r="T154" s="103">
        <f t="shared" ca="1" si="58"/>
        <v>0</v>
      </c>
      <c r="U154" s="103">
        <f t="shared" ca="1" si="59"/>
        <v>0</v>
      </c>
      <c r="V154" s="103">
        <f t="shared" ca="1" si="60"/>
        <v>0</v>
      </c>
      <c r="W154" s="103">
        <f t="shared" ca="1" si="61"/>
        <v>0</v>
      </c>
      <c r="X154" s="103">
        <f t="shared" ca="1" si="62"/>
        <v>0</v>
      </c>
      <c r="Y154" s="103">
        <f t="shared" ca="1" si="63"/>
        <v>0</v>
      </c>
      <c r="Z154" s="103">
        <f t="shared" ca="1" si="64"/>
        <v>0</v>
      </c>
      <c r="AA154" s="103">
        <f t="shared" ca="1" si="65"/>
        <v>0</v>
      </c>
      <c r="AB154" s="103">
        <f t="shared" ca="1" si="66"/>
        <v>0</v>
      </c>
      <c r="AC154" s="103">
        <f t="shared" ca="1" si="67"/>
        <v>0</v>
      </c>
      <c r="AD154" s="103">
        <f t="shared" ca="1" si="68"/>
        <v>0</v>
      </c>
      <c r="AE154" s="103">
        <f t="shared" ca="1" si="69"/>
        <v>0</v>
      </c>
      <c r="AF154" s="103">
        <f t="shared" ca="1" si="70"/>
        <v>0</v>
      </c>
      <c r="AG154" s="103">
        <f t="shared" ca="1" si="71"/>
        <v>0</v>
      </c>
      <c r="AH154" s="103">
        <f t="shared" ca="1" si="72"/>
        <v>0</v>
      </c>
      <c r="AI154" s="103">
        <f t="shared" ca="1" si="73"/>
        <v>0</v>
      </c>
      <c r="AJ154" s="98">
        <f t="shared" ca="1" si="118"/>
        <v>0</v>
      </c>
      <c r="AK154" s="103">
        <f t="shared" ca="1" si="118"/>
        <v>0</v>
      </c>
      <c r="AL154" s="103">
        <f t="shared" ca="1" si="118"/>
        <v>0</v>
      </c>
      <c r="AM154" s="103">
        <f t="shared" ca="1" si="118"/>
        <v>0</v>
      </c>
      <c r="AN154" s="103">
        <f t="shared" ca="1" si="118"/>
        <v>0</v>
      </c>
      <c r="AO154" s="103">
        <f t="shared" ca="1" si="118"/>
        <v>0</v>
      </c>
      <c r="AP154" s="103">
        <f t="shared" ca="1" si="118"/>
        <v>0</v>
      </c>
      <c r="AQ154" s="103">
        <f t="shared" ca="1" si="118"/>
        <v>0</v>
      </c>
      <c r="AR154" s="104">
        <f ca="1">COUNTIF(AJ154:AQ154,"&lt;"&amp;MAX(AJ154:AQ154))+IF(Calcs[[#This Row],[DL1]]=0,0,1)</f>
        <v>0</v>
      </c>
      <c r="AS154" s="105" t="str">
        <f ca="1">IF(LEN(Calcs[[#This Row],[Line]])&gt;0,IF(RIGHT(Calcs[[#This Row],[Remark]],3)=".  ",LEFT(Calcs[[#This Row],[Remark]],LEN(Calcs[[#This Row],[Remark]])-3),Calcs[[#This Row],[Remark]]),"")</f>
        <v/>
      </c>
      <c r="AT154" s="96">
        <f t="shared" ca="1" si="75"/>
        <v>0</v>
      </c>
      <c r="AU154" s="103">
        <f t="shared" ca="1" si="76"/>
        <v>0</v>
      </c>
      <c r="AV154" s="103">
        <f t="shared" ca="1" si="77"/>
        <v>0</v>
      </c>
      <c r="AW154" s="103">
        <f t="shared" ca="1" si="78"/>
        <v>0</v>
      </c>
      <c r="AX154" s="103">
        <f t="shared" ca="1" si="79"/>
        <v>0</v>
      </c>
      <c r="AY154" s="103">
        <f t="shared" ca="1" si="80"/>
        <v>0</v>
      </c>
      <c r="AZ154" s="103">
        <f t="shared" ca="1" si="81"/>
        <v>0</v>
      </c>
      <c r="BA154" s="103">
        <f t="shared" ca="1" si="82"/>
        <v>0</v>
      </c>
      <c r="BB154" s="103">
        <f t="shared" ca="1" si="83"/>
        <v>0</v>
      </c>
      <c r="BC154" s="103">
        <f t="shared" ca="1" si="84"/>
        <v>0</v>
      </c>
      <c r="BD154" s="103">
        <f t="shared" ca="1" si="85"/>
        <v>0</v>
      </c>
      <c r="BE154" s="103">
        <f t="shared" ca="1" si="86"/>
        <v>0</v>
      </c>
      <c r="BF154" s="103">
        <f t="shared" ca="1" si="87"/>
        <v>0</v>
      </c>
      <c r="BG154" s="103">
        <f t="shared" ca="1" si="88"/>
        <v>0</v>
      </c>
      <c r="BH154" s="103">
        <f t="shared" ca="1" si="89"/>
        <v>0</v>
      </c>
      <c r="BI154" s="103">
        <f t="shared" ca="1" si="90"/>
        <v>0</v>
      </c>
      <c r="BJ154" s="103">
        <f t="shared" ca="1" si="91"/>
        <v>0</v>
      </c>
      <c r="BK154" s="103">
        <f t="shared" ca="1" si="92"/>
        <v>0</v>
      </c>
      <c r="BL154" s="103">
        <f t="shared" ca="1" si="93"/>
        <v>0</v>
      </c>
      <c r="BM154" s="103">
        <f t="shared" ca="1" si="94"/>
        <v>0</v>
      </c>
      <c r="BN154" s="103">
        <f t="shared" ca="1" si="95"/>
        <v>0</v>
      </c>
      <c r="BO154" s="103">
        <f t="shared" ca="1" si="96"/>
        <v>0</v>
      </c>
      <c r="BP154" s="103">
        <f t="shared" ca="1" si="97"/>
        <v>0</v>
      </c>
      <c r="BQ154" s="103">
        <f t="shared" ca="1" si="98"/>
        <v>0</v>
      </c>
      <c r="BR154" s="103">
        <f t="shared" ca="1" si="99"/>
        <v>0</v>
      </c>
      <c r="BS154" s="103">
        <f t="shared" ca="1" si="100"/>
        <v>0</v>
      </c>
      <c r="BT154" s="103">
        <f t="shared" ca="1" si="101"/>
        <v>0</v>
      </c>
      <c r="BU154" s="103">
        <f t="shared" ca="1" si="102"/>
        <v>0</v>
      </c>
      <c r="BV154" s="103">
        <f t="shared" ca="1" si="103"/>
        <v>0</v>
      </c>
      <c r="BW154" s="103">
        <f t="shared" ca="1" si="104"/>
        <v>0</v>
      </c>
      <c r="BX154" s="103">
        <f t="shared" ca="1" si="105"/>
        <v>0</v>
      </c>
      <c r="BY154" s="103">
        <f t="shared" ca="1" si="106"/>
        <v>0</v>
      </c>
      <c r="BZ154" s="98">
        <f t="shared" ca="1" si="119"/>
        <v>0</v>
      </c>
      <c r="CA154" s="103">
        <f t="shared" ca="1" si="119"/>
        <v>0</v>
      </c>
      <c r="CB154" s="103">
        <f t="shared" ca="1" si="119"/>
        <v>0</v>
      </c>
      <c r="CC154" s="103">
        <f t="shared" ca="1" si="119"/>
        <v>0</v>
      </c>
      <c r="CD154" s="103">
        <f t="shared" ca="1" si="119"/>
        <v>0</v>
      </c>
      <c r="CE154" s="103">
        <f t="shared" ca="1" si="119"/>
        <v>0</v>
      </c>
      <c r="CF154" s="103">
        <f t="shared" ca="1" si="119"/>
        <v>0</v>
      </c>
      <c r="CG154" s="103">
        <f t="shared" ca="1" si="119"/>
        <v>0</v>
      </c>
      <c r="CH154" s="106">
        <f ca="1">COUNTIF(BZ154:CG154,"&lt;"&amp;MAX(BZ154:CG154))+IF(Calcs[[#This Row],[RL1]]=0,0,1)</f>
        <v>0</v>
      </c>
      <c r="CI15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4" s="103">
        <f ca="1">IFERROR(OFFSET(CJ154,-1,0)+0,0)+IF(INDEX(INDIRECT(RangeContrQty),MATCH(Calcs[[#This Row],[Line]],OFFSET(Items[Line],0,0,ROW(Proposed[])-ROW(Items[])+ROWS(Proposed[]),1),0)),1,0)</f>
        <v>0</v>
      </c>
    </row>
    <row r="155" spans="1:88" x14ac:dyDescent="0.15">
      <c r="A155" s="64">
        <f ca="1">IFERROR(OFFSET(A155,-1,0)+0,0)+MAX(IF(LEN(Calcs[[#This Row],[Line]])&gt;0,1,0),Calcs[[#This Row],[DL]],Calcs[[#This Row],[RL]])</f>
        <v>10</v>
      </c>
      <c r="B155" s="90" t="str">
        <f ca="1">IFERROR(INDEX(OFFSET(Items[Line],0,0,ROW(Proposed[])-ROW(Items[])+ROWS(Proposed[]),1),MATCH(ROW(B155)-ROW(B$3),INDIRECT(RangeCount),0)),"")</f>
        <v/>
      </c>
      <c r="C155" s="90" t="str">
        <f ca="1">IF(LEN(Calcs[[#This Row],[Line]])&gt;0,TRIM(IFERROR(INDEX(Items[Description],MATCH(Calcs[[#This Row],[Line]],Items[Line],0))&amp;INDEX(Items[Description2],MATCH(Calcs[[#This Row],[Line]],Items[Line],0)),INDEX(Proposed[Description],MATCH(Calcs[[#This Row],[Line]],Proposed[Line],0)))),"")</f>
        <v/>
      </c>
      <c r="D155" s="96">
        <f t="shared" ca="1" si="42"/>
        <v>0</v>
      </c>
      <c r="E155" s="103">
        <f t="shared" ca="1" si="43"/>
        <v>0</v>
      </c>
      <c r="F155" s="103">
        <f t="shared" ca="1" si="44"/>
        <v>0</v>
      </c>
      <c r="G155" s="103">
        <f t="shared" ca="1" si="45"/>
        <v>0</v>
      </c>
      <c r="H155" s="103">
        <f t="shared" ca="1" si="46"/>
        <v>0</v>
      </c>
      <c r="I155" s="103">
        <f t="shared" ca="1" si="47"/>
        <v>0</v>
      </c>
      <c r="J155" s="103">
        <f t="shared" ca="1" si="48"/>
        <v>0</v>
      </c>
      <c r="K155" s="103">
        <f t="shared" ca="1" si="49"/>
        <v>0</v>
      </c>
      <c r="L155" s="103">
        <f t="shared" ca="1" si="50"/>
        <v>0</v>
      </c>
      <c r="M155" s="103">
        <f t="shared" ca="1" si="51"/>
        <v>0</v>
      </c>
      <c r="N155" s="103">
        <f t="shared" ca="1" si="52"/>
        <v>0</v>
      </c>
      <c r="O155" s="103">
        <f t="shared" ca="1" si="53"/>
        <v>0</v>
      </c>
      <c r="P155" s="103">
        <f t="shared" ca="1" si="54"/>
        <v>0</v>
      </c>
      <c r="Q155" s="103">
        <f t="shared" ca="1" si="55"/>
        <v>0</v>
      </c>
      <c r="R155" s="103">
        <f t="shared" ca="1" si="56"/>
        <v>0</v>
      </c>
      <c r="S155" s="103">
        <f t="shared" ca="1" si="57"/>
        <v>0</v>
      </c>
      <c r="T155" s="103">
        <f t="shared" ca="1" si="58"/>
        <v>0</v>
      </c>
      <c r="U155" s="103">
        <f t="shared" ca="1" si="59"/>
        <v>0</v>
      </c>
      <c r="V155" s="103">
        <f t="shared" ca="1" si="60"/>
        <v>0</v>
      </c>
      <c r="W155" s="103">
        <f t="shared" ca="1" si="61"/>
        <v>0</v>
      </c>
      <c r="X155" s="103">
        <f t="shared" ca="1" si="62"/>
        <v>0</v>
      </c>
      <c r="Y155" s="103">
        <f t="shared" ca="1" si="63"/>
        <v>0</v>
      </c>
      <c r="Z155" s="103">
        <f t="shared" ca="1" si="64"/>
        <v>0</v>
      </c>
      <c r="AA155" s="103">
        <f t="shared" ca="1" si="65"/>
        <v>0</v>
      </c>
      <c r="AB155" s="103">
        <f t="shared" ca="1" si="66"/>
        <v>0</v>
      </c>
      <c r="AC155" s="103">
        <f t="shared" ca="1" si="67"/>
        <v>0</v>
      </c>
      <c r="AD155" s="103">
        <f t="shared" ca="1" si="68"/>
        <v>0</v>
      </c>
      <c r="AE155" s="103">
        <f t="shared" ca="1" si="69"/>
        <v>0</v>
      </c>
      <c r="AF155" s="103">
        <f t="shared" ca="1" si="70"/>
        <v>0</v>
      </c>
      <c r="AG155" s="103">
        <f t="shared" ca="1" si="71"/>
        <v>0</v>
      </c>
      <c r="AH155" s="103">
        <f t="shared" ca="1" si="72"/>
        <v>0</v>
      </c>
      <c r="AI155" s="103">
        <f t="shared" ca="1" si="73"/>
        <v>0</v>
      </c>
      <c r="AJ155" s="98">
        <f t="shared" ca="1" si="118"/>
        <v>0</v>
      </c>
      <c r="AK155" s="103">
        <f t="shared" ca="1" si="118"/>
        <v>0</v>
      </c>
      <c r="AL155" s="103">
        <f t="shared" ca="1" si="118"/>
        <v>0</v>
      </c>
      <c r="AM155" s="103">
        <f t="shared" ca="1" si="118"/>
        <v>0</v>
      </c>
      <c r="AN155" s="103">
        <f t="shared" ca="1" si="118"/>
        <v>0</v>
      </c>
      <c r="AO155" s="103">
        <f t="shared" ca="1" si="118"/>
        <v>0</v>
      </c>
      <c r="AP155" s="103">
        <f t="shared" ca="1" si="118"/>
        <v>0</v>
      </c>
      <c r="AQ155" s="103">
        <f t="shared" ca="1" si="118"/>
        <v>0</v>
      </c>
      <c r="AR155" s="104">
        <f ca="1">COUNTIF(AJ155:AQ155,"&lt;"&amp;MAX(AJ155:AQ155))+IF(Calcs[[#This Row],[DL1]]=0,0,1)</f>
        <v>0</v>
      </c>
      <c r="AS155" s="105" t="str">
        <f ca="1">IF(LEN(Calcs[[#This Row],[Line]])&gt;0,IF(RIGHT(Calcs[[#This Row],[Remark]],3)=".  ",LEFT(Calcs[[#This Row],[Remark]],LEN(Calcs[[#This Row],[Remark]])-3),Calcs[[#This Row],[Remark]]),"")</f>
        <v/>
      </c>
      <c r="AT155" s="96">
        <f t="shared" ca="1" si="75"/>
        <v>0</v>
      </c>
      <c r="AU155" s="103">
        <f t="shared" ca="1" si="76"/>
        <v>0</v>
      </c>
      <c r="AV155" s="103">
        <f t="shared" ca="1" si="77"/>
        <v>0</v>
      </c>
      <c r="AW155" s="103">
        <f t="shared" ca="1" si="78"/>
        <v>0</v>
      </c>
      <c r="AX155" s="103">
        <f t="shared" ca="1" si="79"/>
        <v>0</v>
      </c>
      <c r="AY155" s="103">
        <f t="shared" ca="1" si="80"/>
        <v>0</v>
      </c>
      <c r="AZ155" s="103">
        <f t="shared" ca="1" si="81"/>
        <v>0</v>
      </c>
      <c r="BA155" s="103">
        <f t="shared" ca="1" si="82"/>
        <v>0</v>
      </c>
      <c r="BB155" s="103">
        <f t="shared" ca="1" si="83"/>
        <v>0</v>
      </c>
      <c r="BC155" s="103">
        <f t="shared" ca="1" si="84"/>
        <v>0</v>
      </c>
      <c r="BD155" s="103">
        <f t="shared" ca="1" si="85"/>
        <v>0</v>
      </c>
      <c r="BE155" s="103">
        <f t="shared" ca="1" si="86"/>
        <v>0</v>
      </c>
      <c r="BF155" s="103">
        <f t="shared" ca="1" si="87"/>
        <v>0</v>
      </c>
      <c r="BG155" s="103">
        <f t="shared" ca="1" si="88"/>
        <v>0</v>
      </c>
      <c r="BH155" s="103">
        <f t="shared" ca="1" si="89"/>
        <v>0</v>
      </c>
      <c r="BI155" s="103">
        <f t="shared" ca="1" si="90"/>
        <v>0</v>
      </c>
      <c r="BJ155" s="103">
        <f t="shared" ca="1" si="91"/>
        <v>0</v>
      </c>
      <c r="BK155" s="103">
        <f t="shared" ca="1" si="92"/>
        <v>0</v>
      </c>
      <c r="BL155" s="103">
        <f t="shared" ca="1" si="93"/>
        <v>0</v>
      </c>
      <c r="BM155" s="103">
        <f t="shared" ca="1" si="94"/>
        <v>0</v>
      </c>
      <c r="BN155" s="103">
        <f t="shared" ca="1" si="95"/>
        <v>0</v>
      </c>
      <c r="BO155" s="103">
        <f t="shared" ca="1" si="96"/>
        <v>0</v>
      </c>
      <c r="BP155" s="103">
        <f t="shared" ca="1" si="97"/>
        <v>0</v>
      </c>
      <c r="BQ155" s="103">
        <f t="shared" ca="1" si="98"/>
        <v>0</v>
      </c>
      <c r="BR155" s="103">
        <f t="shared" ca="1" si="99"/>
        <v>0</v>
      </c>
      <c r="BS155" s="103">
        <f t="shared" ca="1" si="100"/>
        <v>0</v>
      </c>
      <c r="BT155" s="103">
        <f t="shared" ca="1" si="101"/>
        <v>0</v>
      </c>
      <c r="BU155" s="103">
        <f t="shared" ca="1" si="102"/>
        <v>0</v>
      </c>
      <c r="BV155" s="103">
        <f t="shared" ca="1" si="103"/>
        <v>0</v>
      </c>
      <c r="BW155" s="103">
        <f t="shared" ca="1" si="104"/>
        <v>0</v>
      </c>
      <c r="BX155" s="103">
        <f t="shared" ca="1" si="105"/>
        <v>0</v>
      </c>
      <c r="BY155" s="103">
        <f t="shared" ca="1" si="106"/>
        <v>0</v>
      </c>
      <c r="BZ155" s="98">
        <f t="shared" ca="1" si="119"/>
        <v>0</v>
      </c>
      <c r="CA155" s="103">
        <f t="shared" ca="1" si="119"/>
        <v>0</v>
      </c>
      <c r="CB155" s="103">
        <f t="shared" ca="1" si="119"/>
        <v>0</v>
      </c>
      <c r="CC155" s="103">
        <f t="shared" ca="1" si="119"/>
        <v>0</v>
      </c>
      <c r="CD155" s="103">
        <f t="shared" ca="1" si="119"/>
        <v>0</v>
      </c>
      <c r="CE155" s="103">
        <f t="shared" ca="1" si="119"/>
        <v>0</v>
      </c>
      <c r="CF155" s="103">
        <f t="shared" ca="1" si="119"/>
        <v>0</v>
      </c>
      <c r="CG155" s="103">
        <f t="shared" ca="1" si="119"/>
        <v>0</v>
      </c>
      <c r="CH155" s="106">
        <f ca="1">COUNTIF(BZ155:CG155,"&lt;"&amp;MAX(BZ155:CG155))+IF(Calcs[[#This Row],[RL1]]=0,0,1)</f>
        <v>0</v>
      </c>
      <c r="CI15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5" s="103">
        <f ca="1">IFERROR(OFFSET(CJ155,-1,0)+0,0)+IF(INDEX(INDIRECT(RangeContrQty),MATCH(Calcs[[#This Row],[Line]],OFFSET(Items[Line],0,0,ROW(Proposed[])-ROW(Items[])+ROWS(Proposed[]),1),0)),1,0)</f>
        <v>0</v>
      </c>
    </row>
    <row r="156" spans="1:88" x14ac:dyDescent="0.15">
      <c r="A156" s="64">
        <f ca="1">IFERROR(OFFSET(A156,-1,0)+0,0)+MAX(IF(LEN(Calcs[[#This Row],[Line]])&gt;0,1,0),Calcs[[#This Row],[DL]],Calcs[[#This Row],[RL]])</f>
        <v>10</v>
      </c>
      <c r="B156" s="90" t="str">
        <f ca="1">IFERROR(INDEX(OFFSET(Items[Line],0,0,ROW(Proposed[])-ROW(Items[])+ROWS(Proposed[]),1),MATCH(ROW(B156)-ROW(B$3),INDIRECT(RangeCount),0)),"")</f>
        <v/>
      </c>
      <c r="C156" s="90" t="str">
        <f ca="1">IF(LEN(Calcs[[#This Row],[Line]])&gt;0,TRIM(IFERROR(INDEX(Items[Description],MATCH(Calcs[[#This Row],[Line]],Items[Line],0))&amp;INDEX(Items[Description2],MATCH(Calcs[[#This Row],[Line]],Items[Line],0)),INDEX(Proposed[Description],MATCH(Calcs[[#This Row],[Line]],Proposed[Line],0)))),"")</f>
        <v/>
      </c>
      <c r="D156" s="96">
        <f t="shared" ref="D156:D219" ca="1" si="120">IFERROR(FIND(" ",$C156,IFERROR(OFFSET(D156,0,-1)+1,1)),LEN($C156))</f>
        <v>0</v>
      </c>
      <c r="E156" s="103">
        <f t="shared" ref="E156:E219" ca="1" si="121">IFERROR(FIND(" ",$C156,IFERROR(OFFSET(E156,0,-1)+1,1)),LEN($C156))</f>
        <v>0</v>
      </c>
      <c r="F156" s="103">
        <f t="shared" ref="F156:F219" ca="1" si="122">IFERROR(FIND(" ",$C156,IFERROR(OFFSET(F156,0,-1)+1,1)),LEN($C156))</f>
        <v>0</v>
      </c>
      <c r="G156" s="103">
        <f t="shared" ref="G156:G219" ca="1" si="123">IFERROR(FIND(" ",$C156,IFERROR(OFFSET(G156,0,-1)+1,1)),LEN($C156))</f>
        <v>0</v>
      </c>
      <c r="H156" s="103">
        <f t="shared" ref="H156:H219" ca="1" si="124">IFERROR(FIND(" ",$C156,IFERROR(OFFSET(H156,0,-1)+1,1)),LEN($C156))</f>
        <v>0</v>
      </c>
      <c r="I156" s="103">
        <f t="shared" ref="I156:I219" ca="1" si="125">IFERROR(FIND(" ",$C156,IFERROR(OFFSET(I156,0,-1)+1,1)),LEN($C156))</f>
        <v>0</v>
      </c>
      <c r="J156" s="103">
        <f t="shared" ref="J156:J219" ca="1" si="126">IFERROR(FIND(" ",$C156,IFERROR(OFFSET(J156,0,-1)+1,1)),LEN($C156))</f>
        <v>0</v>
      </c>
      <c r="K156" s="103">
        <f t="shared" ref="K156:K219" ca="1" si="127">IFERROR(FIND(" ",$C156,IFERROR(OFFSET(K156,0,-1)+1,1)),LEN($C156))</f>
        <v>0</v>
      </c>
      <c r="L156" s="103">
        <f t="shared" ref="L156:L219" ca="1" si="128">IFERROR(FIND(" ",$C156,IFERROR(OFFSET(L156,0,-1)+1,1)),LEN($C156))</f>
        <v>0</v>
      </c>
      <c r="M156" s="103">
        <f t="shared" ref="M156:M219" ca="1" si="129">IFERROR(FIND(" ",$C156,IFERROR(OFFSET(M156,0,-1)+1,1)),LEN($C156))</f>
        <v>0</v>
      </c>
      <c r="N156" s="103">
        <f t="shared" ref="N156:N219" ca="1" si="130">IFERROR(FIND(" ",$C156,IFERROR(OFFSET(N156,0,-1)+1,1)),LEN($C156))</f>
        <v>0</v>
      </c>
      <c r="O156" s="103">
        <f t="shared" ref="O156:O219" ca="1" si="131">IFERROR(FIND(" ",$C156,IFERROR(OFFSET(O156,0,-1)+1,1)),LEN($C156))</f>
        <v>0</v>
      </c>
      <c r="P156" s="103">
        <f t="shared" ref="P156:P219" ca="1" si="132">IFERROR(FIND(" ",$C156,IFERROR(OFFSET(P156,0,-1)+1,1)),LEN($C156))</f>
        <v>0</v>
      </c>
      <c r="Q156" s="103">
        <f t="shared" ref="Q156:Q219" ca="1" si="133">IFERROR(FIND(" ",$C156,IFERROR(OFFSET(Q156,0,-1)+1,1)),LEN($C156))</f>
        <v>0</v>
      </c>
      <c r="R156" s="103">
        <f t="shared" ref="R156:R219" ca="1" si="134">IFERROR(FIND(" ",$C156,IFERROR(OFFSET(R156,0,-1)+1,1)),LEN($C156))</f>
        <v>0</v>
      </c>
      <c r="S156" s="103">
        <f t="shared" ref="S156:S219" ca="1" si="135">IFERROR(FIND(" ",$C156,IFERROR(OFFSET(S156,0,-1)+1,1)),LEN($C156))</f>
        <v>0</v>
      </c>
      <c r="T156" s="103">
        <f t="shared" ref="T156:T219" ca="1" si="136">IFERROR(FIND(" ",$C156,IFERROR(OFFSET(T156,0,-1)+1,1)),LEN($C156))</f>
        <v>0</v>
      </c>
      <c r="U156" s="103">
        <f t="shared" ref="U156:U219" ca="1" si="137">IFERROR(FIND(" ",$C156,IFERROR(OFFSET(U156,0,-1)+1,1)),LEN($C156))</f>
        <v>0</v>
      </c>
      <c r="V156" s="103">
        <f t="shared" ref="V156:V219" ca="1" si="138">IFERROR(FIND(" ",$C156,IFERROR(OFFSET(V156,0,-1)+1,1)),LEN($C156))</f>
        <v>0</v>
      </c>
      <c r="W156" s="103">
        <f t="shared" ref="W156:W219" ca="1" si="139">IFERROR(FIND(" ",$C156,IFERROR(OFFSET(W156,0,-1)+1,1)),LEN($C156))</f>
        <v>0</v>
      </c>
      <c r="X156" s="103">
        <f t="shared" ref="X156:X219" ca="1" si="140">IFERROR(FIND(" ",$C156,IFERROR(OFFSET(X156,0,-1)+1,1)),LEN($C156))</f>
        <v>0</v>
      </c>
      <c r="Y156" s="103">
        <f t="shared" ref="Y156:Y219" ca="1" si="141">IFERROR(FIND(" ",$C156,IFERROR(OFFSET(Y156,0,-1)+1,1)),LEN($C156))</f>
        <v>0</v>
      </c>
      <c r="Z156" s="103">
        <f t="shared" ref="Z156:Z219" ca="1" si="142">IFERROR(FIND(" ",$C156,IFERROR(OFFSET(Z156,0,-1)+1,1)),LEN($C156))</f>
        <v>0</v>
      </c>
      <c r="AA156" s="103">
        <f t="shared" ref="AA156:AA219" ca="1" si="143">IFERROR(FIND(" ",$C156,IFERROR(OFFSET(AA156,0,-1)+1,1)),LEN($C156))</f>
        <v>0</v>
      </c>
      <c r="AB156" s="103">
        <f t="shared" ref="AB156:AB219" ca="1" si="144">IFERROR(FIND(" ",$C156,IFERROR(OFFSET(AB156,0,-1)+1,1)),LEN($C156))</f>
        <v>0</v>
      </c>
      <c r="AC156" s="103">
        <f t="shared" ref="AC156:AC219" ca="1" si="145">IFERROR(FIND(" ",$C156,IFERROR(OFFSET(AC156,0,-1)+1,1)),LEN($C156))</f>
        <v>0</v>
      </c>
      <c r="AD156" s="103">
        <f t="shared" ref="AD156:AD219" ca="1" si="146">IFERROR(FIND(" ",$C156,IFERROR(OFFSET(AD156,0,-1)+1,1)),LEN($C156))</f>
        <v>0</v>
      </c>
      <c r="AE156" s="103">
        <f t="shared" ref="AE156:AE219" ca="1" si="147">IFERROR(FIND(" ",$C156,IFERROR(OFFSET(AE156,0,-1)+1,1)),LEN($C156))</f>
        <v>0</v>
      </c>
      <c r="AF156" s="103">
        <f t="shared" ref="AF156:AF219" ca="1" si="148">IFERROR(FIND(" ",$C156,IFERROR(OFFSET(AF156,0,-1)+1,1)),LEN($C156))</f>
        <v>0</v>
      </c>
      <c r="AG156" s="103">
        <f t="shared" ref="AG156:AG219" ca="1" si="149">IFERROR(FIND(" ",$C156,IFERROR(OFFSET(AG156,0,-1)+1,1)),LEN($C156))</f>
        <v>0</v>
      </c>
      <c r="AH156" s="103">
        <f t="shared" ref="AH156:AH219" ca="1" si="150">IFERROR(FIND(" ",$C156,IFERROR(OFFSET(AH156,0,-1)+1,1)),LEN($C156))</f>
        <v>0</v>
      </c>
      <c r="AI156" s="103">
        <f t="shared" ref="AI156:AI219" ca="1" si="151">IFERROR(FIND(" ",$C156,IFERROR(OFFSET(AI156,0,-1)+1,1)),LEN($C156))</f>
        <v>0</v>
      </c>
      <c r="AJ156" s="98">
        <f t="shared" ca="1" si="118"/>
        <v>0</v>
      </c>
      <c r="AK156" s="103">
        <f t="shared" ca="1" si="118"/>
        <v>0</v>
      </c>
      <c r="AL156" s="103">
        <f t="shared" ca="1" si="118"/>
        <v>0</v>
      </c>
      <c r="AM156" s="103">
        <f t="shared" ca="1" si="118"/>
        <v>0</v>
      </c>
      <c r="AN156" s="103">
        <f t="shared" ca="1" si="118"/>
        <v>0</v>
      </c>
      <c r="AO156" s="103">
        <f t="shared" ca="1" si="118"/>
        <v>0</v>
      </c>
      <c r="AP156" s="103">
        <f t="shared" ca="1" si="118"/>
        <v>0</v>
      </c>
      <c r="AQ156" s="103">
        <f t="shared" ca="1" si="118"/>
        <v>0</v>
      </c>
      <c r="AR156" s="104">
        <f ca="1">COUNTIF(AJ156:AQ156,"&lt;"&amp;MAX(AJ156:AQ156))+IF(Calcs[[#This Row],[DL1]]=0,0,1)</f>
        <v>0</v>
      </c>
      <c r="AS156" s="105" t="str">
        <f ca="1">IF(LEN(Calcs[[#This Row],[Line]])&gt;0,IF(RIGHT(Calcs[[#This Row],[Remark]],3)=".  ",LEFT(Calcs[[#This Row],[Remark]],LEN(Calcs[[#This Row],[Remark]])-3),Calcs[[#This Row],[Remark]]),"")</f>
        <v/>
      </c>
      <c r="AT156" s="96">
        <f t="shared" ref="AT156:AT219" ca="1" si="152">IFERROR(FIND(" ",$AS156,IFERROR(OFFSET(AT156,0,-1)+1,1)),LEN($AS156))</f>
        <v>0</v>
      </c>
      <c r="AU156" s="103">
        <f t="shared" ref="AU156:AU219" ca="1" si="153">IFERROR(FIND(" ",$AS156,IFERROR(OFFSET(AU156,0,-1)+1,1)),LEN($AS156))</f>
        <v>0</v>
      </c>
      <c r="AV156" s="103">
        <f t="shared" ref="AV156:AV219" ca="1" si="154">IFERROR(FIND(" ",$AS156,IFERROR(OFFSET(AV156,0,-1)+1,1)),LEN($AS156))</f>
        <v>0</v>
      </c>
      <c r="AW156" s="103">
        <f t="shared" ref="AW156:AW219" ca="1" si="155">IFERROR(FIND(" ",$AS156,IFERROR(OFFSET(AW156,0,-1)+1,1)),LEN($AS156))</f>
        <v>0</v>
      </c>
      <c r="AX156" s="103">
        <f t="shared" ref="AX156:AX219" ca="1" si="156">IFERROR(FIND(" ",$AS156,IFERROR(OFFSET(AX156,0,-1)+1,1)),LEN($AS156))</f>
        <v>0</v>
      </c>
      <c r="AY156" s="103">
        <f t="shared" ref="AY156:AY219" ca="1" si="157">IFERROR(FIND(" ",$AS156,IFERROR(OFFSET(AY156,0,-1)+1,1)),LEN($AS156))</f>
        <v>0</v>
      </c>
      <c r="AZ156" s="103">
        <f t="shared" ref="AZ156:AZ219" ca="1" si="158">IFERROR(FIND(" ",$AS156,IFERROR(OFFSET(AZ156,0,-1)+1,1)),LEN($AS156))</f>
        <v>0</v>
      </c>
      <c r="BA156" s="103">
        <f t="shared" ref="BA156:BA219" ca="1" si="159">IFERROR(FIND(" ",$AS156,IFERROR(OFFSET(BA156,0,-1)+1,1)),LEN($AS156))</f>
        <v>0</v>
      </c>
      <c r="BB156" s="103">
        <f t="shared" ref="BB156:BB219" ca="1" si="160">IFERROR(FIND(" ",$AS156,IFERROR(OFFSET(BB156,0,-1)+1,1)),LEN($AS156))</f>
        <v>0</v>
      </c>
      <c r="BC156" s="103">
        <f t="shared" ref="BC156:BC219" ca="1" si="161">IFERROR(FIND(" ",$AS156,IFERROR(OFFSET(BC156,0,-1)+1,1)),LEN($AS156))</f>
        <v>0</v>
      </c>
      <c r="BD156" s="103">
        <f t="shared" ref="BD156:BD219" ca="1" si="162">IFERROR(FIND(" ",$AS156,IFERROR(OFFSET(BD156,0,-1)+1,1)),LEN($AS156))</f>
        <v>0</v>
      </c>
      <c r="BE156" s="103">
        <f t="shared" ref="BE156:BE219" ca="1" si="163">IFERROR(FIND(" ",$AS156,IFERROR(OFFSET(BE156,0,-1)+1,1)),LEN($AS156))</f>
        <v>0</v>
      </c>
      <c r="BF156" s="103">
        <f t="shared" ref="BF156:BF219" ca="1" si="164">IFERROR(FIND(" ",$AS156,IFERROR(OFFSET(BF156,0,-1)+1,1)),LEN($AS156))</f>
        <v>0</v>
      </c>
      <c r="BG156" s="103">
        <f t="shared" ref="BG156:BG219" ca="1" si="165">IFERROR(FIND(" ",$AS156,IFERROR(OFFSET(BG156,0,-1)+1,1)),LEN($AS156))</f>
        <v>0</v>
      </c>
      <c r="BH156" s="103">
        <f t="shared" ref="BH156:BH219" ca="1" si="166">IFERROR(FIND(" ",$AS156,IFERROR(OFFSET(BH156,0,-1)+1,1)),LEN($AS156))</f>
        <v>0</v>
      </c>
      <c r="BI156" s="103">
        <f t="shared" ref="BI156:BI219" ca="1" si="167">IFERROR(FIND(" ",$AS156,IFERROR(OFFSET(BI156,0,-1)+1,1)),LEN($AS156))</f>
        <v>0</v>
      </c>
      <c r="BJ156" s="103">
        <f t="shared" ref="BJ156:BJ219" ca="1" si="168">IFERROR(FIND(" ",$AS156,IFERROR(OFFSET(BJ156,0,-1)+1,1)),LEN($AS156))</f>
        <v>0</v>
      </c>
      <c r="BK156" s="103">
        <f t="shared" ref="BK156:BK219" ca="1" si="169">IFERROR(FIND(" ",$AS156,IFERROR(OFFSET(BK156,0,-1)+1,1)),LEN($AS156))</f>
        <v>0</v>
      </c>
      <c r="BL156" s="103">
        <f t="shared" ref="BL156:BL219" ca="1" si="170">IFERROR(FIND(" ",$AS156,IFERROR(OFFSET(BL156,0,-1)+1,1)),LEN($AS156))</f>
        <v>0</v>
      </c>
      <c r="BM156" s="103">
        <f t="shared" ref="BM156:BM219" ca="1" si="171">IFERROR(FIND(" ",$AS156,IFERROR(OFFSET(BM156,0,-1)+1,1)),LEN($AS156))</f>
        <v>0</v>
      </c>
      <c r="BN156" s="103">
        <f t="shared" ref="BN156:BN219" ca="1" si="172">IFERROR(FIND(" ",$AS156,IFERROR(OFFSET(BN156,0,-1)+1,1)),LEN($AS156))</f>
        <v>0</v>
      </c>
      <c r="BO156" s="103">
        <f t="shared" ref="BO156:BO219" ca="1" si="173">IFERROR(FIND(" ",$AS156,IFERROR(OFFSET(BO156,0,-1)+1,1)),LEN($AS156))</f>
        <v>0</v>
      </c>
      <c r="BP156" s="103">
        <f t="shared" ref="BP156:BP219" ca="1" si="174">IFERROR(FIND(" ",$AS156,IFERROR(OFFSET(BP156,0,-1)+1,1)),LEN($AS156))</f>
        <v>0</v>
      </c>
      <c r="BQ156" s="103">
        <f t="shared" ref="BQ156:BQ219" ca="1" si="175">IFERROR(FIND(" ",$AS156,IFERROR(OFFSET(BQ156,0,-1)+1,1)),LEN($AS156))</f>
        <v>0</v>
      </c>
      <c r="BR156" s="103">
        <f t="shared" ref="BR156:BR219" ca="1" si="176">IFERROR(FIND(" ",$AS156,IFERROR(OFFSET(BR156,0,-1)+1,1)),LEN($AS156))</f>
        <v>0</v>
      </c>
      <c r="BS156" s="103">
        <f t="shared" ref="BS156:BS219" ca="1" si="177">IFERROR(FIND(" ",$AS156,IFERROR(OFFSET(BS156,0,-1)+1,1)),LEN($AS156))</f>
        <v>0</v>
      </c>
      <c r="BT156" s="103">
        <f t="shared" ref="BT156:BT219" ca="1" si="178">IFERROR(FIND(" ",$AS156,IFERROR(OFFSET(BT156,0,-1)+1,1)),LEN($AS156))</f>
        <v>0</v>
      </c>
      <c r="BU156" s="103">
        <f t="shared" ref="BU156:BU219" ca="1" si="179">IFERROR(FIND(" ",$AS156,IFERROR(OFFSET(BU156,0,-1)+1,1)),LEN($AS156))</f>
        <v>0</v>
      </c>
      <c r="BV156" s="103">
        <f t="shared" ref="BV156:BV219" ca="1" si="180">IFERROR(FIND(" ",$AS156,IFERROR(OFFSET(BV156,0,-1)+1,1)),LEN($AS156))</f>
        <v>0</v>
      </c>
      <c r="BW156" s="103">
        <f t="shared" ref="BW156:BW219" ca="1" si="181">IFERROR(FIND(" ",$AS156,IFERROR(OFFSET(BW156,0,-1)+1,1)),LEN($AS156))</f>
        <v>0</v>
      </c>
      <c r="BX156" s="103">
        <f t="shared" ref="BX156:BX219" ca="1" si="182">IFERROR(FIND(" ",$AS156,IFERROR(OFFSET(BX156,0,-1)+1,1)),LEN($AS156))</f>
        <v>0</v>
      </c>
      <c r="BY156" s="103">
        <f t="shared" ref="BY156:BY219" ca="1" si="183">IFERROR(FIND(" ",$AS156,IFERROR(OFFSET(BY156,0,-1)+1,1)),LEN($AS156))</f>
        <v>0</v>
      </c>
      <c r="BZ156" s="98">
        <f t="shared" ca="1" si="119"/>
        <v>0</v>
      </c>
      <c r="CA156" s="103">
        <f t="shared" ca="1" si="119"/>
        <v>0</v>
      </c>
      <c r="CB156" s="103">
        <f t="shared" ca="1" si="119"/>
        <v>0</v>
      </c>
      <c r="CC156" s="103">
        <f t="shared" ca="1" si="119"/>
        <v>0</v>
      </c>
      <c r="CD156" s="103">
        <f t="shared" ca="1" si="119"/>
        <v>0</v>
      </c>
      <c r="CE156" s="103">
        <f t="shared" ca="1" si="119"/>
        <v>0</v>
      </c>
      <c r="CF156" s="103">
        <f t="shared" ca="1" si="119"/>
        <v>0</v>
      </c>
      <c r="CG156" s="103">
        <f t="shared" ca="1" si="119"/>
        <v>0</v>
      </c>
      <c r="CH156" s="106">
        <f ca="1">COUNTIF(BZ156:CG156,"&lt;"&amp;MAX(BZ156:CG156))+IF(Calcs[[#This Row],[RL1]]=0,0,1)</f>
        <v>0</v>
      </c>
      <c r="CI15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6" s="103">
        <f ca="1">IFERROR(OFFSET(CJ156,-1,0)+0,0)+IF(INDEX(INDIRECT(RangeContrQty),MATCH(Calcs[[#This Row],[Line]],OFFSET(Items[Line],0,0,ROW(Proposed[])-ROW(Items[])+ROWS(Proposed[]),1),0)),1,0)</f>
        <v>0</v>
      </c>
    </row>
    <row r="157" spans="1:88" x14ac:dyDescent="0.15">
      <c r="A157" s="64">
        <f ca="1">IFERROR(OFFSET(A157,-1,0)+0,0)+MAX(IF(LEN(Calcs[[#This Row],[Line]])&gt;0,1,0),Calcs[[#This Row],[DL]],Calcs[[#This Row],[RL]])</f>
        <v>10</v>
      </c>
      <c r="B157" s="90" t="str">
        <f ca="1">IFERROR(INDEX(OFFSET(Items[Line],0,0,ROW(Proposed[])-ROW(Items[])+ROWS(Proposed[]),1),MATCH(ROW(B157)-ROW(B$3),INDIRECT(RangeCount),0)),"")</f>
        <v/>
      </c>
      <c r="C157" s="90" t="str">
        <f ca="1">IF(LEN(Calcs[[#This Row],[Line]])&gt;0,TRIM(IFERROR(INDEX(Items[Description],MATCH(Calcs[[#This Row],[Line]],Items[Line],0))&amp;INDEX(Items[Description2],MATCH(Calcs[[#This Row],[Line]],Items[Line],0)),INDEX(Proposed[Description],MATCH(Calcs[[#This Row],[Line]],Proposed[Line],0)))),"")</f>
        <v/>
      </c>
      <c r="D157" s="96">
        <f t="shared" ca="1" si="120"/>
        <v>0</v>
      </c>
      <c r="E157" s="103">
        <f t="shared" ca="1" si="121"/>
        <v>0</v>
      </c>
      <c r="F157" s="103">
        <f t="shared" ca="1" si="122"/>
        <v>0</v>
      </c>
      <c r="G157" s="103">
        <f t="shared" ca="1" si="123"/>
        <v>0</v>
      </c>
      <c r="H157" s="103">
        <f t="shared" ca="1" si="124"/>
        <v>0</v>
      </c>
      <c r="I157" s="103">
        <f t="shared" ca="1" si="125"/>
        <v>0</v>
      </c>
      <c r="J157" s="103">
        <f t="shared" ca="1" si="126"/>
        <v>0</v>
      </c>
      <c r="K157" s="103">
        <f t="shared" ca="1" si="127"/>
        <v>0</v>
      </c>
      <c r="L157" s="103">
        <f t="shared" ca="1" si="128"/>
        <v>0</v>
      </c>
      <c r="M157" s="103">
        <f t="shared" ca="1" si="129"/>
        <v>0</v>
      </c>
      <c r="N157" s="103">
        <f t="shared" ca="1" si="130"/>
        <v>0</v>
      </c>
      <c r="O157" s="103">
        <f t="shared" ca="1" si="131"/>
        <v>0</v>
      </c>
      <c r="P157" s="103">
        <f t="shared" ca="1" si="132"/>
        <v>0</v>
      </c>
      <c r="Q157" s="103">
        <f t="shared" ca="1" si="133"/>
        <v>0</v>
      </c>
      <c r="R157" s="103">
        <f t="shared" ca="1" si="134"/>
        <v>0</v>
      </c>
      <c r="S157" s="103">
        <f t="shared" ca="1" si="135"/>
        <v>0</v>
      </c>
      <c r="T157" s="103">
        <f t="shared" ca="1" si="136"/>
        <v>0</v>
      </c>
      <c r="U157" s="103">
        <f t="shared" ca="1" si="137"/>
        <v>0</v>
      </c>
      <c r="V157" s="103">
        <f t="shared" ca="1" si="138"/>
        <v>0</v>
      </c>
      <c r="W157" s="103">
        <f t="shared" ca="1" si="139"/>
        <v>0</v>
      </c>
      <c r="X157" s="103">
        <f t="shared" ca="1" si="140"/>
        <v>0</v>
      </c>
      <c r="Y157" s="103">
        <f t="shared" ca="1" si="141"/>
        <v>0</v>
      </c>
      <c r="Z157" s="103">
        <f t="shared" ca="1" si="142"/>
        <v>0</v>
      </c>
      <c r="AA157" s="103">
        <f t="shared" ca="1" si="143"/>
        <v>0</v>
      </c>
      <c r="AB157" s="103">
        <f t="shared" ca="1" si="144"/>
        <v>0</v>
      </c>
      <c r="AC157" s="103">
        <f t="shared" ca="1" si="145"/>
        <v>0</v>
      </c>
      <c r="AD157" s="103">
        <f t="shared" ca="1" si="146"/>
        <v>0</v>
      </c>
      <c r="AE157" s="103">
        <f t="shared" ca="1" si="147"/>
        <v>0</v>
      </c>
      <c r="AF157" s="103">
        <f t="shared" ca="1" si="148"/>
        <v>0</v>
      </c>
      <c r="AG157" s="103">
        <f t="shared" ca="1" si="149"/>
        <v>0</v>
      </c>
      <c r="AH157" s="103">
        <f t="shared" ca="1" si="150"/>
        <v>0</v>
      </c>
      <c r="AI157" s="103">
        <f t="shared" ca="1" si="151"/>
        <v>0</v>
      </c>
      <c r="AJ157" s="98">
        <f t="shared" ca="1" si="118"/>
        <v>0</v>
      </c>
      <c r="AK157" s="103">
        <f t="shared" ca="1" si="118"/>
        <v>0</v>
      </c>
      <c r="AL157" s="103">
        <f t="shared" ca="1" si="118"/>
        <v>0</v>
      </c>
      <c r="AM157" s="103">
        <f t="shared" ca="1" si="118"/>
        <v>0</v>
      </c>
      <c r="AN157" s="103">
        <f t="shared" ca="1" si="118"/>
        <v>0</v>
      </c>
      <c r="AO157" s="103">
        <f t="shared" ca="1" si="118"/>
        <v>0</v>
      </c>
      <c r="AP157" s="103">
        <f t="shared" ca="1" si="118"/>
        <v>0</v>
      </c>
      <c r="AQ157" s="103">
        <f t="shared" ca="1" si="118"/>
        <v>0</v>
      </c>
      <c r="AR157" s="104">
        <f ca="1">COUNTIF(AJ157:AQ157,"&lt;"&amp;MAX(AJ157:AQ157))+IF(Calcs[[#This Row],[DL1]]=0,0,1)</f>
        <v>0</v>
      </c>
      <c r="AS157" s="105" t="str">
        <f ca="1">IF(LEN(Calcs[[#This Row],[Line]])&gt;0,IF(RIGHT(Calcs[[#This Row],[Remark]],3)=".  ",LEFT(Calcs[[#This Row],[Remark]],LEN(Calcs[[#This Row],[Remark]])-3),Calcs[[#This Row],[Remark]]),"")</f>
        <v/>
      </c>
      <c r="AT157" s="96">
        <f t="shared" ca="1" si="152"/>
        <v>0</v>
      </c>
      <c r="AU157" s="103">
        <f t="shared" ca="1" si="153"/>
        <v>0</v>
      </c>
      <c r="AV157" s="103">
        <f t="shared" ca="1" si="154"/>
        <v>0</v>
      </c>
      <c r="AW157" s="103">
        <f t="shared" ca="1" si="155"/>
        <v>0</v>
      </c>
      <c r="AX157" s="103">
        <f t="shared" ca="1" si="156"/>
        <v>0</v>
      </c>
      <c r="AY157" s="103">
        <f t="shared" ca="1" si="157"/>
        <v>0</v>
      </c>
      <c r="AZ157" s="103">
        <f t="shared" ca="1" si="158"/>
        <v>0</v>
      </c>
      <c r="BA157" s="103">
        <f t="shared" ca="1" si="159"/>
        <v>0</v>
      </c>
      <c r="BB157" s="103">
        <f t="shared" ca="1" si="160"/>
        <v>0</v>
      </c>
      <c r="BC157" s="103">
        <f t="shared" ca="1" si="161"/>
        <v>0</v>
      </c>
      <c r="BD157" s="103">
        <f t="shared" ca="1" si="162"/>
        <v>0</v>
      </c>
      <c r="BE157" s="103">
        <f t="shared" ca="1" si="163"/>
        <v>0</v>
      </c>
      <c r="BF157" s="103">
        <f t="shared" ca="1" si="164"/>
        <v>0</v>
      </c>
      <c r="BG157" s="103">
        <f t="shared" ca="1" si="165"/>
        <v>0</v>
      </c>
      <c r="BH157" s="103">
        <f t="shared" ca="1" si="166"/>
        <v>0</v>
      </c>
      <c r="BI157" s="103">
        <f t="shared" ca="1" si="167"/>
        <v>0</v>
      </c>
      <c r="BJ157" s="103">
        <f t="shared" ca="1" si="168"/>
        <v>0</v>
      </c>
      <c r="BK157" s="103">
        <f t="shared" ca="1" si="169"/>
        <v>0</v>
      </c>
      <c r="BL157" s="103">
        <f t="shared" ca="1" si="170"/>
        <v>0</v>
      </c>
      <c r="BM157" s="103">
        <f t="shared" ca="1" si="171"/>
        <v>0</v>
      </c>
      <c r="BN157" s="103">
        <f t="shared" ca="1" si="172"/>
        <v>0</v>
      </c>
      <c r="BO157" s="103">
        <f t="shared" ca="1" si="173"/>
        <v>0</v>
      </c>
      <c r="BP157" s="103">
        <f t="shared" ca="1" si="174"/>
        <v>0</v>
      </c>
      <c r="BQ157" s="103">
        <f t="shared" ca="1" si="175"/>
        <v>0</v>
      </c>
      <c r="BR157" s="103">
        <f t="shared" ca="1" si="176"/>
        <v>0</v>
      </c>
      <c r="BS157" s="103">
        <f t="shared" ca="1" si="177"/>
        <v>0</v>
      </c>
      <c r="BT157" s="103">
        <f t="shared" ca="1" si="178"/>
        <v>0</v>
      </c>
      <c r="BU157" s="103">
        <f t="shared" ca="1" si="179"/>
        <v>0</v>
      </c>
      <c r="BV157" s="103">
        <f t="shared" ca="1" si="180"/>
        <v>0</v>
      </c>
      <c r="BW157" s="103">
        <f t="shared" ca="1" si="181"/>
        <v>0</v>
      </c>
      <c r="BX157" s="103">
        <f t="shared" ca="1" si="182"/>
        <v>0</v>
      </c>
      <c r="BY157" s="103">
        <f t="shared" ca="1" si="183"/>
        <v>0</v>
      </c>
      <c r="BZ157" s="98">
        <f t="shared" ca="1" si="119"/>
        <v>0</v>
      </c>
      <c r="CA157" s="103">
        <f t="shared" ca="1" si="119"/>
        <v>0</v>
      </c>
      <c r="CB157" s="103">
        <f t="shared" ca="1" si="119"/>
        <v>0</v>
      </c>
      <c r="CC157" s="103">
        <f t="shared" ca="1" si="119"/>
        <v>0</v>
      </c>
      <c r="CD157" s="103">
        <f t="shared" ca="1" si="119"/>
        <v>0</v>
      </c>
      <c r="CE157" s="103">
        <f t="shared" ca="1" si="119"/>
        <v>0</v>
      </c>
      <c r="CF157" s="103">
        <f t="shared" ca="1" si="119"/>
        <v>0</v>
      </c>
      <c r="CG157" s="103">
        <f t="shared" ca="1" si="119"/>
        <v>0</v>
      </c>
      <c r="CH157" s="106">
        <f ca="1">COUNTIF(BZ157:CG157,"&lt;"&amp;MAX(BZ157:CG157))+IF(Calcs[[#This Row],[RL1]]=0,0,1)</f>
        <v>0</v>
      </c>
      <c r="CI15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7" s="103">
        <f ca="1">IFERROR(OFFSET(CJ157,-1,0)+0,0)+IF(INDEX(INDIRECT(RangeContrQty),MATCH(Calcs[[#This Row],[Line]],OFFSET(Items[Line],0,0,ROW(Proposed[])-ROW(Items[])+ROWS(Proposed[]),1),0)),1,0)</f>
        <v>0</v>
      </c>
    </row>
    <row r="158" spans="1:88" x14ac:dyDescent="0.15">
      <c r="A158" s="64">
        <f ca="1">IFERROR(OFFSET(A158,-1,0)+0,0)+MAX(IF(LEN(Calcs[[#This Row],[Line]])&gt;0,1,0),Calcs[[#This Row],[DL]],Calcs[[#This Row],[RL]])</f>
        <v>10</v>
      </c>
      <c r="B158" s="90" t="str">
        <f ca="1">IFERROR(INDEX(OFFSET(Items[Line],0,0,ROW(Proposed[])-ROW(Items[])+ROWS(Proposed[]),1),MATCH(ROW(B158)-ROW(B$3),INDIRECT(RangeCount),0)),"")</f>
        <v/>
      </c>
      <c r="C158" s="90" t="str">
        <f ca="1">IF(LEN(Calcs[[#This Row],[Line]])&gt;0,TRIM(IFERROR(INDEX(Items[Description],MATCH(Calcs[[#This Row],[Line]],Items[Line],0))&amp;INDEX(Items[Description2],MATCH(Calcs[[#This Row],[Line]],Items[Line],0)),INDEX(Proposed[Description],MATCH(Calcs[[#This Row],[Line]],Proposed[Line],0)))),"")</f>
        <v/>
      </c>
      <c r="D158" s="96">
        <f t="shared" ca="1" si="120"/>
        <v>0</v>
      </c>
      <c r="E158" s="103">
        <f t="shared" ca="1" si="121"/>
        <v>0</v>
      </c>
      <c r="F158" s="103">
        <f t="shared" ca="1" si="122"/>
        <v>0</v>
      </c>
      <c r="G158" s="103">
        <f t="shared" ca="1" si="123"/>
        <v>0</v>
      </c>
      <c r="H158" s="103">
        <f t="shared" ca="1" si="124"/>
        <v>0</v>
      </c>
      <c r="I158" s="103">
        <f t="shared" ca="1" si="125"/>
        <v>0</v>
      </c>
      <c r="J158" s="103">
        <f t="shared" ca="1" si="126"/>
        <v>0</v>
      </c>
      <c r="K158" s="103">
        <f t="shared" ca="1" si="127"/>
        <v>0</v>
      </c>
      <c r="L158" s="103">
        <f t="shared" ca="1" si="128"/>
        <v>0</v>
      </c>
      <c r="M158" s="103">
        <f t="shared" ca="1" si="129"/>
        <v>0</v>
      </c>
      <c r="N158" s="103">
        <f t="shared" ca="1" si="130"/>
        <v>0</v>
      </c>
      <c r="O158" s="103">
        <f t="shared" ca="1" si="131"/>
        <v>0</v>
      </c>
      <c r="P158" s="103">
        <f t="shared" ca="1" si="132"/>
        <v>0</v>
      </c>
      <c r="Q158" s="103">
        <f t="shared" ca="1" si="133"/>
        <v>0</v>
      </c>
      <c r="R158" s="103">
        <f t="shared" ca="1" si="134"/>
        <v>0</v>
      </c>
      <c r="S158" s="103">
        <f t="shared" ca="1" si="135"/>
        <v>0</v>
      </c>
      <c r="T158" s="103">
        <f t="shared" ca="1" si="136"/>
        <v>0</v>
      </c>
      <c r="U158" s="103">
        <f t="shared" ca="1" si="137"/>
        <v>0</v>
      </c>
      <c r="V158" s="103">
        <f t="shared" ca="1" si="138"/>
        <v>0</v>
      </c>
      <c r="W158" s="103">
        <f t="shared" ca="1" si="139"/>
        <v>0</v>
      </c>
      <c r="X158" s="103">
        <f t="shared" ca="1" si="140"/>
        <v>0</v>
      </c>
      <c r="Y158" s="103">
        <f t="shared" ca="1" si="141"/>
        <v>0</v>
      </c>
      <c r="Z158" s="103">
        <f t="shared" ca="1" si="142"/>
        <v>0</v>
      </c>
      <c r="AA158" s="103">
        <f t="shared" ca="1" si="143"/>
        <v>0</v>
      </c>
      <c r="AB158" s="103">
        <f t="shared" ca="1" si="144"/>
        <v>0</v>
      </c>
      <c r="AC158" s="103">
        <f t="shared" ca="1" si="145"/>
        <v>0</v>
      </c>
      <c r="AD158" s="103">
        <f t="shared" ca="1" si="146"/>
        <v>0</v>
      </c>
      <c r="AE158" s="103">
        <f t="shared" ca="1" si="147"/>
        <v>0</v>
      </c>
      <c r="AF158" s="103">
        <f t="shared" ca="1" si="148"/>
        <v>0</v>
      </c>
      <c r="AG158" s="103">
        <f t="shared" ca="1" si="149"/>
        <v>0</v>
      </c>
      <c r="AH158" s="103">
        <f t="shared" ca="1" si="150"/>
        <v>0</v>
      </c>
      <c r="AI158" s="103">
        <f t="shared" ca="1" si="151"/>
        <v>0</v>
      </c>
      <c r="AJ158" s="98">
        <f t="shared" ca="1" si="118"/>
        <v>0</v>
      </c>
      <c r="AK158" s="103">
        <f t="shared" ca="1" si="118"/>
        <v>0</v>
      </c>
      <c r="AL158" s="103">
        <f t="shared" ca="1" si="118"/>
        <v>0</v>
      </c>
      <c r="AM158" s="103">
        <f t="shared" ca="1" si="118"/>
        <v>0</v>
      </c>
      <c r="AN158" s="103">
        <f t="shared" ca="1" si="118"/>
        <v>0</v>
      </c>
      <c r="AO158" s="103">
        <f t="shared" ca="1" si="118"/>
        <v>0</v>
      </c>
      <c r="AP158" s="103">
        <f t="shared" ca="1" si="118"/>
        <v>0</v>
      </c>
      <c r="AQ158" s="103">
        <f t="shared" ca="1" si="118"/>
        <v>0</v>
      </c>
      <c r="AR158" s="104">
        <f ca="1">COUNTIF(AJ158:AQ158,"&lt;"&amp;MAX(AJ158:AQ158))+IF(Calcs[[#This Row],[DL1]]=0,0,1)</f>
        <v>0</v>
      </c>
      <c r="AS158" s="105" t="str">
        <f ca="1">IF(LEN(Calcs[[#This Row],[Line]])&gt;0,IF(RIGHT(Calcs[[#This Row],[Remark]],3)=".  ",LEFT(Calcs[[#This Row],[Remark]],LEN(Calcs[[#This Row],[Remark]])-3),Calcs[[#This Row],[Remark]]),"")</f>
        <v/>
      </c>
      <c r="AT158" s="96">
        <f t="shared" ca="1" si="152"/>
        <v>0</v>
      </c>
      <c r="AU158" s="103">
        <f t="shared" ca="1" si="153"/>
        <v>0</v>
      </c>
      <c r="AV158" s="103">
        <f t="shared" ca="1" si="154"/>
        <v>0</v>
      </c>
      <c r="AW158" s="103">
        <f t="shared" ca="1" si="155"/>
        <v>0</v>
      </c>
      <c r="AX158" s="103">
        <f t="shared" ca="1" si="156"/>
        <v>0</v>
      </c>
      <c r="AY158" s="103">
        <f t="shared" ca="1" si="157"/>
        <v>0</v>
      </c>
      <c r="AZ158" s="103">
        <f t="shared" ca="1" si="158"/>
        <v>0</v>
      </c>
      <c r="BA158" s="103">
        <f t="shared" ca="1" si="159"/>
        <v>0</v>
      </c>
      <c r="BB158" s="103">
        <f t="shared" ca="1" si="160"/>
        <v>0</v>
      </c>
      <c r="BC158" s="103">
        <f t="shared" ca="1" si="161"/>
        <v>0</v>
      </c>
      <c r="BD158" s="103">
        <f t="shared" ca="1" si="162"/>
        <v>0</v>
      </c>
      <c r="BE158" s="103">
        <f t="shared" ca="1" si="163"/>
        <v>0</v>
      </c>
      <c r="BF158" s="103">
        <f t="shared" ca="1" si="164"/>
        <v>0</v>
      </c>
      <c r="BG158" s="103">
        <f t="shared" ca="1" si="165"/>
        <v>0</v>
      </c>
      <c r="BH158" s="103">
        <f t="shared" ca="1" si="166"/>
        <v>0</v>
      </c>
      <c r="BI158" s="103">
        <f t="shared" ca="1" si="167"/>
        <v>0</v>
      </c>
      <c r="BJ158" s="103">
        <f t="shared" ca="1" si="168"/>
        <v>0</v>
      </c>
      <c r="BK158" s="103">
        <f t="shared" ca="1" si="169"/>
        <v>0</v>
      </c>
      <c r="BL158" s="103">
        <f t="shared" ca="1" si="170"/>
        <v>0</v>
      </c>
      <c r="BM158" s="103">
        <f t="shared" ca="1" si="171"/>
        <v>0</v>
      </c>
      <c r="BN158" s="103">
        <f t="shared" ca="1" si="172"/>
        <v>0</v>
      </c>
      <c r="BO158" s="103">
        <f t="shared" ca="1" si="173"/>
        <v>0</v>
      </c>
      <c r="BP158" s="103">
        <f t="shared" ca="1" si="174"/>
        <v>0</v>
      </c>
      <c r="BQ158" s="103">
        <f t="shared" ca="1" si="175"/>
        <v>0</v>
      </c>
      <c r="BR158" s="103">
        <f t="shared" ca="1" si="176"/>
        <v>0</v>
      </c>
      <c r="BS158" s="103">
        <f t="shared" ca="1" si="177"/>
        <v>0</v>
      </c>
      <c r="BT158" s="103">
        <f t="shared" ca="1" si="178"/>
        <v>0</v>
      </c>
      <c r="BU158" s="103">
        <f t="shared" ca="1" si="179"/>
        <v>0</v>
      </c>
      <c r="BV158" s="103">
        <f t="shared" ca="1" si="180"/>
        <v>0</v>
      </c>
      <c r="BW158" s="103">
        <f t="shared" ca="1" si="181"/>
        <v>0</v>
      </c>
      <c r="BX158" s="103">
        <f t="shared" ca="1" si="182"/>
        <v>0</v>
      </c>
      <c r="BY158" s="103">
        <f t="shared" ca="1" si="183"/>
        <v>0</v>
      </c>
      <c r="BZ158" s="98">
        <f t="shared" ca="1" si="119"/>
        <v>0</v>
      </c>
      <c r="CA158" s="103">
        <f t="shared" ca="1" si="119"/>
        <v>0</v>
      </c>
      <c r="CB158" s="103">
        <f t="shared" ca="1" si="119"/>
        <v>0</v>
      </c>
      <c r="CC158" s="103">
        <f t="shared" ca="1" si="119"/>
        <v>0</v>
      </c>
      <c r="CD158" s="103">
        <f t="shared" ca="1" si="119"/>
        <v>0</v>
      </c>
      <c r="CE158" s="103">
        <f t="shared" ca="1" si="119"/>
        <v>0</v>
      </c>
      <c r="CF158" s="103">
        <f t="shared" ca="1" si="119"/>
        <v>0</v>
      </c>
      <c r="CG158" s="103">
        <f t="shared" ca="1" si="119"/>
        <v>0</v>
      </c>
      <c r="CH158" s="106">
        <f ca="1">COUNTIF(BZ158:CG158,"&lt;"&amp;MAX(BZ158:CG158))+IF(Calcs[[#This Row],[RL1]]=0,0,1)</f>
        <v>0</v>
      </c>
      <c r="CI15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8" s="103">
        <f ca="1">IFERROR(OFFSET(CJ158,-1,0)+0,0)+IF(INDEX(INDIRECT(RangeContrQty),MATCH(Calcs[[#This Row],[Line]],OFFSET(Items[Line],0,0,ROW(Proposed[])-ROW(Items[])+ROWS(Proposed[]),1),0)),1,0)</f>
        <v>0</v>
      </c>
    </row>
    <row r="159" spans="1:88" x14ac:dyDescent="0.15">
      <c r="A159" s="64">
        <f ca="1">IFERROR(OFFSET(A159,-1,0)+0,0)+MAX(IF(LEN(Calcs[[#This Row],[Line]])&gt;0,1,0),Calcs[[#This Row],[DL]],Calcs[[#This Row],[RL]])</f>
        <v>10</v>
      </c>
      <c r="B159" s="90" t="str">
        <f ca="1">IFERROR(INDEX(OFFSET(Items[Line],0,0,ROW(Proposed[])-ROW(Items[])+ROWS(Proposed[]),1),MATCH(ROW(B159)-ROW(B$3),INDIRECT(RangeCount),0)),"")</f>
        <v/>
      </c>
      <c r="C159" s="90" t="str">
        <f ca="1">IF(LEN(Calcs[[#This Row],[Line]])&gt;0,TRIM(IFERROR(INDEX(Items[Description],MATCH(Calcs[[#This Row],[Line]],Items[Line],0))&amp;INDEX(Items[Description2],MATCH(Calcs[[#This Row],[Line]],Items[Line],0)),INDEX(Proposed[Description],MATCH(Calcs[[#This Row],[Line]],Proposed[Line],0)))),"")</f>
        <v/>
      </c>
      <c r="D159" s="96">
        <f t="shared" ca="1" si="120"/>
        <v>0</v>
      </c>
      <c r="E159" s="103">
        <f t="shared" ca="1" si="121"/>
        <v>0</v>
      </c>
      <c r="F159" s="103">
        <f t="shared" ca="1" si="122"/>
        <v>0</v>
      </c>
      <c r="G159" s="103">
        <f t="shared" ca="1" si="123"/>
        <v>0</v>
      </c>
      <c r="H159" s="103">
        <f t="shared" ca="1" si="124"/>
        <v>0</v>
      </c>
      <c r="I159" s="103">
        <f t="shared" ca="1" si="125"/>
        <v>0</v>
      </c>
      <c r="J159" s="103">
        <f t="shared" ca="1" si="126"/>
        <v>0</v>
      </c>
      <c r="K159" s="103">
        <f t="shared" ca="1" si="127"/>
        <v>0</v>
      </c>
      <c r="L159" s="103">
        <f t="shared" ca="1" si="128"/>
        <v>0</v>
      </c>
      <c r="M159" s="103">
        <f t="shared" ca="1" si="129"/>
        <v>0</v>
      </c>
      <c r="N159" s="103">
        <f t="shared" ca="1" si="130"/>
        <v>0</v>
      </c>
      <c r="O159" s="103">
        <f t="shared" ca="1" si="131"/>
        <v>0</v>
      </c>
      <c r="P159" s="103">
        <f t="shared" ca="1" si="132"/>
        <v>0</v>
      </c>
      <c r="Q159" s="103">
        <f t="shared" ca="1" si="133"/>
        <v>0</v>
      </c>
      <c r="R159" s="103">
        <f t="shared" ca="1" si="134"/>
        <v>0</v>
      </c>
      <c r="S159" s="103">
        <f t="shared" ca="1" si="135"/>
        <v>0</v>
      </c>
      <c r="T159" s="103">
        <f t="shared" ca="1" si="136"/>
        <v>0</v>
      </c>
      <c r="U159" s="103">
        <f t="shared" ca="1" si="137"/>
        <v>0</v>
      </c>
      <c r="V159" s="103">
        <f t="shared" ca="1" si="138"/>
        <v>0</v>
      </c>
      <c r="W159" s="103">
        <f t="shared" ca="1" si="139"/>
        <v>0</v>
      </c>
      <c r="X159" s="103">
        <f t="shared" ca="1" si="140"/>
        <v>0</v>
      </c>
      <c r="Y159" s="103">
        <f t="shared" ca="1" si="141"/>
        <v>0</v>
      </c>
      <c r="Z159" s="103">
        <f t="shared" ca="1" si="142"/>
        <v>0</v>
      </c>
      <c r="AA159" s="103">
        <f t="shared" ca="1" si="143"/>
        <v>0</v>
      </c>
      <c r="AB159" s="103">
        <f t="shared" ca="1" si="144"/>
        <v>0</v>
      </c>
      <c r="AC159" s="103">
        <f t="shared" ca="1" si="145"/>
        <v>0</v>
      </c>
      <c r="AD159" s="103">
        <f t="shared" ca="1" si="146"/>
        <v>0</v>
      </c>
      <c r="AE159" s="103">
        <f t="shared" ca="1" si="147"/>
        <v>0</v>
      </c>
      <c r="AF159" s="103">
        <f t="shared" ca="1" si="148"/>
        <v>0</v>
      </c>
      <c r="AG159" s="103">
        <f t="shared" ca="1" si="149"/>
        <v>0</v>
      </c>
      <c r="AH159" s="103">
        <f t="shared" ca="1" si="150"/>
        <v>0</v>
      </c>
      <c r="AI159" s="103">
        <f t="shared" ca="1" si="151"/>
        <v>0</v>
      </c>
      <c r="AJ159" s="98">
        <f t="shared" ca="1" si="118"/>
        <v>0</v>
      </c>
      <c r="AK159" s="103">
        <f t="shared" ca="1" si="118"/>
        <v>0</v>
      </c>
      <c r="AL159" s="103">
        <f t="shared" ca="1" si="118"/>
        <v>0</v>
      </c>
      <c r="AM159" s="103">
        <f t="shared" ca="1" si="118"/>
        <v>0</v>
      </c>
      <c r="AN159" s="103">
        <f t="shared" ca="1" si="118"/>
        <v>0</v>
      </c>
      <c r="AO159" s="103">
        <f t="shared" ca="1" si="118"/>
        <v>0</v>
      </c>
      <c r="AP159" s="103">
        <f t="shared" ca="1" si="118"/>
        <v>0</v>
      </c>
      <c r="AQ159" s="103">
        <f t="shared" ca="1" si="118"/>
        <v>0</v>
      </c>
      <c r="AR159" s="104">
        <f ca="1">COUNTIF(AJ159:AQ159,"&lt;"&amp;MAX(AJ159:AQ159))+IF(Calcs[[#This Row],[DL1]]=0,0,1)</f>
        <v>0</v>
      </c>
      <c r="AS159" s="105" t="str">
        <f ca="1">IF(LEN(Calcs[[#This Row],[Line]])&gt;0,IF(RIGHT(Calcs[[#This Row],[Remark]],3)=".  ",LEFT(Calcs[[#This Row],[Remark]],LEN(Calcs[[#This Row],[Remark]])-3),Calcs[[#This Row],[Remark]]),"")</f>
        <v/>
      </c>
      <c r="AT159" s="96">
        <f t="shared" ca="1" si="152"/>
        <v>0</v>
      </c>
      <c r="AU159" s="103">
        <f t="shared" ca="1" si="153"/>
        <v>0</v>
      </c>
      <c r="AV159" s="103">
        <f t="shared" ca="1" si="154"/>
        <v>0</v>
      </c>
      <c r="AW159" s="103">
        <f t="shared" ca="1" si="155"/>
        <v>0</v>
      </c>
      <c r="AX159" s="103">
        <f t="shared" ca="1" si="156"/>
        <v>0</v>
      </c>
      <c r="AY159" s="103">
        <f t="shared" ca="1" si="157"/>
        <v>0</v>
      </c>
      <c r="AZ159" s="103">
        <f t="shared" ca="1" si="158"/>
        <v>0</v>
      </c>
      <c r="BA159" s="103">
        <f t="shared" ca="1" si="159"/>
        <v>0</v>
      </c>
      <c r="BB159" s="103">
        <f t="shared" ca="1" si="160"/>
        <v>0</v>
      </c>
      <c r="BC159" s="103">
        <f t="shared" ca="1" si="161"/>
        <v>0</v>
      </c>
      <c r="BD159" s="103">
        <f t="shared" ca="1" si="162"/>
        <v>0</v>
      </c>
      <c r="BE159" s="103">
        <f t="shared" ca="1" si="163"/>
        <v>0</v>
      </c>
      <c r="BF159" s="103">
        <f t="shared" ca="1" si="164"/>
        <v>0</v>
      </c>
      <c r="BG159" s="103">
        <f t="shared" ca="1" si="165"/>
        <v>0</v>
      </c>
      <c r="BH159" s="103">
        <f t="shared" ca="1" si="166"/>
        <v>0</v>
      </c>
      <c r="BI159" s="103">
        <f t="shared" ca="1" si="167"/>
        <v>0</v>
      </c>
      <c r="BJ159" s="103">
        <f t="shared" ca="1" si="168"/>
        <v>0</v>
      </c>
      <c r="BK159" s="103">
        <f t="shared" ca="1" si="169"/>
        <v>0</v>
      </c>
      <c r="BL159" s="103">
        <f t="shared" ca="1" si="170"/>
        <v>0</v>
      </c>
      <c r="BM159" s="103">
        <f t="shared" ca="1" si="171"/>
        <v>0</v>
      </c>
      <c r="BN159" s="103">
        <f t="shared" ca="1" si="172"/>
        <v>0</v>
      </c>
      <c r="BO159" s="103">
        <f t="shared" ca="1" si="173"/>
        <v>0</v>
      </c>
      <c r="BP159" s="103">
        <f t="shared" ca="1" si="174"/>
        <v>0</v>
      </c>
      <c r="BQ159" s="103">
        <f t="shared" ca="1" si="175"/>
        <v>0</v>
      </c>
      <c r="BR159" s="103">
        <f t="shared" ca="1" si="176"/>
        <v>0</v>
      </c>
      <c r="BS159" s="103">
        <f t="shared" ca="1" si="177"/>
        <v>0</v>
      </c>
      <c r="BT159" s="103">
        <f t="shared" ca="1" si="178"/>
        <v>0</v>
      </c>
      <c r="BU159" s="103">
        <f t="shared" ca="1" si="179"/>
        <v>0</v>
      </c>
      <c r="BV159" s="103">
        <f t="shared" ca="1" si="180"/>
        <v>0</v>
      </c>
      <c r="BW159" s="103">
        <f t="shared" ca="1" si="181"/>
        <v>0</v>
      </c>
      <c r="BX159" s="103">
        <f t="shared" ca="1" si="182"/>
        <v>0</v>
      </c>
      <c r="BY159" s="103">
        <f t="shared" ca="1" si="183"/>
        <v>0</v>
      </c>
      <c r="BZ159" s="98">
        <f t="shared" ca="1" si="119"/>
        <v>0</v>
      </c>
      <c r="CA159" s="103">
        <f t="shared" ca="1" si="119"/>
        <v>0</v>
      </c>
      <c r="CB159" s="103">
        <f t="shared" ca="1" si="119"/>
        <v>0</v>
      </c>
      <c r="CC159" s="103">
        <f t="shared" ca="1" si="119"/>
        <v>0</v>
      </c>
      <c r="CD159" s="103">
        <f t="shared" ca="1" si="119"/>
        <v>0</v>
      </c>
      <c r="CE159" s="103">
        <f t="shared" ca="1" si="119"/>
        <v>0</v>
      </c>
      <c r="CF159" s="103">
        <f t="shared" ca="1" si="119"/>
        <v>0</v>
      </c>
      <c r="CG159" s="103">
        <f t="shared" ca="1" si="119"/>
        <v>0</v>
      </c>
      <c r="CH159" s="106">
        <f ca="1">COUNTIF(BZ159:CG159,"&lt;"&amp;MAX(BZ159:CG159))+IF(Calcs[[#This Row],[RL1]]=0,0,1)</f>
        <v>0</v>
      </c>
      <c r="CI15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9" s="103">
        <f ca="1">IFERROR(OFFSET(CJ159,-1,0)+0,0)+IF(INDEX(INDIRECT(RangeContrQty),MATCH(Calcs[[#This Row],[Line]],OFFSET(Items[Line],0,0,ROW(Proposed[])-ROW(Items[])+ROWS(Proposed[]),1),0)),1,0)</f>
        <v>0</v>
      </c>
    </row>
    <row r="160" spans="1:88" x14ac:dyDescent="0.15">
      <c r="A160" s="64">
        <f ca="1">IFERROR(OFFSET(A160,-1,0)+0,0)+MAX(IF(LEN(Calcs[[#This Row],[Line]])&gt;0,1,0),Calcs[[#This Row],[DL]],Calcs[[#This Row],[RL]])</f>
        <v>10</v>
      </c>
      <c r="B160" s="90" t="str">
        <f ca="1">IFERROR(INDEX(OFFSET(Items[Line],0,0,ROW(Proposed[])-ROW(Items[])+ROWS(Proposed[]),1),MATCH(ROW(B160)-ROW(B$3),INDIRECT(RangeCount),0)),"")</f>
        <v/>
      </c>
      <c r="C160" s="90" t="str">
        <f ca="1">IF(LEN(Calcs[[#This Row],[Line]])&gt;0,TRIM(IFERROR(INDEX(Items[Description],MATCH(Calcs[[#This Row],[Line]],Items[Line],0))&amp;INDEX(Items[Description2],MATCH(Calcs[[#This Row],[Line]],Items[Line],0)),INDEX(Proposed[Description],MATCH(Calcs[[#This Row],[Line]],Proposed[Line],0)))),"")</f>
        <v/>
      </c>
      <c r="D160" s="96">
        <f t="shared" ca="1" si="120"/>
        <v>0</v>
      </c>
      <c r="E160" s="103">
        <f t="shared" ca="1" si="121"/>
        <v>0</v>
      </c>
      <c r="F160" s="103">
        <f t="shared" ca="1" si="122"/>
        <v>0</v>
      </c>
      <c r="G160" s="103">
        <f t="shared" ca="1" si="123"/>
        <v>0</v>
      </c>
      <c r="H160" s="103">
        <f t="shared" ca="1" si="124"/>
        <v>0</v>
      </c>
      <c r="I160" s="103">
        <f t="shared" ca="1" si="125"/>
        <v>0</v>
      </c>
      <c r="J160" s="103">
        <f t="shared" ca="1" si="126"/>
        <v>0</v>
      </c>
      <c r="K160" s="103">
        <f t="shared" ca="1" si="127"/>
        <v>0</v>
      </c>
      <c r="L160" s="103">
        <f t="shared" ca="1" si="128"/>
        <v>0</v>
      </c>
      <c r="M160" s="103">
        <f t="shared" ca="1" si="129"/>
        <v>0</v>
      </c>
      <c r="N160" s="103">
        <f t="shared" ca="1" si="130"/>
        <v>0</v>
      </c>
      <c r="O160" s="103">
        <f t="shared" ca="1" si="131"/>
        <v>0</v>
      </c>
      <c r="P160" s="103">
        <f t="shared" ca="1" si="132"/>
        <v>0</v>
      </c>
      <c r="Q160" s="103">
        <f t="shared" ca="1" si="133"/>
        <v>0</v>
      </c>
      <c r="R160" s="103">
        <f t="shared" ca="1" si="134"/>
        <v>0</v>
      </c>
      <c r="S160" s="103">
        <f t="shared" ca="1" si="135"/>
        <v>0</v>
      </c>
      <c r="T160" s="103">
        <f t="shared" ca="1" si="136"/>
        <v>0</v>
      </c>
      <c r="U160" s="103">
        <f t="shared" ca="1" si="137"/>
        <v>0</v>
      </c>
      <c r="V160" s="103">
        <f t="shared" ca="1" si="138"/>
        <v>0</v>
      </c>
      <c r="W160" s="103">
        <f t="shared" ca="1" si="139"/>
        <v>0</v>
      </c>
      <c r="X160" s="103">
        <f t="shared" ca="1" si="140"/>
        <v>0</v>
      </c>
      <c r="Y160" s="103">
        <f t="shared" ca="1" si="141"/>
        <v>0</v>
      </c>
      <c r="Z160" s="103">
        <f t="shared" ca="1" si="142"/>
        <v>0</v>
      </c>
      <c r="AA160" s="103">
        <f t="shared" ca="1" si="143"/>
        <v>0</v>
      </c>
      <c r="AB160" s="103">
        <f t="shared" ca="1" si="144"/>
        <v>0</v>
      </c>
      <c r="AC160" s="103">
        <f t="shared" ca="1" si="145"/>
        <v>0</v>
      </c>
      <c r="AD160" s="103">
        <f t="shared" ca="1" si="146"/>
        <v>0</v>
      </c>
      <c r="AE160" s="103">
        <f t="shared" ca="1" si="147"/>
        <v>0</v>
      </c>
      <c r="AF160" s="103">
        <f t="shared" ca="1" si="148"/>
        <v>0</v>
      </c>
      <c r="AG160" s="103">
        <f t="shared" ca="1" si="149"/>
        <v>0</v>
      </c>
      <c r="AH160" s="103">
        <f t="shared" ca="1" si="150"/>
        <v>0</v>
      </c>
      <c r="AI160" s="103">
        <f t="shared" ca="1" si="151"/>
        <v>0</v>
      </c>
      <c r="AJ160" s="98">
        <f t="shared" ca="1" si="118"/>
        <v>0</v>
      </c>
      <c r="AK160" s="103">
        <f t="shared" ca="1" si="118"/>
        <v>0</v>
      </c>
      <c r="AL160" s="103">
        <f t="shared" ca="1" si="118"/>
        <v>0</v>
      </c>
      <c r="AM160" s="103">
        <f t="shared" ca="1" si="118"/>
        <v>0</v>
      </c>
      <c r="AN160" s="103">
        <f t="shared" ca="1" si="118"/>
        <v>0</v>
      </c>
      <c r="AO160" s="103">
        <f t="shared" ca="1" si="118"/>
        <v>0</v>
      </c>
      <c r="AP160" s="103">
        <f t="shared" ca="1" si="118"/>
        <v>0</v>
      </c>
      <c r="AQ160" s="103">
        <f t="shared" ca="1" si="118"/>
        <v>0</v>
      </c>
      <c r="AR160" s="104">
        <f ca="1">COUNTIF(AJ160:AQ160,"&lt;"&amp;MAX(AJ160:AQ160))+IF(Calcs[[#This Row],[DL1]]=0,0,1)</f>
        <v>0</v>
      </c>
      <c r="AS160" s="105" t="str">
        <f ca="1">IF(LEN(Calcs[[#This Row],[Line]])&gt;0,IF(RIGHT(Calcs[[#This Row],[Remark]],3)=".  ",LEFT(Calcs[[#This Row],[Remark]],LEN(Calcs[[#This Row],[Remark]])-3),Calcs[[#This Row],[Remark]]),"")</f>
        <v/>
      </c>
      <c r="AT160" s="96">
        <f t="shared" ca="1" si="152"/>
        <v>0</v>
      </c>
      <c r="AU160" s="103">
        <f t="shared" ca="1" si="153"/>
        <v>0</v>
      </c>
      <c r="AV160" s="103">
        <f t="shared" ca="1" si="154"/>
        <v>0</v>
      </c>
      <c r="AW160" s="103">
        <f t="shared" ca="1" si="155"/>
        <v>0</v>
      </c>
      <c r="AX160" s="103">
        <f t="shared" ca="1" si="156"/>
        <v>0</v>
      </c>
      <c r="AY160" s="103">
        <f t="shared" ca="1" si="157"/>
        <v>0</v>
      </c>
      <c r="AZ160" s="103">
        <f t="shared" ca="1" si="158"/>
        <v>0</v>
      </c>
      <c r="BA160" s="103">
        <f t="shared" ca="1" si="159"/>
        <v>0</v>
      </c>
      <c r="BB160" s="103">
        <f t="shared" ca="1" si="160"/>
        <v>0</v>
      </c>
      <c r="BC160" s="103">
        <f t="shared" ca="1" si="161"/>
        <v>0</v>
      </c>
      <c r="BD160" s="103">
        <f t="shared" ca="1" si="162"/>
        <v>0</v>
      </c>
      <c r="BE160" s="103">
        <f t="shared" ca="1" si="163"/>
        <v>0</v>
      </c>
      <c r="BF160" s="103">
        <f t="shared" ca="1" si="164"/>
        <v>0</v>
      </c>
      <c r="BG160" s="103">
        <f t="shared" ca="1" si="165"/>
        <v>0</v>
      </c>
      <c r="BH160" s="103">
        <f t="shared" ca="1" si="166"/>
        <v>0</v>
      </c>
      <c r="BI160" s="103">
        <f t="shared" ca="1" si="167"/>
        <v>0</v>
      </c>
      <c r="BJ160" s="103">
        <f t="shared" ca="1" si="168"/>
        <v>0</v>
      </c>
      <c r="BK160" s="103">
        <f t="shared" ca="1" si="169"/>
        <v>0</v>
      </c>
      <c r="BL160" s="103">
        <f t="shared" ca="1" si="170"/>
        <v>0</v>
      </c>
      <c r="BM160" s="103">
        <f t="shared" ca="1" si="171"/>
        <v>0</v>
      </c>
      <c r="BN160" s="103">
        <f t="shared" ca="1" si="172"/>
        <v>0</v>
      </c>
      <c r="BO160" s="103">
        <f t="shared" ca="1" si="173"/>
        <v>0</v>
      </c>
      <c r="BP160" s="103">
        <f t="shared" ca="1" si="174"/>
        <v>0</v>
      </c>
      <c r="BQ160" s="103">
        <f t="shared" ca="1" si="175"/>
        <v>0</v>
      </c>
      <c r="BR160" s="103">
        <f t="shared" ca="1" si="176"/>
        <v>0</v>
      </c>
      <c r="BS160" s="103">
        <f t="shared" ca="1" si="177"/>
        <v>0</v>
      </c>
      <c r="BT160" s="103">
        <f t="shared" ca="1" si="178"/>
        <v>0</v>
      </c>
      <c r="BU160" s="103">
        <f t="shared" ca="1" si="179"/>
        <v>0</v>
      </c>
      <c r="BV160" s="103">
        <f t="shared" ca="1" si="180"/>
        <v>0</v>
      </c>
      <c r="BW160" s="103">
        <f t="shared" ca="1" si="181"/>
        <v>0</v>
      </c>
      <c r="BX160" s="103">
        <f t="shared" ca="1" si="182"/>
        <v>0</v>
      </c>
      <c r="BY160" s="103">
        <f t="shared" ca="1" si="183"/>
        <v>0</v>
      </c>
      <c r="BZ160" s="98">
        <f t="shared" ca="1" si="119"/>
        <v>0</v>
      </c>
      <c r="CA160" s="103">
        <f t="shared" ca="1" si="119"/>
        <v>0</v>
      </c>
      <c r="CB160" s="103">
        <f t="shared" ca="1" si="119"/>
        <v>0</v>
      </c>
      <c r="CC160" s="103">
        <f t="shared" ca="1" si="119"/>
        <v>0</v>
      </c>
      <c r="CD160" s="103">
        <f t="shared" ca="1" si="119"/>
        <v>0</v>
      </c>
      <c r="CE160" s="103">
        <f t="shared" ca="1" si="119"/>
        <v>0</v>
      </c>
      <c r="CF160" s="103">
        <f t="shared" ca="1" si="119"/>
        <v>0</v>
      </c>
      <c r="CG160" s="103">
        <f t="shared" ca="1" si="119"/>
        <v>0</v>
      </c>
      <c r="CH160" s="106">
        <f ca="1">COUNTIF(BZ160:CG160,"&lt;"&amp;MAX(BZ160:CG160))+IF(Calcs[[#This Row],[RL1]]=0,0,1)</f>
        <v>0</v>
      </c>
      <c r="CI16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0" s="103">
        <f ca="1">IFERROR(OFFSET(CJ160,-1,0)+0,0)+IF(INDEX(INDIRECT(RangeContrQty),MATCH(Calcs[[#This Row],[Line]],OFFSET(Items[Line],0,0,ROW(Proposed[])-ROW(Items[])+ROWS(Proposed[]),1),0)),1,0)</f>
        <v>0</v>
      </c>
    </row>
    <row r="161" spans="1:88" x14ac:dyDescent="0.15">
      <c r="A161" s="64">
        <f ca="1">IFERROR(OFFSET(A161,-1,0)+0,0)+MAX(IF(LEN(Calcs[[#This Row],[Line]])&gt;0,1,0),Calcs[[#This Row],[DL]],Calcs[[#This Row],[RL]])</f>
        <v>10</v>
      </c>
      <c r="B161" s="90" t="str">
        <f ca="1">IFERROR(INDEX(OFFSET(Items[Line],0,0,ROW(Proposed[])-ROW(Items[])+ROWS(Proposed[]),1),MATCH(ROW(B161)-ROW(B$3),INDIRECT(RangeCount),0)),"")</f>
        <v/>
      </c>
      <c r="C161" s="90" t="str">
        <f ca="1">IF(LEN(Calcs[[#This Row],[Line]])&gt;0,TRIM(IFERROR(INDEX(Items[Description],MATCH(Calcs[[#This Row],[Line]],Items[Line],0))&amp;INDEX(Items[Description2],MATCH(Calcs[[#This Row],[Line]],Items[Line],0)),INDEX(Proposed[Description],MATCH(Calcs[[#This Row],[Line]],Proposed[Line],0)))),"")</f>
        <v/>
      </c>
      <c r="D161" s="96">
        <f t="shared" ca="1" si="120"/>
        <v>0</v>
      </c>
      <c r="E161" s="103">
        <f t="shared" ca="1" si="121"/>
        <v>0</v>
      </c>
      <c r="F161" s="103">
        <f t="shared" ca="1" si="122"/>
        <v>0</v>
      </c>
      <c r="G161" s="103">
        <f t="shared" ca="1" si="123"/>
        <v>0</v>
      </c>
      <c r="H161" s="103">
        <f t="shared" ca="1" si="124"/>
        <v>0</v>
      </c>
      <c r="I161" s="103">
        <f t="shared" ca="1" si="125"/>
        <v>0</v>
      </c>
      <c r="J161" s="103">
        <f t="shared" ca="1" si="126"/>
        <v>0</v>
      </c>
      <c r="K161" s="103">
        <f t="shared" ca="1" si="127"/>
        <v>0</v>
      </c>
      <c r="L161" s="103">
        <f t="shared" ca="1" si="128"/>
        <v>0</v>
      </c>
      <c r="M161" s="103">
        <f t="shared" ca="1" si="129"/>
        <v>0</v>
      </c>
      <c r="N161" s="103">
        <f t="shared" ca="1" si="130"/>
        <v>0</v>
      </c>
      <c r="O161" s="103">
        <f t="shared" ca="1" si="131"/>
        <v>0</v>
      </c>
      <c r="P161" s="103">
        <f t="shared" ca="1" si="132"/>
        <v>0</v>
      </c>
      <c r="Q161" s="103">
        <f t="shared" ca="1" si="133"/>
        <v>0</v>
      </c>
      <c r="R161" s="103">
        <f t="shared" ca="1" si="134"/>
        <v>0</v>
      </c>
      <c r="S161" s="103">
        <f t="shared" ca="1" si="135"/>
        <v>0</v>
      </c>
      <c r="T161" s="103">
        <f t="shared" ca="1" si="136"/>
        <v>0</v>
      </c>
      <c r="U161" s="103">
        <f t="shared" ca="1" si="137"/>
        <v>0</v>
      </c>
      <c r="V161" s="103">
        <f t="shared" ca="1" si="138"/>
        <v>0</v>
      </c>
      <c r="W161" s="103">
        <f t="shared" ca="1" si="139"/>
        <v>0</v>
      </c>
      <c r="X161" s="103">
        <f t="shared" ca="1" si="140"/>
        <v>0</v>
      </c>
      <c r="Y161" s="103">
        <f t="shared" ca="1" si="141"/>
        <v>0</v>
      </c>
      <c r="Z161" s="103">
        <f t="shared" ca="1" si="142"/>
        <v>0</v>
      </c>
      <c r="AA161" s="103">
        <f t="shared" ca="1" si="143"/>
        <v>0</v>
      </c>
      <c r="AB161" s="103">
        <f t="shared" ca="1" si="144"/>
        <v>0</v>
      </c>
      <c r="AC161" s="103">
        <f t="shared" ca="1" si="145"/>
        <v>0</v>
      </c>
      <c r="AD161" s="103">
        <f t="shared" ca="1" si="146"/>
        <v>0</v>
      </c>
      <c r="AE161" s="103">
        <f t="shared" ca="1" si="147"/>
        <v>0</v>
      </c>
      <c r="AF161" s="103">
        <f t="shared" ca="1" si="148"/>
        <v>0</v>
      </c>
      <c r="AG161" s="103">
        <f t="shared" ca="1" si="149"/>
        <v>0</v>
      </c>
      <c r="AH161" s="103">
        <f t="shared" ca="1" si="150"/>
        <v>0</v>
      </c>
      <c r="AI161" s="103">
        <f t="shared" ca="1" si="151"/>
        <v>0</v>
      </c>
      <c r="AJ161" s="98">
        <f t="shared" ca="1" si="118"/>
        <v>0</v>
      </c>
      <c r="AK161" s="103">
        <f t="shared" ca="1" si="118"/>
        <v>0</v>
      </c>
      <c r="AL161" s="103">
        <f t="shared" ca="1" si="118"/>
        <v>0</v>
      </c>
      <c r="AM161" s="103">
        <f t="shared" ca="1" si="118"/>
        <v>0</v>
      </c>
      <c r="AN161" s="103">
        <f t="shared" ca="1" si="118"/>
        <v>0</v>
      </c>
      <c r="AO161" s="103">
        <f t="shared" ca="1" si="118"/>
        <v>0</v>
      </c>
      <c r="AP161" s="103">
        <f t="shared" ca="1" si="118"/>
        <v>0</v>
      </c>
      <c r="AQ161" s="103">
        <f t="shared" ca="1" si="118"/>
        <v>0</v>
      </c>
      <c r="AR161" s="104">
        <f ca="1">COUNTIF(AJ161:AQ161,"&lt;"&amp;MAX(AJ161:AQ161))+IF(Calcs[[#This Row],[DL1]]=0,0,1)</f>
        <v>0</v>
      </c>
      <c r="AS161" s="105" t="str">
        <f ca="1">IF(LEN(Calcs[[#This Row],[Line]])&gt;0,IF(RIGHT(Calcs[[#This Row],[Remark]],3)=".  ",LEFT(Calcs[[#This Row],[Remark]],LEN(Calcs[[#This Row],[Remark]])-3),Calcs[[#This Row],[Remark]]),"")</f>
        <v/>
      </c>
      <c r="AT161" s="96">
        <f t="shared" ca="1" si="152"/>
        <v>0</v>
      </c>
      <c r="AU161" s="103">
        <f t="shared" ca="1" si="153"/>
        <v>0</v>
      </c>
      <c r="AV161" s="103">
        <f t="shared" ca="1" si="154"/>
        <v>0</v>
      </c>
      <c r="AW161" s="103">
        <f t="shared" ca="1" si="155"/>
        <v>0</v>
      </c>
      <c r="AX161" s="103">
        <f t="shared" ca="1" si="156"/>
        <v>0</v>
      </c>
      <c r="AY161" s="103">
        <f t="shared" ca="1" si="157"/>
        <v>0</v>
      </c>
      <c r="AZ161" s="103">
        <f t="shared" ca="1" si="158"/>
        <v>0</v>
      </c>
      <c r="BA161" s="103">
        <f t="shared" ca="1" si="159"/>
        <v>0</v>
      </c>
      <c r="BB161" s="103">
        <f t="shared" ca="1" si="160"/>
        <v>0</v>
      </c>
      <c r="BC161" s="103">
        <f t="shared" ca="1" si="161"/>
        <v>0</v>
      </c>
      <c r="BD161" s="103">
        <f t="shared" ca="1" si="162"/>
        <v>0</v>
      </c>
      <c r="BE161" s="103">
        <f t="shared" ca="1" si="163"/>
        <v>0</v>
      </c>
      <c r="BF161" s="103">
        <f t="shared" ca="1" si="164"/>
        <v>0</v>
      </c>
      <c r="BG161" s="103">
        <f t="shared" ca="1" si="165"/>
        <v>0</v>
      </c>
      <c r="BH161" s="103">
        <f t="shared" ca="1" si="166"/>
        <v>0</v>
      </c>
      <c r="BI161" s="103">
        <f t="shared" ca="1" si="167"/>
        <v>0</v>
      </c>
      <c r="BJ161" s="103">
        <f t="shared" ca="1" si="168"/>
        <v>0</v>
      </c>
      <c r="BK161" s="103">
        <f t="shared" ca="1" si="169"/>
        <v>0</v>
      </c>
      <c r="BL161" s="103">
        <f t="shared" ca="1" si="170"/>
        <v>0</v>
      </c>
      <c r="BM161" s="103">
        <f t="shared" ca="1" si="171"/>
        <v>0</v>
      </c>
      <c r="BN161" s="103">
        <f t="shared" ca="1" si="172"/>
        <v>0</v>
      </c>
      <c r="BO161" s="103">
        <f t="shared" ca="1" si="173"/>
        <v>0</v>
      </c>
      <c r="BP161" s="103">
        <f t="shared" ca="1" si="174"/>
        <v>0</v>
      </c>
      <c r="BQ161" s="103">
        <f t="shared" ca="1" si="175"/>
        <v>0</v>
      </c>
      <c r="BR161" s="103">
        <f t="shared" ca="1" si="176"/>
        <v>0</v>
      </c>
      <c r="BS161" s="103">
        <f t="shared" ca="1" si="177"/>
        <v>0</v>
      </c>
      <c r="BT161" s="103">
        <f t="shared" ca="1" si="178"/>
        <v>0</v>
      </c>
      <c r="BU161" s="103">
        <f t="shared" ca="1" si="179"/>
        <v>0</v>
      </c>
      <c r="BV161" s="103">
        <f t="shared" ca="1" si="180"/>
        <v>0</v>
      </c>
      <c r="BW161" s="103">
        <f t="shared" ca="1" si="181"/>
        <v>0</v>
      </c>
      <c r="BX161" s="103">
        <f t="shared" ca="1" si="182"/>
        <v>0</v>
      </c>
      <c r="BY161" s="103">
        <f t="shared" ca="1" si="183"/>
        <v>0</v>
      </c>
      <c r="BZ161" s="98">
        <f t="shared" ca="1" si="119"/>
        <v>0</v>
      </c>
      <c r="CA161" s="103">
        <f t="shared" ca="1" si="119"/>
        <v>0</v>
      </c>
      <c r="CB161" s="103">
        <f t="shared" ca="1" si="119"/>
        <v>0</v>
      </c>
      <c r="CC161" s="103">
        <f t="shared" ca="1" si="119"/>
        <v>0</v>
      </c>
      <c r="CD161" s="103">
        <f t="shared" ca="1" si="119"/>
        <v>0</v>
      </c>
      <c r="CE161" s="103">
        <f t="shared" ca="1" si="119"/>
        <v>0</v>
      </c>
      <c r="CF161" s="103">
        <f t="shared" ca="1" si="119"/>
        <v>0</v>
      </c>
      <c r="CG161" s="103">
        <f t="shared" ca="1" si="119"/>
        <v>0</v>
      </c>
      <c r="CH161" s="106">
        <f ca="1">COUNTIF(BZ161:CG161,"&lt;"&amp;MAX(BZ161:CG161))+IF(Calcs[[#This Row],[RL1]]=0,0,1)</f>
        <v>0</v>
      </c>
      <c r="CI16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1" s="103">
        <f ca="1">IFERROR(OFFSET(CJ161,-1,0)+0,0)+IF(INDEX(INDIRECT(RangeContrQty),MATCH(Calcs[[#This Row],[Line]],OFFSET(Items[Line],0,0,ROW(Proposed[])-ROW(Items[])+ROWS(Proposed[]),1),0)),1,0)</f>
        <v>0</v>
      </c>
    </row>
    <row r="162" spans="1:88" x14ac:dyDescent="0.15">
      <c r="A162" s="64">
        <f ca="1">IFERROR(OFFSET(A162,-1,0)+0,0)+MAX(IF(LEN(Calcs[[#This Row],[Line]])&gt;0,1,0),Calcs[[#This Row],[DL]],Calcs[[#This Row],[RL]])</f>
        <v>10</v>
      </c>
      <c r="B162" s="90" t="str">
        <f ca="1">IFERROR(INDEX(OFFSET(Items[Line],0,0,ROW(Proposed[])-ROW(Items[])+ROWS(Proposed[]),1),MATCH(ROW(B162)-ROW(B$3),INDIRECT(RangeCount),0)),"")</f>
        <v/>
      </c>
      <c r="C162" s="90" t="str">
        <f ca="1">IF(LEN(Calcs[[#This Row],[Line]])&gt;0,TRIM(IFERROR(INDEX(Items[Description],MATCH(Calcs[[#This Row],[Line]],Items[Line],0))&amp;INDEX(Items[Description2],MATCH(Calcs[[#This Row],[Line]],Items[Line],0)),INDEX(Proposed[Description],MATCH(Calcs[[#This Row],[Line]],Proposed[Line],0)))),"")</f>
        <v/>
      </c>
      <c r="D162" s="96">
        <f t="shared" ca="1" si="120"/>
        <v>0</v>
      </c>
      <c r="E162" s="103">
        <f t="shared" ca="1" si="121"/>
        <v>0</v>
      </c>
      <c r="F162" s="103">
        <f t="shared" ca="1" si="122"/>
        <v>0</v>
      </c>
      <c r="G162" s="103">
        <f t="shared" ca="1" si="123"/>
        <v>0</v>
      </c>
      <c r="H162" s="103">
        <f t="shared" ca="1" si="124"/>
        <v>0</v>
      </c>
      <c r="I162" s="103">
        <f t="shared" ca="1" si="125"/>
        <v>0</v>
      </c>
      <c r="J162" s="103">
        <f t="shared" ca="1" si="126"/>
        <v>0</v>
      </c>
      <c r="K162" s="103">
        <f t="shared" ca="1" si="127"/>
        <v>0</v>
      </c>
      <c r="L162" s="103">
        <f t="shared" ca="1" si="128"/>
        <v>0</v>
      </c>
      <c r="M162" s="103">
        <f t="shared" ca="1" si="129"/>
        <v>0</v>
      </c>
      <c r="N162" s="103">
        <f t="shared" ca="1" si="130"/>
        <v>0</v>
      </c>
      <c r="O162" s="103">
        <f t="shared" ca="1" si="131"/>
        <v>0</v>
      </c>
      <c r="P162" s="103">
        <f t="shared" ca="1" si="132"/>
        <v>0</v>
      </c>
      <c r="Q162" s="103">
        <f t="shared" ca="1" si="133"/>
        <v>0</v>
      </c>
      <c r="R162" s="103">
        <f t="shared" ca="1" si="134"/>
        <v>0</v>
      </c>
      <c r="S162" s="103">
        <f t="shared" ca="1" si="135"/>
        <v>0</v>
      </c>
      <c r="T162" s="103">
        <f t="shared" ca="1" si="136"/>
        <v>0</v>
      </c>
      <c r="U162" s="103">
        <f t="shared" ca="1" si="137"/>
        <v>0</v>
      </c>
      <c r="V162" s="103">
        <f t="shared" ca="1" si="138"/>
        <v>0</v>
      </c>
      <c r="W162" s="103">
        <f t="shared" ca="1" si="139"/>
        <v>0</v>
      </c>
      <c r="X162" s="103">
        <f t="shared" ca="1" si="140"/>
        <v>0</v>
      </c>
      <c r="Y162" s="103">
        <f t="shared" ca="1" si="141"/>
        <v>0</v>
      </c>
      <c r="Z162" s="103">
        <f t="shared" ca="1" si="142"/>
        <v>0</v>
      </c>
      <c r="AA162" s="103">
        <f t="shared" ca="1" si="143"/>
        <v>0</v>
      </c>
      <c r="AB162" s="103">
        <f t="shared" ca="1" si="144"/>
        <v>0</v>
      </c>
      <c r="AC162" s="103">
        <f t="shared" ca="1" si="145"/>
        <v>0</v>
      </c>
      <c r="AD162" s="103">
        <f t="shared" ca="1" si="146"/>
        <v>0</v>
      </c>
      <c r="AE162" s="103">
        <f t="shared" ca="1" si="147"/>
        <v>0</v>
      </c>
      <c r="AF162" s="103">
        <f t="shared" ca="1" si="148"/>
        <v>0</v>
      </c>
      <c r="AG162" s="103">
        <f t="shared" ca="1" si="149"/>
        <v>0</v>
      </c>
      <c r="AH162" s="103">
        <f t="shared" ca="1" si="150"/>
        <v>0</v>
      </c>
      <c r="AI162" s="103">
        <f t="shared" ca="1" si="151"/>
        <v>0</v>
      </c>
      <c r="AJ162" s="98">
        <f t="shared" ref="AJ162:AQ171" ca="1" si="184">HLOOKUP(IF(COLUMN(AJ162)-COLUMN($AJ$3)=0,0,OFFSET(AJ162,0,-1))+widthPayItem,$D162:$AI162,1)</f>
        <v>0</v>
      </c>
      <c r="AK162" s="103">
        <f t="shared" ca="1" si="184"/>
        <v>0</v>
      </c>
      <c r="AL162" s="103">
        <f t="shared" ca="1" si="184"/>
        <v>0</v>
      </c>
      <c r="AM162" s="103">
        <f t="shared" ca="1" si="184"/>
        <v>0</v>
      </c>
      <c r="AN162" s="103">
        <f t="shared" ca="1" si="184"/>
        <v>0</v>
      </c>
      <c r="AO162" s="103">
        <f t="shared" ca="1" si="184"/>
        <v>0</v>
      </c>
      <c r="AP162" s="103">
        <f t="shared" ca="1" si="184"/>
        <v>0</v>
      </c>
      <c r="AQ162" s="103">
        <f t="shared" ca="1" si="184"/>
        <v>0</v>
      </c>
      <c r="AR162" s="104">
        <f ca="1">COUNTIF(AJ162:AQ162,"&lt;"&amp;MAX(AJ162:AQ162))+IF(Calcs[[#This Row],[DL1]]=0,0,1)</f>
        <v>0</v>
      </c>
      <c r="AS162" s="105" t="str">
        <f ca="1">IF(LEN(Calcs[[#This Row],[Line]])&gt;0,IF(RIGHT(Calcs[[#This Row],[Remark]],3)=".  ",LEFT(Calcs[[#This Row],[Remark]],LEN(Calcs[[#This Row],[Remark]])-3),Calcs[[#This Row],[Remark]]),"")</f>
        <v/>
      </c>
      <c r="AT162" s="96">
        <f t="shared" ca="1" si="152"/>
        <v>0</v>
      </c>
      <c r="AU162" s="103">
        <f t="shared" ca="1" si="153"/>
        <v>0</v>
      </c>
      <c r="AV162" s="103">
        <f t="shared" ca="1" si="154"/>
        <v>0</v>
      </c>
      <c r="AW162" s="103">
        <f t="shared" ca="1" si="155"/>
        <v>0</v>
      </c>
      <c r="AX162" s="103">
        <f t="shared" ca="1" si="156"/>
        <v>0</v>
      </c>
      <c r="AY162" s="103">
        <f t="shared" ca="1" si="157"/>
        <v>0</v>
      </c>
      <c r="AZ162" s="103">
        <f t="shared" ca="1" si="158"/>
        <v>0</v>
      </c>
      <c r="BA162" s="103">
        <f t="shared" ca="1" si="159"/>
        <v>0</v>
      </c>
      <c r="BB162" s="103">
        <f t="shared" ca="1" si="160"/>
        <v>0</v>
      </c>
      <c r="BC162" s="103">
        <f t="shared" ca="1" si="161"/>
        <v>0</v>
      </c>
      <c r="BD162" s="103">
        <f t="shared" ca="1" si="162"/>
        <v>0</v>
      </c>
      <c r="BE162" s="103">
        <f t="shared" ca="1" si="163"/>
        <v>0</v>
      </c>
      <c r="BF162" s="103">
        <f t="shared" ca="1" si="164"/>
        <v>0</v>
      </c>
      <c r="BG162" s="103">
        <f t="shared" ca="1" si="165"/>
        <v>0</v>
      </c>
      <c r="BH162" s="103">
        <f t="shared" ca="1" si="166"/>
        <v>0</v>
      </c>
      <c r="BI162" s="103">
        <f t="shared" ca="1" si="167"/>
        <v>0</v>
      </c>
      <c r="BJ162" s="103">
        <f t="shared" ca="1" si="168"/>
        <v>0</v>
      </c>
      <c r="BK162" s="103">
        <f t="shared" ca="1" si="169"/>
        <v>0</v>
      </c>
      <c r="BL162" s="103">
        <f t="shared" ca="1" si="170"/>
        <v>0</v>
      </c>
      <c r="BM162" s="103">
        <f t="shared" ca="1" si="171"/>
        <v>0</v>
      </c>
      <c r="BN162" s="103">
        <f t="shared" ca="1" si="172"/>
        <v>0</v>
      </c>
      <c r="BO162" s="103">
        <f t="shared" ca="1" si="173"/>
        <v>0</v>
      </c>
      <c r="BP162" s="103">
        <f t="shared" ca="1" si="174"/>
        <v>0</v>
      </c>
      <c r="BQ162" s="103">
        <f t="shared" ca="1" si="175"/>
        <v>0</v>
      </c>
      <c r="BR162" s="103">
        <f t="shared" ca="1" si="176"/>
        <v>0</v>
      </c>
      <c r="BS162" s="103">
        <f t="shared" ca="1" si="177"/>
        <v>0</v>
      </c>
      <c r="BT162" s="103">
        <f t="shared" ca="1" si="178"/>
        <v>0</v>
      </c>
      <c r="BU162" s="103">
        <f t="shared" ca="1" si="179"/>
        <v>0</v>
      </c>
      <c r="BV162" s="103">
        <f t="shared" ca="1" si="180"/>
        <v>0</v>
      </c>
      <c r="BW162" s="103">
        <f t="shared" ca="1" si="181"/>
        <v>0</v>
      </c>
      <c r="BX162" s="103">
        <f t="shared" ca="1" si="182"/>
        <v>0</v>
      </c>
      <c r="BY162" s="103">
        <f t="shared" ca="1" si="183"/>
        <v>0</v>
      </c>
      <c r="BZ162" s="98">
        <f t="shared" ref="BZ162:CG171" ca="1" si="185">HLOOKUP(IF(COLUMN(BZ162)-COLUMN($BZ$3)=0,0,OFFSET(BZ162,0,-1))+widthRemarks,$AT162:$BY162,1)</f>
        <v>0</v>
      </c>
      <c r="CA162" s="103">
        <f t="shared" ca="1" si="185"/>
        <v>0</v>
      </c>
      <c r="CB162" s="103">
        <f t="shared" ca="1" si="185"/>
        <v>0</v>
      </c>
      <c r="CC162" s="103">
        <f t="shared" ca="1" si="185"/>
        <v>0</v>
      </c>
      <c r="CD162" s="103">
        <f t="shared" ca="1" si="185"/>
        <v>0</v>
      </c>
      <c r="CE162" s="103">
        <f t="shared" ca="1" si="185"/>
        <v>0</v>
      </c>
      <c r="CF162" s="103">
        <f t="shared" ca="1" si="185"/>
        <v>0</v>
      </c>
      <c r="CG162" s="103">
        <f t="shared" ca="1" si="185"/>
        <v>0</v>
      </c>
      <c r="CH162" s="106">
        <f ca="1">COUNTIF(BZ162:CG162,"&lt;"&amp;MAX(BZ162:CG162))+IF(Calcs[[#This Row],[RL1]]=0,0,1)</f>
        <v>0</v>
      </c>
      <c r="CI16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2" s="103">
        <f ca="1">IFERROR(OFFSET(CJ162,-1,0)+0,0)+IF(INDEX(INDIRECT(RangeContrQty),MATCH(Calcs[[#This Row],[Line]],OFFSET(Items[Line],0,0,ROW(Proposed[])-ROW(Items[])+ROWS(Proposed[]),1),0)),1,0)</f>
        <v>0</v>
      </c>
    </row>
    <row r="163" spans="1:88" x14ac:dyDescent="0.15">
      <c r="A163" s="64">
        <f ca="1">IFERROR(OFFSET(A163,-1,0)+0,0)+MAX(IF(LEN(Calcs[[#This Row],[Line]])&gt;0,1,0),Calcs[[#This Row],[DL]],Calcs[[#This Row],[RL]])</f>
        <v>10</v>
      </c>
      <c r="B163" s="90" t="str">
        <f ca="1">IFERROR(INDEX(OFFSET(Items[Line],0,0,ROW(Proposed[])-ROW(Items[])+ROWS(Proposed[]),1),MATCH(ROW(B163)-ROW(B$3),INDIRECT(RangeCount),0)),"")</f>
        <v/>
      </c>
      <c r="C163" s="90" t="str">
        <f ca="1">IF(LEN(Calcs[[#This Row],[Line]])&gt;0,TRIM(IFERROR(INDEX(Items[Description],MATCH(Calcs[[#This Row],[Line]],Items[Line],0))&amp;INDEX(Items[Description2],MATCH(Calcs[[#This Row],[Line]],Items[Line],0)),INDEX(Proposed[Description],MATCH(Calcs[[#This Row],[Line]],Proposed[Line],0)))),"")</f>
        <v/>
      </c>
      <c r="D163" s="96">
        <f t="shared" ca="1" si="120"/>
        <v>0</v>
      </c>
      <c r="E163" s="103">
        <f t="shared" ca="1" si="121"/>
        <v>0</v>
      </c>
      <c r="F163" s="103">
        <f t="shared" ca="1" si="122"/>
        <v>0</v>
      </c>
      <c r="G163" s="103">
        <f t="shared" ca="1" si="123"/>
        <v>0</v>
      </c>
      <c r="H163" s="103">
        <f t="shared" ca="1" si="124"/>
        <v>0</v>
      </c>
      <c r="I163" s="103">
        <f t="shared" ca="1" si="125"/>
        <v>0</v>
      </c>
      <c r="J163" s="103">
        <f t="shared" ca="1" si="126"/>
        <v>0</v>
      </c>
      <c r="K163" s="103">
        <f t="shared" ca="1" si="127"/>
        <v>0</v>
      </c>
      <c r="L163" s="103">
        <f t="shared" ca="1" si="128"/>
        <v>0</v>
      </c>
      <c r="M163" s="103">
        <f t="shared" ca="1" si="129"/>
        <v>0</v>
      </c>
      <c r="N163" s="103">
        <f t="shared" ca="1" si="130"/>
        <v>0</v>
      </c>
      <c r="O163" s="103">
        <f t="shared" ca="1" si="131"/>
        <v>0</v>
      </c>
      <c r="P163" s="103">
        <f t="shared" ca="1" si="132"/>
        <v>0</v>
      </c>
      <c r="Q163" s="103">
        <f t="shared" ca="1" si="133"/>
        <v>0</v>
      </c>
      <c r="R163" s="103">
        <f t="shared" ca="1" si="134"/>
        <v>0</v>
      </c>
      <c r="S163" s="103">
        <f t="shared" ca="1" si="135"/>
        <v>0</v>
      </c>
      <c r="T163" s="103">
        <f t="shared" ca="1" si="136"/>
        <v>0</v>
      </c>
      <c r="U163" s="103">
        <f t="shared" ca="1" si="137"/>
        <v>0</v>
      </c>
      <c r="V163" s="103">
        <f t="shared" ca="1" si="138"/>
        <v>0</v>
      </c>
      <c r="W163" s="103">
        <f t="shared" ca="1" si="139"/>
        <v>0</v>
      </c>
      <c r="X163" s="103">
        <f t="shared" ca="1" si="140"/>
        <v>0</v>
      </c>
      <c r="Y163" s="103">
        <f t="shared" ca="1" si="141"/>
        <v>0</v>
      </c>
      <c r="Z163" s="103">
        <f t="shared" ca="1" si="142"/>
        <v>0</v>
      </c>
      <c r="AA163" s="103">
        <f t="shared" ca="1" si="143"/>
        <v>0</v>
      </c>
      <c r="AB163" s="103">
        <f t="shared" ca="1" si="144"/>
        <v>0</v>
      </c>
      <c r="AC163" s="103">
        <f t="shared" ca="1" si="145"/>
        <v>0</v>
      </c>
      <c r="AD163" s="103">
        <f t="shared" ca="1" si="146"/>
        <v>0</v>
      </c>
      <c r="AE163" s="103">
        <f t="shared" ca="1" si="147"/>
        <v>0</v>
      </c>
      <c r="AF163" s="103">
        <f t="shared" ca="1" si="148"/>
        <v>0</v>
      </c>
      <c r="AG163" s="103">
        <f t="shared" ca="1" si="149"/>
        <v>0</v>
      </c>
      <c r="AH163" s="103">
        <f t="shared" ca="1" si="150"/>
        <v>0</v>
      </c>
      <c r="AI163" s="103">
        <f t="shared" ca="1" si="151"/>
        <v>0</v>
      </c>
      <c r="AJ163" s="98">
        <f t="shared" ca="1" si="184"/>
        <v>0</v>
      </c>
      <c r="AK163" s="103">
        <f t="shared" ca="1" si="184"/>
        <v>0</v>
      </c>
      <c r="AL163" s="103">
        <f t="shared" ca="1" si="184"/>
        <v>0</v>
      </c>
      <c r="AM163" s="103">
        <f t="shared" ca="1" si="184"/>
        <v>0</v>
      </c>
      <c r="AN163" s="103">
        <f t="shared" ca="1" si="184"/>
        <v>0</v>
      </c>
      <c r="AO163" s="103">
        <f t="shared" ca="1" si="184"/>
        <v>0</v>
      </c>
      <c r="AP163" s="103">
        <f t="shared" ca="1" si="184"/>
        <v>0</v>
      </c>
      <c r="AQ163" s="103">
        <f t="shared" ca="1" si="184"/>
        <v>0</v>
      </c>
      <c r="AR163" s="104">
        <f ca="1">COUNTIF(AJ163:AQ163,"&lt;"&amp;MAX(AJ163:AQ163))+IF(Calcs[[#This Row],[DL1]]=0,0,1)</f>
        <v>0</v>
      </c>
      <c r="AS163" s="105" t="str">
        <f ca="1">IF(LEN(Calcs[[#This Row],[Line]])&gt;0,IF(RIGHT(Calcs[[#This Row],[Remark]],3)=".  ",LEFT(Calcs[[#This Row],[Remark]],LEN(Calcs[[#This Row],[Remark]])-3),Calcs[[#This Row],[Remark]]),"")</f>
        <v/>
      </c>
      <c r="AT163" s="96">
        <f t="shared" ca="1" si="152"/>
        <v>0</v>
      </c>
      <c r="AU163" s="103">
        <f t="shared" ca="1" si="153"/>
        <v>0</v>
      </c>
      <c r="AV163" s="103">
        <f t="shared" ca="1" si="154"/>
        <v>0</v>
      </c>
      <c r="AW163" s="103">
        <f t="shared" ca="1" si="155"/>
        <v>0</v>
      </c>
      <c r="AX163" s="103">
        <f t="shared" ca="1" si="156"/>
        <v>0</v>
      </c>
      <c r="AY163" s="103">
        <f t="shared" ca="1" si="157"/>
        <v>0</v>
      </c>
      <c r="AZ163" s="103">
        <f t="shared" ca="1" si="158"/>
        <v>0</v>
      </c>
      <c r="BA163" s="103">
        <f t="shared" ca="1" si="159"/>
        <v>0</v>
      </c>
      <c r="BB163" s="103">
        <f t="shared" ca="1" si="160"/>
        <v>0</v>
      </c>
      <c r="BC163" s="103">
        <f t="shared" ca="1" si="161"/>
        <v>0</v>
      </c>
      <c r="BD163" s="103">
        <f t="shared" ca="1" si="162"/>
        <v>0</v>
      </c>
      <c r="BE163" s="103">
        <f t="shared" ca="1" si="163"/>
        <v>0</v>
      </c>
      <c r="BF163" s="103">
        <f t="shared" ca="1" si="164"/>
        <v>0</v>
      </c>
      <c r="BG163" s="103">
        <f t="shared" ca="1" si="165"/>
        <v>0</v>
      </c>
      <c r="BH163" s="103">
        <f t="shared" ca="1" si="166"/>
        <v>0</v>
      </c>
      <c r="BI163" s="103">
        <f t="shared" ca="1" si="167"/>
        <v>0</v>
      </c>
      <c r="BJ163" s="103">
        <f t="shared" ca="1" si="168"/>
        <v>0</v>
      </c>
      <c r="BK163" s="103">
        <f t="shared" ca="1" si="169"/>
        <v>0</v>
      </c>
      <c r="BL163" s="103">
        <f t="shared" ca="1" si="170"/>
        <v>0</v>
      </c>
      <c r="BM163" s="103">
        <f t="shared" ca="1" si="171"/>
        <v>0</v>
      </c>
      <c r="BN163" s="103">
        <f t="shared" ca="1" si="172"/>
        <v>0</v>
      </c>
      <c r="BO163" s="103">
        <f t="shared" ca="1" si="173"/>
        <v>0</v>
      </c>
      <c r="BP163" s="103">
        <f t="shared" ca="1" si="174"/>
        <v>0</v>
      </c>
      <c r="BQ163" s="103">
        <f t="shared" ca="1" si="175"/>
        <v>0</v>
      </c>
      <c r="BR163" s="103">
        <f t="shared" ca="1" si="176"/>
        <v>0</v>
      </c>
      <c r="BS163" s="103">
        <f t="shared" ca="1" si="177"/>
        <v>0</v>
      </c>
      <c r="BT163" s="103">
        <f t="shared" ca="1" si="178"/>
        <v>0</v>
      </c>
      <c r="BU163" s="103">
        <f t="shared" ca="1" si="179"/>
        <v>0</v>
      </c>
      <c r="BV163" s="103">
        <f t="shared" ca="1" si="180"/>
        <v>0</v>
      </c>
      <c r="BW163" s="103">
        <f t="shared" ca="1" si="181"/>
        <v>0</v>
      </c>
      <c r="BX163" s="103">
        <f t="shared" ca="1" si="182"/>
        <v>0</v>
      </c>
      <c r="BY163" s="103">
        <f t="shared" ca="1" si="183"/>
        <v>0</v>
      </c>
      <c r="BZ163" s="98">
        <f t="shared" ca="1" si="185"/>
        <v>0</v>
      </c>
      <c r="CA163" s="103">
        <f t="shared" ca="1" si="185"/>
        <v>0</v>
      </c>
      <c r="CB163" s="103">
        <f t="shared" ca="1" si="185"/>
        <v>0</v>
      </c>
      <c r="CC163" s="103">
        <f t="shared" ca="1" si="185"/>
        <v>0</v>
      </c>
      <c r="CD163" s="103">
        <f t="shared" ca="1" si="185"/>
        <v>0</v>
      </c>
      <c r="CE163" s="103">
        <f t="shared" ca="1" si="185"/>
        <v>0</v>
      </c>
      <c r="CF163" s="103">
        <f t="shared" ca="1" si="185"/>
        <v>0</v>
      </c>
      <c r="CG163" s="103">
        <f t="shared" ca="1" si="185"/>
        <v>0</v>
      </c>
      <c r="CH163" s="106">
        <f ca="1">COUNTIF(BZ163:CG163,"&lt;"&amp;MAX(BZ163:CG163))+IF(Calcs[[#This Row],[RL1]]=0,0,1)</f>
        <v>0</v>
      </c>
      <c r="CI16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3" s="103">
        <f ca="1">IFERROR(OFFSET(CJ163,-1,0)+0,0)+IF(INDEX(INDIRECT(RangeContrQty),MATCH(Calcs[[#This Row],[Line]],OFFSET(Items[Line],0,0,ROW(Proposed[])-ROW(Items[])+ROWS(Proposed[]),1),0)),1,0)</f>
        <v>0</v>
      </c>
    </row>
    <row r="164" spans="1:88" x14ac:dyDescent="0.15">
      <c r="A164" s="64">
        <f ca="1">IFERROR(OFFSET(A164,-1,0)+0,0)+MAX(IF(LEN(Calcs[[#This Row],[Line]])&gt;0,1,0),Calcs[[#This Row],[DL]],Calcs[[#This Row],[RL]])</f>
        <v>10</v>
      </c>
      <c r="B164" s="90" t="str">
        <f ca="1">IFERROR(INDEX(OFFSET(Items[Line],0,0,ROW(Proposed[])-ROW(Items[])+ROWS(Proposed[]),1),MATCH(ROW(B164)-ROW(B$3),INDIRECT(RangeCount),0)),"")</f>
        <v/>
      </c>
      <c r="C164" s="90" t="str">
        <f ca="1">IF(LEN(Calcs[[#This Row],[Line]])&gt;0,TRIM(IFERROR(INDEX(Items[Description],MATCH(Calcs[[#This Row],[Line]],Items[Line],0))&amp;INDEX(Items[Description2],MATCH(Calcs[[#This Row],[Line]],Items[Line],0)),INDEX(Proposed[Description],MATCH(Calcs[[#This Row],[Line]],Proposed[Line],0)))),"")</f>
        <v/>
      </c>
      <c r="D164" s="96">
        <f t="shared" ca="1" si="120"/>
        <v>0</v>
      </c>
      <c r="E164" s="103">
        <f t="shared" ca="1" si="121"/>
        <v>0</v>
      </c>
      <c r="F164" s="103">
        <f t="shared" ca="1" si="122"/>
        <v>0</v>
      </c>
      <c r="G164" s="103">
        <f t="shared" ca="1" si="123"/>
        <v>0</v>
      </c>
      <c r="H164" s="103">
        <f t="shared" ca="1" si="124"/>
        <v>0</v>
      </c>
      <c r="I164" s="103">
        <f t="shared" ca="1" si="125"/>
        <v>0</v>
      </c>
      <c r="J164" s="103">
        <f t="shared" ca="1" si="126"/>
        <v>0</v>
      </c>
      <c r="K164" s="103">
        <f t="shared" ca="1" si="127"/>
        <v>0</v>
      </c>
      <c r="L164" s="103">
        <f t="shared" ca="1" si="128"/>
        <v>0</v>
      </c>
      <c r="M164" s="103">
        <f t="shared" ca="1" si="129"/>
        <v>0</v>
      </c>
      <c r="N164" s="103">
        <f t="shared" ca="1" si="130"/>
        <v>0</v>
      </c>
      <c r="O164" s="103">
        <f t="shared" ca="1" si="131"/>
        <v>0</v>
      </c>
      <c r="P164" s="103">
        <f t="shared" ca="1" si="132"/>
        <v>0</v>
      </c>
      <c r="Q164" s="103">
        <f t="shared" ca="1" si="133"/>
        <v>0</v>
      </c>
      <c r="R164" s="103">
        <f t="shared" ca="1" si="134"/>
        <v>0</v>
      </c>
      <c r="S164" s="103">
        <f t="shared" ca="1" si="135"/>
        <v>0</v>
      </c>
      <c r="T164" s="103">
        <f t="shared" ca="1" si="136"/>
        <v>0</v>
      </c>
      <c r="U164" s="103">
        <f t="shared" ca="1" si="137"/>
        <v>0</v>
      </c>
      <c r="V164" s="103">
        <f t="shared" ca="1" si="138"/>
        <v>0</v>
      </c>
      <c r="W164" s="103">
        <f t="shared" ca="1" si="139"/>
        <v>0</v>
      </c>
      <c r="X164" s="103">
        <f t="shared" ca="1" si="140"/>
        <v>0</v>
      </c>
      <c r="Y164" s="103">
        <f t="shared" ca="1" si="141"/>
        <v>0</v>
      </c>
      <c r="Z164" s="103">
        <f t="shared" ca="1" si="142"/>
        <v>0</v>
      </c>
      <c r="AA164" s="103">
        <f t="shared" ca="1" si="143"/>
        <v>0</v>
      </c>
      <c r="AB164" s="103">
        <f t="shared" ca="1" si="144"/>
        <v>0</v>
      </c>
      <c r="AC164" s="103">
        <f t="shared" ca="1" si="145"/>
        <v>0</v>
      </c>
      <c r="AD164" s="103">
        <f t="shared" ca="1" si="146"/>
        <v>0</v>
      </c>
      <c r="AE164" s="103">
        <f t="shared" ca="1" si="147"/>
        <v>0</v>
      </c>
      <c r="AF164" s="103">
        <f t="shared" ca="1" si="148"/>
        <v>0</v>
      </c>
      <c r="AG164" s="103">
        <f t="shared" ca="1" si="149"/>
        <v>0</v>
      </c>
      <c r="AH164" s="103">
        <f t="shared" ca="1" si="150"/>
        <v>0</v>
      </c>
      <c r="AI164" s="103">
        <f t="shared" ca="1" si="151"/>
        <v>0</v>
      </c>
      <c r="AJ164" s="98">
        <f t="shared" ca="1" si="184"/>
        <v>0</v>
      </c>
      <c r="AK164" s="103">
        <f t="shared" ca="1" si="184"/>
        <v>0</v>
      </c>
      <c r="AL164" s="103">
        <f t="shared" ca="1" si="184"/>
        <v>0</v>
      </c>
      <c r="AM164" s="103">
        <f t="shared" ca="1" si="184"/>
        <v>0</v>
      </c>
      <c r="AN164" s="103">
        <f t="shared" ca="1" si="184"/>
        <v>0</v>
      </c>
      <c r="AO164" s="103">
        <f t="shared" ca="1" si="184"/>
        <v>0</v>
      </c>
      <c r="AP164" s="103">
        <f t="shared" ca="1" si="184"/>
        <v>0</v>
      </c>
      <c r="AQ164" s="103">
        <f t="shared" ca="1" si="184"/>
        <v>0</v>
      </c>
      <c r="AR164" s="104">
        <f ca="1">COUNTIF(AJ164:AQ164,"&lt;"&amp;MAX(AJ164:AQ164))+IF(Calcs[[#This Row],[DL1]]=0,0,1)</f>
        <v>0</v>
      </c>
      <c r="AS164" s="105" t="str">
        <f ca="1">IF(LEN(Calcs[[#This Row],[Line]])&gt;0,IF(RIGHT(Calcs[[#This Row],[Remark]],3)=".  ",LEFT(Calcs[[#This Row],[Remark]],LEN(Calcs[[#This Row],[Remark]])-3),Calcs[[#This Row],[Remark]]),"")</f>
        <v/>
      </c>
      <c r="AT164" s="96">
        <f t="shared" ca="1" si="152"/>
        <v>0</v>
      </c>
      <c r="AU164" s="103">
        <f t="shared" ca="1" si="153"/>
        <v>0</v>
      </c>
      <c r="AV164" s="103">
        <f t="shared" ca="1" si="154"/>
        <v>0</v>
      </c>
      <c r="AW164" s="103">
        <f t="shared" ca="1" si="155"/>
        <v>0</v>
      </c>
      <c r="AX164" s="103">
        <f t="shared" ca="1" si="156"/>
        <v>0</v>
      </c>
      <c r="AY164" s="103">
        <f t="shared" ca="1" si="157"/>
        <v>0</v>
      </c>
      <c r="AZ164" s="103">
        <f t="shared" ca="1" si="158"/>
        <v>0</v>
      </c>
      <c r="BA164" s="103">
        <f t="shared" ca="1" si="159"/>
        <v>0</v>
      </c>
      <c r="BB164" s="103">
        <f t="shared" ca="1" si="160"/>
        <v>0</v>
      </c>
      <c r="BC164" s="103">
        <f t="shared" ca="1" si="161"/>
        <v>0</v>
      </c>
      <c r="BD164" s="103">
        <f t="shared" ca="1" si="162"/>
        <v>0</v>
      </c>
      <c r="BE164" s="103">
        <f t="shared" ca="1" si="163"/>
        <v>0</v>
      </c>
      <c r="BF164" s="103">
        <f t="shared" ca="1" si="164"/>
        <v>0</v>
      </c>
      <c r="BG164" s="103">
        <f t="shared" ca="1" si="165"/>
        <v>0</v>
      </c>
      <c r="BH164" s="103">
        <f t="shared" ca="1" si="166"/>
        <v>0</v>
      </c>
      <c r="BI164" s="103">
        <f t="shared" ca="1" si="167"/>
        <v>0</v>
      </c>
      <c r="BJ164" s="103">
        <f t="shared" ca="1" si="168"/>
        <v>0</v>
      </c>
      <c r="BK164" s="103">
        <f t="shared" ca="1" si="169"/>
        <v>0</v>
      </c>
      <c r="BL164" s="103">
        <f t="shared" ca="1" si="170"/>
        <v>0</v>
      </c>
      <c r="BM164" s="103">
        <f t="shared" ca="1" si="171"/>
        <v>0</v>
      </c>
      <c r="BN164" s="103">
        <f t="shared" ca="1" si="172"/>
        <v>0</v>
      </c>
      <c r="BO164" s="103">
        <f t="shared" ca="1" si="173"/>
        <v>0</v>
      </c>
      <c r="BP164" s="103">
        <f t="shared" ca="1" si="174"/>
        <v>0</v>
      </c>
      <c r="BQ164" s="103">
        <f t="shared" ca="1" si="175"/>
        <v>0</v>
      </c>
      <c r="BR164" s="103">
        <f t="shared" ca="1" si="176"/>
        <v>0</v>
      </c>
      <c r="BS164" s="103">
        <f t="shared" ca="1" si="177"/>
        <v>0</v>
      </c>
      <c r="BT164" s="103">
        <f t="shared" ca="1" si="178"/>
        <v>0</v>
      </c>
      <c r="BU164" s="103">
        <f t="shared" ca="1" si="179"/>
        <v>0</v>
      </c>
      <c r="BV164" s="103">
        <f t="shared" ca="1" si="180"/>
        <v>0</v>
      </c>
      <c r="BW164" s="103">
        <f t="shared" ca="1" si="181"/>
        <v>0</v>
      </c>
      <c r="BX164" s="103">
        <f t="shared" ca="1" si="182"/>
        <v>0</v>
      </c>
      <c r="BY164" s="103">
        <f t="shared" ca="1" si="183"/>
        <v>0</v>
      </c>
      <c r="BZ164" s="98">
        <f t="shared" ca="1" si="185"/>
        <v>0</v>
      </c>
      <c r="CA164" s="103">
        <f t="shared" ca="1" si="185"/>
        <v>0</v>
      </c>
      <c r="CB164" s="103">
        <f t="shared" ca="1" si="185"/>
        <v>0</v>
      </c>
      <c r="CC164" s="103">
        <f t="shared" ca="1" si="185"/>
        <v>0</v>
      </c>
      <c r="CD164" s="103">
        <f t="shared" ca="1" si="185"/>
        <v>0</v>
      </c>
      <c r="CE164" s="103">
        <f t="shared" ca="1" si="185"/>
        <v>0</v>
      </c>
      <c r="CF164" s="103">
        <f t="shared" ca="1" si="185"/>
        <v>0</v>
      </c>
      <c r="CG164" s="103">
        <f t="shared" ca="1" si="185"/>
        <v>0</v>
      </c>
      <c r="CH164" s="106">
        <f ca="1">COUNTIF(BZ164:CG164,"&lt;"&amp;MAX(BZ164:CG164))+IF(Calcs[[#This Row],[RL1]]=0,0,1)</f>
        <v>0</v>
      </c>
      <c r="CI16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4" s="103">
        <f ca="1">IFERROR(OFFSET(CJ164,-1,0)+0,0)+IF(INDEX(INDIRECT(RangeContrQty),MATCH(Calcs[[#This Row],[Line]],OFFSET(Items[Line],0,0,ROW(Proposed[])-ROW(Items[])+ROWS(Proposed[]),1),0)),1,0)</f>
        <v>0</v>
      </c>
    </row>
    <row r="165" spans="1:88" x14ac:dyDescent="0.15">
      <c r="A165" s="64">
        <f ca="1">IFERROR(OFFSET(A165,-1,0)+0,0)+MAX(IF(LEN(Calcs[[#This Row],[Line]])&gt;0,1,0),Calcs[[#This Row],[DL]],Calcs[[#This Row],[RL]])</f>
        <v>10</v>
      </c>
      <c r="B165" s="90" t="str">
        <f ca="1">IFERROR(INDEX(OFFSET(Items[Line],0,0,ROW(Proposed[])-ROW(Items[])+ROWS(Proposed[]),1),MATCH(ROW(B165)-ROW(B$3),INDIRECT(RangeCount),0)),"")</f>
        <v/>
      </c>
      <c r="C165" s="90" t="str">
        <f ca="1">IF(LEN(Calcs[[#This Row],[Line]])&gt;0,TRIM(IFERROR(INDEX(Items[Description],MATCH(Calcs[[#This Row],[Line]],Items[Line],0))&amp;INDEX(Items[Description2],MATCH(Calcs[[#This Row],[Line]],Items[Line],0)),INDEX(Proposed[Description],MATCH(Calcs[[#This Row],[Line]],Proposed[Line],0)))),"")</f>
        <v/>
      </c>
      <c r="D165" s="96">
        <f t="shared" ca="1" si="120"/>
        <v>0</v>
      </c>
      <c r="E165" s="103">
        <f t="shared" ca="1" si="121"/>
        <v>0</v>
      </c>
      <c r="F165" s="103">
        <f t="shared" ca="1" si="122"/>
        <v>0</v>
      </c>
      <c r="G165" s="103">
        <f t="shared" ca="1" si="123"/>
        <v>0</v>
      </c>
      <c r="H165" s="103">
        <f t="shared" ca="1" si="124"/>
        <v>0</v>
      </c>
      <c r="I165" s="103">
        <f t="shared" ca="1" si="125"/>
        <v>0</v>
      </c>
      <c r="J165" s="103">
        <f t="shared" ca="1" si="126"/>
        <v>0</v>
      </c>
      <c r="K165" s="103">
        <f t="shared" ca="1" si="127"/>
        <v>0</v>
      </c>
      <c r="L165" s="103">
        <f t="shared" ca="1" si="128"/>
        <v>0</v>
      </c>
      <c r="M165" s="103">
        <f t="shared" ca="1" si="129"/>
        <v>0</v>
      </c>
      <c r="N165" s="103">
        <f t="shared" ca="1" si="130"/>
        <v>0</v>
      </c>
      <c r="O165" s="103">
        <f t="shared" ca="1" si="131"/>
        <v>0</v>
      </c>
      <c r="P165" s="103">
        <f t="shared" ca="1" si="132"/>
        <v>0</v>
      </c>
      <c r="Q165" s="103">
        <f t="shared" ca="1" si="133"/>
        <v>0</v>
      </c>
      <c r="R165" s="103">
        <f t="shared" ca="1" si="134"/>
        <v>0</v>
      </c>
      <c r="S165" s="103">
        <f t="shared" ca="1" si="135"/>
        <v>0</v>
      </c>
      <c r="T165" s="103">
        <f t="shared" ca="1" si="136"/>
        <v>0</v>
      </c>
      <c r="U165" s="103">
        <f t="shared" ca="1" si="137"/>
        <v>0</v>
      </c>
      <c r="V165" s="103">
        <f t="shared" ca="1" si="138"/>
        <v>0</v>
      </c>
      <c r="W165" s="103">
        <f t="shared" ca="1" si="139"/>
        <v>0</v>
      </c>
      <c r="X165" s="103">
        <f t="shared" ca="1" si="140"/>
        <v>0</v>
      </c>
      <c r="Y165" s="103">
        <f t="shared" ca="1" si="141"/>
        <v>0</v>
      </c>
      <c r="Z165" s="103">
        <f t="shared" ca="1" si="142"/>
        <v>0</v>
      </c>
      <c r="AA165" s="103">
        <f t="shared" ca="1" si="143"/>
        <v>0</v>
      </c>
      <c r="AB165" s="103">
        <f t="shared" ca="1" si="144"/>
        <v>0</v>
      </c>
      <c r="AC165" s="103">
        <f t="shared" ca="1" si="145"/>
        <v>0</v>
      </c>
      <c r="AD165" s="103">
        <f t="shared" ca="1" si="146"/>
        <v>0</v>
      </c>
      <c r="AE165" s="103">
        <f t="shared" ca="1" si="147"/>
        <v>0</v>
      </c>
      <c r="AF165" s="103">
        <f t="shared" ca="1" si="148"/>
        <v>0</v>
      </c>
      <c r="AG165" s="103">
        <f t="shared" ca="1" si="149"/>
        <v>0</v>
      </c>
      <c r="AH165" s="103">
        <f t="shared" ca="1" si="150"/>
        <v>0</v>
      </c>
      <c r="AI165" s="103">
        <f t="shared" ca="1" si="151"/>
        <v>0</v>
      </c>
      <c r="AJ165" s="98">
        <f t="shared" ca="1" si="184"/>
        <v>0</v>
      </c>
      <c r="AK165" s="103">
        <f t="shared" ca="1" si="184"/>
        <v>0</v>
      </c>
      <c r="AL165" s="103">
        <f t="shared" ca="1" si="184"/>
        <v>0</v>
      </c>
      <c r="AM165" s="103">
        <f t="shared" ca="1" si="184"/>
        <v>0</v>
      </c>
      <c r="AN165" s="103">
        <f t="shared" ca="1" si="184"/>
        <v>0</v>
      </c>
      <c r="AO165" s="103">
        <f t="shared" ca="1" si="184"/>
        <v>0</v>
      </c>
      <c r="AP165" s="103">
        <f t="shared" ca="1" si="184"/>
        <v>0</v>
      </c>
      <c r="AQ165" s="103">
        <f t="shared" ca="1" si="184"/>
        <v>0</v>
      </c>
      <c r="AR165" s="104">
        <f ca="1">COUNTIF(AJ165:AQ165,"&lt;"&amp;MAX(AJ165:AQ165))+IF(Calcs[[#This Row],[DL1]]=0,0,1)</f>
        <v>0</v>
      </c>
      <c r="AS165" s="105" t="str">
        <f ca="1">IF(LEN(Calcs[[#This Row],[Line]])&gt;0,IF(RIGHT(Calcs[[#This Row],[Remark]],3)=".  ",LEFT(Calcs[[#This Row],[Remark]],LEN(Calcs[[#This Row],[Remark]])-3),Calcs[[#This Row],[Remark]]),"")</f>
        <v/>
      </c>
      <c r="AT165" s="96">
        <f t="shared" ca="1" si="152"/>
        <v>0</v>
      </c>
      <c r="AU165" s="103">
        <f t="shared" ca="1" si="153"/>
        <v>0</v>
      </c>
      <c r="AV165" s="103">
        <f t="shared" ca="1" si="154"/>
        <v>0</v>
      </c>
      <c r="AW165" s="103">
        <f t="shared" ca="1" si="155"/>
        <v>0</v>
      </c>
      <c r="AX165" s="103">
        <f t="shared" ca="1" si="156"/>
        <v>0</v>
      </c>
      <c r="AY165" s="103">
        <f t="shared" ca="1" si="157"/>
        <v>0</v>
      </c>
      <c r="AZ165" s="103">
        <f t="shared" ca="1" si="158"/>
        <v>0</v>
      </c>
      <c r="BA165" s="103">
        <f t="shared" ca="1" si="159"/>
        <v>0</v>
      </c>
      <c r="BB165" s="103">
        <f t="shared" ca="1" si="160"/>
        <v>0</v>
      </c>
      <c r="BC165" s="103">
        <f t="shared" ca="1" si="161"/>
        <v>0</v>
      </c>
      <c r="BD165" s="103">
        <f t="shared" ca="1" si="162"/>
        <v>0</v>
      </c>
      <c r="BE165" s="103">
        <f t="shared" ca="1" si="163"/>
        <v>0</v>
      </c>
      <c r="BF165" s="103">
        <f t="shared" ca="1" si="164"/>
        <v>0</v>
      </c>
      <c r="BG165" s="103">
        <f t="shared" ca="1" si="165"/>
        <v>0</v>
      </c>
      <c r="BH165" s="103">
        <f t="shared" ca="1" si="166"/>
        <v>0</v>
      </c>
      <c r="BI165" s="103">
        <f t="shared" ca="1" si="167"/>
        <v>0</v>
      </c>
      <c r="BJ165" s="103">
        <f t="shared" ca="1" si="168"/>
        <v>0</v>
      </c>
      <c r="BK165" s="103">
        <f t="shared" ca="1" si="169"/>
        <v>0</v>
      </c>
      <c r="BL165" s="103">
        <f t="shared" ca="1" si="170"/>
        <v>0</v>
      </c>
      <c r="BM165" s="103">
        <f t="shared" ca="1" si="171"/>
        <v>0</v>
      </c>
      <c r="BN165" s="103">
        <f t="shared" ca="1" si="172"/>
        <v>0</v>
      </c>
      <c r="BO165" s="103">
        <f t="shared" ca="1" si="173"/>
        <v>0</v>
      </c>
      <c r="BP165" s="103">
        <f t="shared" ca="1" si="174"/>
        <v>0</v>
      </c>
      <c r="BQ165" s="103">
        <f t="shared" ca="1" si="175"/>
        <v>0</v>
      </c>
      <c r="BR165" s="103">
        <f t="shared" ca="1" si="176"/>
        <v>0</v>
      </c>
      <c r="BS165" s="103">
        <f t="shared" ca="1" si="177"/>
        <v>0</v>
      </c>
      <c r="BT165" s="103">
        <f t="shared" ca="1" si="178"/>
        <v>0</v>
      </c>
      <c r="BU165" s="103">
        <f t="shared" ca="1" si="179"/>
        <v>0</v>
      </c>
      <c r="BV165" s="103">
        <f t="shared" ca="1" si="180"/>
        <v>0</v>
      </c>
      <c r="BW165" s="103">
        <f t="shared" ca="1" si="181"/>
        <v>0</v>
      </c>
      <c r="BX165" s="103">
        <f t="shared" ca="1" si="182"/>
        <v>0</v>
      </c>
      <c r="BY165" s="103">
        <f t="shared" ca="1" si="183"/>
        <v>0</v>
      </c>
      <c r="BZ165" s="98">
        <f t="shared" ca="1" si="185"/>
        <v>0</v>
      </c>
      <c r="CA165" s="103">
        <f t="shared" ca="1" si="185"/>
        <v>0</v>
      </c>
      <c r="CB165" s="103">
        <f t="shared" ca="1" si="185"/>
        <v>0</v>
      </c>
      <c r="CC165" s="103">
        <f t="shared" ca="1" si="185"/>
        <v>0</v>
      </c>
      <c r="CD165" s="103">
        <f t="shared" ca="1" si="185"/>
        <v>0</v>
      </c>
      <c r="CE165" s="103">
        <f t="shared" ca="1" si="185"/>
        <v>0</v>
      </c>
      <c r="CF165" s="103">
        <f t="shared" ca="1" si="185"/>
        <v>0</v>
      </c>
      <c r="CG165" s="103">
        <f t="shared" ca="1" si="185"/>
        <v>0</v>
      </c>
      <c r="CH165" s="106">
        <f ca="1">COUNTIF(BZ165:CG165,"&lt;"&amp;MAX(BZ165:CG165))+IF(Calcs[[#This Row],[RL1]]=0,0,1)</f>
        <v>0</v>
      </c>
      <c r="CI16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5" s="103">
        <f ca="1">IFERROR(OFFSET(CJ165,-1,0)+0,0)+IF(INDEX(INDIRECT(RangeContrQty),MATCH(Calcs[[#This Row],[Line]],OFFSET(Items[Line],0,0,ROW(Proposed[])-ROW(Items[])+ROWS(Proposed[]),1),0)),1,0)</f>
        <v>0</v>
      </c>
    </row>
    <row r="166" spans="1:88" x14ac:dyDescent="0.15">
      <c r="A166" s="64">
        <f ca="1">IFERROR(OFFSET(A166,-1,0)+0,0)+MAX(IF(LEN(Calcs[[#This Row],[Line]])&gt;0,1,0),Calcs[[#This Row],[DL]],Calcs[[#This Row],[RL]])</f>
        <v>10</v>
      </c>
      <c r="B166" s="90" t="str">
        <f ca="1">IFERROR(INDEX(OFFSET(Items[Line],0,0,ROW(Proposed[])-ROW(Items[])+ROWS(Proposed[]),1),MATCH(ROW(B166)-ROW(B$3),INDIRECT(RangeCount),0)),"")</f>
        <v/>
      </c>
      <c r="C166" s="90" t="str">
        <f ca="1">IF(LEN(Calcs[[#This Row],[Line]])&gt;0,TRIM(IFERROR(INDEX(Items[Description],MATCH(Calcs[[#This Row],[Line]],Items[Line],0))&amp;INDEX(Items[Description2],MATCH(Calcs[[#This Row],[Line]],Items[Line],0)),INDEX(Proposed[Description],MATCH(Calcs[[#This Row],[Line]],Proposed[Line],0)))),"")</f>
        <v/>
      </c>
      <c r="D166" s="96">
        <f t="shared" ca="1" si="120"/>
        <v>0</v>
      </c>
      <c r="E166" s="103">
        <f t="shared" ca="1" si="121"/>
        <v>0</v>
      </c>
      <c r="F166" s="103">
        <f t="shared" ca="1" si="122"/>
        <v>0</v>
      </c>
      <c r="G166" s="103">
        <f t="shared" ca="1" si="123"/>
        <v>0</v>
      </c>
      <c r="H166" s="103">
        <f t="shared" ca="1" si="124"/>
        <v>0</v>
      </c>
      <c r="I166" s="103">
        <f t="shared" ca="1" si="125"/>
        <v>0</v>
      </c>
      <c r="J166" s="103">
        <f t="shared" ca="1" si="126"/>
        <v>0</v>
      </c>
      <c r="K166" s="103">
        <f t="shared" ca="1" si="127"/>
        <v>0</v>
      </c>
      <c r="L166" s="103">
        <f t="shared" ca="1" si="128"/>
        <v>0</v>
      </c>
      <c r="M166" s="103">
        <f t="shared" ca="1" si="129"/>
        <v>0</v>
      </c>
      <c r="N166" s="103">
        <f t="shared" ca="1" si="130"/>
        <v>0</v>
      </c>
      <c r="O166" s="103">
        <f t="shared" ca="1" si="131"/>
        <v>0</v>
      </c>
      <c r="P166" s="103">
        <f t="shared" ca="1" si="132"/>
        <v>0</v>
      </c>
      <c r="Q166" s="103">
        <f t="shared" ca="1" si="133"/>
        <v>0</v>
      </c>
      <c r="R166" s="103">
        <f t="shared" ca="1" si="134"/>
        <v>0</v>
      </c>
      <c r="S166" s="103">
        <f t="shared" ca="1" si="135"/>
        <v>0</v>
      </c>
      <c r="T166" s="103">
        <f t="shared" ca="1" si="136"/>
        <v>0</v>
      </c>
      <c r="U166" s="103">
        <f t="shared" ca="1" si="137"/>
        <v>0</v>
      </c>
      <c r="V166" s="103">
        <f t="shared" ca="1" si="138"/>
        <v>0</v>
      </c>
      <c r="W166" s="103">
        <f t="shared" ca="1" si="139"/>
        <v>0</v>
      </c>
      <c r="X166" s="103">
        <f t="shared" ca="1" si="140"/>
        <v>0</v>
      </c>
      <c r="Y166" s="103">
        <f t="shared" ca="1" si="141"/>
        <v>0</v>
      </c>
      <c r="Z166" s="103">
        <f t="shared" ca="1" si="142"/>
        <v>0</v>
      </c>
      <c r="AA166" s="103">
        <f t="shared" ca="1" si="143"/>
        <v>0</v>
      </c>
      <c r="AB166" s="103">
        <f t="shared" ca="1" si="144"/>
        <v>0</v>
      </c>
      <c r="AC166" s="103">
        <f t="shared" ca="1" si="145"/>
        <v>0</v>
      </c>
      <c r="AD166" s="103">
        <f t="shared" ca="1" si="146"/>
        <v>0</v>
      </c>
      <c r="AE166" s="103">
        <f t="shared" ca="1" si="147"/>
        <v>0</v>
      </c>
      <c r="AF166" s="103">
        <f t="shared" ca="1" si="148"/>
        <v>0</v>
      </c>
      <c r="AG166" s="103">
        <f t="shared" ca="1" si="149"/>
        <v>0</v>
      </c>
      <c r="AH166" s="103">
        <f t="shared" ca="1" si="150"/>
        <v>0</v>
      </c>
      <c r="AI166" s="103">
        <f t="shared" ca="1" si="151"/>
        <v>0</v>
      </c>
      <c r="AJ166" s="98">
        <f t="shared" ca="1" si="184"/>
        <v>0</v>
      </c>
      <c r="AK166" s="103">
        <f t="shared" ca="1" si="184"/>
        <v>0</v>
      </c>
      <c r="AL166" s="103">
        <f t="shared" ca="1" si="184"/>
        <v>0</v>
      </c>
      <c r="AM166" s="103">
        <f t="shared" ca="1" si="184"/>
        <v>0</v>
      </c>
      <c r="AN166" s="103">
        <f t="shared" ca="1" si="184"/>
        <v>0</v>
      </c>
      <c r="AO166" s="103">
        <f t="shared" ca="1" si="184"/>
        <v>0</v>
      </c>
      <c r="AP166" s="103">
        <f t="shared" ca="1" si="184"/>
        <v>0</v>
      </c>
      <c r="AQ166" s="103">
        <f t="shared" ca="1" si="184"/>
        <v>0</v>
      </c>
      <c r="AR166" s="104">
        <f ca="1">COUNTIF(AJ166:AQ166,"&lt;"&amp;MAX(AJ166:AQ166))+IF(Calcs[[#This Row],[DL1]]=0,0,1)</f>
        <v>0</v>
      </c>
      <c r="AS166" s="105" t="str">
        <f ca="1">IF(LEN(Calcs[[#This Row],[Line]])&gt;0,IF(RIGHT(Calcs[[#This Row],[Remark]],3)=".  ",LEFT(Calcs[[#This Row],[Remark]],LEN(Calcs[[#This Row],[Remark]])-3),Calcs[[#This Row],[Remark]]),"")</f>
        <v/>
      </c>
      <c r="AT166" s="96">
        <f t="shared" ca="1" si="152"/>
        <v>0</v>
      </c>
      <c r="AU166" s="103">
        <f t="shared" ca="1" si="153"/>
        <v>0</v>
      </c>
      <c r="AV166" s="103">
        <f t="shared" ca="1" si="154"/>
        <v>0</v>
      </c>
      <c r="AW166" s="103">
        <f t="shared" ca="1" si="155"/>
        <v>0</v>
      </c>
      <c r="AX166" s="103">
        <f t="shared" ca="1" si="156"/>
        <v>0</v>
      </c>
      <c r="AY166" s="103">
        <f t="shared" ca="1" si="157"/>
        <v>0</v>
      </c>
      <c r="AZ166" s="103">
        <f t="shared" ca="1" si="158"/>
        <v>0</v>
      </c>
      <c r="BA166" s="103">
        <f t="shared" ca="1" si="159"/>
        <v>0</v>
      </c>
      <c r="BB166" s="103">
        <f t="shared" ca="1" si="160"/>
        <v>0</v>
      </c>
      <c r="BC166" s="103">
        <f t="shared" ca="1" si="161"/>
        <v>0</v>
      </c>
      <c r="BD166" s="103">
        <f t="shared" ca="1" si="162"/>
        <v>0</v>
      </c>
      <c r="BE166" s="103">
        <f t="shared" ca="1" si="163"/>
        <v>0</v>
      </c>
      <c r="BF166" s="103">
        <f t="shared" ca="1" si="164"/>
        <v>0</v>
      </c>
      <c r="BG166" s="103">
        <f t="shared" ca="1" si="165"/>
        <v>0</v>
      </c>
      <c r="BH166" s="103">
        <f t="shared" ca="1" si="166"/>
        <v>0</v>
      </c>
      <c r="BI166" s="103">
        <f t="shared" ca="1" si="167"/>
        <v>0</v>
      </c>
      <c r="BJ166" s="103">
        <f t="shared" ca="1" si="168"/>
        <v>0</v>
      </c>
      <c r="BK166" s="103">
        <f t="shared" ca="1" si="169"/>
        <v>0</v>
      </c>
      <c r="BL166" s="103">
        <f t="shared" ca="1" si="170"/>
        <v>0</v>
      </c>
      <c r="BM166" s="103">
        <f t="shared" ca="1" si="171"/>
        <v>0</v>
      </c>
      <c r="BN166" s="103">
        <f t="shared" ca="1" si="172"/>
        <v>0</v>
      </c>
      <c r="BO166" s="103">
        <f t="shared" ca="1" si="173"/>
        <v>0</v>
      </c>
      <c r="BP166" s="103">
        <f t="shared" ca="1" si="174"/>
        <v>0</v>
      </c>
      <c r="BQ166" s="103">
        <f t="shared" ca="1" si="175"/>
        <v>0</v>
      </c>
      <c r="BR166" s="103">
        <f t="shared" ca="1" si="176"/>
        <v>0</v>
      </c>
      <c r="BS166" s="103">
        <f t="shared" ca="1" si="177"/>
        <v>0</v>
      </c>
      <c r="BT166" s="103">
        <f t="shared" ca="1" si="178"/>
        <v>0</v>
      </c>
      <c r="BU166" s="103">
        <f t="shared" ca="1" si="179"/>
        <v>0</v>
      </c>
      <c r="BV166" s="103">
        <f t="shared" ca="1" si="180"/>
        <v>0</v>
      </c>
      <c r="BW166" s="103">
        <f t="shared" ca="1" si="181"/>
        <v>0</v>
      </c>
      <c r="BX166" s="103">
        <f t="shared" ca="1" si="182"/>
        <v>0</v>
      </c>
      <c r="BY166" s="103">
        <f t="shared" ca="1" si="183"/>
        <v>0</v>
      </c>
      <c r="BZ166" s="98">
        <f t="shared" ca="1" si="185"/>
        <v>0</v>
      </c>
      <c r="CA166" s="103">
        <f t="shared" ca="1" si="185"/>
        <v>0</v>
      </c>
      <c r="CB166" s="103">
        <f t="shared" ca="1" si="185"/>
        <v>0</v>
      </c>
      <c r="CC166" s="103">
        <f t="shared" ca="1" si="185"/>
        <v>0</v>
      </c>
      <c r="CD166" s="103">
        <f t="shared" ca="1" si="185"/>
        <v>0</v>
      </c>
      <c r="CE166" s="103">
        <f t="shared" ca="1" si="185"/>
        <v>0</v>
      </c>
      <c r="CF166" s="103">
        <f t="shared" ca="1" si="185"/>
        <v>0</v>
      </c>
      <c r="CG166" s="103">
        <f t="shared" ca="1" si="185"/>
        <v>0</v>
      </c>
      <c r="CH166" s="106">
        <f ca="1">COUNTIF(BZ166:CG166,"&lt;"&amp;MAX(BZ166:CG166))+IF(Calcs[[#This Row],[RL1]]=0,0,1)</f>
        <v>0</v>
      </c>
      <c r="CI16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6" s="103">
        <f ca="1">IFERROR(OFFSET(CJ166,-1,0)+0,0)+IF(INDEX(INDIRECT(RangeContrQty),MATCH(Calcs[[#This Row],[Line]],OFFSET(Items[Line],0,0,ROW(Proposed[])-ROW(Items[])+ROWS(Proposed[]),1),0)),1,0)</f>
        <v>0</v>
      </c>
    </row>
    <row r="167" spans="1:88" x14ac:dyDescent="0.15">
      <c r="A167" s="64">
        <f ca="1">IFERROR(OFFSET(A167,-1,0)+0,0)+MAX(IF(LEN(Calcs[[#This Row],[Line]])&gt;0,1,0),Calcs[[#This Row],[DL]],Calcs[[#This Row],[RL]])</f>
        <v>10</v>
      </c>
      <c r="B167" s="90" t="str">
        <f ca="1">IFERROR(INDEX(OFFSET(Items[Line],0,0,ROW(Proposed[])-ROW(Items[])+ROWS(Proposed[]),1),MATCH(ROW(B167)-ROW(B$3),INDIRECT(RangeCount),0)),"")</f>
        <v/>
      </c>
      <c r="C167" s="90" t="str">
        <f ca="1">IF(LEN(Calcs[[#This Row],[Line]])&gt;0,TRIM(IFERROR(INDEX(Items[Description],MATCH(Calcs[[#This Row],[Line]],Items[Line],0))&amp;INDEX(Items[Description2],MATCH(Calcs[[#This Row],[Line]],Items[Line],0)),INDEX(Proposed[Description],MATCH(Calcs[[#This Row],[Line]],Proposed[Line],0)))),"")</f>
        <v/>
      </c>
      <c r="D167" s="96">
        <f t="shared" ca="1" si="120"/>
        <v>0</v>
      </c>
      <c r="E167" s="103">
        <f t="shared" ca="1" si="121"/>
        <v>0</v>
      </c>
      <c r="F167" s="103">
        <f t="shared" ca="1" si="122"/>
        <v>0</v>
      </c>
      <c r="G167" s="103">
        <f t="shared" ca="1" si="123"/>
        <v>0</v>
      </c>
      <c r="H167" s="103">
        <f t="shared" ca="1" si="124"/>
        <v>0</v>
      </c>
      <c r="I167" s="103">
        <f t="shared" ca="1" si="125"/>
        <v>0</v>
      </c>
      <c r="J167" s="103">
        <f t="shared" ca="1" si="126"/>
        <v>0</v>
      </c>
      <c r="K167" s="103">
        <f t="shared" ca="1" si="127"/>
        <v>0</v>
      </c>
      <c r="L167" s="103">
        <f t="shared" ca="1" si="128"/>
        <v>0</v>
      </c>
      <c r="M167" s="103">
        <f t="shared" ca="1" si="129"/>
        <v>0</v>
      </c>
      <c r="N167" s="103">
        <f t="shared" ca="1" si="130"/>
        <v>0</v>
      </c>
      <c r="O167" s="103">
        <f t="shared" ca="1" si="131"/>
        <v>0</v>
      </c>
      <c r="P167" s="103">
        <f t="shared" ca="1" si="132"/>
        <v>0</v>
      </c>
      <c r="Q167" s="103">
        <f t="shared" ca="1" si="133"/>
        <v>0</v>
      </c>
      <c r="R167" s="103">
        <f t="shared" ca="1" si="134"/>
        <v>0</v>
      </c>
      <c r="S167" s="103">
        <f t="shared" ca="1" si="135"/>
        <v>0</v>
      </c>
      <c r="T167" s="103">
        <f t="shared" ca="1" si="136"/>
        <v>0</v>
      </c>
      <c r="U167" s="103">
        <f t="shared" ca="1" si="137"/>
        <v>0</v>
      </c>
      <c r="V167" s="103">
        <f t="shared" ca="1" si="138"/>
        <v>0</v>
      </c>
      <c r="W167" s="103">
        <f t="shared" ca="1" si="139"/>
        <v>0</v>
      </c>
      <c r="X167" s="103">
        <f t="shared" ca="1" si="140"/>
        <v>0</v>
      </c>
      <c r="Y167" s="103">
        <f t="shared" ca="1" si="141"/>
        <v>0</v>
      </c>
      <c r="Z167" s="103">
        <f t="shared" ca="1" si="142"/>
        <v>0</v>
      </c>
      <c r="AA167" s="103">
        <f t="shared" ca="1" si="143"/>
        <v>0</v>
      </c>
      <c r="AB167" s="103">
        <f t="shared" ca="1" si="144"/>
        <v>0</v>
      </c>
      <c r="AC167" s="103">
        <f t="shared" ca="1" si="145"/>
        <v>0</v>
      </c>
      <c r="AD167" s="103">
        <f t="shared" ca="1" si="146"/>
        <v>0</v>
      </c>
      <c r="AE167" s="103">
        <f t="shared" ca="1" si="147"/>
        <v>0</v>
      </c>
      <c r="AF167" s="103">
        <f t="shared" ca="1" si="148"/>
        <v>0</v>
      </c>
      <c r="AG167" s="103">
        <f t="shared" ca="1" si="149"/>
        <v>0</v>
      </c>
      <c r="AH167" s="103">
        <f t="shared" ca="1" si="150"/>
        <v>0</v>
      </c>
      <c r="AI167" s="103">
        <f t="shared" ca="1" si="151"/>
        <v>0</v>
      </c>
      <c r="AJ167" s="98">
        <f t="shared" ca="1" si="184"/>
        <v>0</v>
      </c>
      <c r="AK167" s="103">
        <f t="shared" ca="1" si="184"/>
        <v>0</v>
      </c>
      <c r="AL167" s="103">
        <f t="shared" ca="1" si="184"/>
        <v>0</v>
      </c>
      <c r="AM167" s="103">
        <f t="shared" ca="1" si="184"/>
        <v>0</v>
      </c>
      <c r="AN167" s="103">
        <f t="shared" ca="1" si="184"/>
        <v>0</v>
      </c>
      <c r="AO167" s="103">
        <f t="shared" ca="1" si="184"/>
        <v>0</v>
      </c>
      <c r="AP167" s="103">
        <f t="shared" ca="1" si="184"/>
        <v>0</v>
      </c>
      <c r="AQ167" s="103">
        <f t="shared" ca="1" si="184"/>
        <v>0</v>
      </c>
      <c r="AR167" s="104">
        <f ca="1">COUNTIF(AJ167:AQ167,"&lt;"&amp;MAX(AJ167:AQ167))+IF(Calcs[[#This Row],[DL1]]=0,0,1)</f>
        <v>0</v>
      </c>
      <c r="AS167" s="105" t="str">
        <f ca="1">IF(LEN(Calcs[[#This Row],[Line]])&gt;0,IF(RIGHT(Calcs[[#This Row],[Remark]],3)=".  ",LEFT(Calcs[[#This Row],[Remark]],LEN(Calcs[[#This Row],[Remark]])-3),Calcs[[#This Row],[Remark]]),"")</f>
        <v/>
      </c>
      <c r="AT167" s="96">
        <f t="shared" ca="1" si="152"/>
        <v>0</v>
      </c>
      <c r="AU167" s="103">
        <f t="shared" ca="1" si="153"/>
        <v>0</v>
      </c>
      <c r="AV167" s="103">
        <f t="shared" ca="1" si="154"/>
        <v>0</v>
      </c>
      <c r="AW167" s="103">
        <f t="shared" ca="1" si="155"/>
        <v>0</v>
      </c>
      <c r="AX167" s="103">
        <f t="shared" ca="1" si="156"/>
        <v>0</v>
      </c>
      <c r="AY167" s="103">
        <f t="shared" ca="1" si="157"/>
        <v>0</v>
      </c>
      <c r="AZ167" s="103">
        <f t="shared" ca="1" si="158"/>
        <v>0</v>
      </c>
      <c r="BA167" s="103">
        <f t="shared" ca="1" si="159"/>
        <v>0</v>
      </c>
      <c r="BB167" s="103">
        <f t="shared" ca="1" si="160"/>
        <v>0</v>
      </c>
      <c r="BC167" s="103">
        <f t="shared" ca="1" si="161"/>
        <v>0</v>
      </c>
      <c r="BD167" s="103">
        <f t="shared" ca="1" si="162"/>
        <v>0</v>
      </c>
      <c r="BE167" s="103">
        <f t="shared" ca="1" si="163"/>
        <v>0</v>
      </c>
      <c r="BF167" s="103">
        <f t="shared" ca="1" si="164"/>
        <v>0</v>
      </c>
      <c r="BG167" s="103">
        <f t="shared" ca="1" si="165"/>
        <v>0</v>
      </c>
      <c r="BH167" s="103">
        <f t="shared" ca="1" si="166"/>
        <v>0</v>
      </c>
      <c r="BI167" s="103">
        <f t="shared" ca="1" si="167"/>
        <v>0</v>
      </c>
      <c r="BJ167" s="103">
        <f t="shared" ca="1" si="168"/>
        <v>0</v>
      </c>
      <c r="BK167" s="103">
        <f t="shared" ca="1" si="169"/>
        <v>0</v>
      </c>
      <c r="BL167" s="103">
        <f t="shared" ca="1" si="170"/>
        <v>0</v>
      </c>
      <c r="BM167" s="103">
        <f t="shared" ca="1" si="171"/>
        <v>0</v>
      </c>
      <c r="BN167" s="103">
        <f t="shared" ca="1" si="172"/>
        <v>0</v>
      </c>
      <c r="BO167" s="103">
        <f t="shared" ca="1" si="173"/>
        <v>0</v>
      </c>
      <c r="BP167" s="103">
        <f t="shared" ca="1" si="174"/>
        <v>0</v>
      </c>
      <c r="BQ167" s="103">
        <f t="shared" ca="1" si="175"/>
        <v>0</v>
      </c>
      <c r="BR167" s="103">
        <f t="shared" ca="1" si="176"/>
        <v>0</v>
      </c>
      <c r="BS167" s="103">
        <f t="shared" ca="1" si="177"/>
        <v>0</v>
      </c>
      <c r="BT167" s="103">
        <f t="shared" ca="1" si="178"/>
        <v>0</v>
      </c>
      <c r="BU167" s="103">
        <f t="shared" ca="1" si="179"/>
        <v>0</v>
      </c>
      <c r="BV167" s="103">
        <f t="shared" ca="1" si="180"/>
        <v>0</v>
      </c>
      <c r="BW167" s="103">
        <f t="shared" ca="1" si="181"/>
        <v>0</v>
      </c>
      <c r="BX167" s="103">
        <f t="shared" ca="1" si="182"/>
        <v>0</v>
      </c>
      <c r="BY167" s="103">
        <f t="shared" ca="1" si="183"/>
        <v>0</v>
      </c>
      <c r="BZ167" s="98">
        <f t="shared" ca="1" si="185"/>
        <v>0</v>
      </c>
      <c r="CA167" s="103">
        <f t="shared" ca="1" si="185"/>
        <v>0</v>
      </c>
      <c r="CB167" s="103">
        <f t="shared" ca="1" si="185"/>
        <v>0</v>
      </c>
      <c r="CC167" s="103">
        <f t="shared" ca="1" si="185"/>
        <v>0</v>
      </c>
      <c r="CD167" s="103">
        <f t="shared" ca="1" si="185"/>
        <v>0</v>
      </c>
      <c r="CE167" s="103">
        <f t="shared" ca="1" si="185"/>
        <v>0</v>
      </c>
      <c r="CF167" s="103">
        <f t="shared" ca="1" si="185"/>
        <v>0</v>
      </c>
      <c r="CG167" s="103">
        <f t="shared" ca="1" si="185"/>
        <v>0</v>
      </c>
      <c r="CH167" s="106">
        <f ca="1">COUNTIF(BZ167:CG167,"&lt;"&amp;MAX(BZ167:CG167))+IF(Calcs[[#This Row],[RL1]]=0,0,1)</f>
        <v>0</v>
      </c>
      <c r="CI16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7" s="103">
        <f ca="1">IFERROR(OFFSET(CJ167,-1,0)+0,0)+IF(INDEX(INDIRECT(RangeContrQty),MATCH(Calcs[[#This Row],[Line]],OFFSET(Items[Line],0,0,ROW(Proposed[])-ROW(Items[])+ROWS(Proposed[]),1),0)),1,0)</f>
        <v>0</v>
      </c>
    </row>
    <row r="168" spans="1:88" x14ac:dyDescent="0.15">
      <c r="A168" s="64">
        <f ca="1">IFERROR(OFFSET(A168,-1,0)+0,0)+MAX(IF(LEN(Calcs[[#This Row],[Line]])&gt;0,1,0),Calcs[[#This Row],[DL]],Calcs[[#This Row],[RL]])</f>
        <v>10</v>
      </c>
      <c r="B168" s="90" t="str">
        <f ca="1">IFERROR(INDEX(OFFSET(Items[Line],0,0,ROW(Proposed[])-ROW(Items[])+ROWS(Proposed[]),1),MATCH(ROW(B168)-ROW(B$3),INDIRECT(RangeCount),0)),"")</f>
        <v/>
      </c>
      <c r="C168" s="90" t="str">
        <f ca="1">IF(LEN(Calcs[[#This Row],[Line]])&gt;0,TRIM(IFERROR(INDEX(Items[Description],MATCH(Calcs[[#This Row],[Line]],Items[Line],0))&amp;INDEX(Items[Description2],MATCH(Calcs[[#This Row],[Line]],Items[Line],0)),INDEX(Proposed[Description],MATCH(Calcs[[#This Row],[Line]],Proposed[Line],0)))),"")</f>
        <v/>
      </c>
      <c r="D168" s="96">
        <f t="shared" ca="1" si="120"/>
        <v>0</v>
      </c>
      <c r="E168" s="103">
        <f t="shared" ca="1" si="121"/>
        <v>0</v>
      </c>
      <c r="F168" s="103">
        <f t="shared" ca="1" si="122"/>
        <v>0</v>
      </c>
      <c r="G168" s="103">
        <f t="shared" ca="1" si="123"/>
        <v>0</v>
      </c>
      <c r="H168" s="103">
        <f t="shared" ca="1" si="124"/>
        <v>0</v>
      </c>
      <c r="I168" s="103">
        <f t="shared" ca="1" si="125"/>
        <v>0</v>
      </c>
      <c r="J168" s="103">
        <f t="shared" ca="1" si="126"/>
        <v>0</v>
      </c>
      <c r="K168" s="103">
        <f t="shared" ca="1" si="127"/>
        <v>0</v>
      </c>
      <c r="L168" s="103">
        <f t="shared" ca="1" si="128"/>
        <v>0</v>
      </c>
      <c r="M168" s="103">
        <f t="shared" ca="1" si="129"/>
        <v>0</v>
      </c>
      <c r="N168" s="103">
        <f t="shared" ca="1" si="130"/>
        <v>0</v>
      </c>
      <c r="O168" s="103">
        <f t="shared" ca="1" si="131"/>
        <v>0</v>
      </c>
      <c r="P168" s="103">
        <f t="shared" ca="1" si="132"/>
        <v>0</v>
      </c>
      <c r="Q168" s="103">
        <f t="shared" ca="1" si="133"/>
        <v>0</v>
      </c>
      <c r="R168" s="103">
        <f t="shared" ca="1" si="134"/>
        <v>0</v>
      </c>
      <c r="S168" s="103">
        <f t="shared" ca="1" si="135"/>
        <v>0</v>
      </c>
      <c r="T168" s="103">
        <f t="shared" ca="1" si="136"/>
        <v>0</v>
      </c>
      <c r="U168" s="103">
        <f t="shared" ca="1" si="137"/>
        <v>0</v>
      </c>
      <c r="V168" s="103">
        <f t="shared" ca="1" si="138"/>
        <v>0</v>
      </c>
      <c r="W168" s="103">
        <f t="shared" ca="1" si="139"/>
        <v>0</v>
      </c>
      <c r="X168" s="103">
        <f t="shared" ca="1" si="140"/>
        <v>0</v>
      </c>
      <c r="Y168" s="103">
        <f t="shared" ca="1" si="141"/>
        <v>0</v>
      </c>
      <c r="Z168" s="103">
        <f t="shared" ca="1" si="142"/>
        <v>0</v>
      </c>
      <c r="AA168" s="103">
        <f t="shared" ca="1" si="143"/>
        <v>0</v>
      </c>
      <c r="AB168" s="103">
        <f t="shared" ca="1" si="144"/>
        <v>0</v>
      </c>
      <c r="AC168" s="103">
        <f t="shared" ca="1" si="145"/>
        <v>0</v>
      </c>
      <c r="AD168" s="103">
        <f t="shared" ca="1" si="146"/>
        <v>0</v>
      </c>
      <c r="AE168" s="103">
        <f t="shared" ca="1" si="147"/>
        <v>0</v>
      </c>
      <c r="AF168" s="103">
        <f t="shared" ca="1" si="148"/>
        <v>0</v>
      </c>
      <c r="AG168" s="103">
        <f t="shared" ca="1" si="149"/>
        <v>0</v>
      </c>
      <c r="AH168" s="103">
        <f t="shared" ca="1" si="150"/>
        <v>0</v>
      </c>
      <c r="AI168" s="103">
        <f t="shared" ca="1" si="151"/>
        <v>0</v>
      </c>
      <c r="AJ168" s="98">
        <f t="shared" ca="1" si="184"/>
        <v>0</v>
      </c>
      <c r="AK168" s="103">
        <f t="shared" ca="1" si="184"/>
        <v>0</v>
      </c>
      <c r="AL168" s="103">
        <f t="shared" ca="1" si="184"/>
        <v>0</v>
      </c>
      <c r="AM168" s="103">
        <f t="shared" ca="1" si="184"/>
        <v>0</v>
      </c>
      <c r="AN168" s="103">
        <f t="shared" ca="1" si="184"/>
        <v>0</v>
      </c>
      <c r="AO168" s="103">
        <f t="shared" ca="1" si="184"/>
        <v>0</v>
      </c>
      <c r="AP168" s="103">
        <f t="shared" ca="1" si="184"/>
        <v>0</v>
      </c>
      <c r="AQ168" s="103">
        <f t="shared" ca="1" si="184"/>
        <v>0</v>
      </c>
      <c r="AR168" s="104">
        <f ca="1">COUNTIF(AJ168:AQ168,"&lt;"&amp;MAX(AJ168:AQ168))+IF(Calcs[[#This Row],[DL1]]=0,0,1)</f>
        <v>0</v>
      </c>
      <c r="AS168" s="105" t="str">
        <f ca="1">IF(LEN(Calcs[[#This Row],[Line]])&gt;0,IF(RIGHT(Calcs[[#This Row],[Remark]],3)=".  ",LEFT(Calcs[[#This Row],[Remark]],LEN(Calcs[[#This Row],[Remark]])-3),Calcs[[#This Row],[Remark]]),"")</f>
        <v/>
      </c>
      <c r="AT168" s="96">
        <f t="shared" ca="1" si="152"/>
        <v>0</v>
      </c>
      <c r="AU168" s="103">
        <f t="shared" ca="1" si="153"/>
        <v>0</v>
      </c>
      <c r="AV168" s="103">
        <f t="shared" ca="1" si="154"/>
        <v>0</v>
      </c>
      <c r="AW168" s="103">
        <f t="shared" ca="1" si="155"/>
        <v>0</v>
      </c>
      <c r="AX168" s="103">
        <f t="shared" ca="1" si="156"/>
        <v>0</v>
      </c>
      <c r="AY168" s="103">
        <f t="shared" ca="1" si="157"/>
        <v>0</v>
      </c>
      <c r="AZ168" s="103">
        <f t="shared" ca="1" si="158"/>
        <v>0</v>
      </c>
      <c r="BA168" s="103">
        <f t="shared" ca="1" si="159"/>
        <v>0</v>
      </c>
      <c r="BB168" s="103">
        <f t="shared" ca="1" si="160"/>
        <v>0</v>
      </c>
      <c r="BC168" s="103">
        <f t="shared" ca="1" si="161"/>
        <v>0</v>
      </c>
      <c r="BD168" s="103">
        <f t="shared" ca="1" si="162"/>
        <v>0</v>
      </c>
      <c r="BE168" s="103">
        <f t="shared" ca="1" si="163"/>
        <v>0</v>
      </c>
      <c r="BF168" s="103">
        <f t="shared" ca="1" si="164"/>
        <v>0</v>
      </c>
      <c r="BG168" s="103">
        <f t="shared" ca="1" si="165"/>
        <v>0</v>
      </c>
      <c r="BH168" s="103">
        <f t="shared" ca="1" si="166"/>
        <v>0</v>
      </c>
      <c r="BI168" s="103">
        <f t="shared" ca="1" si="167"/>
        <v>0</v>
      </c>
      <c r="BJ168" s="103">
        <f t="shared" ca="1" si="168"/>
        <v>0</v>
      </c>
      <c r="BK168" s="103">
        <f t="shared" ca="1" si="169"/>
        <v>0</v>
      </c>
      <c r="BL168" s="103">
        <f t="shared" ca="1" si="170"/>
        <v>0</v>
      </c>
      <c r="BM168" s="103">
        <f t="shared" ca="1" si="171"/>
        <v>0</v>
      </c>
      <c r="BN168" s="103">
        <f t="shared" ca="1" si="172"/>
        <v>0</v>
      </c>
      <c r="BO168" s="103">
        <f t="shared" ca="1" si="173"/>
        <v>0</v>
      </c>
      <c r="BP168" s="103">
        <f t="shared" ca="1" si="174"/>
        <v>0</v>
      </c>
      <c r="BQ168" s="103">
        <f t="shared" ca="1" si="175"/>
        <v>0</v>
      </c>
      <c r="BR168" s="103">
        <f t="shared" ca="1" si="176"/>
        <v>0</v>
      </c>
      <c r="BS168" s="103">
        <f t="shared" ca="1" si="177"/>
        <v>0</v>
      </c>
      <c r="BT168" s="103">
        <f t="shared" ca="1" si="178"/>
        <v>0</v>
      </c>
      <c r="BU168" s="103">
        <f t="shared" ca="1" si="179"/>
        <v>0</v>
      </c>
      <c r="BV168" s="103">
        <f t="shared" ca="1" si="180"/>
        <v>0</v>
      </c>
      <c r="BW168" s="103">
        <f t="shared" ca="1" si="181"/>
        <v>0</v>
      </c>
      <c r="BX168" s="103">
        <f t="shared" ca="1" si="182"/>
        <v>0</v>
      </c>
      <c r="BY168" s="103">
        <f t="shared" ca="1" si="183"/>
        <v>0</v>
      </c>
      <c r="BZ168" s="98">
        <f t="shared" ca="1" si="185"/>
        <v>0</v>
      </c>
      <c r="CA168" s="103">
        <f t="shared" ca="1" si="185"/>
        <v>0</v>
      </c>
      <c r="CB168" s="103">
        <f t="shared" ca="1" si="185"/>
        <v>0</v>
      </c>
      <c r="CC168" s="103">
        <f t="shared" ca="1" si="185"/>
        <v>0</v>
      </c>
      <c r="CD168" s="103">
        <f t="shared" ca="1" si="185"/>
        <v>0</v>
      </c>
      <c r="CE168" s="103">
        <f t="shared" ca="1" si="185"/>
        <v>0</v>
      </c>
      <c r="CF168" s="103">
        <f t="shared" ca="1" si="185"/>
        <v>0</v>
      </c>
      <c r="CG168" s="103">
        <f t="shared" ca="1" si="185"/>
        <v>0</v>
      </c>
      <c r="CH168" s="106">
        <f ca="1">COUNTIF(BZ168:CG168,"&lt;"&amp;MAX(BZ168:CG168))+IF(Calcs[[#This Row],[RL1]]=0,0,1)</f>
        <v>0</v>
      </c>
      <c r="CI16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8" s="103">
        <f ca="1">IFERROR(OFFSET(CJ168,-1,0)+0,0)+IF(INDEX(INDIRECT(RangeContrQty),MATCH(Calcs[[#This Row],[Line]],OFFSET(Items[Line],0,0,ROW(Proposed[])-ROW(Items[])+ROWS(Proposed[]),1),0)),1,0)</f>
        <v>0</v>
      </c>
    </row>
    <row r="169" spans="1:88" x14ac:dyDescent="0.15">
      <c r="A169" s="64">
        <f ca="1">IFERROR(OFFSET(A169,-1,0)+0,0)+MAX(IF(LEN(Calcs[[#This Row],[Line]])&gt;0,1,0),Calcs[[#This Row],[DL]],Calcs[[#This Row],[RL]])</f>
        <v>10</v>
      </c>
      <c r="B169" s="90" t="str">
        <f ca="1">IFERROR(INDEX(OFFSET(Items[Line],0,0,ROW(Proposed[])-ROW(Items[])+ROWS(Proposed[]),1),MATCH(ROW(B169)-ROW(B$3),INDIRECT(RangeCount),0)),"")</f>
        <v/>
      </c>
      <c r="C169" s="90" t="str">
        <f ca="1">IF(LEN(Calcs[[#This Row],[Line]])&gt;0,TRIM(IFERROR(INDEX(Items[Description],MATCH(Calcs[[#This Row],[Line]],Items[Line],0))&amp;INDEX(Items[Description2],MATCH(Calcs[[#This Row],[Line]],Items[Line],0)),INDEX(Proposed[Description],MATCH(Calcs[[#This Row],[Line]],Proposed[Line],0)))),"")</f>
        <v/>
      </c>
      <c r="D169" s="96">
        <f t="shared" ca="1" si="120"/>
        <v>0</v>
      </c>
      <c r="E169" s="103">
        <f t="shared" ca="1" si="121"/>
        <v>0</v>
      </c>
      <c r="F169" s="103">
        <f t="shared" ca="1" si="122"/>
        <v>0</v>
      </c>
      <c r="G169" s="103">
        <f t="shared" ca="1" si="123"/>
        <v>0</v>
      </c>
      <c r="H169" s="103">
        <f t="shared" ca="1" si="124"/>
        <v>0</v>
      </c>
      <c r="I169" s="103">
        <f t="shared" ca="1" si="125"/>
        <v>0</v>
      </c>
      <c r="J169" s="103">
        <f t="shared" ca="1" si="126"/>
        <v>0</v>
      </c>
      <c r="K169" s="103">
        <f t="shared" ca="1" si="127"/>
        <v>0</v>
      </c>
      <c r="L169" s="103">
        <f t="shared" ca="1" si="128"/>
        <v>0</v>
      </c>
      <c r="M169" s="103">
        <f t="shared" ca="1" si="129"/>
        <v>0</v>
      </c>
      <c r="N169" s="103">
        <f t="shared" ca="1" si="130"/>
        <v>0</v>
      </c>
      <c r="O169" s="103">
        <f t="shared" ca="1" si="131"/>
        <v>0</v>
      </c>
      <c r="P169" s="103">
        <f t="shared" ca="1" si="132"/>
        <v>0</v>
      </c>
      <c r="Q169" s="103">
        <f t="shared" ca="1" si="133"/>
        <v>0</v>
      </c>
      <c r="R169" s="103">
        <f t="shared" ca="1" si="134"/>
        <v>0</v>
      </c>
      <c r="S169" s="103">
        <f t="shared" ca="1" si="135"/>
        <v>0</v>
      </c>
      <c r="T169" s="103">
        <f t="shared" ca="1" si="136"/>
        <v>0</v>
      </c>
      <c r="U169" s="103">
        <f t="shared" ca="1" si="137"/>
        <v>0</v>
      </c>
      <c r="V169" s="103">
        <f t="shared" ca="1" si="138"/>
        <v>0</v>
      </c>
      <c r="W169" s="103">
        <f t="shared" ca="1" si="139"/>
        <v>0</v>
      </c>
      <c r="X169" s="103">
        <f t="shared" ca="1" si="140"/>
        <v>0</v>
      </c>
      <c r="Y169" s="103">
        <f t="shared" ca="1" si="141"/>
        <v>0</v>
      </c>
      <c r="Z169" s="103">
        <f t="shared" ca="1" si="142"/>
        <v>0</v>
      </c>
      <c r="AA169" s="103">
        <f t="shared" ca="1" si="143"/>
        <v>0</v>
      </c>
      <c r="AB169" s="103">
        <f t="shared" ca="1" si="144"/>
        <v>0</v>
      </c>
      <c r="AC169" s="103">
        <f t="shared" ca="1" si="145"/>
        <v>0</v>
      </c>
      <c r="AD169" s="103">
        <f t="shared" ca="1" si="146"/>
        <v>0</v>
      </c>
      <c r="AE169" s="103">
        <f t="shared" ca="1" si="147"/>
        <v>0</v>
      </c>
      <c r="AF169" s="103">
        <f t="shared" ca="1" si="148"/>
        <v>0</v>
      </c>
      <c r="AG169" s="103">
        <f t="shared" ca="1" si="149"/>
        <v>0</v>
      </c>
      <c r="AH169" s="103">
        <f t="shared" ca="1" si="150"/>
        <v>0</v>
      </c>
      <c r="AI169" s="103">
        <f t="shared" ca="1" si="151"/>
        <v>0</v>
      </c>
      <c r="AJ169" s="98">
        <f t="shared" ca="1" si="184"/>
        <v>0</v>
      </c>
      <c r="AK169" s="103">
        <f t="shared" ca="1" si="184"/>
        <v>0</v>
      </c>
      <c r="AL169" s="103">
        <f t="shared" ca="1" si="184"/>
        <v>0</v>
      </c>
      <c r="AM169" s="103">
        <f t="shared" ca="1" si="184"/>
        <v>0</v>
      </c>
      <c r="AN169" s="103">
        <f t="shared" ca="1" si="184"/>
        <v>0</v>
      </c>
      <c r="AO169" s="103">
        <f t="shared" ca="1" si="184"/>
        <v>0</v>
      </c>
      <c r="AP169" s="103">
        <f t="shared" ca="1" si="184"/>
        <v>0</v>
      </c>
      <c r="AQ169" s="103">
        <f t="shared" ca="1" si="184"/>
        <v>0</v>
      </c>
      <c r="AR169" s="104">
        <f ca="1">COUNTIF(AJ169:AQ169,"&lt;"&amp;MAX(AJ169:AQ169))+IF(Calcs[[#This Row],[DL1]]=0,0,1)</f>
        <v>0</v>
      </c>
      <c r="AS169" s="105" t="str">
        <f ca="1">IF(LEN(Calcs[[#This Row],[Line]])&gt;0,IF(RIGHT(Calcs[[#This Row],[Remark]],3)=".  ",LEFT(Calcs[[#This Row],[Remark]],LEN(Calcs[[#This Row],[Remark]])-3),Calcs[[#This Row],[Remark]]),"")</f>
        <v/>
      </c>
      <c r="AT169" s="96">
        <f t="shared" ca="1" si="152"/>
        <v>0</v>
      </c>
      <c r="AU169" s="103">
        <f t="shared" ca="1" si="153"/>
        <v>0</v>
      </c>
      <c r="AV169" s="103">
        <f t="shared" ca="1" si="154"/>
        <v>0</v>
      </c>
      <c r="AW169" s="103">
        <f t="shared" ca="1" si="155"/>
        <v>0</v>
      </c>
      <c r="AX169" s="103">
        <f t="shared" ca="1" si="156"/>
        <v>0</v>
      </c>
      <c r="AY169" s="103">
        <f t="shared" ca="1" si="157"/>
        <v>0</v>
      </c>
      <c r="AZ169" s="103">
        <f t="shared" ca="1" si="158"/>
        <v>0</v>
      </c>
      <c r="BA169" s="103">
        <f t="shared" ca="1" si="159"/>
        <v>0</v>
      </c>
      <c r="BB169" s="103">
        <f t="shared" ca="1" si="160"/>
        <v>0</v>
      </c>
      <c r="BC169" s="103">
        <f t="shared" ca="1" si="161"/>
        <v>0</v>
      </c>
      <c r="BD169" s="103">
        <f t="shared" ca="1" si="162"/>
        <v>0</v>
      </c>
      <c r="BE169" s="103">
        <f t="shared" ca="1" si="163"/>
        <v>0</v>
      </c>
      <c r="BF169" s="103">
        <f t="shared" ca="1" si="164"/>
        <v>0</v>
      </c>
      <c r="BG169" s="103">
        <f t="shared" ca="1" si="165"/>
        <v>0</v>
      </c>
      <c r="BH169" s="103">
        <f t="shared" ca="1" si="166"/>
        <v>0</v>
      </c>
      <c r="BI169" s="103">
        <f t="shared" ca="1" si="167"/>
        <v>0</v>
      </c>
      <c r="BJ169" s="103">
        <f t="shared" ca="1" si="168"/>
        <v>0</v>
      </c>
      <c r="BK169" s="103">
        <f t="shared" ca="1" si="169"/>
        <v>0</v>
      </c>
      <c r="BL169" s="103">
        <f t="shared" ca="1" si="170"/>
        <v>0</v>
      </c>
      <c r="BM169" s="103">
        <f t="shared" ca="1" si="171"/>
        <v>0</v>
      </c>
      <c r="BN169" s="103">
        <f t="shared" ca="1" si="172"/>
        <v>0</v>
      </c>
      <c r="BO169" s="103">
        <f t="shared" ca="1" si="173"/>
        <v>0</v>
      </c>
      <c r="BP169" s="103">
        <f t="shared" ca="1" si="174"/>
        <v>0</v>
      </c>
      <c r="BQ169" s="103">
        <f t="shared" ca="1" si="175"/>
        <v>0</v>
      </c>
      <c r="BR169" s="103">
        <f t="shared" ca="1" si="176"/>
        <v>0</v>
      </c>
      <c r="BS169" s="103">
        <f t="shared" ca="1" si="177"/>
        <v>0</v>
      </c>
      <c r="BT169" s="103">
        <f t="shared" ca="1" si="178"/>
        <v>0</v>
      </c>
      <c r="BU169" s="103">
        <f t="shared" ca="1" si="179"/>
        <v>0</v>
      </c>
      <c r="BV169" s="103">
        <f t="shared" ca="1" si="180"/>
        <v>0</v>
      </c>
      <c r="BW169" s="103">
        <f t="shared" ca="1" si="181"/>
        <v>0</v>
      </c>
      <c r="BX169" s="103">
        <f t="shared" ca="1" si="182"/>
        <v>0</v>
      </c>
      <c r="BY169" s="103">
        <f t="shared" ca="1" si="183"/>
        <v>0</v>
      </c>
      <c r="BZ169" s="98">
        <f t="shared" ca="1" si="185"/>
        <v>0</v>
      </c>
      <c r="CA169" s="103">
        <f t="shared" ca="1" si="185"/>
        <v>0</v>
      </c>
      <c r="CB169" s="103">
        <f t="shared" ca="1" si="185"/>
        <v>0</v>
      </c>
      <c r="CC169" s="103">
        <f t="shared" ca="1" si="185"/>
        <v>0</v>
      </c>
      <c r="CD169" s="103">
        <f t="shared" ca="1" si="185"/>
        <v>0</v>
      </c>
      <c r="CE169" s="103">
        <f t="shared" ca="1" si="185"/>
        <v>0</v>
      </c>
      <c r="CF169" s="103">
        <f t="shared" ca="1" si="185"/>
        <v>0</v>
      </c>
      <c r="CG169" s="103">
        <f t="shared" ca="1" si="185"/>
        <v>0</v>
      </c>
      <c r="CH169" s="106">
        <f ca="1">COUNTIF(BZ169:CG169,"&lt;"&amp;MAX(BZ169:CG169))+IF(Calcs[[#This Row],[RL1]]=0,0,1)</f>
        <v>0</v>
      </c>
      <c r="CI16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9" s="103">
        <f ca="1">IFERROR(OFFSET(CJ169,-1,0)+0,0)+IF(INDEX(INDIRECT(RangeContrQty),MATCH(Calcs[[#This Row],[Line]],OFFSET(Items[Line],0,0,ROW(Proposed[])-ROW(Items[])+ROWS(Proposed[]),1),0)),1,0)</f>
        <v>0</v>
      </c>
    </row>
    <row r="170" spans="1:88" x14ac:dyDescent="0.15">
      <c r="A170" s="64">
        <f ca="1">IFERROR(OFFSET(A170,-1,0)+0,0)+MAX(IF(LEN(Calcs[[#This Row],[Line]])&gt;0,1,0),Calcs[[#This Row],[DL]],Calcs[[#This Row],[RL]])</f>
        <v>10</v>
      </c>
      <c r="B170" s="90" t="str">
        <f ca="1">IFERROR(INDEX(OFFSET(Items[Line],0,0,ROW(Proposed[])-ROW(Items[])+ROWS(Proposed[]),1),MATCH(ROW(B170)-ROW(B$3),INDIRECT(RangeCount),0)),"")</f>
        <v/>
      </c>
      <c r="C170" s="90" t="str">
        <f ca="1">IF(LEN(Calcs[[#This Row],[Line]])&gt;0,TRIM(IFERROR(INDEX(Items[Description],MATCH(Calcs[[#This Row],[Line]],Items[Line],0))&amp;INDEX(Items[Description2],MATCH(Calcs[[#This Row],[Line]],Items[Line],0)),INDEX(Proposed[Description],MATCH(Calcs[[#This Row],[Line]],Proposed[Line],0)))),"")</f>
        <v/>
      </c>
      <c r="D170" s="96">
        <f t="shared" ca="1" si="120"/>
        <v>0</v>
      </c>
      <c r="E170" s="103">
        <f t="shared" ca="1" si="121"/>
        <v>0</v>
      </c>
      <c r="F170" s="103">
        <f t="shared" ca="1" si="122"/>
        <v>0</v>
      </c>
      <c r="G170" s="103">
        <f t="shared" ca="1" si="123"/>
        <v>0</v>
      </c>
      <c r="H170" s="103">
        <f t="shared" ca="1" si="124"/>
        <v>0</v>
      </c>
      <c r="I170" s="103">
        <f t="shared" ca="1" si="125"/>
        <v>0</v>
      </c>
      <c r="J170" s="103">
        <f t="shared" ca="1" si="126"/>
        <v>0</v>
      </c>
      <c r="K170" s="103">
        <f t="shared" ca="1" si="127"/>
        <v>0</v>
      </c>
      <c r="L170" s="103">
        <f t="shared" ca="1" si="128"/>
        <v>0</v>
      </c>
      <c r="M170" s="103">
        <f t="shared" ca="1" si="129"/>
        <v>0</v>
      </c>
      <c r="N170" s="103">
        <f t="shared" ca="1" si="130"/>
        <v>0</v>
      </c>
      <c r="O170" s="103">
        <f t="shared" ca="1" si="131"/>
        <v>0</v>
      </c>
      <c r="P170" s="103">
        <f t="shared" ca="1" si="132"/>
        <v>0</v>
      </c>
      <c r="Q170" s="103">
        <f t="shared" ca="1" si="133"/>
        <v>0</v>
      </c>
      <c r="R170" s="103">
        <f t="shared" ca="1" si="134"/>
        <v>0</v>
      </c>
      <c r="S170" s="103">
        <f t="shared" ca="1" si="135"/>
        <v>0</v>
      </c>
      <c r="T170" s="103">
        <f t="shared" ca="1" si="136"/>
        <v>0</v>
      </c>
      <c r="U170" s="103">
        <f t="shared" ca="1" si="137"/>
        <v>0</v>
      </c>
      <c r="V170" s="103">
        <f t="shared" ca="1" si="138"/>
        <v>0</v>
      </c>
      <c r="W170" s="103">
        <f t="shared" ca="1" si="139"/>
        <v>0</v>
      </c>
      <c r="X170" s="103">
        <f t="shared" ca="1" si="140"/>
        <v>0</v>
      </c>
      <c r="Y170" s="103">
        <f t="shared" ca="1" si="141"/>
        <v>0</v>
      </c>
      <c r="Z170" s="103">
        <f t="shared" ca="1" si="142"/>
        <v>0</v>
      </c>
      <c r="AA170" s="103">
        <f t="shared" ca="1" si="143"/>
        <v>0</v>
      </c>
      <c r="AB170" s="103">
        <f t="shared" ca="1" si="144"/>
        <v>0</v>
      </c>
      <c r="AC170" s="103">
        <f t="shared" ca="1" si="145"/>
        <v>0</v>
      </c>
      <c r="AD170" s="103">
        <f t="shared" ca="1" si="146"/>
        <v>0</v>
      </c>
      <c r="AE170" s="103">
        <f t="shared" ca="1" si="147"/>
        <v>0</v>
      </c>
      <c r="AF170" s="103">
        <f t="shared" ca="1" si="148"/>
        <v>0</v>
      </c>
      <c r="AG170" s="103">
        <f t="shared" ca="1" si="149"/>
        <v>0</v>
      </c>
      <c r="AH170" s="103">
        <f t="shared" ca="1" si="150"/>
        <v>0</v>
      </c>
      <c r="AI170" s="103">
        <f t="shared" ca="1" si="151"/>
        <v>0</v>
      </c>
      <c r="AJ170" s="98">
        <f t="shared" ca="1" si="184"/>
        <v>0</v>
      </c>
      <c r="AK170" s="103">
        <f t="shared" ca="1" si="184"/>
        <v>0</v>
      </c>
      <c r="AL170" s="103">
        <f t="shared" ca="1" si="184"/>
        <v>0</v>
      </c>
      <c r="AM170" s="103">
        <f t="shared" ca="1" si="184"/>
        <v>0</v>
      </c>
      <c r="AN170" s="103">
        <f t="shared" ca="1" si="184"/>
        <v>0</v>
      </c>
      <c r="AO170" s="103">
        <f t="shared" ca="1" si="184"/>
        <v>0</v>
      </c>
      <c r="AP170" s="103">
        <f t="shared" ca="1" si="184"/>
        <v>0</v>
      </c>
      <c r="AQ170" s="103">
        <f t="shared" ca="1" si="184"/>
        <v>0</v>
      </c>
      <c r="AR170" s="104">
        <f ca="1">COUNTIF(AJ170:AQ170,"&lt;"&amp;MAX(AJ170:AQ170))+IF(Calcs[[#This Row],[DL1]]=0,0,1)</f>
        <v>0</v>
      </c>
      <c r="AS170" s="105" t="str">
        <f ca="1">IF(LEN(Calcs[[#This Row],[Line]])&gt;0,IF(RIGHT(Calcs[[#This Row],[Remark]],3)=".  ",LEFT(Calcs[[#This Row],[Remark]],LEN(Calcs[[#This Row],[Remark]])-3),Calcs[[#This Row],[Remark]]),"")</f>
        <v/>
      </c>
      <c r="AT170" s="96">
        <f t="shared" ca="1" si="152"/>
        <v>0</v>
      </c>
      <c r="AU170" s="103">
        <f t="shared" ca="1" si="153"/>
        <v>0</v>
      </c>
      <c r="AV170" s="103">
        <f t="shared" ca="1" si="154"/>
        <v>0</v>
      </c>
      <c r="AW170" s="103">
        <f t="shared" ca="1" si="155"/>
        <v>0</v>
      </c>
      <c r="AX170" s="103">
        <f t="shared" ca="1" si="156"/>
        <v>0</v>
      </c>
      <c r="AY170" s="103">
        <f t="shared" ca="1" si="157"/>
        <v>0</v>
      </c>
      <c r="AZ170" s="103">
        <f t="shared" ca="1" si="158"/>
        <v>0</v>
      </c>
      <c r="BA170" s="103">
        <f t="shared" ca="1" si="159"/>
        <v>0</v>
      </c>
      <c r="BB170" s="103">
        <f t="shared" ca="1" si="160"/>
        <v>0</v>
      </c>
      <c r="BC170" s="103">
        <f t="shared" ca="1" si="161"/>
        <v>0</v>
      </c>
      <c r="BD170" s="103">
        <f t="shared" ca="1" si="162"/>
        <v>0</v>
      </c>
      <c r="BE170" s="103">
        <f t="shared" ca="1" si="163"/>
        <v>0</v>
      </c>
      <c r="BF170" s="103">
        <f t="shared" ca="1" si="164"/>
        <v>0</v>
      </c>
      <c r="BG170" s="103">
        <f t="shared" ca="1" si="165"/>
        <v>0</v>
      </c>
      <c r="BH170" s="103">
        <f t="shared" ca="1" si="166"/>
        <v>0</v>
      </c>
      <c r="BI170" s="103">
        <f t="shared" ca="1" si="167"/>
        <v>0</v>
      </c>
      <c r="BJ170" s="103">
        <f t="shared" ca="1" si="168"/>
        <v>0</v>
      </c>
      <c r="BK170" s="103">
        <f t="shared" ca="1" si="169"/>
        <v>0</v>
      </c>
      <c r="BL170" s="103">
        <f t="shared" ca="1" si="170"/>
        <v>0</v>
      </c>
      <c r="BM170" s="103">
        <f t="shared" ca="1" si="171"/>
        <v>0</v>
      </c>
      <c r="BN170" s="103">
        <f t="shared" ca="1" si="172"/>
        <v>0</v>
      </c>
      <c r="BO170" s="103">
        <f t="shared" ca="1" si="173"/>
        <v>0</v>
      </c>
      <c r="BP170" s="103">
        <f t="shared" ca="1" si="174"/>
        <v>0</v>
      </c>
      <c r="BQ170" s="103">
        <f t="shared" ca="1" si="175"/>
        <v>0</v>
      </c>
      <c r="BR170" s="103">
        <f t="shared" ca="1" si="176"/>
        <v>0</v>
      </c>
      <c r="BS170" s="103">
        <f t="shared" ca="1" si="177"/>
        <v>0</v>
      </c>
      <c r="BT170" s="103">
        <f t="shared" ca="1" si="178"/>
        <v>0</v>
      </c>
      <c r="BU170" s="103">
        <f t="shared" ca="1" si="179"/>
        <v>0</v>
      </c>
      <c r="BV170" s="103">
        <f t="shared" ca="1" si="180"/>
        <v>0</v>
      </c>
      <c r="BW170" s="103">
        <f t="shared" ca="1" si="181"/>
        <v>0</v>
      </c>
      <c r="BX170" s="103">
        <f t="shared" ca="1" si="182"/>
        <v>0</v>
      </c>
      <c r="BY170" s="103">
        <f t="shared" ca="1" si="183"/>
        <v>0</v>
      </c>
      <c r="BZ170" s="98">
        <f t="shared" ca="1" si="185"/>
        <v>0</v>
      </c>
      <c r="CA170" s="103">
        <f t="shared" ca="1" si="185"/>
        <v>0</v>
      </c>
      <c r="CB170" s="103">
        <f t="shared" ca="1" si="185"/>
        <v>0</v>
      </c>
      <c r="CC170" s="103">
        <f t="shared" ca="1" si="185"/>
        <v>0</v>
      </c>
      <c r="CD170" s="103">
        <f t="shared" ca="1" si="185"/>
        <v>0</v>
      </c>
      <c r="CE170" s="103">
        <f t="shared" ca="1" si="185"/>
        <v>0</v>
      </c>
      <c r="CF170" s="103">
        <f t="shared" ca="1" si="185"/>
        <v>0</v>
      </c>
      <c r="CG170" s="103">
        <f t="shared" ca="1" si="185"/>
        <v>0</v>
      </c>
      <c r="CH170" s="106">
        <f ca="1">COUNTIF(BZ170:CG170,"&lt;"&amp;MAX(BZ170:CG170))+IF(Calcs[[#This Row],[RL1]]=0,0,1)</f>
        <v>0</v>
      </c>
      <c r="CI17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0" s="103">
        <f ca="1">IFERROR(OFFSET(CJ170,-1,0)+0,0)+IF(INDEX(INDIRECT(RangeContrQty),MATCH(Calcs[[#This Row],[Line]],OFFSET(Items[Line],0,0,ROW(Proposed[])-ROW(Items[])+ROWS(Proposed[]),1),0)),1,0)</f>
        <v>0</v>
      </c>
    </row>
    <row r="171" spans="1:88" x14ac:dyDescent="0.15">
      <c r="A171" s="64">
        <f ca="1">IFERROR(OFFSET(A171,-1,0)+0,0)+MAX(IF(LEN(Calcs[[#This Row],[Line]])&gt;0,1,0),Calcs[[#This Row],[DL]],Calcs[[#This Row],[RL]])</f>
        <v>10</v>
      </c>
      <c r="B171" s="90" t="str">
        <f ca="1">IFERROR(INDEX(OFFSET(Items[Line],0,0,ROW(Proposed[])-ROW(Items[])+ROWS(Proposed[]),1),MATCH(ROW(B171)-ROW(B$3),INDIRECT(RangeCount),0)),"")</f>
        <v/>
      </c>
      <c r="C171" s="90" t="str">
        <f ca="1">IF(LEN(Calcs[[#This Row],[Line]])&gt;0,TRIM(IFERROR(INDEX(Items[Description],MATCH(Calcs[[#This Row],[Line]],Items[Line],0))&amp;INDEX(Items[Description2],MATCH(Calcs[[#This Row],[Line]],Items[Line],0)),INDEX(Proposed[Description],MATCH(Calcs[[#This Row],[Line]],Proposed[Line],0)))),"")</f>
        <v/>
      </c>
      <c r="D171" s="96">
        <f t="shared" ca="1" si="120"/>
        <v>0</v>
      </c>
      <c r="E171" s="103">
        <f t="shared" ca="1" si="121"/>
        <v>0</v>
      </c>
      <c r="F171" s="103">
        <f t="shared" ca="1" si="122"/>
        <v>0</v>
      </c>
      <c r="G171" s="103">
        <f t="shared" ca="1" si="123"/>
        <v>0</v>
      </c>
      <c r="H171" s="103">
        <f t="shared" ca="1" si="124"/>
        <v>0</v>
      </c>
      <c r="I171" s="103">
        <f t="shared" ca="1" si="125"/>
        <v>0</v>
      </c>
      <c r="J171" s="103">
        <f t="shared" ca="1" si="126"/>
        <v>0</v>
      </c>
      <c r="K171" s="103">
        <f t="shared" ca="1" si="127"/>
        <v>0</v>
      </c>
      <c r="L171" s="103">
        <f t="shared" ca="1" si="128"/>
        <v>0</v>
      </c>
      <c r="M171" s="103">
        <f t="shared" ca="1" si="129"/>
        <v>0</v>
      </c>
      <c r="N171" s="103">
        <f t="shared" ca="1" si="130"/>
        <v>0</v>
      </c>
      <c r="O171" s="103">
        <f t="shared" ca="1" si="131"/>
        <v>0</v>
      </c>
      <c r="P171" s="103">
        <f t="shared" ca="1" si="132"/>
        <v>0</v>
      </c>
      <c r="Q171" s="103">
        <f t="shared" ca="1" si="133"/>
        <v>0</v>
      </c>
      <c r="R171" s="103">
        <f t="shared" ca="1" si="134"/>
        <v>0</v>
      </c>
      <c r="S171" s="103">
        <f t="shared" ca="1" si="135"/>
        <v>0</v>
      </c>
      <c r="T171" s="103">
        <f t="shared" ca="1" si="136"/>
        <v>0</v>
      </c>
      <c r="U171" s="103">
        <f t="shared" ca="1" si="137"/>
        <v>0</v>
      </c>
      <c r="V171" s="103">
        <f t="shared" ca="1" si="138"/>
        <v>0</v>
      </c>
      <c r="W171" s="103">
        <f t="shared" ca="1" si="139"/>
        <v>0</v>
      </c>
      <c r="X171" s="103">
        <f t="shared" ca="1" si="140"/>
        <v>0</v>
      </c>
      <c r="Y171" s="103">
        <f t="shared" ca="1" si="141"/>
        <v>0</v>
      </c>
      <c r="Z171" s="103">
        <f t="shared" ca="1" si="142"/>
        <v>0</v>
      </c>
      <c r="AA171" s="103">
        <f t="shared" ca="1" si="143"/>
        <v>0</v>
      </c>
      <c r="AB171" s="103">
        <f t="shared" ca="1" si="144"/>
        <v>0</v>
      </c>
      <c r="AC171" s="103">
        <f t="shared" ca="1" si="145"/>
        <v>0</v>
      </c>
      <c r="AD171" s="103">
        <f t="shared" ca="1" si="146"/>
        <v>0</v>
      </c>
      <c r="AE171" s="103">
        <f t="shared" ca="1" si="147"/>
        <v>0</v>
      </c>
      <c r="AF171" s="103">
        <f t="shared" ca="1" si="148"/>
        <v>0</v>
      </c>
      <c r="AG171" s="103">
        <f t="shared" ca="1" si="149"/>
        <v>0</v>
      </c>
      <c r="AH171" s="103">
        <f t="shared" ca="1" si="150"/>
        <v>0</v>
      </c>
      <c r="AI171" s="103">
        <f t="shared" ca="1" si="151"/>
        <v>0</v>
      </c>
      <c r="AJ171" s="98">
        <f t="shared" ca="1" si="184"/>
        <v>0</v>
      </c>
      <c r="AK171" s="103">
        <f t="shared" ca="1" si="184"/>
        <v>0</v>
      </c>
      <c r="AL171" s="103">
        <f t="shared" ca="1" si="184"/>
        <v>0</v>
      </c>
      <c r="AM171" s="103">
        <f t="shared" ca="1" si="184"/>
        <v>0</v>
      </c>
      <c r="AN171" s="103">
        <f t="shared" ca="1" si="184"/>
        <v>0</v>
      </c>
      <c r="AO171" s="103">
        <f t="shared" ca="1" si="184"/>
        <v>0</v>
      </c>
      <c r="AP171" s="103">
        <f t="shared" ca="1" si="184"/>
        <v>0</v>
      </c>
      <c r="AQ171" s="103">
        <f t="shared" ca="1" si="184"/>
        <v>0</v>
      </c>
      <c r="AR171" s="104">
        <f ca="1">COUNTIF(AJ171:AQ171,"&lt;"&amp;MAX(AJ171:AQ171))+IF(Calcs[[#This Row],[DL1]]=0,0,1)</f>
        <v>0</v>
      </c>
      <c r="AS171" s="105" t="str">
        <f ca="1">IF(LEN(Calcs[[#This Row],[Line]])&gt;0,IF(RIGHT(Calcs[[#This Row],[Remark]],3)=".  ",LEFT(Calcs[[#This Row],[Remark]],LEN(Calcs[[#This Row],[Remark]])-3),Calcs[[#This Row],[Remark]]),"")</f>
        <v/>
      </c>
      <c r="AT171" s="96">
        <f t="shared" ca="1" si="152"/>
        <v>0</v>
      </c>
      <c r="AU171" s="103">
        <f t="shared" ca="1" si="153"/>
        <v>0</v>
      </c>
      <c r="AV171" s="103">
        <f t="shared" ca="1" si="154"/>
        <v>0</v>
      </c>
      <c r="AW171" s="103">
        <f t="shared" ca="1" si="155"/>
        <v>0</v>
      </c>
      <c r="AX171" s="103">
        <f t="shared" ca="1" si="156"/>
        <v>0</v>
      </c>
      <c r="AY171" s="103">
        <f t="shared" ca="1" si="157"/>
        <v>0</v>
      </c>
      <c r="AZ171" s="103">
        <f t="shared" ca="1" si="158"/>
        <v>0</v>
      </c>
      <c r="BA171" s="103">
        <f t="shared" ca="1" si="159"/>
        <v>0</v>
      </c>
      <c r="BB171" s="103">
        <f t="shared" ca="1" si="160"/>
        <v>0</v>
      </c>
      <c r="BC171" s="103">
        <f t="shared" ca="1" si="161"/>
        <v>0</v>
      </c>
      <c r="BD171" s="103">
        <f t="shared" ca="1" si="162"/>
        <v>0</v>
      </c>
      <c r="BE171" s="103">
        <f t="shared" ca="1" si="163"/>
        <v>0</v>
      </c>
      <c r="BF171" s="103">
        <f t="shared" ca="1" si="164"/>
        <v>0</v>
      </c>
      <c r="BG171" s="103">
        <f t="shared" ca="1" si="165"/>
        <v>0</v>
      </c>
      <c r="BH171" s="103">
        <f t="shared" ca="1" si="166"/>
        <v>0</v>
      </c>
      <c r="BI171" s="103">
        <f t="shared" ca="1" si="167"/>
        <v>0</v>
      </c>
      <c r="BJ171" s="103">
        <f t="shared" ca="1" si="168"/>
        <v>0</v>
      </c>
      <c r="BK171" s="103">
        <f t="shared" ca="1" si="169"/>
        <v>0</v>
      </c>
      <c r="BL171" s="103">
        <f t="shared" ca="1" si="170"/>
        <v>0</v>
      </c>
      <c r="BM171" s="103">
        <f t="shared" ca="1" si="171"/>
        <v>0</v>
      </c>
      <c r="BN171" s="103">
        <f t="shared" ca="1" si="172"/>
        <v>0</v>
      </c>
      <c r="BO171" s="103">
        <f t="shared" ca="1" si="173"/>
        <v>0</v>
      </c>
      <c r="BP171" s="103">
        <f t="shared" ca="1" si="174"/>
        <v>0</v>
      </c>
      <c r="BQ171" s="103">
        <f t="shared" ca="1" si="175"/>
        <v>0</v>
      </c>
      <c r="BR171" s="103">
        <f t="shared" ca="1" si="176"/>
        <v>0</v>
      </c>
      <c r="BS171" s="103">
        <f t="shared" ca="1" si="177"/>
        <v>0</v>
      </c>
      <c r="BT171" s="103">
        <f t="shared" ca="1" si="178"/>
        <v>0</v>
      </c>
      <c r="BU171" s="103">
        <f t="shared" ca="1" si="179"/>
        <v>0</v>
      </c>
      <c r="BV171" s="103">
        <f t="shared" ca="1" si="180"/>
        <v>0</v>
      </c>
      <c r="BW171" s="103">
        <f t="shared" ca="1" si="181"/>
        <v>0</v>
      </c>
      <c r="BX171" s="103">
        <f t="shared" ca="1" si="182"/>
        <v>0</v>
      </c>
      <c r="BY171" s="103">
        <f t="shared" ca="1" si="183"/>
        <v>0</v>
      </c>
      <c r="BZ171" s="98">
        <f t="shared" ca="1" si="185"/>
        <v>0</v>
      </c>
      <c r="CA171" s="103">
        <f t="shared" ca="1" si="185"/>
        <v>0</v>
      </c>
      <c r="CB171" s="103">
        <f t="shared" ca="1" si="185"/>
        <v>0</v>
      </c>
      <c r="CC171" s="103">
        <f t="shared" ca="1" si="185"/>
        <v>0</v>
      </c>
      <c r="CD171" s="103">
        <f t="shared" ca="1" si="185"/>
        <v>0</v>
      </c>
      <c r="CE171" s="103">
        <f t="shared" ca="1" si="185"/>
        <v>0</v>
      </c>
      <c r="CF171" s="103">
        <f t="shared" ca="1" si="185"/>
        <v>0</v>
      </c>
      <c r="CG171" s="103">
        <f t="shared" ca="1" si="185"/>
        <v>0</v>
      </c>
      <c r="CH171" s="106">
        <f ca="1">COUNTIF(BZ171:CG171,"&lt;"&amp;MAX(BZ171:CG171))+IF(Calcs[[#This Row],[RL1]]=0,0,1)</f>
        <v>0</v>
      </c>
      <c r="CI17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1" s="103">
        <f ca="1">IFERROR(OFFSET(CJ171,-1,0)+0,0)+IF(INDEX(INDIRECT(RangeContrQty),MATCH(Calcs[[#This Row],[Line]],OFFSET(Items[Line],0,0,ROW(Proposed[])-ROW(Items[])+ROWS(Proposed[]),1),0)),1,0)</f>
        <v>0</v>
      </c>
    </row>
    <row r="172" spans="1:88" x14ac:dyDescent="0.15">
      <c r="A172" s="64">
        <f ca="1">IFERROR(OFFSET(A172,-1,0)+0,0)+MAX(IF(LEN(Calcs[[#This Row],[Line]])&gt;0,1,0),Calcs[[#This Row],[DL]],Calcs[[#This Row],[RL]])</f>
        <v>10</v>
      </c>
      <c r="B172" s="90" t="str">
        <f ca="1">IFERROR(INDEX(OFFSET(Items[Line],0,0,ROW(Proposed[])-ROW(Items[])+ROWS(Proposed[]),1),MATCH(ROW(B172)-ROW(B$3),INDIRECT(RangeCount),0)),"")</f>
        <v/>
      </c>
      <c r="C172" s="90" t="str">
        <f ca="1">IF(LEN(Calcs[[#This Row],[Line]])&gt;0,TRIM(IFERROR(INDEX(Items[Description],MATCH(Calcs[[#This Row],[Line]],Items[Line],0))&amp;INDEX(Items[Description2],MATCH(Calcs[[#This Row],[Line]],Items[Line],0)),INDEX(Proposed[Description],MATCH(Calcs[[#This Row],[Line]],Proposed[Line],0)))),"")</f>
        <v/>
      </c>
      <c r="D172" s="96">
        <f t="shared" ca="1" si="120"/>
        <v>0</v>
      </c>
      <c r="E172" s="103">
        <f t="shared" ca="1" si="121"/>
        <v>0</v>
      </c>
      <c r="F172" s="103">
        <f t="shared" ca="1" si="122"/>
        <v>0</v>
      </c>
      <c r="G172" s="103">
        <f t="shared" ca="1" si="123"/>
        <v>0</v>
      </c>
      <c r="H172" s="103">
        <f t="shared" ca="1" si="124"/>
        <v>0</v>
      </c>
      <c r="I172" s="103">
        <f t="shared" ca="1" si="125"/>
        <v>0</v>
      </c>
      <c r="J172" s="103">
        <f t="shared" ca="1" si="126"/>
        <v>0</v>
      </c>
      <c r="K172" s="103">
        <f t="shared" ca="1" si="127"/>
        <v>0</v>
      </c>
      <c r="L172" s="103">
        <f t="shared" ca="1" si="128"/>
        <v>0</v>
      </c>
      <c r="M172" s="103">
        <f t="shared" ca="1" si="129"/>
        <v>0</v>
      </c>
      <c r="N172" s="103">
        <f t="shared" ca="1" si="130"/>
        <v>0</v>
      </c>
      <c r="O172" s="103">
        <f t="shared" ca="1" si="131"/>
        <v>0</v>
      </c>
      <c r="P172" s="103">
        <f t="shared" ca="1" si="132"/>
        <v>0</v>
      </c>
      <c r="Q172" s="103">
        <f t="shared" ca="1" si="133"/>
        <v>0</v>
      </c>
      <c r="R172" s="103">
        <f t="shared" ca="1" si="134"/>
        <v>0</v>
      </c>
      <c r="S172" s="103">
        <f t="shared" ca="1" si="135"/>
        <v>0</v>
      </c>
      <c r="T172" s="103">
        <f t="shared" ca="1" si="136"/>
        <v>0</v>
      </c>
      <c r="U172" s="103">
        <f t="shared" ca="1" si="137"/>
        <v>0</v>
      </c>
      <c r="V172" s="103">
        <f t="shared" ca="1" si="138"/>
        <v>0</v>
      </c>
      <c r="W172" s="103">
        <f t="shared" ca="1" si="139"/>
        <v>0</v>
      </c>
      <c r="X172" s="103">
        <f t="shared" ca="1" si="140"/>
        <v>0</v>
      </c>
      <c r="Y172" s="103">
        <f t="shared" ca="1" si="141"/>
        <v>0</v>
      </c>
      <c r="Z172" s="103">
        <f t="shared" ca="1" si="142"/>
        <v>0</v>
      </c>
      <c r="AA172" s="103">
        <f t="shared" ca="1" si="143"/>
        <v>0</v>
      </c>
      <c r="AB172" s="103">
        <f t="shared" ca="1" si="144"/>
        <v>0</v>
      </c>
      <c r="AC172" s="103">
        <f t="shared" ca="1" si="145"/>
        <v>0</v>
      </c>
      <c r="AD172" s="103">
        <f t="shared" ca="1" si="146"/>
        <v>0</v>
      </c>
      <c r="AE172" s="103">
        <f t="shared" ca="1" si="147"/>
        <v>0</v>
      </c>
      <c r="AF172" s="103">
        <f t="shared" ca="1" si="148"/>
        <v>0</v>
      </c>
      <c r="AG172" s="103">
        <f t="shared" ca="1" si="149"/>
        <v>0</v>
      </c>
      <c r="AH172" s="103">
        <f t="shared" ca="1" si="150"/>
        <v>0</v>
      </c>
      <c r="AI172" s="103">
        <f t="shared" ca="1" si="151"/>
        <v>0</v>
      </c>
      <c r="AJ172" s="98">
        <f t="shared" ref="AJ172:AQ181" ca="1" si="186">HLOOKUP(IF(COLUMN(AJ172)-COLUMN($AJ$3)=0,0,OFFSET(AJ172,0,-1))+widthPayItem,$D172:$AI172,1)</f>
        <v>0</v>
      </c>
      <c r="AK172" s="103">
        <f t="shared" ca="1" si="186"/>
        <v>0</v>
      </c>
      <c r="AL172" s="103">
        <f t="shared" ca="1" si="186"/>
        <v>0</v>
      </c>
      <c r="AM172" s="103">
        <f t="shared" ca="1" si="186"/>
        <v>0</v>
      </c>
      <c r="AN172" s="103">
        <f t="shared" ca="1" si="186"/>
        <v>0</v>
      </c>
      <c r="AO172" s="103">
        <f t="shared" ca="1" si="186"/>
        <v>0</v>
      </c>
      <c r="AP172" s="103">
        <f t="shared" ca="1" si="186"/>
        <v>0</v>
      </c>
      <c r="AQ172" s="103">
        <f t="shared" ca="1" si="186"/>
        <v>0</v>
      </c>
      <c r="AR172" s="104">
        <f ca="1">COUNTIF(AJ172:AQ172,"&lt;"&amp;MAX(AJ172:AQ172))+IF(Calcs[[#This Row],[DL1]]=0,0,1)</f>
        <v>0</v>
      </c>
      <c r="AS172" s="105" t="str">
        <f ca="1">IF(LEN(Calcs[[#This Row],[Line]])&gt;0,IF(RIGHT(Calcs[[#This Row],[Remark]],3)=".  ",LEFT(Calcs[[#This Row],[Remark]],LEN(Calcs[[#This Row],[Remark]])-3),Calcs[[#This Row],[Remark]]),"")</f>
        <v/>
      </c>
      <c r="AT172" s="96">
        <f t="shared" ca="1" si="152"/>
        <v>0</v>
      </c>
      <c r="AU172" s="103">
        <f t="shared" ca="1" si="153"/>
        <v>0</v>
      </c>
      <c r="AV172" s="103">
        <f t="shared" ca="1" si="154"/>
        <v>0</v>
      </c>
      <c r="AW172" s="103">
        <f t="shared" ca="1" si="155"/>
        <v>0</v>
      </c>
      <c r="AX172" s="103">
        <f t="shared" ca="1" si="156"/>
        <v>0</v>
      </c>
      <c r="AY172" s="103">
        <f t="shared" ca="1" si="157"/>
        <v>0</v>
      </c>
      <c r="AZ172" s="103">
        <f t="shared" ca="1" si="158"/>
        <v>0</v>
      </c>
      <c r="BA172" s="103">
        <f t="shared" ca="1" si="159"/>
        <v>0</v>
      </c>
      <c r="BB172" s="103">
        <f t="shared" ca="1" si="160"/>
        <v>0</v>
      </c>
      <c r="BC172" s="103">
        <f t="shared" ca="1" si="161"/>
        <v>0</v>
      </c>
      <c r="BD172" s="103">
        <f t="shared" ca="1" si="162"/>
        <v>0</v>
      </c>
      <c r="BE172" s="103">
        <f t="shared" ca="1" si="163"/>
        <v>0</v>
      </c>
      <c r="BF172" s="103">
        <f t="shared" ca="1" si="164"/>
        <v>0</v>
      </c>
      <c r="BG172" s="103">
        <f t="shared" ca="1" si="165"/>
        <v>0</v>
      </c>
      <c r="BH172" s="103">
        <f t="shared" ca="1" si="166"/>
        <v>0</v>
      </c>
      <c r="BI172" s="103">
        <f t="shared" ca="1" si="167"/>
        <v>0</v>
      </c>
      <c r="BJ172" s="103">
        <f t="shared" ca="1" si="168"/>
        <v>0</v>
      </c>
      <c r="BK172" s="103">
        <f t="shared" ca="1" si="169"/>
        <v>0</v>
      </c>
      <c r="BL172" s="103">
        <f t="shared" ca="1" si="170"/>
        <v>0</v>
      </c>
      <c r="BM172" s="103">
        <f t="shared" ca="1" si="171"/>
        <v>0</v>
      </c>
      <c r="BN172" s="103">
        <f t="shared" ca="1" si="172"/>
        <v>0</v>
      </c>
      <c r="BO172" s="103">
        <f t="shared" ca="1" si="173"/>
        <v>0</v>
      </c>
      <c r="BP172" s="103">
        <f t="shared" ca="1" si="174"/>
        <v>0</v>
      </c>
      <c r="BQ172" s="103">
        <f t="shared" ca="1" si="175"/>
        <v>0</v>
      </c>
      <c r="BR172" s="103">
        <f t="shared" ca="1" si="176"/>
        <v>0</v>
      </c>
      <c r="BS172" s="103">
        <f t="shared" ca="1" si="177"/>
        <v>0</v>
      </c>
      <c r="BT172" s="103">
        <f t="shared" ca="1" si="178"/>
        <v>0</v>
      </c>
      <c r="BU172" s="103">
        <f t="shared" ca="1" si="179"/>
        <v>0</v>
      </c>
      <c r="BV172" s="103">
        <f t="shared" ca="1" si="180"/>
        <v>0</v>
      </c>
      <c r="BW172" s="103">
        <f t="shared" ca="1" si="181"/>
        <v>0</v>
      </c>
      <c r="BX172" s="103">
        <f t="shared" ca="1" si="182"/>
        <v>0</v>
      </c>
      <c r="BY172" s="103">
        <f t="shared" ca="1" si="183"/>
        <v>0</v>
      </c>
      <c r="BZ172" s="98">
        <f t="shared" ref="BZ172:CG181" ca="1" si="187">HLOOKUP(IF(COLUMN(BZ172)-COLUMN($BZ$3)=0,0,OFFSET(BZ172,0,-1))+widthRemarks,$AT172:$BY172,1)</f>
        <v>0</v>
      </c>
      <c r="CA172" s="103">
        <f t="shared" ca="1" si="187"/>
        <v>0</v>
      </c>
      <c r="CB172" s="103">
        <f t="shared" ca="1" si="187"/>
        <v>0</v>
      </c>
      <c r="CC172" s="103">
        <f t="shared" ca="1" si="187"/>
        <v>0</v>
      </c>
      <c r="CD172" s="103">
        <f t="shared" ca="1" si="187"/>
        <v>0</v>
      </c>
      <c r="CE172" s="103">
        <f t="shared" ca="1" si="187"/>
        <v>0</v>
      </c>
      <c r="CF172" s="103">
        <f t="shared" ca="1" si="187"/>
        <v>0</v>
      </c>
      <c r="CG172" s="103">
        <f t="shared" ca="1" si="187"/>
        <v>0</v>
      </c>
      <c r="CH172" s="106">
        <f ca="1">COUNTIF(BZ172:CG172,"&lt;"&amp;MAX(BZ172:CG172))+IF(Calcs[[#This Row],[RL1]]=0,0,1)</f>
        <v>0</v>
      </c>
      <c r="CI17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2" s="103">
        <f ca="1">IFERROR(OFFSET(CJ172,-1,0)+0,0)+IF(INDEX(INDIRECT(RangeContrQty),MATCH(Calcs[[#This Row],[Line]],OFFSET(Items[Line],0,0,ROW(Proposed[])-ROW(Items[])+ROWS(Proposed[]),1),0)),1,0)</f>
        <v>0</v>
      </c>
    </row>
    <row r="173" spans="1:88" x14ac:dyDescent="0.15">
      <c r="A173" s="64">
        <f ca="1">IFERROR(OFFSET(A173,-1,0)+0,0)+MAX(IF(LEN(Calcs[[#This Row],[Line]])&gt;0,1,0),Calcs[[#This Row],[DL]],Calcs[[#This Row],[RL]])</f>
        <v>10</v>
      </c>
      <c r="B173" s="90" t="str">
        <f ca="1">IFERROR(INDEX(OFFSET(Items[Line],0,0,ROW(Proposed[])-ROW(Items[])+ROWS(Proposed[]),1),MATCH(ROW(B173)-ROW(B$3),INDIRECT(RangeCount),0)),"")</f>
        <v/>
      </c>
      <c r="C173" s="90" t="str">
        <f ca="1">IF(LEN(Calcs[[#This Row],[Line]])&gt;0,TRIM(IFERROR(INDEX(Items[Description],MATCH(Calcs[[#This Row],[Line]],Items[Line],0))&amp;INDEX(Items[Description2],MATCH(Calcs[[#This Row],[Line]],Items[Line],0)),INDEX(Proposed[Description],MATCH(Calcs[[#This Row],[Line]],Proposed[Line],0)))),"")</f>
        <v/>
      </c>
      <c r="D173" s="96">
        <f t="shared" ca="1" si="120"/>
        <v>0</v>
      </c>
      <c r="E173" s="103">
        <f t="shared" ca="1" si="121"/>
        <v>0</v>
      </c>
      <c r="F173" s="103">
        <f t="shared" ca="1" si="122"/>
        <v>0</v>
      </c>
      <c r="G173" s="103">
        <f t="shared" ca="1" si="123"/>
        <v>0</v>
      </c>
      <c r="H173" s="103">
        <f t="shared" ca="1" si="124"/>
        <v>0</v>
      </c>
      <c r="I173" s="103">
        <f t="shared" ca="1" si="125"/>
        <v>0</v>
      </c>
      <c r="J173" s="103">
        <f t="shared" ca="1" si="126"/>
        <v>0</v>
      </c>
      <c r="K173" s="103">
        <f t="shared" ca="1" si="127"/>
        <v>0</v>
      </c>
      <c r="L173" s="103">
        <f t="shared" ca="1" si="128"/>
        <v>0</v>
      </c>
      <c r="M173" s="103">
        <f t="shared" ca="1" si="129"/>
        <v>0</v>
      </c>
      <c r="N173" s="103">
        <f t="shared" ca="1" si="130"/>
        <v>0</v>
      </c>
      <c r="O173" s="103">
        <f t="shared" ca="1" si="131"/>
        <v>0</v>
      </c>
      <c r="P173" s="103">
        <f t="shared" ca="1" si="132"/>
        <v>0</v>
      </c>
      <c r="Q173" s="103">
        <f t="shared" ca="1" si="133"/>
        <v>0</v>
      </c>
      <c r="R173" s="103">
        <f t="shared" ca="1" si="134"/>
        <v>0</v>
      </c>
      <c r="S173" s="103">
        <f t="shared" ca="1" si="135"/>
        <v>0</v>
      </c>
      <c r="T173" s="103">
        <f t="shared" ca="1" si="136"/>
        <v>0</v>
      </c>
      <c r="U173" s="103">
        <f t="shared" ca="1" si="137"/>
        <v>0</v>
      </c>
      <c r="V173" s="103">
        <f t="shared" ca="1" si="138"/>
        <v>0</v>
      </c>
      <c r="W173" s="103">
        <f t="shared" ca="1" si="139"/>
        <v>0</v>
      </c>
      <c r="X173" s="103">
        <f t="shared" ca="1" si="140"/>
        <v>0</v>
      </c>
      <c r="Y173" s="103">
        <f t="shared" ca="1" si="141"/>
        <v>0</v>
      </c>
      <c r="Z173" s="103">
        <f t="shared" ca="1" si="142"/>
        <v>0</v>
      </c>
      <c r="AA173" s="103">
        <f t="shared" ca="1" si="143"/>
        <v>0</v>
      </c>
      <c r="AB173" s="103">
        <f t="shared" ca="1" si="144"/>
        <v>0</v>
      </c>
      <c r="AC173" s="103">
        <f t="shared" ca="1" si="145"/>
        <v>0</v>
      </c>
      <c r="AD173" s="103">
        <f t="shared" ca="1" si="146"/>
        <v>0</v>
      </c>
      <c r="AE173" s="103">
        <f t="shared" ca="1" si="147"/>
        <v>0</v>
      </c>
      <c r="AF173" s="103">
        <f t="shared" ca="1" si="148"/>
        <v>0</v>
      </c>
      <c r="AG173" s="103">
        <f t="shared" ca="1" si="149"/>
        <v>0</v>
      </c>
      <c r="AH173" s="103">
        <f t="shared" ca="1" si="150"/>
        <v>0</v>
      </c>
      <c r="AI173" s="103">
        <f t="shared" ca="1" si="151"/>
        <v>0</v>
      </c>
      <c r="AJ173" s="98">
        <f t="shared" ca="1" si="186"/>
        <v>0</v>
      </c>
      <c r="AK173" s="103">
        <f t="shared" ca="1" si="186"/>
        <v>0</v>
      </c>
      <c r="AL173" s="103">
        <f t="shared" ca="1" si="186"/>
        <v>0</v>
      </c>
      <c r="AM173" s="103">
        <f t="shared" ca="1" si="186"/>
        <v>0</v>
      </c>
      <c r="AN173" s="103">
        <f t="shared" ca="1" si="186"/>
        <v>0</v>
      </c>
      <c r="AO173" s="103">
        <f t="shared" ca="1" si="186"/>
        <v>0</v>
      </c>
      <c r="AP173" s="103">
        <f t="shared" ca="1" si="186"/>
        <v>0</v>
      </c>
      <c r="AQ173" s="103">
        <f t="shared" ca="1" si="186"/>
        <v>0</v>
      </c>
      <c r="AR173" s="104">
        <f ca="1">COUNTIF(AJ173:AQ173,"&lt;"&amp;MAX(AJ173:AQ173))+IF(Calcs[[#This Row],[DL1]]=0,0,1)</f>
        <v>0</v>
      </c>
      <c r="AS173" s="105" t="str">
        <f ca="1">IF(LEN(Calcs[[#This Row],[Line]])&gt;0,IF(RIGHT(Calcs[[#This Row],[Remark]],3)=".  ",LEFT(Calcs[[#This Row],[Remark]],LEN(Calcs[[#This Row],[Remark]])-3),Calcs[[#This Row],[Remark]]),"")</f>
        <v/>
      </c>
      <c r="AT173" s="96">
        <f t="shared" ca="1" si="152"/>
        <v>0</v>
      </c>
      <c r="AU173" s="103">
        <f t="shared" ca="1" si="153"/>
        <v>0</v>
      </c>
      <c r="AV173" s="103">
        <f t="shared" ca="1" si="154"/>
        <v>0</v>
      </c>
      <c r="AW173" s="103">
        <f t="shared" ca="1" si="155"/>
        <v>0</v>
      </c>
      <c r="AX173" s="103">
        <f t="shared" ca="1" si="156"/>
        <v>0</v>
      </c>
      <c r="AY173" s="103">
        <f t="shared" ca="1" si="157"/>
        <v>0</v>
      </c>
      <c r="AZ173" s="103">
        <f t="shared" ca="1" si="158"/>
        <v>0</v>
      </c>
      <c r="BA173" s="103">
        <f t="shared" ca="1" si="159"/>
        <v>0</v>
      </c>
      <c r="BB173" s="103">
        <f t="shared" ca="1" si="160"/>
        <v>0</v>
      </c>
      <c r="BC173" s="103">
        <f t="shared" ca="1" si="161"/>
        <v>0</v>
      </c>
      <c r="BD173" s="103">
        <f t="shared" ca="1" si="162"/>
        <v>0</v>
      </c>
      <c r="BE173" s="103">
        <f t="shared" ca="1" si="163"/>
        <v>0</v>
      </c>
      <c r="BF173" s="103">
        <f t="shared" ca="1" si="164"/>
        <v>0</v>
      </c>
      <c r="BG173" s="103">
        <f t="shared" ca="1" si="165"/>
        <v>0</v>
      </c>
      <c r="BH173" s="103">
        <f t="shared" ca="1" si="166"/>
        <v>0</v>
      </c>
      <c r="BI173" s="103">
        <f t="shared" ca="1" si="167"/>
        <v>0</v>
      </c>
      <c r="BJ173" s="103">
        <f t="shared" ca="1" si="168"/>
        <v>0</v>
      </c>
      <c r="BK173" s="103">
        <f t="shared" ca="1" si="169"/>
        <v>0</v>
      </c>
      <c r="BL173" s="103">
        <f t="shared" ca="1" si="170"/>
        <v>0</v>
      </c>
      <c r="BM173" s="103">
        <f t="shared" ca="1" si="171"/>
        <v>0</v>
      </c>
      <c r="BN173" s="103">
        <f t="shared" ca="1" si="172"/>
        <v>0</v>
      </c>
      <c r="BO173" s="103">
        <f t="shared" ca="1" si="173"/>
        <v>0</v>
      </c>
      <c r="BP173" s="103">
        <f t="shared" ca="1" si="174"/>
        <v>0</v>
      </c>
      <c r="BQ173" s="103">
        <f t="shared" ca="1" si="175"/>
        <v>0</v>
      </c>
      <c r="BR173" s="103">
        <f t="shared" ca="1" si="176"/>
        <v>0</v>
      </c>
      <c r="BS173" s="103">
        <f t="shared" ca="1" si="177"/>
        <v>0</v>
      </c>
      <c r="BT173" s="103">
        <f t="shared" ca="1" si="178"/>
        <v>0</v>
      </c>
      <c r="BU173" s="103">
        <f t="shared" ca="1" si="179"/>
        <v>0</v>
      </c>
      <c r="BV173" s="103">
        <f t="shared" ca="1" si="180"/>
        <v>0</v>
      </c>
      <c r="BW173" s="103">
        <f t="shared" ca="1" si="181"/>
        <v>0</v>
      </c>
      <c r="BX173" s="103">
        <f t="shared" ca="1" si="182"/>
        <v>0</v>
      </c>
      <c r="BY173" s="103">
        <f t="shared" ca="1" si="183"/>
        <v>0</v>
      </c>
      <c r="BZ173" s="98">
        <f t="shared" ca="1" si="187"/>
        <v>0</v>
      </c>
      <c r="CA173" s="103">
        <f t="shared" ca="1" si="187"/>
        <v>0</v>
      </c>
      <c r="CB173" s="103">
        <f t="shared" ca="1" si="187"/>
        <v>0</v>
      </c>
      <c r="CC173" s="103">
        <f t="shared" ca="1" si="187"/>
        <v>0</v>
      </c>
      <c r="CD173" s="103">
        <f t="shared" ca="1" si="187"/>
        <v>0</v>
      </c>
      <c r="CE173" s="103">
        <f t="shared" ca="1" si="187"/>
        <v>0</v>
      </c>
      <c r="CF173" s="103">
        <f t="shared" ca="1" si="187"/>
        <v>0</v>
      </c>
      <c r="CG173" s="103">
        <f t="shared" ca="1" si="187"/>
        <v>0</v>
      </c>
      <c r="CH173" s="106">
        <f ca="1">COUNTIF(BZ173:CG173,"&lt;"&amp;MAX(BZ173:CG173))+IF(Calcs[[#This Row],[RL1]]=0,0,1)</f>
        <v>0</v>
      </c>
      <c r="CI17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3" s="103">
        <f ca="1">IFERROR(OFFSET(CJ173,-1,0)+0,0)+IF(INDEX(INDIRECT(RangeContrQty),MATCH(Calcs[[#This Row],[Line]],OFFSET(Items[Line],0,0,ROW(Proposed[])-ROW(Items[])+ROWS(Proposed[]),1),0)),1,0)</f>
        <v>0</v>
      </c>
    </row>
    <row r="174" spans="1:88" x14ac:dyDescent="0.15">
      <c r="A174" s="64">
        <f ca="1">IFERROR(OFFSET(A174,-1,0)+0,0)+MAX(IF(LEN(Calcs[[#This Row],[Line]])&gt;0,1,0),Calcs[[#This Row],[DL]],Calcs[[#This Row],[RL]])</f>
        <v>10</v>
      </c>
      <c r="B174" s="90" t="str">
        <f ca="1">IFERROR(INDEX(OFFSET(Items[Line],0,0,ROW(Proposed[])-ROW(Items[])+ROWS(Proposed[]),1),MATCH(ROW(B174)-ROW(B$3),INDIRECT(RangeCount),0)),"")</f>
        <v/>
      </c>
      <c r="C174" s="90" t="str">
        <f ca="1">IF(LEN(Calcs[[#This Row],[Line]])&gt;0,TRIM(IFERROR(INDEX(Items[Description],MATCH(Calcs[[#This Row],[Line]],Items[Line],0))&amp;INDEX(Items[Description2],MATCH(Calcs[[#This Row],[Line]],Items[Line],0)),INDEX(Proposed[Description],MATCH(Calcs[[#This Row],[Line]],Proposed[Line],0)))),"")</f>
        <v/>
      </c>
      <c r="D174" s="96">
        <f t="shared" ca="1" si="120"/>
        <v>0</v>
      </c>
      <c r="E174" s="103">
        <f t="shared" ca="1" si="121"/>
        <v>0</v>
      </c>
      <c r="F174" s="103">
        <f t="shared" ca="1" si="122"/>
        <v>0</v>
      </c>
      <c r="G174" s="103">
        <f t="shared" ca="1" si="123"/>
        <v>0</v>
      </c>
      <c r="H174" s="103">
        <f t="shared" ca="1" si="124"/>
        <v>0</v>
      </c>
      <c r="I174" s="103">
        <f t="shared" ca="1" si="125"/>
        <v>0</v>
      </c>
      <c r="J174" s="103">
        <f t="shared" ca="1" si="126"/>
        <v>0</v>
      </c>
      <c r="K174" s="103">
        <f t="shared" ca="1" si="127"/>
        <v>0</v>
      </c>
      <c r="L174" s="103">
        <f t="shared" ca="1" si="128"/>
        <v>0</v>
      </c>
      <c r="M174" s="103">
        <f t="shared" ca="1" si="129"/>
        <v>0</v>
      </c>
      <c r="N174" s="103">
        <f t="shared" ca="1" si="130"/>
        <v>0</v>
      </c>
      <c r="O174" s="103">
        <f t="shared" ca="1" si="131"/>
        <v>0</v>
      </c>
      <c r="P174" s="103">
        <f t="shared" ca="1" si="132"/>
        <v>0</v>
      </c>
      <c r="Q174" s="103">
        <f t="shared" ca="1" si="133"/>
        <v>0</v>
      </c>
      <c r="R174" s="103">
        <f t="shared" ca="1" si="134"/>
        <v>0</v>
      </c>
      <c r="S174" s="103">
        <f t="shared" ca="1" si="135"/>
        <v>0</v>
      </c>
      <c r="T174" s="103">
        <f t="shared" ca="1" si="136"/>
        <v>0</v>
      </c>
      <c r="U174" s="103">
        <f t="shared" ca="1" si="137"/>
        <v>0</v>
      </c>
      <c r="V174" s="103">
        <f t="shared" ca="1" si="138"/>
        <v>0</v>
      </c>
      <c r="W174" s="103">
        <f t="shared" ca="1" si="139"/>
        <v>0</v>
      </c>
      <c r="X174" s="103">
        <f t="shared" ca="1" si="140"/>
        <v>0</v>
      </c>
      <c r="Y174" s="103">
        <f t="shared" ca="1" si="141"/>
        <v>0</v>
      </c>
      <c r="Z174" s="103">
        <f t="shared" ca="1" si="142"/>
        <v>0</v>
      </c>
      <c r="AA174" s="103">
        <f t="shared" ca="1" si="143"/>
        <v>0</v>
      </c>
      <c r="AB174" s="103">
        <f t="shared" ca="1" si="144"/>
        <v>0</v>
      </c>
      <c r="AC174" s="103">
        <f t="shared" ca="1" si="145"/>
        <v>0</v>
      </c>
      <c r="AD174" s="103">
        <f t="shared" ca="1" si="146"/>
        <v>0</v>
      </c>
      <c r="AE174" s="103">
        <f t="shared" ca="1" si="147"/>
        <v>0</v>
      </c>
      <c r="AF174" s="103">
        <f t="shared" ca="1" si="148"/>
        <v>0</v>
      </c>
      <c r="AG174" s="103">
        <f t="shared" ca="1" si="149"/>
        <v>0</v>
      </c>
      <c r="AH174" s="103">
        <f t="shared" ca="1" si="150"/>
        <v>0</v>
      </c>
      <c r="AI174" s="103">
        <f t="shared" ca="1" si="151"/>
        <v>0</v>
      </c>
      <c r="AJ174" s="98">
        <f t="shared" ca="1" si="186"/>
        <v>0</v>
      </c>
      <c r="AK174" s="103">
        <f t="shared" ca="1" si="186"/>
        <v>0</v>
      </c>
      <c r="AL174" s="103">
        <f t="shared" ca="1" si="186"/>
        <v>0</v>
      </c>
      <c r="AM174" s="103">
        <f t="shared" ca="1" si="186"/>
        <v>0</v>
      </c>
      <c r="AN174" s="103">
        <f t="shared" ca="1" si="186"/>
        <v>0</v>
      </c>
      <c r="AO174" s="103">
        <f t="shared" ca="1" si="186"/>
        <v>0</v>
      </c>
      <c r="AP174" s="103">
        <f t="shared" ca="1" si="186"/>
        <v>0</v>
      </c>
      <c r="AQ174" s="103">
        <f t="shared" ca="1" si="186"/>
        <v>0</v>
      </c>
      <c r="AR174" s="104">
        <f ca="1">COUNTIF(AJ174:AQ174,"&lt;"&amp;MAX(AJ174:AQ174))+IF(Calcs[[#This Row],[DL1]]=0,0,1)</f>
        <v>0</v>
      </c>
      <c r="AS174" s="105" t="str">
        <f ca="1">IF(LEN(Calcs[[#This Row],[Line]])&gt;0,IF(RIGHT(Calcs[[#This Row],[Remark]],3)=".  ",LEFT(Calcs[[#This Row],[Remark]],LEN(Calcs[[#This Row],[Remark]])-3),Calcs[[#This Row],[Remark]]),"")</f>
        <v/>
      </c>
      <c r="AT174" s="96">
        <f t="shared" ca="1" si="152"/>
        <v>0</v>
      </c>
      <c r="AU174" s="103">
        <f t="shared" ca="1" si="153"/>
        <v>0</v>
      </c>
      <c r="AV174" s="103">
        <f t="shared" ca="1" si="154"/>
        <v>0</v>
      </c>
      <c r="AW174" s="103">
        <f t="shared" ca="1" si="155"/>
        <v>0</v>
      </c>
      <c r="AX174" s="103">
        <f t="shared" ca="1" si="156"/>
        <v>0</v>
      </c>
      <c r="AY174" s="103">
        <f t="shared" ca="1" si="157"/>
        <v>0</v>
      </c>
      <c r="AZ174" s="103">
        <f t="shared" ca="1" si="158"/>
        <v>0</v>
      </c>
      <c r="BA174" s="103">
        <f t="shared" ca="1" si="159"/>
        <v>0</v>
      </c>
      <c r="BB174" s="103">
        <f t="shared" ca="1" si="160"/>
        <v>0</v>
      </c>
      <c r="BC174" s="103">
        <f t="shared" ca="1" si="161"/>
        <v>0</v>
      </c>
      <c r="BD174" s="103">
        <f t="shared" ca="1" si="162"/>
        <v>0</v>
      </c>
      <c r="BE174" s="103">
        <f t="shared" ca="1" si="163"/>
        <v>0</v>
      </c>
      <c r="BF174" s="103">
        <f t="shared" ca="1" si="164"/>
        <v>0</v>
      </c>
      <c r="BG174" s="103">
        <f t="shared" ca="1" si="165"/>
        <v>0</v>
      </c>
      <c r="BH174" s="103">
        <f t="shared" ca="1" si="166"/>
        <v>0</v>
      </c>
      <c r="BI174" s="103">
        <f t="shared" ca="1" si="167"/>
        <v>0</v>
      </c>
      <c r="BJ174" s="103">
        <f t="shared" ca="1" si="168"/>
        <v>0</v>
      </c>
      <c r="BK174" s="103">
        <f t="shared" ca="1" si="169"/>
        <v>0</v>
      </c>
      <c r="BL174" s="103">
        <f t="shared" ca="1" si="170"/>
        <v>0</v>
      </c>
      <c r="BM174" s="103">
        <f t="shared" ca="1" si="171"/>
        <v>0</v>
      </c>
      <c r="BN174" s="103">
        <f t="shared" ca="1" si="172"/>
        <v>0</v>
      </c>
      <c r="BO174" s="103">
        <f t="shared" ca="1" si="173"/>
        <v>0</v>
      </c>
      <c r="BP174" s="103">
        <f t="shared" ca="1" si="174"/>
        <v>0</v>
      </c>
      <c r="BQ174" s="103">
        <f t="shared" ca="1" si="175"/>
        <v>0</v>
      </c>
      <c r="BR174" s="103">
        <f t="shared" ca="1" si="176"/>
        <v>0</v>
      </c>
      <c r="BS174" s="103">
        <f t="shared" ca="1" si="177"/>
        <v>0</v>
      </c>
      <c r="BT174" s="103">
        <f t="shared" ca="1" si="178"/>
        <v>0</v>
      </c>
      <c r="BU174" s="103">
        <f t="shared" ca="1" si="179"/>
        <v>0</v>
      </c>
      <c r="BV174" s="103">
        <f t="shared" ca="1" si="180"/>
        <v>0</v>
      </c>
      <c r="BW174" s="103">
        <f t="shared" ca="1" si="181"/>
        <v>0</v>
      </c>
      <c r="BX174" s="103">
        <f t="shared" ca="1" si="182"/>
        <v>0</v>
      </c>
      <c r="BY174" s="103">
        <f t="shared" ca="1" si="183"/>
        <v>0</v>
      </c>
      <c r="BZ174" s="98">
        <f t="shared" ca="1" si="187"/>
        <v>0</v>
      </c>
      <c r="CA174" s="103">
        <f t="shared" ca="1" si="187"/>
        <v>0</v>
      </c>
      <c r="CB174" s="103">
        <f t="shared" ca="1" si="187"/>
        <v>0</v>
      </c>
      <c r="CC174" s="103">
        <f t="shared" ca="1" si="187"/>
        <v>0</v>
      </c>
      <c r="CD174" s="103">
        <f t="shared" ca="1" si="187"/>
        <v>0</v>
      </c>
      <c r="CE174" s="103">
        <f t="shared" ca="1" si="187"/>
        <v>0</v>
      </c>
      <c r="CF174" s="103">
        <f t="shared" ca="1" si="187"/>
        <v>0</v>
      </c>
      <c r="CG174" s="103">
        <f t="shared" ca="1" si="187"/>
        <v>0</v>
      </c>
      <c r="CH174" s="106">
        <f ca="1">COUNTIF(BZ174:CG174,"&lt;"&amp;MAX(BZ174:CG174))+IF(Calcs[[#This Row],[RL1]]=0,0,1)</f>
        <v>0</v>
      </c>
      <c r="CI17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4" s="103">
        <f ca="1">IFERROR(OFFSET(CJ174,-1,0)+0,0)+IF(INDEX(INDIRECT(RangeContrQty),MATCH(Calcs[[#This Row],[Line]],OFFSET(Items[Line],0,0,ROW(Proposed[])-ROW(Items[])+ROWS(Proposed[]),1),0)),1,0)</f>
        <v>0</v>
      </c>
    </row>
    <row r="175" spans="1:88" x14ac:dyDescent="0.15">
      <c r="A175" s="64">
        <f ca="1">IFERROR(OFFSET(A175,-1,0)+0,0)+MAX(IF(LEN(Calcs[[#This Row],[Line]])&gt;0,1,0),Calcs[[#This Row],[DL]],Calcs[[#This Row],[RL]])</f>
        <v>10</v>
      </c>
      <c r="B175" s="90" t="str">
        <f ca="1">IFERROR(INDEX(OFFSET(Items[Line],0,0,ROW(Proposed[])-ROW(Items[])+ROWS(Proposed[]),1),MATCH(ROW(B175)-ROW(B$3),INDIRECT(RangeCount),0)),"")</f>
        <v/>
      </c>
      <c r="C175" s="90" t="str">
        <f ca="1">IF(LEN(Calcs[[#This Row],[Line]])&gt;0,TRIM(IFERROR(INDEX(Items[Description],MATCH(Calcs[[#This Row],[Line]],Items[Line],0))&amp;INDEX(Items[Description2],MATCH(Calcs[[#This Row],[Line]],Items[Line],0)),INDEX(Proposed[Description],MATCH(Calcs[[#This Row],[Line]],Proposed[Line],0)))),"")</f>
        <v/>
      </c>
      <c r="D175" s="96">
        <f t="shared" ca="1" si="120"/>
        <v>0</v>
      </c>
      <c r="E175" s="103">
        <f t="shared" ca="1" si="121"/>
        <v>0</v>
      </c>
      <c r="F175" s="103">
        <f t="shared" ca="1" si="122"/>
        <v>0</v>
      </c>
      <c r="G175" s="103">
        <f t="shared" ca="1" si="123"/>
        <v>0</v>
      </c>
      <c r="H175" s="103">
        <f t="shared" ca="1" si="124"/>
        <v>0</v>
      </c>
      <c r="I175" s="103">
        <f t="shared" ca="1" si="125"/>
        <v>0</v>
      </c>
      <c r="J175" s="103">
        <f t="shared" ca="1" si="126"/>
        <v>0</v>
      </c>
      <c r="K175" s="103">
        <f t="shared" ca="1" si="127"/>
        <v>0</v>
      </c>
      <c r="L175" s="103">
        <f t="shared" ca="1" si="128"/>
        <v>0</v>
      </c>
      <c r="M175" s="103">
        <f t="shared" ca="1" si="129"/>
        <v>0</v>
      </c>
      <c r="N175" s="103">
        <f t="shared" ca="1" si="130"/>
        <v>0</v>
      </c>
      <c r="O175" s="103">
        <f t="shared" ca="1" si="131"/>
        <v>0</v>
      </c>
      <c r="P175" s="103">
        <f t="shared" ca="1" si="132"/>
        <v>0</v>
      </c>
      <c r="Q175" s="103">
        <f t="shared" ca="1" si="133"/>
        <v>0</v>
      </c>
      <c r="R175" s="103">
        <f t="shared" ca="1" si="134"/>
        <v>0</v>
      </c>
      <c r="S175" s="103">
        <f t="shared" ca="1" si="135"/>
        <v>0</v>
      </c>
      <c r="T175" s="103">
        <f t="shared" ca="1" si="136"/>
        <v>0</v>
      </c>
      <c r="U175" s="103">
        <f t="shared" ca="1" si="137"/>
        <v>0</v>
      </c>
      <c r="V175" s="103">
        <f t="shared" ca="1" si="138"/>
        <v>0</v>
      </c>
      <c r="W175" s="103">
        <f t="shared" ca="1" si="139"/>
        <v>0</v>
      </c>
      <c r="X175" s="103">
        <f t="shared" ca="1" si="140"/>
        <v>0</v>
      </c>
      <c r="Y175" s="103">
        <f t="shared" ca="1" si="141"/>
        <v>0</v>
      </c>
      <c r="Z175" s="103">
        <f t="shared" ca="1" si="142"/>
        <v>0</v>
      </c>
      <c r="AA175" s="103">
        <f t="shared" ca="1" si="143"/>
        <v>0</v>
      </c>
      <c r="AB175" s="103">
        <f t="shared" ca="1" si="144"/>
        <v>0</v>
      </c>
      <c r="AC175" s="103">
        <f t="shared" ca="1" si="145"/>
        <v>0</v>
      </c>
      <c r="AD175" s="103">
        <f t="shared" ca="1" si="146"/>
        <v>0</v>
      </c>
      <c r="AE175" s="103">
        <f t="shared" ca="1" si="147"/>
        <v>0</v>
      </c>
      <c r="AF175" s="103">
        <f t="shared" ca="1" si="148"/>
        <v>0</v>
      </c>
      <c r="AG175" s="103">
        <f t="shared" ca="1" si="149"/>
        <v>0</v>
      </c>
      <c r="AH175" s="103">
        <f t="shared" ca="1" si="150"/>
        <v>0</v>
      </c>
      <c r="AI175" s="103">
        <f t="shared" ca="1" si="151"/>
        <v>0</v>
      </c>
      <c r="AJ175" s="98">
        <f t="shared" ca="1" si="186"/>
        <v>0</v>
      </c>
      <c r="AK175" s="103">
        <f t="shared" ca="1" si="186"/>
        <v>0</v>
      </c>
      <c r="AL175" s="103">
        <f t="shared" ca="1" si="186"/>
        <v>0</v>
      </c>
      <c r="AM175" s="103">
        <f t="shared" ca="1" si="186"/>
        <v>0</v>
      </c>
      <c r="AN175" s="103">
        <f t="shared" ca="1" si="186"/>
        <v>0</v>
      </c>
      <c r="AO175" s="103">
        <f t="shared" ca="1" si="186"/>
        <v>0</v>
      </c>
      <c r="AP175" s="103">
        <f t="shared" ca="1" si="186"/>
        <v>0</v>
      </c>
      <c r="AQ175" s="103">
        <f t="shared" ca="1" si="186"/>
        <v>0</v>
      </c>
      <c r="AR175" s="104">
        <f ca="1">COUNTIF(AJ175:AQ175,"&lt;"&amp;MAX(AJ175:AQ175))+IF(Calcs[[#This Row],[DL1]]=0,0,1)</f>
        <v>0</v>
      </c>
      <c r="AS175" s="105" t="str">
        <f ca="1">IF(LEN(Calcs[[#This Row],[Line]])&gt;0,IF(RIGHT(Calcs[[#This Row],[Remark]],3)=".  ",LEFT(Calcs[[#This Row],[Remark]],LEN(Calcs[[#This Row],[Remark]])-3),Calcs[[#This Row],[Remark]]),"")</f>
        <v/>
      </c>
      <c r="AT175" s="96">
        <f t="shared" ca="1" si="152"/>
        <v>0</v>
      </c>
      <c r="AU175" s="103">
        <f t="shared" ca="1" si="153"/>
        <v>0</v>
      </c>
      <c r="AV175" s="103">
        <f t="shared" ca="1" si="154"/>
        <v>0</v>
      </c>
      <c r="AW175" s="103">
        <f t="shared" ca="1" si="155"/>
        <v>0</v>
      </c>
      <c r="AX175" s="103">
        <f t="shared" ca="1" si="156"/>
        <v>0</v>
      </c>
      <c r="AY175" s="103">
        <f t="shared" ca="1" si="157"/>
        <v>0</v>
      </c>
      <c r="AZ175" s="103">
        <f t="shared" ca="1" si="158"/>
        <v>0</v>
      </c>
      <c r="BA175" s="103">
        <f t="shared" ca="1" si="159"/>
        <v>0</v>
      </c>
      <c r="BB175" s="103">
        <f t="shared" ca="1" si="160"/>
        <v>0</v>
      </c>
      <c r="BC175" s="103">
        <f t="shared" ca="1" si="161"/>
        <v>0</v>
      </c>
      <c r="BD175" s="103">
        <f t="shared" ca="1" si="162"/>
        <v>0</v>
      </c>
      <c r="BE175" s="103">
        <f t="shared" ca="1" si="163"/>
        <v>0</v>
      </c>
      <c r="BF175" s="103">
        <f t="shared" ca="1" si="164"/>
        <v>0</v>
      </c>
      <c r="BG175" s="103">
        <f t="shared" ca="1" si="165"/>
        <v>0</v>
      </c>
      <c r="BH175" s="103">
        <f t="shared" ca="1" si="166"/>
        <v>0</v>
      </c>
      <c r="BI175" s="103">
        <f t="shared" ca="1" si="167"/>
        <v>0</v>
      </c>
      <c r="BJ175" s="103">
        <f t="shared" ca="1" si="168"/>
        <v>0</v>
      </c>
      <c r="BK175" s="103">
        <f t="shared" ca="1" si="169"/>
        <v>0</v>
      </c>
      <c r="BL175" s="103">
        <f t="shared" ca="1" si="170"/>
        <v>0</v>
      </c>
      <c r="BM175" s="103">
        <f t="shared" ca="1" si="171"/>
        <v>0</v>
      </c>
      <c r="BN175" s="103">
        <f t="shared" ca="1" si="172"/>
        <v>0</v>
      </c>
      <c r="BO175" s="103">
        <f t="shared" ca="1" si="173"/>
        <v>0</v>
      </c>
      <c r="BP175" s="103">
        <f t="shared" ca="1" si="174"/>
        <v>0</v>
      </c>
      <c r="BQ175" s="103">
        <f t="shared" ca="1" si="175"/>
        <v>0</v>
      </c>
      <c r="BR175" s="103">
        <f t="shared" ca="1" si="176"/>
        <v>0</v>
      </c>
      <c r="BS175" s="103">
        <f t="shared" ca="1" si="177"/>
        <v>0</v>
      </c>
      <c r="BT175" s="103">
        <f t="shared" ca="1" si="178"/>
        <v>0</v>
      </c>
      <c r="BU175" s="103">
        <f t="shared" ca="1" si="179"/>
        <v>0</v>
      </c>
      <c r="BV175" s="103">
        <f t="shared" ca="1" si="180"/>
        <v>0</v>
      </c>
      <c r="BW175" s="103">
        <f t="shared" ca="1" si="181"/>
        <v>0</v>
      </c>
      <c r="BX175" s="103">
        <f t="shared" ca="1" si="182"/>
        <v>0</v>
      </c>
      <c r="BY175" s="103">
        <f t="shared" ca="1" si="183"/>
        <v>0</v>
      </c>
      <c r="BZ175" s="98">
        <f t="shared" ca="1" si="187"/>
        <v>0</v>
      </c>
      <c r="CA175" s="103">
        <f t="shared" ca="1" si="187"/>
        <v>0</v>
      </c>
      <c r="CB175" s="103">
        <f t="shared" ca="1" si="187"/>
        <v>0</v>
      </c>
      <c r="CC175" s="103">
        <f t="shared" ca="1" si="187"/>
        <v>0</v>
      </c>
      <c r="CD175" s="103">
        <f t="shared" ca="1" si="187"/>
        <v>0</v>
      </c>
      <c r="CE175" s="103">
        <f t="shared" ca="1" si="187"/>
        <v>0</v>
      </c>
      <c r="CF175" s="103">
        <f t="shared" ca="1" si="187"/>
        <v>0</v>
      </c>
      <c r="CG175" s="103">
        <f t="shared" ca="1" si="187"/>
        <v>0</v>
      </c>
      <c r="CH175" s="106">
        <f ca="1">COUNTIF(BZ175:CG175,"&lt;"&amp;MAX(BZ175:CG175))+IF(Calcs[[#This Row],[RL1]]=0,0,1)</f>
        <v>0</v>
      </c>
      <c r="CI17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5" s="103">
        <f ca="1">IFERROR(OFFSET(CJ175,-1,0)+0,0)+IF(INDEX(INDIRECT(RangeContrQty),MATCH(Calcs[[#This Row],[Line]],OFFSET(Items[Line],0,0,ROW(Proposed[])-ROW(Items[])+ROWS(Proposed[]),1),0)),1,0)</f>
        <v>0</v>
      </c>
    </row>
    <row r="176" spans="1:88" x14ac:dyDescent="0.15">
      <c r="A176" s="64">
        <f ca="1">IFERROR(OFFSET(A176,-1,0)+0,0)+MAX(IF(LEN(Calcs[[#This Row],[Line]])&gt;0,1,0),Calcs[[#This Row],[DL]],Calcs[[#This Row],[RL]])</f>
        <v>10</v>
      </c>
      <c r="B176" s="90" t="str">
        <f ca="1">IFERROR(INDEX(OFFSET(Items[Line],0,0,ROW(Proposed[])-ROW(Items[])+ROWS(Proposed[]),1),MATCH(ROW(B176)-ROW(B$3),INDIRECT(RangeCount),0)),"")</f>
        <v/>
      </c>
      <c r="C176" s="90" t="str">
        <f ca="1">IF(LEN(Calcs[[#This Row],[Line]])&gt;0,TRIM(IFERROR(INDEX(Items[Description],MATCH(Calcs[[#This Row],[Line]],Items[Line],0))&amp;INDEX(Items[Description2],MATCH(Calcs[[#This Row],[Line]],Items[Line],0)),INDEX(Proposed[Description],MATCH(Calcs[[#This Row],[Line]],Proposed[Line],0)))),"")</f>
        <v/>
      </c>
      <c r="D176" s="96">
        <f t="shared" ca="1" si="120"/>
        <v>0</v>
      </c>
      <c r="E176" s="103">
        <f t="shared" ca="1" si="121"/>
        <v>0</v>
      </c>
      <c r="F176" s="103">
        <f t="shared" ca="1" si="122"/>
        <v>0</v>
      </c>
      <c r="G176" s="103">
        <f t="shared" ca="1" si="123"/>
        <v>0</v>
      </c>
      <c r="H176" s="103">
        <f t="shared" ca="1" si="124"/>
        <v>0</v>
      </c>
      <c r="I176" s="103">
        <f t="shared" ca="1" si="125"/>
        <v>0</v>
      </c>
      <c r="J176" s="103">
        <f t="shared" ca="1" si="126"/>
        <v>0</v>
      </c>
      <c r="K176" s="103">
        <f t="shared" ca="1" si="127"/>
        <v>0</v>
      </c>
      <c r="L176" s="103">
        <f t="shared" ca="1" si="128"/>
        <v>0</v>
      </c>
      <c r="M176" s="103">
        <f t="shared" ca="1" si="129"/>
        <v>0</v>
      </c>
      <c r="N176" s="103">
        <f t="shared" ca="1" si="130"/>
        <v>0</v>
      </c>
      <c r="O176" s="103">
        <f t="shared" ca="1" si="131"/>
        <v>0</v>
      </c>
      <c r="P176" s="103">
        <f t="shared" ca="1" si="132"/>
        <v>0</v>
      </c>
      <c r="Q176" s="103">
        <f t="shared" ca="1" si="133"/>
        <v>0</v>
      </c>
      <c r="R176" s="103">
        <f t="shared" ca="1" si="134"/>
        <v>0</v>
      </c>
      <c r="S176" s="103">
        <f t="shared" ca="1" si="135"/>
        <v>0</v>
      </c>
      <c r="T176" s="103">
        <f t="shared" ca="1" si="136"/>
        <v>0</v>
      </c>
      <c r="U176" s="103">
        <f t="shared" ca="1" si="137"/>
        <v>0</v>
      </c>
      <c r="V176" s="103">
        <f t="shared" ca="1" si="138"/>
        <v>0</v>
      </c>
      <c r="W176" s="103">
        <f t="shared" ca="1" si="139"/>
        <v>0</v>
      </c>
      <c r="X176" s="103">
        <f t="shared" ca="1" si="140"/>
        <v>0</v>
      </c>
      <c r="Y176" s="103">
        <f t="shared" ca="1" si="141"/>
        <v>0</v>
      </c>
      <c r="Z176" s="103">
        <f t="shared" ca="1" si="142"/>
        <v>0</v>
      </c>
      <c r="AA176" s="103">
        <f t="shared" ca="1" si="143"/>
        <v>0</v>
      </c>
      <c r="AB176" s="103">
        <f t="shared" ca="1" si="144"/>
        <v>0</v>
      </c>
      <c r="AC176" s="103">
        <f t="shared" ca="1" si="145"/>
        <v>0</v>
      </c>
      <c r="AD176" s="103">
        <f t="shared" ca="1" si="146"/>
        <v>0</v>
      </c>
      <c r="AE176" s="103">
        <f t="shared" ca="1" si="147"/>
        <v>0</v>
      </c>
      <c r="AF176" s="103">
        <f t="shared" ca="1" si="148"/>
        <v>0</v>
      </c>
      <c r="AG176" s="103">
        <f t="shared" ca="1" si="149"/>
        <v>0</v>
      </c>
      <c r="AH176" s="103">
        <f t="shared" ca="1" si="150"/>
        <v>0</v>
      </c>
      <c r="AI176" s="103">
        <f t="shared" ca="1" si="151"/>
        <v>0</v>
      </c>
      <c r="AJ176" s="98">
        <f t="shared" ca="1" si="186"/>
        <v>0</v>
      </c>
      <c r="AK176" s="103">
        <f t="shared" ca="1" si="186"/>
        <v>0</v>
      </c>
      <c r="AL176" s="103">
        <f t="shared" ca="1" si="186"/>
        <v>0</v>
      </c>
      <c r="AM176" s="103">
        <f t="shared" ca="1" si="186"/>
        <v>0</v>
      </c>
      <c r="AN176" s="103">
        <f t="shared" ca="1" si="186"/>
        <v>0</v>
      </c>
      <c r="AO176" s="103">
        <f t="shared" ca="1" si="186"/>
        <v>0</v>
      </c>
      <c r="AP176" s="103">
        <f t="shared" ca="1" si="186"/>
        <v>0</v>
      </c>
      <c r="AQ176" s="103">
        <f t="shared" ca="1" si="186"/>
        <v>0</v>
      </c>
      <c r="AR176" s="104">
        <f ca="1">COUNTIF(AJ176:AQ176,"&lt;"&amp;MAX(AJ176:AQ176))+IF(Calcs[[#This Row],[DL1]]=0,0,1)</f>
        <v>0</v>
      </c>
      <c r="AS176" s="105" t="str">
        <f ca="1">IF(LEN(Calcs[[#This Row],[Line]])&gt;0,IF(RIGHT(Calcs[[#This Row],[Remark]],3)=".  ",LEFT(Calcs[[#This Row],[Remark]],LEN(Calcs[[#This Row],[Remark]])-3),Calcs[[#This Row],[Remark]]),"")</f>
        <v/>
      </c>
      <c r="AT176" s="96">
        <f t="shared" ca="1" si="152"/>
        <v>0</v>
      </c>
      <c r="AU176" s="103">
        <f t="shared" ca="1" si="153"/>
        <v>0</v>
      </c>
      <c r="AV176" s="103">
        <f t="shared" ca="1" si="154"/>
        <v>0</v>
      </c>
      <c r="AW176" s="103">
        <f t="shared" ca="1" si="155"/>
        <v>0</v>
      </c>
      <c r="AX176" s="103">
        <f t="shared" ca="1" si="156"/>
        <v>0</v>
      </c>
      <c r="AY176" s="103">
        <f t="shared" ca="1" si="157"/>
        <v>0</v>
      </c>
      <c r="AZ176" s="103">
        <f t="shared" ca="1" si="158"/>
        <v>0</v>
      </c>
      <c r="BA176" s="103">
        <f t="shared" ca="1" si="159"/>
        <v>0</v>
      </c>
      <c r="BB176" s="103">
        <f t="shared" ca="1" si="160"/>
        <v>0</v>
      </c>
      <c r="BC176" s="103">
        <f t="shared" ca="1" si="161"/>
        <v>0</v>
      </c>
      <c r="BD176" s="103">
        <f t="shared" ca="1" si="162"/>
        <v>0</v>
      </c>
      <c r="BE176" s="103">
        <f t="shared" ca="1" si="163"/>
        <v>0</v>
      </c>
      <c r="BF176" s="103">
        <f t="shared" ca="1" si="164"/>
        <v>0</v>
      </c>
      <c r="BG176" s="103">
        <f t="shared" ca="1" si="165"/>
        <v>0</v>
      </c>
      <c r="BH176" s="103">
        <f t="shared" ca="1" si="166"/>
        <v>0</v>
      </c>
      <c r="BI176" s="103">
        <f t="shared" ca="1" si="167"/>
        <v>0</v>
      </c>
      <c r="BJ176" s="103">
        <f t="shared" ca="1" si="168"/>
        <v>0</v>
      </c>
      <c r="BK176" s="103">
        <f t="shared" ca="1" si="169"/>
        <v>0</v>
      </c>
      <c r="BL176" s="103">
        <f t="shared" ca="1" si="170"/>
        <v>0</v>
      </c>
      <c r="BM176" s="103">
        <f t="shared" ca="1" si="171"/>
        <v>0</v>
      </c>
      <c r="BN176" s="103">
        <f t="shared" ca="1" si="172"/>
        <v>0</v>
      </c>
      <c r="BO176" s="103">
        <f t="shared" ca="1" si="173"/>
        <v>0</v>
      </c>
      <c r="BP176" s="103">
        <f t="shared" ca="1" si="174"/>
        <v>0</v>
      </c>
      <c r="BQ176" s="103">
        <f t="shared" ca="1" si="175"/>
        <v>0</v>
      </c>
      <c r="BR176" s="103">
        <f t="shared" ca="1" si="176"/>
        <v>0</v>
      </c>
      <c r="BS176" s="103">
        <f t="shared" ca="1" si="177"/>
        <v>0</v>
      </c>
      <c r="BT176" s="103">
        <f t="shared" ca="1" si="178"/>
        <v>0</v>
      </c>
      <c r="BU176" s="103">
        <f t="shared" ca="1" si="179"/>
        <v>0</v>
      </c>
      <c r="BV176" s="103">
        <f t="shared" ca="1" si="180"/>
        <v>0</v>
      </c>
      <c r="BW176" s="103">
        <f t="shared" ca="1" si="181"/>
        <v>0</v>
      </c>
      <c r="BX176" s="103">
        <f t="shared" ca="1" si="182"/>
        <v>0</v>
      </c>
      <c r="BY176" s="103">
        <f t="shared" ca="1" si="183"/>
        <v>0</v>
      </c>
      <c r="BZ176" s="98">
        <f t="shared" ca="1" si="187"/>
        <v>0</v>
      </c>
      <c r="CA176" s="103">
        <f t="shared" ca="1" si="187"/>
        <v>0</v>
      </c>
      <c r="CB176" s="103">
        <f t="shared" ca="1" si="187"/>
        <v>0</v>
      </c>
      <c r="CC176" s="103">
        <f t="shared" ca="1" si="187"/>
        <v>0</v>
      </c>
      <c r="CD176" s="103">
        <f t="shared" ca="1" si="187"/>
        <v>0</v>
      </c>
      <c r="CE176" s="103">
        <f t="shared" ca="1" si="187"/>
        <v>0</v>
      </c>
      <c r="CF176" s="103">
        <f t="shared" ca="1" si="187"/>
        <v>0</v>
      </c>
      <c r="CG176" s="103">
        <f t="shared" ca="1" si="187"/>
        <v>0</v>
      </c>
      <c r="CH176" s="106">
        <f ca="1">COUNTIF(BZ176:CG176,"&lt;"&amp;MAX(BZ176:CG176))+IF(Calcs[[#This Row],[RL1]]=0,0,1)</f>
        <v>0</v>
      </c>
      <c r="CI17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6" s="103">
        <f ca="1">IFERROR(OFFSET(CJ176,-1,0)+0,0)+IF(INDEX(INDIRECT(RangeContrQty),MATCH(Calcs[[#This Row],[Line]],OFFSET(Items[Line],0,0,ROW(Proposed[])-ROW(Items[])+ROWS(Proposed[]),1),0)),1,0)</f>
        <v>0</v>
      </c>
    </row>
    <row r="177" spans="1:88" x14ac:dyDescent="0.15">
      <c r="A177" s="64">
        <f ca="1">IFERROR(OFFSET(A177,-1,0)+0,0)+MAX(IF(LEN(Calcs[[#This Row],[Line]])&gt;0,1,0),Calcs[[#This Row],[DL]],Calcs[[#This Row],[RL]])</f>
        <v>10</v>
      </c>
      <c r="B177" s="90" t="str">
        <f ca="1">IFERROR(INDEX(OFFSET(Items[Line],0,0,ROW(Proposed[])-ROW(Items[])+ROWS(Proposed[]),1),MATCH(ROW(B177)-ROW(B$3),INDIRECT(RangeCount),0)),"")</f>
        <v/>
      </c>
      <c r="C177" s="90" t="str">
        <f ca="1">IF(LEN(Calcs[[#This Row],[Line]])&gt;0,TRIM(IFERROR(INDEX(Items[Description],MATCH(Calcs[[#This Row],[Line]],Items[Line],0))&amp;INDEX(Items[Description2],MATCH(Calcs[[#This Row],[Line]],Items[Line],0)),INDEX(Proposed[Description],MATCH(Calcs[[#This Row],[Line]],Proposed[Line],0)))),"")</f>
        <v/>
      </c>
      <c r="D177" s="96">
        <f t="shared" ca="1" si="120"/>
        <v>0</v>
      </c>
      <c r="E177" s="103">
        <f t="shared" ca="1" si="121"/>
        <v>0</v>
      </c>
      <c r="F177" s="103">
        <f t="shared" ca="1" si="122"/>
        <v>0</v>
      </c>
      <c r="G177" s="103">
        <f t="shared" ca="1" si="123"/>
        <v>0</v>
      </c>
      <c r="H177" s="103">
        <f t="shared" ca="1" si="124"/>
        <v>0</v>
      </c>
      <c r="I177" s="103">
        <f t="shared" ca="1" si="125"/>
        <v>0</v>
      </c>
      <c r="J177" s="103">
        <f t="shared" ca="1" si="126"/>
        <v>0</v>
      </c>
      <c r="K177" s="103">
        <f t="shared" ca="1" si="127"/>
        <v>0</v>
      </c>
      <c r="L177" s="103">
        <f t="shared" ca="1" si="128"/>
        <v>0</v>
      </c>
      <c r="M177" s="103">
        <f t="shared" ca="1" si="129"/>
        <v>0</v>
      </c>
      <c r="N177" s="103">
        <f t="shared" ca="1" si="130"/>
        <v>0</v>
      </c>
      <c r="O177" s="103">
        <f t="shared" ca="1" si="131"/>
        <v>0</v>
      </c>
      <c r="P177" s="103">
        <f t="shared" ca="1" si="132"/>
        <v>0</v>
      </c>
      <c r="Q177" s="103">
        <f t="shared" ca="1" si="133"/>
        <v>0</v>
      </c>
      <c r="R177" s="103">
        <f t="shared" ca="1" si="134"/>
        <v>0</v>
      </c>
      <c r="S177" s="103">
        <f t="shared" ca="1" si="135"/>
        <v>0</v>
      </c>
      <c r="T177" s="103">
        <f t="shared" ca="1" si="136"/>
        <v>0</v>
      </c>
      <c r="U177" s="103">
        <f t="shared" ca="1" si="137"/>
        <v>0</v>
      </c>
      <c r="V177" s="103">
        <f t="shared" ca="1" si="138"/>
        <v>0</v>
      </c>
      <c r="W177" s="103">
        <f t="shared" ca="1" si="139"/>
        <v>0</v>
      </c>
      <c r="X177" s="103">
        <f t="shared" ca="1" si="140"/>
        <v>0</v>
      </c>
      <c r="Y177" s="103">
        <f t="shared" ca="1" si="141"/>
        <v>0</v>
      </c>
      <c r="Z177" s="103">
        <f t="shared" ca="1" si="142"/>
        <v>0</v>
      </c>
      <c r="AA177" s="103">
        <f t="shared" ca="1" si="143"/>
        <v>0</v>
      </c>
      <c r="AB177" s="103">
        <f t="shared" ca="1" si="144"/>
        <v>0</v>
      </c>
      <c r="AC177" s="103">
        <f t="shared" ca="1" si="145"/>
        <v>0</v>
      </c>
      <c r="AD177" s="103">
        <f t="shared" ca="1" si="146"/>
        <v>0</v>
      </c>
      <c r="AE177" s="103">
        <f t="shared" ca="1" si="147"/>
        <v>0</v>
      </c>
      <c r="AF177" s="103">
        <f t="shared" ca="1" si="148"/>
        <v>0</v>
      </c>
      <c r="AG177" s="103">
        <f t="shared" ca="1" si="149"/>
        <v>0</v>
      </c>
      <c r="AH177" s="103">
        <f t="shared" ca="1" si="150"/>
        <v>0</v>
      </c>
      <c r="AI177" s="103">
        <f t="shared" ca="1" si="151"/>
        <v>0</v>
      </c>
      <c r="AJ177" s="98">
        <f t="shared" ca="1" si="186"/>
        <v>0</v>
      </c>
      <c r="AK177" s="103">
        <f t="shared" ca="1" si="186"/>
        <v>0</v>
      </c>
      <c r="AL177" s="103">
        <f t="shared" ca="1" si="186"/>
        <v>0</v>
      </c>
      <c r="AM177" s="103">
        <f t="shared" ca="1" si="186"/>
        <v>0</v>
      </c>
      <c r="AN177" s="103">
        <f t="shared" ca="1" si="186"/>
        <v>0</v>
      </c>
      <c r="AO177" s="103">
        <f t="shared" ca="1" si="186"/>
        <v>0</v>
      </c>
      <c r="AP177" s="103">
        <f t="shared" ca="1" si="186"/>
        <v>0</v>
      </c>
      <c r="AQ177" s="103">
        <f t="shared" ca="1" si="186"/>
        <v>0</v>
      </c>
      <c r="AR177" s="104">
        <f ca="1">COUNTIF(AJ177:AQ177,"&lt;"&amp;MAX(AJ177:AQ177))+IF(Calcs[[#This Row],[DL1]]=0,0,1)</f>
        <v>0</v>
      </c>
      <c r="AS177" s="105" t="str">
        <f ca="1">IF(LEN(Calcs[[#This Row],[Line]])&gt;0,IF(RIGHT(Calcs[[#This Row],[Remark]],3)=".  ",LEFT(Calcs[[#This Row],[Remark]],LEN(Calcs[[#This Row],[Remark]])-3),Calcs[[#This Row],[Remark]]),"")</f>
        <v/>
      </c>
      <c r="AT177" s="96">
        <f t="shared" ca="1" si="152"/>
        <v>0</v>
      </c>
      <c r="AU177" s="103">
        <f t="shared" ca="1" si="153"/>
        <v>0</v>
      </c>
      <c r="AV177" s="103">
        <f t="shared" ca="1" si="154"/>
        <v>0</v>
      </c>
      <c r="AW177" s="103">
        <f t="shared" ca="1" si="155"/>
        <v>0</v>
      </c>
      <c r="AX177" s="103">
        <f t="shared" ca="1" si="156"/>
        <v>0</v>
      </c>
      <c r="AY177" s="103">
        <f t="shared" ca="1" si="157"/>
        <v>0</v>
      </c>
      <c r="AZ177" s="103">
        <f t="shared" ca="1" si="158"/>
        <v>0</v>
      </c>
      <c r="BA177" s="103">
        <f t="shared" ca="1" si="159"/>
        <v>0</v>
      </c>
      <c r="BB177" s="103">
        <f t="shared" ca="1" si="160"/>
        <v>0</v>
      </c>
      <c r="BC177" s="103">
        <f t="shared" ca="1" si="161"/>
        <v>0</v>
      </c>
      <c r="BD177" s="103">
        <f t="shared" ca="1" si="162"/>
        <v>0</v>
      </c>
      <c r="BE177" s="103">
        <f t="shared" ca="1" si="163"/>
        <v>0</v>
      </c>
      <c r="BF177" s="103">
        <f t="shared" ca="1" si="164"/>
        <v>0</v>
      </c>
      <c r="BG177" s="103">
        <f t="shared" ca="1" si="165"/>
        <v>0</v>
      </c>
      <c r="BH177" s="103">
        <f t="shared" ca="1" si="166"/>
        <v>0</v>
      </c>
      <c r="BI177" s="103">
        <f t="shared" ca="1" si="167"/>
        <v>0</v>
      </c>
      <c r="BJ177" s="103">
        <f t="shared" ca="1" si="168"/>
        <v>0</v>
      </c>
      <c r="BK177" s="103">
        <f t="shared" ca="1" si="169"/>
        <v>0</v>
      </c>
      <c r="BL177" s="103">
        <f t="shared" ca="1" si="170"/>
        <v>0</v>
      </c>
      <c r="BM177" s="103">
        <f t="shared" ca="1" si="171"/>
        <v>0</v>
      </c>
      <c r="BN177" s="103">
        <f t="shared" ca="1" si="172"/>
        <v>0</v>
      </c>
      <c r="BO177" s="103">
        <f t="shared" ca="1" si="173"/>
        <v>0</v>
      </c>
      <c r="BP177" s="103">
        <f t="shared" ca="1" si="174"/>
        <v>0</v>
      </c>
      <c r="BQ177" s="103">
        <f t="shared" ca="1" si="175"/>
        <v>0</v>
      </c>
      <c r="BR177" s="103">
        <f t="shared" ca="1" si="176"/>
        <v>0</v>
      </c>
      <c r="BS177" s="103">
        <f t="shared" ca="1" si="177"/>
        <v>0</v>
      </c>
      <c r="BT177" s="103">
        <f t="shared" ca="1" si="178"/>
        <v>0</v>
      </c>
      <c r="BU177" s="103">
        <f t="shared" ca="1" si="179"/>
        <v>0</v>
      </c>
      <c r="BV177" s="103">
        <f t="shared" ca="1" si="180"/>
        <v>0</v>
      </c>
      <c r="BW177" s="103">
        <f t="shared" ca="1" si="181"/>
        <v>0</v>
      </c>
      <c r="BX177" s="103">
        <f t="shared" ca="1" si="182"/>
        <v>0</v>
      </c>
      <c r="BY177" s="103">
        <f t="shared" ca="1" si="183"/>
        <v>0</v>
      </c>
      <c r="BZ177" s="98">
        <f t="shared" ca="1" si="187"/>
        <v>0</v>
      </c>
      <c r="CA177" s="103">
        <f t="shared" ca="1" si="187"/>
        <v>0</v>
      </c>
      <c r="CB177" s="103">
        <f t="shared" ca="1" si="187"/>
        <v>0</v>
      </c>
      <c r="CC177" s="103">
        <f t="shared" ca="1" si="187"/>
        <v>0</v>
      </c>
      <c r="CD177" s="103">
        <f t="shared" ca="1" si="187"/>
        <v>0</v>
      </c>
      <c r="CE177" s="103">
        <f t="shared" ca="1" si="187"/>
        <v>0</v>
      </c>
      <c r="CF177" s="103">
        <f t="shared" ca="1" si="187"/>
        <v>0</v>
      </c>
      <c r="CG177" s="103">
        <f t="shared" ca="1" si="187"/>
        <v>0</v>
      </c>
      <c r="CH177" s="106">
        <f ca="1">COUNTIF(BZ177:CG177,"&lt;"&amp;MAX(BZ177:CG177))+IF(Calcs[[#This Row],[RL1]]=0,0,1)</f>
        <v>0</v>
      </c>
      <c r="CI17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7" s="103">
        <f ca="1">IFERROR(OFFSET(CJ177,-1,0)+0,0)+IF(INDEX(INDIRECT(RangeContrQty),MATCH(Calcs[[#This Row],[Line]],OFFSET(Items[Line],0,0,ROW(Proposed[])-ROW(Items[])+ROWS(Proposed[]),1),0)),1,0)</f>
        <v>0</v>
      </c>
    </row>
    <row r="178" spans="1:88" x14ac:dyDescent="0.15">
      <c r="A178" s="64">
        <f ca="1">IFERROR(OFFSET(A178,-1,0)+0,0)+MAX(IF(LEN(Calcs[[#This Row],[Line]])&gt;0,1,0),Calcs[[#This Row],[DL]],Calcs[[#This Row],[RL]])</f>
        <v>10</v>
      </c>
      <c r="B178" s="90" t="str">
        <f ca="1">IFERROR(INDEX(OFFSET(Items[Line],0,0,ROW(Proposed[])-ROW(Items[])+ROWS(Proposed[]),1),MATCH(ROW(B178)-ROW(B$3),INDIRECT(RangeCount),0)),"")</f>
        <v/>
      </c>
      <c r="C178" s="90" t="str">
        <f ca="1">IF(LEN(Calcs[[#This Row],[Line]])&gt;0,TRIM(IFERROR(INDEX(Items[Description],MATCH(Calcs[[#This Row],[Line]],Items[Line],0))&amp;INDEX(Items[Description2],MATCH(Calcs[[#This Row],[Line]],Items[Line],0)),INDEX(Proposed[Description],MATCH(Calcs[[#This Row],[Line]],Proposed[Line],0)))),"")</f>
        <v/>
      </c>
      <c r="D178" s="96">
        <f t="shared" ca="1" si="120"/>
        <v>0</v>
      </c>
      <c r="E178" s="103">
        <f t="shared" ca="1" si="121"/>
        <v>0</v>
      </c>
      <c r="F178" s="103">
        <f t="shared" ca="1" si="122"/>
        <v>0</v>
      </c>
      <c r="G178" s="103">
        <f t="shared" ca="1" si="123"/>
        <v>0</v>
      </c>
      <c r="H178" s="103">
        <f t="shared" ca="1" si="124"/>
        <v>0</v>
      </c>
      <c r="I178" s="103">
        <f t="shared" ca="1" si="125"/>
        <v>0</v>
      </c>
      <c r="J178" s="103">
        <f t="shared" ca="1" si="126"/>
        <v>0</v>
      </c>
      <c r="K178" s="103">
        <f t="shared" ca="1" si="127"/>
        <v>0</v>
      </c>
      <c r="L178" s="103">
        <f t="shared" ca="1" si="128"/>
        <v>0</v>
      </c>
      <c r="M178" s="103">
        <f t="shared" ca="1" si="129"/>
        <v>0</v>
      </c>
      <c r="N178" s="103">
        <f t="shared" ca="1" si="130"/>
        <v>0</v>
      </c>
      <c r="O178" s="103">
        <f t="shared" ca="1" si="131"/>
        <v>0</v>
      </c>
      <c r="P178" s="103">
        <f t="shared" ca="1" si="132"/>
        <v>0</v>
      </c>
      <c r="Q178" s="103">
        <f t="shared" ca="1" si="133"/>
        <v>0</v>
      </c>
      <c r="R178" s="103">
        <f t="shared" ca="1" si="134"/>
        <v>0</v>
      </c>
      <c r="S178" s="103">
        <f t="shared" ca="1" si="135"/>
        <v>0</v>
      </c>
      <c r="T178" s="103">
        <f t="shared" ca="1" si="136"/>
        <v>0</v>
      </c>
      <c r="U178" s="103">
        <f t="shared" ca="1" si="137"/>
        <v>0</v>
      </c>
      <c r="V178" s="103">
        <f t="shared" ca="1" si="138"/>
        <v>0</v>
      </c>
      <c r="W178" s="103">
        <f t="shared" ca="1" si="139"/>
        <v>0</v>
      </c>
      <c r="X178" s="103">
        <f t="shared" ca="1" si="140"/>
        <v>0</v>
      </c>
      <c r="Y178" s="103">
        <f t="shared" ca="1" si="141"/>
        <v>0</v>
      </c>
      <c r="Z178" s="103">
        <f t="shared" ca="1" si="142"/>
        <v>0</v>
      </c>
      <c r="AA178" s="103">
        <f t="shared" ca="1" si="143"/>
        <v>0</v>
      </c>
      <c r="AB178" s="103">
        <f t="shared" ca="1" si="144"/>
        <v>0</v>
      </c>
      <c r="AC178" s="103">
        <f t="shared" ca="1" si="145"/>
        <v>0</v>
      </c>
      <c r="AD178" s="103">
        <f t="shared" ca="1" si="146"/>
        <v>0</v>
      </c>
      <c r="AE178" s="103">
        <f t="shared" ca="1" si="147"/>
        <v>0</v>
      </c>
      <c r="AF178" s="103">
        <f t="shared" ca="1" si="148"/>
        <v>0</v>
      </c>
      <c r="AG178" s="103">
        <f t="shared" ca="1" si="149"/>
        <v>0</v>
      </c>
      <c r="AH178" s="103">
        <f t="shared" ca="1" si="150"/>
        <v>0</v>
      </c>
      <c r="AI178" s="103">
        <f t="shared" ca="1" si="151"/>
        <v>0</v>
      </c>
      <c r="AJ178" s="98">
        <f t="shared" ca="1" si="186"/>
        <v>0</v>
      </c>
      <c r="AK178" s="103">
        <f t="shared" ca="1" si="186"/>
        <v>0</v>
      </c>
      <c r="AL178" s="103">
        <f t="shared" ca="1" si="186"/>
        <v>0</v>
      </c>
      <c r="AM178" s="103">
        <f t="shared" ca="1" si="186"/>
        <v>0</v>
      </c>
      <c r="AN178" s="103">
        <f t="shared" ca="1" si="186"/>
        <v>0</v>
      </c>
      <c r="AO178" s="103">
        <f t="shared" ca="1" si="186"/>
        <v>0</v>
      </c>
      <c r="AP178" s="103">
        <f t="shared" ca="1" si="186"/>
        <v>0</v>
      </c>
      <c r="AQ178" s="103">
        <f t="shared" ca="1" si="186"/>
        <v>0</v>
      </c>
      <c r="AR178" s="104">
        <f ca="1">COUNTIF(AJ178:AQ178,"&lt;"&amp;MAX(AJ178:AQ178))+IF(Calcs[[#This Row],[DL1]]=0,0,1)</f>
        <v>0</v>
      </c>
      <c r="AS178" s="105" t="str">
        <f ca="1">IF(LEN(Calcs[[#This Row],[Line]])&gt;0,IF(RIGHT(Calcs[[#This Row],[Remark]],3)=".  ",LEFT(Calcs[[#This Row],[Remark]],LEN(Calcs[[#This Row],[Remark]])-3),Calcs[[#This Row],[Remark]]),"")</f>
        <v/>
      </c>
      <c r="AT178" s="96">
        <f t="shared" ca="1" si="152"/>
        <v>0</v>
      </c>
      <c r="AU178" s="103">
        <f t="shared" ca="1" si="153"/>
        <v>0</v>
      </c>
      <c r="AV178" s="103">
        <f t="shared" ca="1" si="154"/>
        <v>0</v>
      </c>
      <c r="AW178" s="103">
        <f t="shared" ca="1" si="155"/>
        <v>0</v>
      </c>
      <c r="AX178" s="103">
        <f t="shared" ca="1" si="156"/>
        <v>0</v>
      </c>
      <c r="AY178" s="103">
        <f t="shared" ca="1" si="157"/>
        <v>0</v>
      </c>
      <c r="AZ178" s="103">
        <f t="shared" ca="1" si="158"/>
        <v>0</v>
      </c>
      <c r="BA178" s="103">
        <f t="shared" ca="1" si="159"/>
        <v>0</v>
      </c>
      <c r="BB178" s="103">
        <f t="shared" ca="1" si="160"/>
        <v>0</v>
      </c>
      <c r="BC178" s="103">
        <f t="shared" ca="1" si="161"/>
        <v>0</v>
      </c>
      <c r="BD178" s="103">
        <f t="shared" ca="1" si="162"/>
        <v>0</v>
      </c>
      <c r="BE178" s="103">
        <f t="shared" ca="1" si="163"/>
        <v>0</v>
      </c>
      <c r="BF178" s="103">
        <f t="shared" ca="1" si="164"/>
        <v>0</v>
      </c>
      <c r="BG178" s="103">
        <f t="shared" ca="1" si="165"/>
        <v>0</v>
      </c>
      <c r="BH178" s="103">
        <f t="shared" ca="1" si="166"/>
        <v>0</v>
      </c>
      <c r="BI178" s="103">
        <f t="shared" ca="1" si="167"/>
        <v>0</v>
      </c>
      <c r="BJ178" s="103">
        <f t="shared" ca="1" si="168"/>
        <v>0</v>
      </c>
      <c r="BK178" s="103">
        <f t="shared" ca="1" si="169"/>
        <v>0</v>
      </c>
      <c r="BL178" s="103">
        <f t="shared" ca="1" si="170"/>
        <v>0</v>
      </c>
      <c r="BM178" s="103">
        <f t="shared" ca="1" si="171"/>
        <v>0</v>
      </c>
      <c r="BN178" s="103">
        <f t="shared" ca="1" si="172"/>
        <v>0</v>
      </c>
      <c r="BO178" s="103">
        <f t="shared" ca="1" si="173"/>
        <v>0</v>
      </c>
      <c r="BP178" s="103">
        <f t="shared" ca="1" si="174"/>
        <v>0</v>
      </c>
      <c r="BQ178" s="103">
        <f t="shared" ca="1" si="175"/>
        <v>0</v>
      </c>
      <c r="BR178" s="103">
        <f t="shared" ca="1" si="176"/>
        <v>0</v>
      </c>
      <c r="BS178" s="103">
        <f t="shared" ca="1" si="177"/>
        <v>0</v>
      </c>
      <c r="BT178" s="103">
        <f t="shared" ca="1" si="178"/>
        <v>0</v>
      </c>
      <c r="BU178" s="103">
        <f t="shared" ca="1" si="179"/>
        <v>0</v>
      </c>
      <c r="BV178" s="103">
        <f t="shared" ca="1" si="180"/>
        <v>0</v>
      </c>
      <c r="BW178" s="103">
        <f t="shared" ca="1" si="181"/>
        <v>0</v>
      </c>
      <c r="BX178" s="103">
        <f t="shared" ca="1" si="182"/>
        <v>0</v>
      </c>
      <c r="BY178" s="103">
        <f t="shared" ca="1" si="183"/>
        <v>0</v>
      </c>
      <c r="BZ178" s="98">
        <f t="shared" ca="1" si="187"/>
        <v>0</v>
      </c>
      <c r="CA178" s="103">
        <f t="shared" ca="1" si="187"/>
        <v>0</v>
      </c>
      <c r="CB178" s="103">
        <f t="shared" ca="1" si="187"/>
        <v>0</v>
      </c>
      <c r="CC178" s="103">
        <f t="shared" ca="1" si="187"/>
        <v>0</v>
      </c>
      <c r="CD178" s="103">
        <f t="shared" ca="1" si="187"/>
        <v>0</v>
      </c>
      <c r="CE178" s="103">
        <f t="shared" ca="1" si="187"/>
        <v>0</v>
      </c>
      <c r="CF178" s="103">
        <f t="shared" ca="1" si="187"/>
        <v>0</v>
      </c>
      <c r="CG178" s="103">
        <f t="shared" ca="1" si="187"/>
        <v>0</v>
      </c>
      <c r="CH178" s="106">
        <f ca="1">COUNTIF(BZ178:CG178,"&lt;"&amp;MAX(BZ178:CG178))+IF(Calcs[[#This Row],[RL1]]=0,0,1)</f>
        <v>0</v>
      </c>
      <c r="CI17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8" s="103">
        <f ca="1">IFERROR(OFFSET(CJ178,-1,0)+0,0)+IF(INDEX(INDIRECT(RangeContrQty),MATCH(Calcs[[#This Row],[Line]],OFFSET(Items[Line],0,0,ROW(Proposed[])-ROW(Items[])+ROWS(Proposed[]),1),0)),1,0)</f>
        <v>0</v>
      </c>
    </row>
    <row r="179" spans="1:88" x14ac:dyDescent="0.15">
      <c r="A179" s="64">
        <f ca="1">IFERROR(OFFSET(A179,-1,0)+0,0)+MAX(IF(LEN(Calcs[[#This Row],[Line]])&gt;0,1,0),Calcs[[#This Row],[DL]],Calcs[[#This Row],[RL]])</f>
        <v>10</v>
      </c>
      <c r="B179" s="90" t="str">
        <f ca="1">IFERROR(INDEX(OFFSET(Items[Line],0,0,ROW(Proposed[])-ROW(Items[])+ROWS(Proposed[]),1),MATCH(ROW(B179)-ROW(B$3),INDIRECT(RangeCount),0)),"")</f>
        <v/>
      </c>
      <c r="C179" s="90" t="str">
        <f ca="1">IF(LEN(Calcs[[#This Row],[Line]])&gt;0,TRIM(IFERROR(INDEX(Items[Description],MATCH(Calcs[[#This Row],[Line]],Items[Line],0))&amp;INDEX(Items[Description2],MATCH(Calcs[[#This Row],[Line]],Items[Line],0)),INDEX(Proposed[Description],MATCH(Calcs[[#This Row],[Line]],Proposed[Line],0)))),"")</f>
        <v/>
      </c>
      <c r="D179" s="96">
        <f t="shared" ca="1" si="120"/>
        <v>0</v>
      </c>
      <c r="E179" s="103">
        <f t="shared" ca="1" si="121"/>
        <v>0</v>
      </c>
      <c r="F179" s="103">
        <f t="shared" ca="1" si="122"/>
        <v>0</v>
      </c>
      <c r="G179" s="103">
        <f t="shared" ca="1" si="123"/>
        <v>0</v>
      </c>
      <c r="H179" s="103">
        <f t="shared" ca="1" si="124"/>
        <v>0</v>
      </c>
      <c r="I179" s="103">
        <f t="shared" ca="1" si="125"/>
        <v>0</v>
      </c>
      <c r="J179" s="103">
        <f t="shared" ca="1" si="126"/>
        <v>0</v>
      </c>
      <c r="K179" s="103">
        <f t="shared" ca="1" si="127"/>
        <v>0</v>
      </c>
      <c r="L179" s="103">
        <f t="shared" ca="1" si="128"/>
        <v>0</v>
      </c>
      <c r="M179" s="103">
        <f t="shared" ca="1" si="129"/>
        <v>0</v>
      </c>
      <c r="N179" s="103">
        <f t="shared" ca="1" si="130"/>
        <v>0</v>
      </c>
      <c r="O179" s="103">
        <f t="shared" ca="1" si="131"/>
        <v>0</v>
      </c>
      <c r="P179" s="103">
        <f t="shared" ca="1" si="132"/>
        <v>0</v>
      </c>
      <c r="Q179" s="103">
        <f t="shared" ca="1" si="133"/>
        <v>0</v>
      </c>
      <c r="R179" s="103">
        <f t="shared" ca="1" si="134"/>
        <v>0</v>
      </c>
      <c r="S179" s="103">
        <f t="shared" ca="1" si="135"/>
        <v>0</v>
      </c>
      <c r="T179" s="103">
        <f t="shared" ca="1" si="136"/>
        <v>0</v>
      </c>
      <c r="U179" s="103">
        <f t="shared" ca="1" si="137"/>
        <v>0</v>
      </c>
      <c r="V179" s="103">
        <f t="shared" ca="1" si="138"/>
        <v>0</v>
      </c>
      <c r="W179" s="103">
        <f t="shared" ca="1" si="139"/>
        <v>0</v>
      </c>
      <c r="X179" s="103">
        <f t="shared" ca="1" si="140"/>
        <v>0</v>
      </c>
      <c r="Y179" s="103">
        <f t="shared" ca="1" si="141"/>
        <v>0</v>
      </c>
      <c r="Z179" s="103">
        <f t="shared" ca="1" si="142"/>
        <v>0</v>
      </c>
      <c r="AA179" s="103">
        <f t="shared" ca="1" si="143"/>
        <v>0</v>
      </c>
      <c r="AB179" s="103">
        <f t="shared" ca="1" si="144"/>
        <v>0</v>
      </c>
      <c r="AC179" s="103">
        <f t="shared" ca="1" si="145"/>
        <v>0</v>
      </c>
      <c r="AD179" s="103">
        <f t="shared" ca="1" si="146"/>
        <v>0</v>
      </c>
      <c r="AE179" s="103">
        <f t="shared" ca="1" si="147"/>
        <v>0</v>
      </c>
      <c r="AF179" s="103">
        <f t="shared" ca="1" si="148"/>
        <v>0</v>
      </c>
      <c r="AG179" s="103">
        <f t="shared" ca="1" si="149"/>
        <v>0</v>
      </c>
      <c r="AH179" s="103">
        <f t="shared" ca="1" si="150"/>
        <v>0</v>
      </c>
      <c r="AI179" s="103">
        <f t="shared" ca="1" si="151"/>
        <v>0</v>
      </c>
      <c r="AJ179" s="98">
        <f t="shared" ca="1" si="186"/>
        <v>0</v>
      </c>
      <c r="AK179" s="103">
        <f t="shared" ca="1" si="186"/>
        <v>0</v>
      </c>
      <c r="AL179" s="103">
        <f t="shared" ca="1" si="186"/>
        <v>0</v>
      </c>
      <c r="AM179" s="103">
        <f t="shared" ca="1" si="186"/>
        <v>0</v>
      </c>
      <c r="AN179" s="103">
        <f t="shared" ca="1" si="186"/>
        <v>0</v>
      </c>
      <c r="AO179" s="103">
        <f t="shared" ca="1" si="186"/>
        <v>0</v>
      </c>
      <c r="AP179" s="103">
        <f t="shared" ca="1" si="186"/>
        <v>0</v>
      </c>
      <c r="AQ179" s="103">
        <f t="shared" ca="1" si="186"/>
        <v>0</v>
      </c>
      <c r="AR179" s="104">
        <f ca="1">COUNTIF(AJ179:AQ179,"&lt;"&amp;MAX(AJ179:AQ179))+IF(Calcs[[#This Row],[DL1]]=0,0,1)</f>
        <v>0</v>
      </c>
      <c r="AS179" s="105" t="str">
        <f ca="1">IF(LEN(Calcs[[#This Row],[Line]])&gt;0,IF(RIGHT(Calcs[[#This Row],[Remark]],3)=".  ",LEFT(Calcs[[#This Row],[Remark]],LEN(Calcs[[#This Row],[Remark]])-3),Calcs[[#This Row],[Remark]]),"")</f>
        <v/>
      </c>
      <c r="AT179" s="96">
        <f t="shared" ca="1" si="152"/>
        <v>0</v>
      </c>
      <c r="AU179" s="103">
        <f t="shared" ca="1" si="153"/>
        <v>0</v>
      </c>
      <c r="AV179" s="103">
        <f t="shared" ca="1" si="154"/>
        <v>0</v>
      </c>
      <c r="AW179" s="103">
        <f t="shared" ca="1" si="155"/>
        <v>0</v>
      </c>
      <c r="AX179" s="103">
        <f t="shared" ca="1" si="156"/>
        <v>0</v>
      </c>
      <c r="AY179" s="103">
        <f t="shared" ca="1" si="157"/>
        <v>0</v>
      </c>
      <c r="AZ179" s="103">
        <f t="shared" ca="1" si="158"/>
        <v>0</v>
      </c>
      <c r="BA179" s="103">
        <f t="shared" ca="1" si="159"/>
        <v>0</v>
      </c>
      <c r="BB179" s="103">
        <f t="shared" ca="1" si="160"/>
        <v>0</v>
      </c>
      <c r="BC179" s="103">
        <f t="shared" ca="1" si="161"/>
        <v>0</v>
      </c>
      <c r="BD179" s="103">
        <f t="shared" ca="1" si="162"/>
        <v>0</v>
      </c>
      <c r="BE179" s="103">
        <f t="shared" ca="1" si="163"/>
        <v>0</v>
      </c>
      <c r="BF179" s="103">
        <f t="shared" ca="1" si="164"/>
        <v>0</v>
      </c>
      <c r="BG179" s="103">
        <f t="shared" ca="1" si="165"/>
        <v>0</v>
      </c>
      <c r="BH179" s="103">
        <f t="shared" ca="1" si="166"/>
        <v>0</v>
      </c>
      <c r="BI179" s="103">
        <f t="shared" ca="1" si="167"/>
        <v>0</v>
      </c>
      <c r="BJ179" s="103">
        <f t="shared" ca="1" si="168"/>
        <v>0</v>
      </c>
      <c r="BK179" s="103">
        <f t="shared" ca="1" si="169"/>
        <v>0</v>
      </c>
      <c r="BL179" s="103">
        <f t="shared" ca="1" si="170"/>
        <v>0</v>
      </c>
      <c r="BM179" s="103">
        <f t="shared" ca="1" si="171"/>
        <v>0</v>
      </c>
      <c r="BN179" s="103">
        <f t="shared" ca="1" si="172"/>
        <v>0</v>
      </c>
      <c r="BO179" s="103">
        <f t="shared" ca="1" si="173"/>
        <v>0</v>
      </c>
      <c r="BP179" s="103">
        <f t="shared" ca="1" si="174"/>
        <v>0</v>
      </c>
      <c r="BQ179" s="103">
        <f t="shared" ca="1" si="175"/>
        <v>0</v>
      </c>
      <c r="BR179" s="103">
        <f t="shared" ca="1" si="176"/>
        <v>0</v>
      </c>
      <c r="BS179" s="103">
        <f t="shared" ca="1" si="177"/>
        <v>0</v>
      </c>
      <c r="BT179" s="103">
        <f t="shared" ca="1" si="178"/>
        <v>0</v>
      </c>
      <c r="BU179" s="103">
        <f t="shared" ca="1" si="179"/>
        <v>0</v>
      </c>
      <c r="BV179" s="103">
        <f t="shared" ca="1" si="180"/>
        <v>0</v>
      </c>
      <c r="BW179" s="103">
        <f t="shared" ca="1" si="181"/>
        <v>0</v>
      </c>
      <c r="BX179" s="103">
        <f t="shared" ca="1" si="182"/>
        <v>0</v>
      </c>
      <c r="BY179" s="103">
        <f t="shared" ca="1" si="183"/>
        <v>0</v>
      </c>
      <c r="BZ179" s="98">
        <f t="shared" ca="1" si="187"/>
        <v>0</v>
      </c>
      <c r="CA179" s="103">
        <f t="shared" ca="1" si="187"/>
        <v>0</v>
      </c>
      <c r="CB179" s="103">
        <f t="shared" ca="1" si="187"/>
        <v>0</v>
      </c>
      <c r="CC179" s="103">
        <f t="shared" ca="1" si="187"/>
        <v>0</v>
      </c>
      <c r="CD179" s="103">
        <f t="shared" ca="1" si="187"/>
        <v>0</v>
      </c>
      <c r="CE179" s="103">
        <f t="shared" ca="1" si="187"/>
        <v>0</v>
      </c>
      <c r="CF179" s="103">
        <f t="shared" ca="1" si="187"/>
        <v>0</v>
      </c>
      <c r="CG179" s="103">
        <f t="shared" ca="1" si="187"/>
        <v>0</v>
      </c>
      <c r="CH179" s="106">
        <f ca="1">COUNTIF(BZ179:CG179,"&lt;"&amp;MAX(BZ179:CG179))+IF(Calcs[[#This Row],[RL1]]=0,0,1)</f>
        <v>0</v>
      </c>
      <c r="CI17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9" s="103">
        <f ca="1">IFERROR(OFFSET(CJ179,-1,0)+0,0)+IF(INDEX(INDIRECT(RangeContrQty),MATCH(Calcs[[#This Row],[Line]],OFFSET(Items[Line],0,0,ROW(Proposed[])-ROW(Items[])+ROWS(Proposed[]),1),0)),1,0)</f>
        <v>0</v>
      </c>
    </row>
    <row r="180" spans="1:88" x14ac:dyDescent="0.15">
      <c r="A180" s="64">
        <f ca="1">IFERROR(OFFSET(A180,-1,0)+0,0)+MAX(IF(LEN(Calcs[[#This Row],[Line]])&gt;0,1,0),Calcs[[#This Row],[DL]],Calcs[[#This Row],[RL]])</f>
        <v>10</v>
      </c>
      <c r="B180" s="90" t="str">
        <f ca="1">IFERROR(INDEX(OFFSET(Items[Line],0,0,ROW(Proposed[])-ROW(Items[])+ROWS(Proposed[]),1),MATCH(ROW(B180)-ROW(B$3),INDIRECT(RangeCount),0)),"")</f>
        <v/>
      </c>
      <c r="C180" s="90" t="str">
        <f ca="1">IF(LEN(Calcs[[#This Row],[Line]])&gt;0,TRIM(IFERROR(INDEX(Items[Description],MATCH(Calcs[[#This Row],[Line]],Items[Line],0))&amp;INDEX(Items[Description2],MATCH(Calcs[[#This Row],[Line]],Items[Line],0)),INDEX(Proposed[Description],MATCH(Calcs[[#This Row],[Line]],Proposed[Line],0)))),"")</f>
        <v/>
      </c>
      <c r="D180" s="96">
        <f t="shared" ca="1" si="120"/>
        <v>0</v>
      </c>
      <c r="E180" s="103">
        <f t="shared" ca="1" si="121"/>
        <v>0</v>
      </c>
      <c r="F180" s="103">
        <f t="shared" ca="1" si="122"/>
        <v>0</v>
      </c>
      <c r="G180" s="103">
        <f t="shared" ca="1" si="123"/>
        <v>0</v>
      </c>
      <c r="H180" s="103">
        <f t="shared" ca="1" si="124"/>
        <v>0</v>
      </c>
      <c r="I180" s="103">
        <f t="shared" ca="1" si="125"/>
        <v>0</v>
      </c>
      <c r="J180" s="103">
        <f t="shared" ca="1" si="126"/>
        <v>0</v>
      </c>
      <c r="K180" s="103">
        <f t="shared" ca="1" si="127"/>
        <v>0</v>
      </c>
      <c r="L180" s="103">
        <f t="shared" ca="1" si="128"/>
        <v>0</v>
      </c>
      <c r="M180" s="103">
        <f t="shared" ca="1" si="129"/>
        <v>0</v>
      </c>
      <c r="N180" s="103">
        <f t="shared" ca="1" si="130"/>
        <v>0</v>
      </c>
      <c r="O180" s="103">
        <f t="shared" ca="1" si="131"/>
        <v>0</v>
      </c>
      <c r="P180" s="103">
        <f t="shared" ca="1" si="132"/>
        <v>0</v>
      </c>
      <c r="Q180" s="103">
        <f t="shared" ca="1" si="133"/>
        <v>0</v>
      </c>
      <c r="R180" s="103">
        <f t="shared" ca="1" si="134"/>
        <v>0</v>
      </c>
      <c r="S180" s="103">
        <f t="shared" ca="1" si="135"/>
        <v>0</v>
      </c>
      <c r="T180" s="103">
        <f t="shared" ca="1" si="136"/>
        <v>0</v>
      </c>
      <c r="U180" s="103">
        <f t="shared" ca="1" si="137"/>
        <v>0</v>
      </c>
      <c r="V180" s="103">
        <f t="shared" ca="1" si="138"/>
        <v>0</v>
      </c>
      <c r="W180" s="103">
        <f t="shared" ca="1" si="139"/>
        <v>0</v>
      </c>
      <c r="X180" s="103">
        <f t="shared" ca="1" si="140"/>
        <v>0</v>
      </c>
      <c r="Y180" s="103">
        <f t="shared" ca="1" si="141"/>
        <v>0</v>
      </c>
      <c r="Z180" s="103">
        <f t="shared" ca="1" si="142"/>
        <v>0</v>
      </c>
      <c r="AA180" s="103">
        <f t="shared" ca="1" si="143"/>
        <v>0</v>
      </c>
      <c r="AB180" s="103">
        <f t="shared" ca="1" si="144"/>
        <v>0</v>
      </c>
      <c r="AC180" s="103">
        <f t="shared" ca="1" si="145"/>
        <v>0</v>
      </c>
      <c r="AD180" s="103">
        <f t="shared" ca="1" si="146"/>
        <v>0</v>
      </c>
      <c r="AE180" s="103">
        <f t="shared" ca="1" si="147"/>
        <v>0</v>
      </c>
      <c r="AF180" s="103">
        <f t="shared" ca="1" si="148"/>
        <v>0</v>
      </c>
      <c r="AG180" s="103">
        <f t="shared" ca="1" si="149"/>
        <v>0</v>
      </c>
      <c r="AH180" s="103">
        <f t="shared" ca="1" si="150"/>
        <v>0</v>
      </c>
      <c r="AI180" s="103">
        <f t="shared" ca="1" si="151"/>
        <v>0</v>
      </c>
      <c r="AJ180" s="98">
        <f t="shared" ca="1" si="186"/>
        <v>0</v>
      </c>
      <c r="AK180" s="103">
        <f t="shared" ca="1" si="186"/>
        <v>0</v>
      </c>
      <c r="AL180" s="103">
        <f t="shared" ca="1" si="186"/>
        <v>0</v>
      </c>
      <c r="AM180" s="103">
        <f t="shared" ca="1" si="186"/>
        <v>0</v>
      </c>
      <c r="AN180" s="103">
        <f t="shared" ca="1" si="186"/>
        <v>0</v>
      </c>
      <c r="AO180" s="103">
        <f t="shared" ca="1" si="186"/>
        <v>0</v>
      </c>
      <c r="AP180" s="103">
        <f t="shared" ca="1" si="186"/>
        <v>0</v>
      </c>
      <c r="AQ180" s="103">
        <f t="shared" ca="1" si="186"/>
        <v>0</v>
      </c>
      <c r="AR180" s="104">
        <f ca="1">COUNTIF(AJ180:AQ180,"&lt;"&amp;MAX(AJ180:AQ180))+IF(Calcs[[#This Row],[DL1]]=0,0,1)</f>
        <v>0</v>
      </c>
      <c r="AS180" s="105" t="str">
        <f ca="1">IF(LEN(Calcs[[#This Row],[Line]])&gt;0,IF(RIGHT(Calcs[[#This Row],[Remark]],3)=".  ",LEFT(Calcs[[#This Row],[Remark]],LEN(Calcs[[#This Row],[Remark]])-3),Calcs[[#This Row],[Remark]]),"")</f>
        <v/>
      </c>
      <c r="AT180" s="96">
        <f t="shared" ca="1" si="152"/>
        <v>0</v>
      </c>
      <c r="AU180" s="103">
        <f t="shared" ca="1" si="153"/>
        <v>0</v>
      </c>
      <c r="AV180" s="103">
        <f t="shared" ca="1" si="154"/>
        <v>0</v>
      </c>
      <c r="AW180" s="103">
        <f t="shared" ca="1" si="155"/>
        <v>0</v>
      </c>
      <c r="AX180" s="103">
        <f t="shared" ca="1" si="156"/>
        <v>0</v>
      </c>
      <c r="AY180" s="103">
        <f t="shared" ca="1" si="157"/>
        <v>0</v>
      </c>
      <c r="AZ180" s="103">
        <f t="shared" ca="1" si="158"/>
        <v>0</v>
      </c>
      <c r="BA180" s="103">
        <f t="shared" ca="1" si="159"/>
        <v>0</v>
      </c>
      <c r="BB180" s="103">
        <f t="shared" ca="1" si="160"/>
        <v>0</v>
      </c>
      <c r="BC180" s="103">
        <f t="shared" ca="1" si="161"/>
        <v>0</v>
      </c>
      <c r="BD180" s="103">
        <f t="shared" ca="1" si="162"/>
        <v>0</v>
      </c>
      <c r="BE180" s="103">
        <f t="shared" ca="1" si="163"/>
        <v>0</v>
      </c>
      <c r="BF180" s="103">
        <f t="shared" ca="1" si="164"/>
        <v>0</v>
      </c>
      <c r="BG180" s="103">
        <f t="shared" ca="1" si="165"/>
        <v>0</v>
      </c>
      <c r="BH180" s="103">
        <f t="shared" ca="1" si="166"/>
        <v>0</v>
      </c>
      <c r="BI180" s="103">
        <f t="shared" ca="1" si="167"/>
        <v>0</v>
      </c>
      <c r="BJ180" s="103">
        <f t="shared" ca="1" si="168"/>
        <v>0</v>
      </c>
      <c r="BK180" s="103">
        <f t="shared" ca="1" si="169"/>
        <v>0</v>
      </c>
      <c r="BL180" s="103">
        <f t="shared" ca="1" si="170"/>
        <v>0</v>
      </c>
      <c r="BM180" s="103">
        <f t="shared" ca="1" si="171"/>
        <v>0</v>
      </c>
      <c r="BN180" s="103">
        <f t="shared" ca="1" si="172"/>
        <v>0</v>
      </c>
      <c r="BO180" s="103">
        <f t="shared" ca="1" si="173"/>
        <v>0</v>
      </c>
      <c r="BP180" s="103">
        <f t="shared" ca="1" si="174"/>
        <v>0</v>
      </c>
      <c r="BQ180" s="103">
        <f t="shared" ca="1" si="175"/>
        <v>0</v>
      </c>
      <c r="BR180" s="103">
        <f t="shared" ca="1" si="176"/>
        <v>0</v>
      </c>
      <c r="BS180" s="103">
        <f t="shared" ca="1" si="177"/>
        <v>0</v>
      </c>
      <c r="BT180" s="103">
        <f t="shared" ca="1" si="178"/>
        <v>0</v>
      </c>
      <c r="BU180" s="103">
        <f t="shared" ca="1" si="179"/>
        <v>0</v>
      </c>
      <c r="BV180" s="103">
        <f t="shared" ca="1" si="180"/>
        <v>0</v>
      </c>
      <c r="BW180" s="103">
        <f t="shared" ca="1" si="181"/>
        <v>0</v>
      </c>
      <c r="BX180" s="103">
        <f t="shared" ca="1" si="182"/>
        <v>0</v>
      </c>
      <c r="BY180" s="103">
        <f t="shared" ca="1" si="183"/>
        <v>0</v>
      </c>
      <c r="BZ180" s="98">
        <f t="shared" ca="1" si="187"/>
        <v>0</v>
      </c>
      <c r="CA180" s="103">
        <f t="shared" ca="1" si="187"/>
        <v>0</v>
      </c>
      <c r="CB180" s="103">
        <f t="shared" ca="1" si="187"/>
        <v>0</v>
      </c>
      <c r="CC180" s="103">
        <f t="shared" ca="1" si="187"/>
        <v>0</v>
      </c>
      <c r="CD180" s="103">
        <f t="shared" ca="1" si="187"/>
        <v>0</v>
      </c>
      <c r="CE180" s="103">
        <f t="shared" ca="1" si="187"/>
        <v>0</v>
      </c>
      <c r="CF180" s="103">
        <f t="shared" ca="1" si="187"/>
        <v>0</v>
      </c>
      <c r="CG180" s="103">
        <f t="shared" ca="1" si="187"/>
        <v>0</v>
      </c>
      <c r="CH180" s="106">
        <f ca="1">COUNTIF(BZ180:CG180,"&lt;"&amp;MAX(BZ180:CG180))+IF(Calcs[[#This Row],[RL1]]=0,0,1)</f>
        <v>0</v>
      </c>
      <c r="CI18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0" s="103">
        <f ca="1">IFERROR(OFFSET(CJ180,-1,0)+0,0)+IF(INDEX(INDIRECT(RangeContrQty),MATCH(Calcs[[#This Row],[Line]],OFFSET(Items[Line],0,0,ROW(Proposed[])-ROW(Items[])+ROWS(Proposed[]),1),0)),1,0)</f>
        <v>0</v>
      </c>
    </row>
    <row r="181" spans="1:88" x14ac:dyDescent="0.15">
      <c r="A181" s="64">
        <f ca="1">IFERROR(OFFSET(A181,-1,0)+0,0)+MAX(IF(LEN(Calcs[[#This Row],[Line]])&gt;0,1,0),Calcs[[#This Row],[DL]],Calcs[[#This Row],[RL]])</f>
        <v>10</v>
      </c>
      <c r="B181" s="90" t="str">
        <f ca="1">IFERROR(INDEX(OFFSET(Items[Line],0,0,ROW(Proposed[])-ROW(Items[])+ROWS(Proposed[]),1),MATCH(ROW(B181)-ROW(B$3),INDIRECT(RangeCount),0)),"")</f>
        <v/>
      </c>
      <c r="C181" s="90" t="str">
        <f ca="1">IF(LEN(Calcs[[#This Row],[Line]])&gt;0,TRIM(IFERROR(INDEX(Items[Description],MATCH(Calcs[[#This Row],[Line]],Items[Line],0))&amp;INDEX(Items[Description2],MATCH(Calcs[[#This Row],[Line]],Items[Line],0)),INDEX(Proposed[Description],MATCH(Calcs[[#This Row],[Line]],Proposed[Line],0)))),"")</f>
        <v/>
      </c>
      <c r="D181" s="96">
        <f t="shared" ca="1" si="120"/>
        <v>0</v>
      </c>
      <c r="E181" s="103">
        <f t="shared" ca="1" si="121"/>
        <v>0</v>
      </c>
      <c r="F181" s="103">
        <f t="shared" ca="1" si="122"/>
        <v>0</v>
      </c>
      <c r="G181" s="103">
        <f t="shared" ca="1" si="123"/>
        <v>0</v>
      </c>
      <c r="H181" s="103">
        <f t="shared" ca="1" si="124"/>
        <v>0</v>
      </c>
      <c r="I181" s="103">
        <f t="shared" ca="1" si="125"/>
        <v>0</v>
      </c>
      <c r="J181" s="103">
        <f t="shared" ca="1" si="126"/>
        <v>0</v>
      </c>
      <c r="K181" s="103">
        <f t="shared" ca="1" si="127"/>
        <v>0</v>
      </c>
      <c r="L181" s="103">
        <f t="shared" ca="1" si="128"/>
        <v>0</v>
      </c>
      <c r="M181" s="103">
        <f t="shared" ca="1" si="129"/>
        <v>0</v>
      </c>
      <c r="N181" s="103">
        <f t="shared" ca="1" si="130"/>
        <v>0</v>
      </c>
      <c r="O181" s="103">
        <f t="shared" ca="1" si="131"/>
        <v>0</v>
      </c>
      <c r="P181" s="103">
        <f t="shared" ca="1" si="132"/>
        <v>0</v>
      </c>
      <c r="Q181" s="103">
        <f t="shared" ca="1" si="133"/>
        <v>0</v>
      </c>
      <c r="R181" s="103">
        <f t="shared" ca="1" si="134"/>
        <v>0</v>
      </c>
      <c r="S181" s="103">
        <f t="shared" ca="1" si="135"/>
        <v>0</v>
      </c>
      <c r="T181" s="103">
        <f t="shared" ca="1" si="136"/>
        <v>0</v>
      </c>
      <c r="U181" s="103">
        <f t="shared" ca="1" si="137"/>
        <v>0</v>
      </c>
      <c r="V181" s="103">
        <f t="shared" ca="1" si="138"/>
        <v>0</v>
      </c>
      <c r="W181" s="103">
        <f t="shared" ca="1" si="139"/>
        <v>0</v>
      </c>
      <c r="X181" s="103">
        <f t="shared" ca="1" si="140"/>
        <v>0</v>
      </c>
      <c r="Y181" s="103">
        <f t="shared" ca="1" si="141"/>
        <v>0</v>
      </c>
      <c r="Z181" s="103">
        <f t="shared" ca="1" si="142"/>
        <v>0</v>
      </c>
      <c r="AA181" s="103">
        <f t="shared" ca="1" si="143"/>
        <v>0</v>
      </c>
      <c r="AB181" s="103">
        <f t="shared" ca="1" si="144"/>
        <v>0</v>
      </c>
      <c r="AC181" s="103">
        <f t="shared" ca="1" si="145"/>
        <v>0</v>
      </c>
      <c r="AD181" s="103">
        <f t="shared" ca="1" si="146"/>
        <v>0</v>
      </c>
      <c r="AE181" s="103">
        <f t="shared" ca="1" si="147"/>
        <v>0</v>
      </c>
      <c r="AF181" s="103">
        <f t="shared" ca="1" si="148"/>
        <v>0</v>
      </c>
      <c r="AG181" s="103">
        <f t="shared" ca="1" si="149"/>
        <v>0</v>
      </c>
      <c r="AH181" s="103">
        <f t="shared" ca="1" si="150"/>
        <v>0</v>
      </c>
      <c r="AI181" s="103">
        <f t="shared" ca="1" si="151"/>
        <v>0</v>
      </c>
      <c r="AJ181" s="98">
        <f t="shared" ca="1" si="186"/>
        <v>0</v>
      </c>
      <c r="AK181" s="103">
        <f t="shared" ca="1" si="186"/>
        <v>0</v>
      </c>
      <c r="AL181" s="103">
        <f t="shared" ca="1" si="186"/>
        <v>0</v>
      </c>
      <c r="AM181" s="103">
        <f t="shared" ca="1" si="186"/>
        <v>0</v>
      </c>
      <c r="AN181" s="103">
        <f t="shared" ca="1" si="186"/>
        <v>0</v>
      </c>
      <c r="AO181" s="103">
        <f t="shared" ca="1" si="186"/>
        <v>0</v>
      </c>
      <c r="AP181" s="103">
        <f t="shared" ca="1" si="186"/>
        <v>0</v>
      </c>
      <c r="AQ181" s="103">
        <f t="shared" ca="1" si="186"/>
        <v>0</v>
      </c>
      <c r="AR181" s="104">
        <f ca="1">COUNTIF(AJ181:AQ181,"&lt;"&amp;MAX(AJ181:AQ181))+IF(Calcs[[#This Row],[DL1]]=0,0,1)</f>
        <v>0</v>
      </c>
      <c r="AS181" s="105" t="str">
        <f ca="1">IF(LEN(Calcs[[#This Row],[Line]])&gt;0,IF(RIGHT(Calcs[[#This Row],[Remark]],3)=".  ",LEFT(Calcs[[#This Row],[Remark]],LEN(Calcs[[#This Row],[Remark]])-3),Calcs[[#This Row],[Remark]]),"")</f>
        <v/>
      </c>
      <c r="AT181" s="96">
        <f t="shared" ca="1" si="152"/>
        <v>0</v>
      </c>
      <c r="AU181" s="103">
        <f t="shared" ca="1" si="153"/>
        <v>0</v>
      </c>
      <c r="AV181" s="103">
        <f t="shared" ca="1" si="154"/>
        <v>0</v>
      </c>
      <c r="AW181" s="103">
        <f t="shared" ca="1" si="155"/>
        <v>0</v>
      </c>
      <c r="AX181" s="103">
        <f t="shared" ca="1" si="156"/>
        <v>0</v>
      </c>
      <c r="AY181" s="103">
        <f t="shared" ca="1" si="157"/>
        <v>0</v>
      </c>
      <c r="AZ181" s="103">
        <f t="shared" ca="1" si="158"/>
        <v>0</v>
      </c>
      <c r="BA181" s="103">
        <f t="shared" ca="1" si="159"/>
        <v>0</v>
      </c>
      <c r="BB181" s="103">
        <f t="shared" ca="1" si="160"/>
        <v>0</v>
      </c>
      <c r="BC181" s="103">
        <f t="shared" ca="1" si="161"/>
        <v>0</v>
      </c>
      <c r="BD181" s="103">
        <f t="shared" ca="1" si="162"/>
        <v>0</v>
      </c>
      <c r="BE181" s="103">
        <f t="shared" ca="1" si="163"/>
        <v>0</v>
      </c>
      <c r="BF181" s="103">
        <f t="shared" ca="1" si="164"/>
        <v>0</v>
      </c>
      <c r="BG181" s="103">
        <f t="shared" ca="1" si="165"/>
        <v>0</v>
      </c>
      <c r="BH181" s="103">
        <f t="shared" ca="1" si="166"/>
        <v>0</v>
      </c>
      <c r="BI181" s="103">
        <f t="shared" ca="1" si="167"/>
        <v>0</v>
      </c>
      <c r="BJ181" s="103">
        <f t="shared" ca="1" si="168"/>
        <v>0</v>
      </c>
      <c r="BK181" s="103">
        <f t="shared" ca="1" si="169"/>
        <v>0</v>
      </c>
      <c r="BL181" s="103">
        <f t="shared" ca="1" si="170"/>
        <v>0</v>
      </c>
      <c r="BM181" s="103">
        <f t="shared" ca="1" si="171"/>
        <v>0</v>
      </c>
      <c r="BN181" s="103">
        <f t="shared" ca="1" si="172"/>
        <v>0</v>
      </c>
      <c r="BO181" s="103">
        <f t="shared" ca="1" si="173"/>
        <v>0</v>
      </c>
      <c r="BP181" s="103">
        <f t="shared" ca="1" si="174"/>
        <v>0</v>
      </c>
      <c r="BQ181" s="103">
        <f t="shared" ca="1" si="175"/>
        <v>0</v>
      </c>
      <c r="BR181" s="103">
        <f t="shared" ca="1" si="176"/>
        <v>0</v>
      </c>
      <c r="BS181" s="103">
        <f t="shared" ca="1" si="177"/>
        <v>0</v>
      </c>
      <c r="BT181" s="103">
        <f t="shared" ca="1" si="178"/>
        <v>0</v>
      </c>
      <c r="BU181" s="103">
        <f t="shared" ca="1" si="179"/>
        <v>0</v>
      </c>
      <c r="BV181" s="103">
        <f t="shared" ca="1" si="180"/>
        <v>0</v>
      </c>
      <c r="BW181" s="103">
        <f t="shared" ca="1" si="181"/>
        <v>0</v>
      </c>
      <c r="BX181" s="103">
        <f t="shared" ca="1" si="182"/>
        <v>0</v>
      </c>
      <c r="BY181" s="103">
        <f t="shared" ca="1" si="183"/>
        <v>0</v>
      </c>
      <c r="BZ181" s="98">
        <f t="shared" ca="1" si="187"/>
        <v>0</v>
      </c>
      <c r="CA181" s="103">
        <f t="shared" ca="1" si="187"/>
        <v>0</v>
      </c>
      <c r="CB181" s="103">
        <f t="shared" ca="1" si="187"/>
        <v>0</v>
      </c>
      <c r="CC181" s="103">
        <f t="shared" ca="1" si="187"/>
        <v>0</v>
      </c>
      <c r="CD181" s="103">
        <f t="shared" ca="1" si="187"/>
        <v>0</v>
      </c>
      <c r="CE181" s="103">
        <f t="shared" ca="1" si="187"/>
        <v>0</v>
      </c>
      <c r="CF181" s="103">
        <f t="shared" ca="1" si="187"/>
        <v>0</v>
      </c>
      <c r="CG181" s="103">
        <f t="shared" ca="1" si="187"/>
        <v>0</v>
      </c>
      <c r="CH181" s="106">
        <f ca="1">COUNTIF(BZ181:CG181,"&lt;"&amp;MAX(BZ181:CG181))+IF(Calcs[[#This Row],[RL1]]=0,0,1)</f>
        <v>0</v>
      </c>
      <c r="CI18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1" s="103">
        <f ca="1">IFERROR(OFFSET(CJ181,-1,0)+0,0)+IF(INDEX(INDIRECT(RangeContrQty),MATCH(Calcs[[#This Row],[Line]],OFFSET(Items[Line],0,0,ROW(Proposed[])-ROW(Items[])+ROWS(Proposed[]),1),0)),1,0)</f>
        <v>0</v>
      </c>
    </row>
    <row r="182" spans="1:88" x14ac:dyDescent="0.15">
      <c r="A182" s="64">
        <f ca="1">IFERROR(OFFSET(A182,-1,0)+0,0)+MAX(IF(LEN(Calcs[[#This Row],[Line]])&gt;0,1,0),Calcs[[#This Row],[DL]],Calcs[[#This Row],[RL]])</f>
        <v>10</v>
      </c>
      <c r="B182" s="90" t="str">
        <f ca="1">IFERROR(INDEX(OFFSET(Items[Line],0,0,ROW(Proposed[])-ROW(Items[])+ROWS(Proposed[]),1),MATCH(ROW(B182)-ROW(B$3),INDIRECT(RangeCount),0)),"")</f>
        <v/>
      </c>
      <c r="C182" s="90" t="str">
        <f ca="1">IF(LEN(Calcs[[#This Row],[Line]])&gt;0,TRIM(IFERROR(INDEX(Items[Description],MATCH(Calcs[[#This Row],[Line]],Items[Line],0))&amp;INDEX(Items[Description2],MATCH(Calcs[[#This Row],[Line]],Items[Line],0)),INDEX(Proposed[Description],MATCH(Calcs[[#This Row],[Line]],Proposed[Line],0)))),"")</f>
        <v/>
      </c>
      <c r="D182" s="96">
        <f t="shared" ca="1" si="120"/>
        <v>0</v>
      </c>
      <c r="E182" s="103">
        <f t="shared" ca="1" si="121"/>
        <v>0</v>
      </c>
      <c r="F182" s="103">
        <f t="shared" ca="1" si="122"/>
        <v>0</v>
      </c>
      <c r="G182" s="103">
        <f t="shared" ca="1" si="123"/>
        <v>0</v>
      </c>
      <c r="H182" s="103">
        <f t="shared" ca="1" si="124"/>
        <v>0</v>
      </c>
      <c r="I182" s="103">
        <f t="shared" ca="1" si="125"/>
        <v>0</v>
      </c>
      <c r="J182" s="103">
        <f t="shared" ca="1" si="126"/>
        <v>0</v>
      </c>
      <c r="K182" s="103">
        <f t="shared" ca="1" si="127"/>
        <v>0</v>
      </c>
      <c r="L182" s="103">
        <f t="shared" ca="1" si="128"/>
        <v>0</v>
      </c>
      <c r="M182" s="103">
        <f t="shared" ca="1" si="129"/>
        <v>0</v>
      </c>
      <c r="N182" s="103">
        <f t="shared" ca="1" si="130"/>
        <v>0</v>
      </c>
      <c r="O182" s="103">
        <f t="shared" ca="1" si="131"/>
        <v>0</v>
      </c>
      <c r="P182" s="103">
        <f t="shared" ca="1" si="132"/>
        <v>0</v>
      </c>
      <c r="Q182" s="103">
        <f t="shared" ca="1" si="133"/>
        <v>0</v>
      </c>
      <c r="R182" s="103">
        <f t="shared" ca="1" si="134"/>
        <v>0</v>
      </c>
      <c r="S182" s="103">
        <f t="shared" ca="1" si="135"/>
        <v>0</v>
      </c>
      <c r="T182" s="103">
        <f t="shared" ca="1" si="136"/>
        <v>0</v>
      </c>
      <c r="U182" s="103">
        <f t="shared" ca="1" si="137"/>
        <v>0</v>
      </c>
      <c r="V182" s="103">
        <f t="shared" ca="1" si="138"/>
        <v>0</v>
      </c>
      <c r="W182" s="103">
        <f t="shared" ca="1" si="139"/>
        <v>0</v>
      </c>
      <c r="X182" s="103">
        <f t="shared" ca="1" si="140"/>
        <v>0</v>
      </c>
      <c r="Y182" s="103">
        <f t="shared" ca="1" si="141"/>
        <v>0</v>
      </c>
      <c r="Z182" s="103">
        <f t="shared" ca="1" si="142"/>
        <v>0</v>
      </c>
      <c r="AA182" s="103">
        <f t="shared" ca="1" si="143"/>
        <v>0</v>
      </c>
      <c r="AB182" s="103">
        <f t="shared" ca="1" si="144"/>
        <v>0</v>
      </c>
      <c r="AC182" s="103">
        <f t="shared" ca="1" si="145"/>
        <v>0</v>
      </c>
      <c r="AD182" s="103">
        <f t="shared" ca="1" si="146"/>
        <v>0</v>
      </c>
      <c r="AE182" s="103">
        <f t="shared" ca="1" si="147"/>
        <v>0</v>
      </c>
      <c r="AF182" s="103">
        <f t="shared" ca="1" si="148"/>
        <v>0</v>
      </c>
      <c r="AG182" s="103">
        <f t="shared" ca="1" si="149"/>
        <v>0</v>
      </c>
      <c r="AH182" s="103">
        <f t="shared" ca="1" si="150"/>
        <v>0</v>
      </c>
      <c r="AI182" s="103">
        <f t="shared" ca="1" si="151"/>
        <v>0</v>
      </c>
      <c r="AJ182" s="98">
        <f t="shared" ref="AJ182:AQ191" ca="1" si="188">HLOOKUP(IF(COLUMN(AJ182)-COLUMN($AJ$3)=0,0,OFFSET(AJ182,0,-1))+widthPayItem,$D182:$AI182,1)</f>
        <v>0</v>
      </c>
      <c r="AK182" s="103">
        <f t="shared" ca="1" si="188"/>
        <v>0</v>
      </c>
      <c r="AL182" s="103">
        <f t="shared" ca="1" si="188"/>
        <v>0</v>
      </c>
      <c r="AM182" s="103">
        <f t="shared" ca="1" si="188"/>
        <v>0</v>
      </c>
      <c r="AN182" s="103">
        <f t="shared" ca="1" si="188"/>
        <v>0</v>
      </c>
      <c r="AO182" s="103">
        <f t="shared" ca="1" si="188"/>
        <v>0</v>
      </c>
      <c r="AP182" s="103">
        <f t="shared" ca="1" si="188"/>
        <v>0</v>
      </c>
      <c r="AQ182" s="103">
        <f t="shared" ca="1" si="188"/>
        <v>0</v>
      </c>
      <c r="AR182" s="104">
        <f ca="1">COUNTIF(AJ182:AQ182,"&lt;"&amp;MAX(AJ182:AQ182))+IF(Calcs[[#This Row],[DL1]]=0,0,1)</f>
        <v>0</v>
      </c>
      <c r="AS182" s="105" t="str">
        <f ca="1">IF(LEN(Calcs[[#This Row],[Line]])&gt;0,IF(RIGHT(Calcs[[#This Row],[Remark]],3)=".  ",LEFT(Calcs[[#This Row],[Remark]],LEN(Calcs[[#This Row],[Remark]])-3),Calcs[[#This Row],[Remark]]),"")</f>
        <v/>
      </c>
      <c r="AT182" s="96">
        <f t="shared" ca="1" si="152"/>
        <v>0</v>
      </c>
      <c r="AU182" s="103">
        <f t="shared" ca="1" si="153"/>
        <v>0</v>
      </c>
      <c r="AV182" s="103">
        <f t="shared" ca="1" si="154"/>
        <v>0</v>
      </c>
      <c r="AW182" s="103">
        <f t="shared" ca="1" si="155"/>
        <v>0</v>
      </c>
      <c r="AX182" s="103">
        <f t="shared" ca="1" si="156"/>
        <v>0</v>
      </c>
      <c r="AY182" s="103">
        <f t="shared" ca="1" si="157"/>
        <v>0</v>
      </c>
      <c r="AZ182" s="103">
        <f t="shared" ca="1" si="158"/>
        <v>0</v>
      </c>
      <c r="BA182" s="103">
        <f t="shared" ca="1" si="159"/>
        <v>0</v>
      </c>
      <c r="BB182" s="103">
        <f t="shared" ca="1" si="160"/>
        <v>0</v>
      </c>
      <c r="BC182" s="103">
        <f t="shared" ca="1" si="161"/>
        <v>0</v>
      </c>
      <c r="BD182" s="103">
        <f t="shared" ca="1" si="162"/>
        <v>0</v>
      </c>
      <c r="BE182" s="103">
        <f t="shared" ca="1" si="163"/>
        <v>0</v>
      </c>
      <c r="BF182" s="103">
        <f t="shared" ca="1" si="164"/>
        <v>0</v>
      </c>
      <c r="BG182" s="103">
        <f t="shared" ca="1" si="165"/>
        <v>0</v>
      </c>
      <c r="BH182" s="103">
        <f t="shared" ca="1" si="166"/>
        <v>0</v>
      </c>
      <c r="BI182" s="103">
        <f t="shared" ca="1" si="167"/>
        <v>0</v>
      </c>
      <c r="BJ182" s="103">
        <f t="shared" ca="1" si="168"/>
        <v>0</v>
      </c>
      <c r="BK182" s="103">
        <f t="shared" ca="1" si="169"/>
        <v>0</v>
      </c>
      <c r="BL182" s="103">
        <f t="shared" ca="1" si="170"/>
        <v>0</v>
      </c>
      <c r="BM182" s="103">
        <f t="shared" ca="1" si="171"/>
        <v>0</v>
      </c>
      <c r="BN182" s="103">
        <f t="shared" ca="1" si="172"/>
        <v>0</v>
      </c>
      <c r="BO182" s="103">
        <f t="shared" ca="1" si="173"/>
        <v>0</v>
      </c>
      <c r="BP182" s="103">
        <f t="shared" ca="1" si="174"/>
        <v>0</v>
      </c>
      <c r="BQ182" s="103">
        <f t="shared" ca="1" si="175"/>
        <v>0</v>
      </c>
      <c r="BR182" s="103">
        <f t="shared" ca="1" si="176"/>
        <v>0</v>
      </c>
      <c r="BS182" s="103">
        <f t="shared" ca="1" si="177"/>
        <v>0</v>
      </c>
      <c r="BT182" s="103">
        <f t="shared" ca="1" si="178"/>
        <v>0</v>
      </c>
      <c r="BU182" s="103">
        <f t="shared" ca="1" si="179"/>
        <v>0</v>
      </c>
      <c r="BV182" s="103">
        <f t="shared" ca="1" si="180"/>
        <v>0</v>
      </c>
      <c r="BW182" s="103">
        <f t="shared" ca="1" si="181"/>
        <v>0</v>
      </c>
      <c r="BX182" s="103">
        <f t="shared" ca="1" si="182"/>
        <v>0</v>
      </c>
      <c r="BY182" s="103">
        <f t="shared" ca="1" si="183"/>
        <v>0</v>
      </c>
      <c r="BZ182" s="98">
        <f t="shared" ref="BZ182:CG191" ca="1" si="189">HLOOKUP(IF(COLUMN(BZ182)-COLUMN($BZ$3)=0,0,OFFSET(BZ182,0,-1))+widthRemarks,$AT182:$BY182,1)</f>
        <v>0</v>
      </c>
      <c r="CA182" s="103">
        <f t="shared" ca="1" si="189"/>
        <v>0</v>
      </c>
      <c r="CB182" s="103">
        <f t="shared" ca="1" si="189"/>
        <v>0</v>
      </c>
      <c r="CC182" s="103">
        <f t="shared" ca="1" si="189"/>
        <v>0</v>
      </c>
      <c r="CD182" s="103">
        <f t="shared" ca="1" si="189"/>
        <v>0</v>
      </c>
      <c r="CE182" s="103">
        <f t="shared" ca="1" si="189"/>
        <v>0</v>
      </c>
      <c r="CF182" s="103">
        <f t="shared" ca="1" si="189"/>
        <v>0</v>
      </c>
      <c r="CG182" s="103">
        <f t="shared" ca="1" si="189"/>
        <v>0</v>
      </c>
      <c r="CH182" s="106">
        <f ca="1">COUNTIF(BZ182:CG182,"&lt;"&amp;MAX(BZ182:CG182))+IF(Calcs[[#This Row],[RL1]]=0,0,1)</f>
        <v>0</v>
      </c>
      <c r="CI18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2" s="103">
        <f ca="1">IFERROR(OFFSET(CJ182,-1,0)+0,0)+IF(INDEX(INDIRECT(RangeContrQty),MATCH(Calcs[[#This Row],[Line]],OFFSET(Items[Line],0,0,ROW(Proposed[])-ROW(Items[])+ROWS(Proposed[]),1),0)),1,0)</f>
        <v>0</v>
      </c>
    </row>
    <row r="183" spans="1:88" x14ac:dyDescent="0.15">
      <c r="A183" s="64">
        <f ca="1">IFERROR(OFFSET(A183,-1,0)+0,0)+MAX(IF(LEN(Calcs[[#This Row],[Line]])&gt;0,1,0),Calcs[[#This Row],[DL]],Calcs[[#This Row],[RL]])</f>
        <v>10</v>
      </c>
      <c r="B183" s="90" t="str">
        <f ca="1">IFERROR(INDEX(OFFSET(Items[Line],0,0,ROW(Proposed[])-ROW(Items[])+ROWS(Proposed[]),1),MATCH(ROW(B183)-ROW(B$3),INDIRECT(RangeCount),0)),"")</f>
        <v/>
      </c>
      <c r="C183" s="90" t="str">
        <f ca="1">IF(LEN(Calcs[[#This Row],[Line]])&gt;0,TRIM(IFERROR(INDEX(Items[Description],MATCH(Calcs[[#This Row],[Line]],Items[Line],0))&amp;INDEX(Items[Description2],MATCH(Calcs[[#This Row],[Line]],Items[Line],0)),INDEX(Proposed[Description],MATCH(Calcs[[#This Row],[Line]],Proposed[Line],0)))),"")</f>
        <v/>
      </c>
      <c r="D183" s="96">
        <f t="shared" ca="1" si="120"/>
        <v>0</v>
      </c>
      <c r="E183" s="103">
        <f t="shared" ca="1" si="121"/>
        <v>0</v>
      </c>
      <c r="F183" s="103">
        <f t="shared" ca="1" si="122"/>
        <v>0</v>
      </c>
      <c r="G183" s="103">
        <f t="shared" ca="1" si="123"/>
        <v>0</v>
      </c>
      <c r="H183" s="103">
        <f t="shared" ca="1" si="124"/>
        <v>0</v>
      </c>
      <c r="I183" s="103">
        <f t="shared" ca="1" si="125"/>
        <v>0</v>
      </c>
      <c r="J183" s="103">
        <f t="shared" ca="1" si="126"/>
        <v>0</v>
      </c>
      <c r="K183" s="103">
        <f t="shared" ca="1" si="127"/>
        <v>0</v>
      </c>
      <c r="L183" s="103">
        <f t="shared" ca="1" si="128"/>
        <v>0</v>
      </c>
      <c r="M183" s="103">
        <f t="shared" ca="1" si="129"/>
        <v>0</v>
      </c>
      <c r="N183" s="103">
        <f t="shared" ca="1" si="130"/>
        <v>0</v>
      </c>
      <c r="O183" s="103">
        <f t="shared" ca="1" si="131"/>
        <v>0</v>
      </c>
      <c r="P183" s="103">
        <f t="shared" ca="1" si="132"/>
        <v>0</v>
      </c>
      <c r="Q183" s="103">
        <f t="shared" ca="1" si="133"/>
        <v>0</v>
      </c>
      <c r="R183" s="103">
        <f t="shared" ca="1" si="134"/>
        <v>0</v>
      </c>
      <c r="S183" s="103">
        <f t="shared" ca="1" si="135"/>
        <v>0</v>
      </c>
      <c r="T183" s="103">
        <f t="shared" ca="1" si="136"/>
        <v>0</v>
      </c>
      <c r="U183" s="103">
        <f t="shared" ca="1" si="137"/>
        <v>0</v>
      </c>
      <c r="V183" s="103">
        <f t="shared" ca="1" si="138"/>
        <v>0</v>
      </c>
      <c r="W183" s="103">
        <f t="shared" ca="1" si="139"/>
        <v>0</v>
      </c>
      <c r="X183" s="103">
        <f t="shared" ca="1" si="140"/>
        <v>0</v>
      </c>
      <c r="Y183" s="103">
        <f t="shared" ca="1" si="141"/>
        <v>0</v>
      </c>
      <c r="Z183" s="103">
        <f t="shared" ca="1" si="142"/>
        <v>0</v>
      </c>
      <c r="AA183" s="103">
        <f t="shared" ca="1" si="143"/>
        <v>0</v>
      </c>
      <c r="AB183" s="103">
        <f t="shared" ca="1" si="144"/>
        <v>0</v>
      </c>
      <c r="AC183" s="103">
        <f t="shared" ca="1" si="145"/>
        <v>0</v>
      </c>
      <c r="AD183" s="103">
        <f t="shared" ca="1" si="146"/>
        <v>0</v>
      </c>
      <c r="AE183" s="103">
        <f t="shared" ca="1" si="147"/>
        <v>0</v>
      </c>
      <c r="AF183" s="103">
        <f t="shared" ca="1" si="148"/>
        <v>0</v>
      </c>
      <c r="AG183" s="103">
        <f t="shared" ca="1" si="149"/>
        <v>0</v>
      </c>
      <c r="AH183" s="103">
        <f t="shared" ca="1" si="150"/>
        <v>0</v>
      </c>
      <c r="AI183" s="103">
        <f t="shared" ca="1" si="151"/>
        <v>0</v>
      </c>
      <c r="AJ183" s="98">
        <f t="shared" ca="1" si="188"/>
        <v>0</v>
      </c>
      <c r="AK183" s="103">
        <f t="shared" ca="1" si="188"/>
        <v>0</v>
      </c>
      <c r="AL183" s="103">
        <f t="shared" ca="1" si="188"/>
        <v>0</v>
      </c>
      <c r="AM183" s="103">
        <f t="shared" ca="1" si="188"/>
        <v>0</v>
      </c>
      <c r="AN183" s="103">
        <f t="shared" ca="1" si="188"/>
        <v>0</v>
      </c>
      <c r="AO183" s="103">
        <f t="shared" ca="1" si="188"/>
        <v>0</v>
      </c>
      <c r="AP183" s="103">
        <f t="shared" ca="1" si="188"/>
        <v>0</v>
      </c>
      <c r="AQ183" s="103">
        <f t="shared" ca="1" si="188"/>
        <v>0</v>
      </c>
      <c r="AR183" s="104">
        <f ca="1">COUNTIF(AJ183:AQ183,"&lt;"&amp;MAX(AJ183:AQ183))+IF(Calcs[[#This Row],[DL1]]=0,0,1)</f>
        <v>0</v>
      </c>
      <c r="AS183" s="105" t="str">
        <f ca="1">IF(LEN(Calcs[[#This Row],[Line]])&gt;0,IF(RIGHT(Calcs[[#This Row],[Remark]],3)=".  ",LEFT(Calcs[[#This Row],[Remark]],LEN(Calcs[[#This Row],[Remark]])-3),Calcs[[#This Row],[Remark]]),"")</f>
        <v/>
      </c>
      <c r="AT183" s="96">
        <f t="shared" ca="1" si="152"/>
        <v>0</v>
      </c>
      <c r="AU183" s="103">
        <f t="shared" ca="1" si="153"/>
        <v>0</v>
      </c>
      <c r="AV183" s="103">
        <f t="shared" ca="1" si="154"/>
        <v>0</v>
      </c>
      <c r="AW183" s="103">
        <f t="shared" ca="1" si="155"/>
        <v>0</v>
      </c>
      <c r="AX183" s="103">
        <f t="shared" ca="1" si="156"/>
        <v>0</v>
      </c>
      <c r="AY183" s="103">
        <f t="shared" ca="1" si="157"/>
        <v>0</v>
      </c>
      <c r="AZ183" s="103">
        <f t="shared" ca="1" si="158"/>
        <v>0</v>
      </c>
      <c r="BA183" s="103">
        <f t="shared" ca="1" si="159"/>
        <v>0</v>
      </c>
      <c r="BB183" s="103">
        <f t="shared" ca="1" si="160"/>
        <v>0</v>
      </c>
      <c r="BC183" s="103">
        <f t="shared" ca="1" si="161"/>
        <v>0</v>
      </c>
      <c r="BD183" s="103">
        <f t="shared" ca="1" si="162"/>
        <v>0</v>
      </c>
      <c r="BE183" s="103">
        <f t="shared" ca="1" si="163"/>
        <v>0</v>
      </c>
      <c r="BF183" s="103">
        <f t="shared" ca="1" si="164"/>
        <v>0</v>
      </c>
      <c r="BG183" s="103">
        <f t="shared" ca="1" si="165"/>
        <v>0</v>
      </c>
      <c r="BH183" s="103">
        <f t="shared" ca="1" si="166"/>
        <v>0</v>
      </c>
      <c r="BI183" s="103">
        <f t="shared" ca="1" si="167"/>
        <v>0</v>
      </c>
      <c r="BJ183" s="103">
        <f t="shared" ca="1" si="168"/>
        <v>0</v>
      </c>
      <c r="BK183" s="103">
        <f t="shared" ca="1" si="169"/>
        <v>0</v>
      </c>
      <c r="BL183" s="103">
        <f t="shared" ca="1" si="170"/>
        <v>0</v>
      </c>
      <c r="BM183" s="103">
        <f t="shared" ca="1" si="171"/>
        <v>0</v>
      </c>
      <c r="BN183" s="103">
        <f t="shared" ca="1" si="172"/>
        <v>0</v>
      </c>
      <c r="BO183" s="103">
        <f t="shared" ca="1" si="173"/>
        <v>0</v>
      </c>
      <c r="BP183" s="103">
        <f t="shared" ca="1" si="174"/>
        <v>0</v>
      </c>
      <c r="BQ183" s="103">
        <f t="shared" ca="1" si="175"/>
        <v>0</v>
      </c>
      <c r="BR183" s="103">
        <f t="shared" ca="1" si="176"/>
        <v>0</v>
      </c>
      <c r="BS183" s="103">
        <f t="shared" ca="1" si="177"/>
        <v>0</v>
      </c>
      <c r="BT183" s="103">
        <f t="shared" ca="1" si="178"/>
        <v>0</v>
      </c>
      <c r="BU183" s="103">
        <f t="shared" ca="1" si="179"/>
        <v>0</v>
      </c>
      <c r="BV183" s="103">
        <f t="shared" ca="1" si="180"/>
        <v>0</v>
      </c>
      <c r="BW183" s="103">
        <f t="shared" ca="1" si="181"/>
        <v>0</v>
      </c>
      <c r="BX183" s="103">
        <f t="shared" ca="1" si="182"/>
        <v>0</v>
      </c>
      <c r="BY183" s="103">
        <f t="shared" ca="1" si="183"/>
        <v>0</v>
      </c>
      <c r="BZ183" s="98">
        <f t="shared" ca="1" si="189"/>
        <v>0</v>
      </c>
      <c r="CA183" s="103">
        <f t="shared" ca="1" si="189"/>
        <v>0</v>
      </c>
      <c r="CB183" s="103">
        <f t="shared" ca="1" si="189"/>
        <v>0</v>
      </c>
      <c r="CC183" s="103">
        <f t="shared" ca="1" si="189"/>
        <v>0</v>
      </c>
      <c r="CD183" s="103">
        <f t="shared" ca="1" si="189"/>
        <v>0</v>
      </c>
      <c r="CE183" s="103">
        <f t="shared" ca="1" si="189"/>
        <v>0</v>
      </c>
      <c r="CF183" s="103">
        <f t="shared" ca="1" si="189"/>
        <v>0</v>
      </c>
      <c r="CG183" s="103">
        <f t="shared" ca="1" si="189"/>
        <v>0</v>
      </c>
      <c r="CH183" s="106">
        <f ca="1">COUNTIF(BZ183:CG183,"&lt;"&amp;MAX(BZ183:CG183))+IF(Calcs[[#This Row],[RL1]]=0,0,1)</f>
        <v>0</v>
      </c>
      <c r="CI18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3" s="103">
        <f ca="1">IFERROR(OFFSET(CJ183,-1,0)+0,0)+IF(INDEX(INDIRECT(RangeContrQty),MATCH(Calcs[[#This Row],[Line]],OFFSET(Items[Line],0,0,ROW(Proposed[])-ROW(Items[])+ROWS(Proposed[]),1),0)),1,0)</f>
        <v>0</v>
      </c>
    </row>
    <row r="184" spans="1:88" x14ac:dyDescent="0.15">
      <c r="A184" s="64">
        <f ca="1">IFERROR(OFFSET(A184,-1,0)+0,0)+MAX(IF(LEN(Calcs[[#This Row],[Line]])&gt;0,1,0),Calcs[[#This Row],[DL]],Calcs[[#This Row],[RL]])</f>
        <v>10</v>
      </c>
      <c r="B184" s="90" t="str">
        <f ca="1">IFERROR(INDEX(OFFSET(Items[Line],0,0,ROW(Proposed[])-ROW(Items[])+ROWS(Proposed[]),1),MATCH(ROW(B184)-ROW(B$3),INDIRECT(RangeCount),0)),"")</f>
        <v/>
      </c>
      <c r="C184" s="90" t="str">
        <f ca="1">IF(LEN(Calcs[[#This Row],[Line]])&gt;0,TRIM(IFERROR(INDEX(Items[Description],MATCH(Calcs[[#This Row],[Line]],Items[Line],0))&amp;INDEX(Items[Description2],MATCH(Calcs[[#This Row],[Line]],Items[Line],0)),INDEX(Proposed[Description],MATCH(Calcs[[#This Row],[Line]],Proposed[Line],0)))),"")</f>
        <v/>
      </c>
      <c r="D184" s="96">
        <f t="shared" ca="1" si="120"/>
        <v>0</v>
      </c>
      <c r="E184" s="103">
        <f t="shared" ca="1" si="121"/>
        <v>0</v>
      </c>
      <c r="F184" s="103">
        <f t="shared" ca="1" si="122"/>
        <v>0</v>
      </c>
      <c r="G184" s="103">
        <f t="shared" ca="1" si="123"/>
        <v>0</v>
      </c>
      <c r="H184" s="103">
        <f t="shared" ca="1" si="124"/>
        <v>0</v>
      </c>
      <c r="I184" s="103">
        <f t="shared" ca="1" si="125"/>
        <v>0</v>
      </c>
      <c r="J184" s="103">
        <f t="shared" ca="1" si="126"/>
        <v>0</v>
      </c>
      <c r="K184" s="103">
        <f t="shared" ca="1" si="127"/>
        <v>0</v>
      </c>
      <c r="L184" s="103">
        <f t="shared" ca="1" si="128"/>
        <v>0</v>
      </c>
      <c r="M184" s="103">
        <f t="shared" ca="1" si="129"/>
        <v>0</v>
      </c>
      <c r="N184" s="103">
        <f t="shared" ca="1" si="130"/>
        <v>0</v>
      </c>
      <c r="O184" s="103">
        <f t="shared" ca="1" si="131"/>
        <v>0</v>
      </c>
      <c r="P184" s="103">
        <f t="shared" ca="1" si="132"/>
        <v>0</v>
      </c>
      <c r="Q184" s="103">
        <f t="shared" ca="1" si="133"/>
        <v>0</v>
      </c>
      <c r="R184" s="103">
        <f t="shared" ca="1" si="134"/>
        <v>0</v>
      </c>
      <c r="S184" s="103">
        <f t="shared" ca="1" si="135"/>
        <v>0</v>
      </c>
      <c r="T184" s="103">
        <f t="shared" ca="1" si="136"/>
        <v>0</v>
      </c>
      <c r="U184" s="103">
        <f t="shared" ca="1" si="137"/>
        <v>0</v>
      </c>
      <c r="V184" s="103">
        <f t="shared" ca="1" si="138"/>
        <v>0</v>
      </c>
      <c r="W184" s="103">
        <f t="shared" ca="1" si="139"/>
        <v>0</v>
      </c>
      <c r="X184" s="103">
        <f t="shared" ca="1" si="140"/>
        <v>0</v>
      </c>
      <c r="Y184" s="103">
        <f t="shared" ca="1" si="141"/>
        <v>0</v>
      </c>
      <c r="Z184" s="103">
        <f t="shared" ca="1" si="142"/>
        <v>0</v>
      </c>
      <c r="AA184" s="103">
        <f t="shared" ca="1" si="143"/>
        <v>0</v>
      </c>
      <c r="AB184" s="103">
        <f t="shared" ca="1" si="144"/>
        <v>0</v>
      </c>
      <c r="AC184" s="103">
        <f t="shared" ca="1" si="145"/>
        <v>0</v>
      </c>
      <c r="AD184" s="103">
        <f t="shared" ca="1" si="146"/>
        <v>0</v>
      </c>
      <c r="AE184" s="103">
        <f t="shared" ca="1" si="147"/>
        <v>0</v>
      </c>
      <c r="AF184" s="103">
        <f t="shared" ca="1" si="148"/>
        <v>0</v>
      </c>
      <c r="AG184" s="103">
        <f t="shared" ca="1" si="149"/>
        <v>0</v>
      </c>
      <c r="AH184" s="103">
        <f t="shared" ca="1" si="150"/>
        <v>0</v>
      </c>
      <c r="AI184" s="103">
        <f t="shared" ca="1" si="151"/>
        <v>0</v>
      </c>
      <c r="AJ184" s="98">
        <f t="shared" ca="1" si="188"/>
        <v>0</v>
      </c>
      <c r="AK184" s="103">
        <f t="shared" ca="1" si="188"/>
        <v>0</v>
      </c>
      <c r="AL184" s="103">
        <f t="shared" ca="1" si="188"/>
        <v>0</v>
      </c>
      <c r="AM184" s="103">
        <f t="shared" ca="1" si="188"/>
        <v>0</v>
      </c>
      <c r="AN184" s="103">
        <f t="shared" ca="1" si="188"/>
        <v>0</v>
      </c>
      <c r="AO184" s="103">
        <f t="shared" ca="1" si="188"/>
        <v>0</v>
      </c>
      <c r="AP184" s="103">
        <f t="shared" ca="1" si="188"/>
        <v>0</v>
      </c>
      <c r="AQ184" s="103">
        <f t="shared" ca="1" si="188"/>
        <v>0</v>
      </c>
      <c r="AR184" s="104">
        <f ca="1">COUNTIF(AJ184:AQ184,"&lt;"&amp;MAX(AJ184:AQ184))+IF(Calcs[[#This Row],[DL1]]=0,0,1)</f>
        <v>0</v>
      </c>
      <c r="AS184" s="105" t="str">
        <f ca="1">IF(LEN(Calcs[[#This Row],[Line]])&gt;0,IF(RIGHT(Calcs[[#This Row],[Remark]],3)=".  ",LEFT(Calcs[[#This Row],[Remark]],LEN(Calcs[[#This Row],[Remark]])-3),Calcs[[#This Row],[Remark]]),"")</f>
        <v/>
      </c>
      <c r="AT184" s="96">
        <f t="shared" ca="1" si="152"/>
        <v>0</v>
      </c>
      <c r="AU184" s="103">
        <f t="shared" ca="1" si="153"/>
        <v>0</v>
      </c>
      <c r="AV184" s="103">
        <f t="shared" ca="1" si="154"/>
        <v>0</v>
      </c>
      <c r="AW184" s="103">
        <f t="shared" ca="1" si="155"/>
        <v>0</v>
      </c>
      <c r="AX184" s="103">
        <f t="shared" ca="1" si="156"/>
        <v>0</v>
      </c>
      <c r="AY184" s="103">
        <f t="shared" ca="1" si="157"/>
        <v>0</v>
      </c>
      <c r="AZ184" s="103">
        <f t="shared" ca="1" si="158"/>
        <v>0</v>
      </c>
      <c r="BA184" s="103">
        <f t="shared" ca="1" si="159"/>
        <v>0</v>
      </c>
      <c r="BB184" s="103">
        <f t="shared" ca="1" si="160"/>
        <v>0</v>
      </c>
      <c r="BC184" s="103">
        <f t="shared" ca="1" si="161"/>
        <v>0</v>
      </c>
      <c r="BD184" s="103">
        <f t="shared" ca="1" si="162"/>
        <v>0</v>
      </c>
      <c r="BE184" s="103">
        <f t="shared" ca="1" si="163"/>
        <v>0</v>
      </c>
      <c r="BF184" s="103">
        <f t="shared" ca="1" si="164"/>
        <v>0</v>
      </c>
      <c r="BG184" s="103">
        <f t="shared" ca="1" si="165"/>
        <v>0</v>
      </c>
      <c r="BH184" s="103">
        <f t="shared" ca="1" si="166"/>
        <v>0</v>
      </c>
      <c r="BI184" s="103">
        <f t="shared" ca="1" si="167"/>
        <v>0</v>
      </c>
      <c r="BJ184" s="103">
        <f t="shared" ca="1" si="168"/>
        <v>0</v>
      </c>
      <c r="BK184" s="103">
        <f t="shared" ca="1" si="169"/>
        <v>0</v>
      </c>
      <c r="BL184" s="103">
        <f t="shared" ca="1" si="170"/>
        <v>0</v>
      </c>
      <c r="BM184" s="103">
        <f t="shared" ca="1" si="171"/>
        <v>0</v>
      </c>
      <c r="BN184" s="103">
        <f t="shared" ca="1" si="172"/>
        <v>0</v>
      </c>
      <c r="BO184" s="103">
        <f t="shared" ca="1" si="173"/>
        <v>0</v>
      </c>
      <c r="BP184" s="103">
        <f t="shared" ca="1" si="174"/>
        <v>0</v>
      </c>
      <c r="BQ184" s="103">
        <f t="shared" ca="1" si="175"/>
        <v>0</v>
      </c>
      <c r="BR184" s="103">
        <f t="shared" ca="1" si="176"/>
        <v>0</v>
      </c>
      <c r="BS184" s="103">
        <f t="shared" ca="1" si="177"/>
        <v>0</v>
      </c>
      <c r="BT184" s="103">
        <f t="shared" ca="1" si="178"/>
        <v>0</v>
      </c>
      <c r="BU184" s="103">
        <f t="shared" ca="1" si="179"/>
        <v>0</v>
      </c>
      <c r="BV184" s="103">
        <f t="shared" ca="1" si="180"/>
        <v>0</v>
      </c>
      <c r="BW184" s="103">
        <f t="shared" ca="1" si="181"/>
        <v>0</v>
      </c>
      <c r="BX184" s="103">
        <f t="shared" ca="1" si="182"/>
        <v>0</v>
      </c>
      <c r="BY184" s="103">
        <f t="shared" ca="1" si="183"/>
        <v>0</v>
      </c>
      <c r="BZ184" s="98">
        <f t="shared" ca="1" si="189"/>
        <v>0</v>
      </c>
      <c r="CA184" s="103">
        <f t="shared" ca="1" si="189"/>
        <v>0</v>
      </c>
      <c r="CB184" s="103">
        <f t="shared" ca="1" si="189"/>
        <v>0</v>
      </c>
      <c r="CC184" s="103">
        <f t="shared" ca="1" si="189"/>
        <v>0</v>
      </c>
      <c r="CD184" s="103">
        <f t="shared" ca="1" si="189"/>
        <v>0</v>
      </c>
      <c r="CE184" s="103">
        <f t="shared" ca="1" si="189"/>
        <v>0</v>
      </c>
      <c r="CF184" s="103">
        <f t="shared" ca="1" si="189"/>
        <v>0</v>
      </c>
      <c r="CG184" s="103">
        <f t="shared" ca="1" si="189"/>
        <v>0</v>
      </c>
      <c r="CH184" s="106">
        <f ca="1">COUNTIF(BZ184:CG184,"&lt;"&amp;MAX(BZ184:CG184))+IF(Calcs[[#This Row],[RL1]]=0,0,1)</f>
        <v>0</v>
      </c>
      <c r="CI18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4" s="103">
        <f ca="1">IFERROR(OFFSET(CJ184,-1,0)+0,0)+IF(INDEX(INDIRECT(RangeContrQty),MATCH(Calcs[[#This Row],[Line]],OFFSET(Items[Line],0,0,ROW(Proposed[])-ROW(Items[])+ROWS(Proposed[]),1),0)),1,0)</f>
        <v>0</v>
      </c>
    </row>
    <row r="185" spans="1:88" x14ac:dyDescent="0.15">
      <c r="A185" s="64">
        <f ca="1">IFERROR(OFFSET(A185,-1,0)+0,0)+MAX(IF(LEN(Calcs[[#This Row],[Line]])&gt;0,1,0),Calcs[[#This Row],[DL]],Calcs[[#This Row],[RL]])</f>
        <v>10</v>
      </c>
      <c r="B185" s="90" t="str">
        <f ca="1">IFERROR(INDEX(OFFSET(Items[Line],0,0,ROW(Proposed[])-ROW(Items[])+ROWS(Proposed[]),1),MATCH(ROW(B185)-ROW(B$3),INDIRECT(RangeCount),0)),"")</f>
        <v/>
      </c>
      <c r="C185" s="90" t="str">
        <f ca="1">IF(LEN(Calcs[[#This Row],[Line]])&gt;0,TRIM(IFERROR(INDEX(Items[Description],MATCH(Calcs[[#This Row],[Line]],Items[Line],0))&amp;INDEX(Items[Description2],MATCH(Calcs[[#This Row],[Line]],Items[Line],0)),INDEX(Proposed[Description],MATCH(Calcs[[#This Row],[Line]],Proposed[Line],0)))),"")</f>
        <v/>
      </c>
      <c r="D185" s="96">
        <f t="shared" ca="1" si="120"/>
        <v>0</v>
      </c>
      <c r="E185" s="103">
        <f t="shared" ca="1" si="121"/>
        <v>0</v>
      </c>
      <c r="F185" s="103">
        <f t="shared" ca="1" si="122"/>
        <v>0</v>
      </c>
      <c r="G185" s="103">
        <f t="shared" ca="1" si="123"/>
        <v>0</v>
      </c>
      <c r="H185" s="103">
        <f t="shared" ca="1" si="124"/>
        <v>0</v>
      </c>
      <c r="I185" s="103">
        <f t="shared" ca="1" si="125"/>
        <v>0</v>
      </c>
      <c r="J185" s="103">
        <f t="shared" ca="1" si="126"/>
        <v>0</v>
      </c>
      <c r="K185" s="103">
        <f t="shared" ca="1" si="127"/>
        <v>0</v>
      </c>
      <c r="L185" s="103">
        <f t="shared" ca="1" si="128"/>
        <v>0</v>
      </c>
      <c r="M185" s="103">
        <f t="shared" ca="1" si="129"/>
        <v>0</v>
      </c>
      <c r="N185" s="103">
        <f t="shared" ca="1" si="130"/>
        <v>0</v>
      </c>
      <c r="O185" s="103">
        <f t="shared" ca="1" si="131"/>
        <v>0</v>
      </c>
      <c r="P185" s="103">
        <f t="shared" ca="1" si="132"/>
        <v>0</v>
      </c>
      <c r="Q185" s="103">
        <f t="shared" ca="1" si="133"/>
        <v>0</v>
      </c>
      <c r="R185" s="103">
        <f t="shared" ca="1" si="134"/>
        <v>0</v>
      </c>
      <c r="S185" s="103">
        <f t="shared" ca="1" si="135"/>
        <v>0</v>
      </c>
      <c r="T185" s="103">
        <f t="shared" ca="1" si="136"/>
        <v>0</v>
      </c>
      <c r="U185" s="103">
        <f t="shared" ca="1" si="137"/>
        <v>0</v>
      </c>
      <c r="V185" s="103">
        <f t="shared" ca="1" si="138"/>
        <v>0</v>
      </c>
      <c r="W185" s="103">
        <f t="shared" ca="1" si="139"/>
        <v>0</v>
      </c>
      <c r="X185" s="103">
        <f t="shared" ca="1" si="140"/>
        <v>0</v>
      </c>
      <c r="Y185" s="103">
        <f t="shared" ca="1" si="141"/>
        <v>0</v>
      </c>
      <c r="Z185" s="103">
        <f t="shared" ca="1" si="142"/>
        <v>0</v>
      </c>
      <c r="AA185" s="103">
        <f t="shared" ca="1" si="143"/>
        <v>0</v>
      </c>
      <c r="AB185" s="103">
        <f t="shared" ca="1" si="144"/>
        <v>0</v>
      </c>
      <c r="AC185" s="103">
        <f t="shared" ca="1" si="145"/>
        <v>0</v>
      </c>
      <c r="AD185" s="103">
        <f t="shared" ca="1" si="146"/>
        <v>0</v>
      </c>
      <c r="AE185" s="103">
        <f t="shared" ca="1" si="147"/>
        <v>0</v>
      </c>
      <c r="AF185" s="103">
        <f t="shared" ca="1" si="148"/>
        <v>0</v>
      </c>
      <c r="AG185" s="103">
        <f t="shared" ca="1" si="149"/>
        <v>0</v>
      </c>
      <c r="AH185" s="103">
        <f t="shared" ca="1" si="150"/>
        <v>0</v>
      </c>
      <c r="AI185" s="103">
        <f t="shared" ca="1" si="151"/>
        <v>0</v>
      </c>
      <c r="AJ185" s="98">
        <f t="shared" ca="1" si="188"/>
        <v>0</v>
      </c>
      <c r="AK185" s="103">
        <f t="shared" ca="1" si="188"/>
        <v>0</v>
      </c>
      <c r="AL185" s="103">
        <f t="shared" ca="1" si="188"/>
        <v>0</v>
      </c>
      <c r="AM185" s="103">
        <f t="shared" ca="1" si="188"/>
        <v>0</v>
      </c>
      <c r="AN185" s="103">
        <f t="shared" ca="1" si="188"/>
        <v>0</v>
      </c>
      <c r="AO185" s="103">
        <f t="shared" ca="1" si="188"/>
        <v>0</v>
      </c>
      <c r="AP185" s="103">
        <f t="shared" ca="1" si="188"/>
        <v>0</v>
      </c>
      <c r="AQ185" s="103">
        <f t="shared" ca="1" si="188"/>
        <v>0</v>
      </c>
      <c r="AR185" s="104">
        <f ca="1">COUNTIF(AJ185:AQ185,"&lt;"&amp;MAX(AJ185:AQ185))+IF(Calcs[[#This Row],[DL1]]=0,0,1)</f>
        <v>0</v>
      </c>
      <c r="AS185" s="105" t="str">
        <f ca="1">IF(LEN(Calcs[[#This Row],[Line]])&gt;0,IF(RIGHT(Calcs[[#This Row],[Remark]],3)=".  ",LEFT(Calcs[[#This Row],[Remark]],LEN(Calcs[[#This Row],[Remark]])-3),Calcs[[#This Row],[Remark]]),"")</f>
        <v/>
      </c>
      <c r="AT185" s="96">
        <f t="shared" ca="1" si="152"/>
        <v>0</v>
      </c>
      <c r="AU185" s="103">
        <f t="shared" ca="1" si="153"/>
        <v>0</v>
      </c>
      <c r="AV185" s="103">
        <f t="shared" ca="1" si="154"/>
        <v>0</v>
      </c>
      <c r="AW185" s="103">
        <f t="shared" ca="1" si="155"/>
        <v>0</v>
      </c>
      <c r="AX185" s="103">
        <f t="shared" ca="1" si="156"/>
        <v>0</v>
      </c>
      <c r="AY185" s="103">
        <f t="shared" ca="1" si="157"/>
        <v>0</v>
      </c>
      <c r="AZ185" s="103">
        <f t="shared" ca="1" si="158"/>
        <v>0</v>
      </c>
      <c r="BA185" s="103">
        <f t="shared" ca="1" si="159"/>
        <v>0</v>
      </c>
      <c r="BB185" s="103">
        <f t="shared" ca="1" si="160"/>
        <v>0</v>
      </c>
      <c r="BC185" s="103">
        <f t="shared" ca="1" si="161"/>
        <v>0</v>
      </c>
      <c r="BD185" s="103">
        <f t="shared" ca="1" si="162"/>
        <v>0</v>
      </c>
      <c r="BE185" s="103">
        <f t="shared" ca="1" si="163"/>
        <v>0</v>
      </c>
      <c r="BF185" s="103">
        <f t="shared" ca="1" si="164"/>
        <v>0</v>
      </c>
      <c r="BG185" s="103">
        <f t="shared" ca="1" si="165"/>
        <v>0</v>
      </c>
      <c r="BH185" s="103">
        <f t="shared" ca="1" si="166"/>
        <v>0</v>
      </c>
      <c r="BI185" s="103">
        <f t="shared" ca="1" si="167"/>
        <v>0</v>
      </c>
      <c r="BJ185" s="103">
        <f t="shared" ca="1" si="168"/>
        <v>0</v>
      </c>
      <c r="BK185" s="103">
        <f t="shared" ca="1" si="169"/>
        <v>0</v>
      </c>
      <c r="BL185" s="103">
        <f t="shared" ca="1" si="170"/>
        <v>0</v>
      </c>
      <c r="BM185" s="103">
        <f t="shared" ca="1" si="171"/>
        <v>0</v>
      </c>
      <c r="BN185" s="103">
        <f t="shared" ca="1" si="172"/>
        <v>0</v>
      </c>
      <c r="BO185" s="103">
        <f t="shared" ca="1" si="173"/>
        <v>0</v>
      </c>
      <c r="BP185" s="103">
        <f t="shared" ca="1" si="174"/>
        <v>0</v>
      </c>
      <c r="BQ185" s="103">
        <f t="shared" ca="1" si="175"/>
        <v>0</v>
      </c>
      <c r="BR185" s="103">
        <f t="shared" ca="1" si="176"/>
        <v>0</v>
      </c>
      <c r="BS185" s="103">
        <f t="shared" ca="1" si="177"/>
        <v>0</v>
      </c>
      <c r="BT185" s="103">
        <f t="shared" ca="1" si="178"/>
        <v>0</v>
      </c>
      <c r="BU185" s="103">
        <f t="shared" ca="1" si="179"/>
        <v>0</v>
      </c>
      <c r="BV185" s="103">
        <f t="shared" ca="1" si="180"/>
        <v>0</v>
      </c>
      <c r="BW185" s="103">
        <f t="shared" ca="1" si="181"/>
        <v>0</v>
      </c>
      <c r="BX185" s="103">
        <f t="shared" ca="1" si="182"/>
        <v>0</v>
      </c>
      <c r="BY185" s="103">
        <f t="shared" ca="1" si="183"/>
        <v>0</v>
      </c>
      <c r="BZ185" s="98">
        <f t="shared" ca="1" si="189"/>
        <v>0</v>
      </c>
      <c r="CA185" s="103">
        <f t="shared" ca="1" si="189"/>
        <v>0</v>
      </c>
      <c r="CB185" s="103">
        <f t="shared" ca="1" si="189"/>
        <v>0</v>
      </c>
      <c r="CC185" s="103">
        <f t="shared" ca="1" si="189"/>
        <v>0</v>
      </c>
      <c r="CD185" s="103">
        <f t="shared" ca="1" si="189"/>
        <v>0</v>
      </c>
      <c r="CE185" s="103">
        <f t="shared" ca="1" si="189"/>
        <v>0</v>
      </c>
      <c r="CF185" s="103">
        <f t="shared" ca="1" si="189"/>
        <v>0</v>
      </c>
      <c r="CG185" s="103">
        <f t="shared" ca="1" si="189"/>
        <v>0</v>
      </c>
      <c r="CH185" s="106">
        <f ca="1">COUNTIF(BZ185:CG185,"&lt;"&amp;MAX(BZ185:CG185))+IF(Calcs[[#This Row],[RL1]]=0,0,1)</f>
        <v>0</v>
      </c>
      <c r="CI18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5" s="103">
        <f ca="1">IFERROR(OFFSET(CJ185,-1,0)+0,0)+IF(INDEX(INDIRECT(RangeContrQty),MATCH(Calcs[[#This Row],[Line]],OFFSET(Items[Line],0,0,ROW(Proposed[])-ROW(Items[])+ROWS(Proposed[]),1),0)),1,0)</f>
        <v>0</v>
      </c>
    </row>
    <row r="186" spans="1:88" x14ac:dyDescent="0.15">
      <c r="A186" s="64">
        <f ca="1">IFERROR(OFFSET(A186,-1,0)+0,0)+MAX(IF(LEN(Calcs[[#This Row],[Line]])&gt;0,1,0),Calcs[[#This Row],[DL]],Calcs[[#This Row],[RL]])</f>
        <v>10</v>
      </c>
      <c r="B186" s="90" t="str">
        <f ca="1">IFERROR(INDEX(OFFSET(Items[Line],0,0,ROW(Proposed[])-ROW(Items[])+ROWS(Proposed[]),1),MATCH(ROW(B186)-ROW(B$3),INDIRECT(RangeCount),0)),"")</f>
        <v/>
      </c>
      <c r="C186" s="90" t="str">
        <f ca="1">IF(LEN(Calcs[[#This Row],[Line]])&gt;0,TRIM(IFERROR(INDEX(Items[Description],MATCH(Calcs[[#This Row],[Line]],Items[Line],0))&amp;INDEX(Items[Description2],MATCH(Calcs[[#This Row],[Line]],Items[Line],0)),INDEX(Proposed[Description],MATCH(Calcs[[#This Row],[Line]],Proposed[Line],0)))),"")</f>
        <v/>
      </c>
      <c r="D186" s="96">
        <f t="shared" ca="1" si="120"/>
        <v>0</v>
      </c>
      <c r="E186" s="103">
        <f t="shared" ca="1" si="121"/>
        <v>0</v>
      </c>
      <c r="F186" s="103">
        <f t="shared" ca="1" si="122"/>
        <v>0</v>
      </c>
      <c r="G186" s="103">
        <f t="shared" ca="1" si="123"/>
        <v>0</v>
      </c>
      <c r="H186" s="103">
        <f t="shared" ca="1" si="124"/>
        <v>0</v>
      </c>
      <c r="I186" s="103">
        <f t="shared" ca="1" si="125"/>
        <v>0</v>
      </c>
      <c r="J186" s="103">
        <f t="shared" ca="1" si="126"/>
        <v>0</v>
      </c>
      <c r="K186" s="103">
        <f t="shared" ca="1" si="127"/>
        <v>0</v>
      </c>
      <c r="L186" s="103">
        <f t="shared" ca="1" si="128"/>
        <v>0</v>
      </c>
      <c r="M186" s="103">
        <f t="shared" ca="1" si="129"/>
        <v>0</v>
      </c>
      <c r="N186" s="103">
        <f t="shared" ca="1" si="130"/>
        <v>0</v>
      </c>
      <c r="O186" s="103">
        <f t="shared" ca="1" si="131"/>
        <v>0</v>
      </c>
      <c r="P186" s="103">
        <f t="shared" ca="1" si="132"/>
        <v>0</v>
      </c>
      <c r="Q186" s="103">
        <f t="shared" ca="1" si="133"/>
        <v>0</v>
      </c>
      <c r="R186" s="103">
        <f t="shared" ca="1" si="134"/>
        <v>0</v>
      </c>
      <c r="S186" s="103">
        <f t="shared" ca="1" si="135"/>
        <v>0</v>
      </c>
      <c r="T186" s="103">
        <f t="shared" ca="1" si="136"/>
        <v>0</v>
      </c>
      <c r="U186" s="103">
        <f t="shared" ca="1" si="137"/>
        <v>0</v>
      </c>
      <c r="V186" s="103">
        <f t="shared" ca="1" si="138"/>
        <v>0</v>
      </c>
      <c r="W186" s="103">
        <f t="shared" ca="1" si="139"/>
        <v>0</v>
      </c>
      <c r="X186" s="103">
        <f t="shared" ca="1" si="140"/>
        <v>0</v>
      </c>
      <c r="Y186" s="103">
        <f t="shared" ca="1" si="141"/>
        <v>0</v>
      </c>
      <c r="Z186" s="103">
        <f t="shared" ca="1" si="142"/>
        <v>0</v>
      </c>
      <c r="AA186" s="103">
        <f t="shared" ca="1" si="143"/>
        <v>0</v>
      </c>
      <c r="AB186" s="103">
        <f t="shared" ca="1" si="144"/>
        <v>0</v>
      </c>
      <c r="AC186" s="103">
        <f t="shared" ca="1" si="145"/>
        <v>0</v>
      </c>
      <c r="AD186" s="103">
        <f t="shared" ca="1" si="146"/>
        <v>0</v>
      </c>
      <c r="AE186" s="103">
        <f t="shared" ca="1" si="147"/>
        <v>0</v>
      </c>
      <c r="AF186" s="103">
        <f t="shared" ca="1" si="148"/>
        <v>0</v>
      </c>
      <c r="AG186" s="103">
        <f t="shared" ca="1" si="149"/>
        <v>0</v>
      </c>
      <c r="AH186" s="103">
        <f t="shared" ca="1" si="150"/>
        <v>0</v>
      </c>
      <c r="AI186" s="103">
        <f t="shared" ca="1" si="151"/>
        <v>0</v>
      </c>
      <c r="AJ186" s="98">
        <f t="shared" ca="1" si="188"/>
        <v>0</v>
      </c>
      <c r="AK186" s="103">
        <f t="shared" ca="1" si="188"/>
        <v>0</v>
      </c>
      <c r="AL186" s="103">
        <f t="shared" ca="1" si="188"/>
        <v>0</v>
      </c>
      <c r="AM186" s="103">
        <f t="shared" ca="1" si="188"/>
        <v>0</v>
      </c>
      <c r="AN186" s="103">
        <f t="shared" ca="1" si="188"/>
        <v>0</v>
      </c>
      <c r="AO186" s="103">
        <f t="shared" ca="1" si="188"/>
        <v>0</v>
      </c>
      <c r="AP186" s="103">
        <f t="shared" ca="1" si="188"/>
        <v>0</v>
      </c>
      <c r="AQ186" s="103">
        <f t="shared" ca="1" si="188"/>
        <v>0</v>
      </c>
      <c r="AR186" s="104">
        <f ca="1">COUNTIF(AJ186:AQ186,"&lt;"&amp;MAX(AJ186:AQ186))+IF(Calcs[[#This Row],[DL1]]=0,0,1)</f>
        <v>0</v>
      </c>
      <c r="AS186" s="105" t="str">
        <f ca="1">IF(LEN(Calcs[[#This Row],[Line]])&gt;0,IF(RIGHT(Calcs[[#This Row],[Remark]],3)=".  ",LEFT(Calcs[[#This Row],[Remark]],LEN(Calcs[[#This Row],[Remark]])-3),Calcs[[#This Row],[Remark]]),"")</f>
        <v/>
      </c>
      <c r="AT186" s="96">
        <f t="shared" ca="1" si="152"/>
        <v>0</v>
      </c>
      <c r="AU186" s="103">
        <f t="shared" ca="1" si="153"/>
        <v>0</v>
      </c>
      <c r="AV186" s="103">
        <f t="shared" ca="1" si="154"/>
        <v>0</v>
      </c>
      <c r="AW186" s="103">
        <f t="shared" ca="1" si="155"/>
        <v>0</v>
      </c>
      <c r="AX186" s="103">
        <f t="shared" ca="1" si="156"/>
        <v>0</v>
      </c>
      <c r="AY186" s="103">
        <f t="shared" ca="1" si="157"/>
        <v>0</v>
      </c>
      <c r="AZ186" s="103">
        <f t="shared" ca="1" si="158"/>
        <v>0</v>
      </c>
      <c r="BA186" s="103">
        <f t="shared" ca="1" si="159"/>
        <v>0</v>
      </c>
      <c r="BB186" s="103">
        <f t="shared" ca="1" si="160"/>
        <v>0</v>
      </c>
      <c r="BC186" s="103">
        <f t="shared" ca="1" si="161"/>
        <v>0</v>
      </c>
      <c r="BD186" s="103">
        <f t="shared" ca="1" si="162"/>
        <v>0</v>
      </c>
      <c r="BE186" s="103">
        <f t="shared" ca="1" si="163"/>
        <v>0</v>
      </c>
      <c r="BF186" s="103">
        <f t="shared" ca="1" si="164"/>
        <v>0</v>
      </c>
      <c r="BG186" s="103">
        <f t="shared" ca="1" si="165"/>
        <v>0</v>
      </c>
      <c r="BH186" s="103">
        <f t="shared" ca="1" si="166"/>
        <v>0</v>
      </c>
      <c r="BI186" s="103">
        <f t="shared" ca="1" si="167"/>
        <v>0</v>
      </c>
      <c r="BJ186" s="103">
        <f t="shared" ca="1" si="168"/>
        <v>0</v>
      </c>
      <c r="BK186" s="103">
        <f t="shared" ca="1" si="169"/>
        <v>0</v>
      </c>
      <c r="BL186" s="103">
        <f t="shared" ca="1" si="170"/>
        <v>0</v>
      </c>
      <c r="BM186" s="103">
        <f t="shared" ca="1" si="171"/>
        <v>0</v>
      </c>
      <c r="BN186" s="103">
        <f t="shared" ca="1" si="172"/>
        <v>0</v>
      </c>
      <c r="BO186" s="103">
        <f t="shared" ca="1" si="173"/>
        <v>0</v>
      </c>
      <c r="BP186" s="103">
        <f t="shared" ca="1" si="174"/>
        <v>0</v>
      </c>
      <c r="BQ186" s="103">
        <f t="shared" ca="1" si="175"/>
        <v>0</v>
      </c>
      <c r="BR186" s="103">
        <f t="shared" ca="1" si="176"/>
        <v>0</v>
      </c>
      <c r="BS186" s="103">
        <f t="shared" ca="1" si="177"/>
        <v>0</v>
      </c>
      <c r="BT186" s="103">
        <f t="shared" ca="1" si="178"/>
        <v>0</v>
      </c>
      <c r="BU186" s="103">
        <f t="shared" ca="1" si="179"/>
        <v>0</v>
      </c>
      <c r="BV186" s="103">
        <f t="shared" ca="1" si="180"/>
        <v>0</v>
      </c>
      <c r="BW186" s="103">
        <f t="shared" ca="1" si="181"/>
        <v>0</v>
      </c>
      <c r="BX186" s="103">
        <f t="shared" ca="1" si="182"/>
        <v>0</v>
      </c>
      <c r="BY186" s="103">
        <f t="shared" ca="1" si="183"/>
        <v>0</v>
      </c>
      <c r="BZ186" s="98">
        <f t="shared" ca="1" si="189"/>
        <v>0</v>
      </c>
      <c r="CA186" s="103">
        <f t="shared" ca="1" si="189"/>
        <v>0</v>
      </c>
      <c r="CB186" s="103">
        <f t="shared" ca="1" si="189"/>
        <v>0</v>
      </c>
      <c r="CC186" s="103">
        <f t="shared" ca="1" si="189"/>
        <v>0</v>
      </c>
      <c r="CD186" s="103">
        <f t="shared" ca="1" si="189"/>
        <v>0</v>
      </c>
      <c r="CE186" s="103">
        <f t="shared" ca="1" si="189"/>
        <v>0</v>
      </c>
      <c r="CF186" s="103">
        <f t="shared" ca="1" si="189"/>
        <v>0</v>
      </c>
      <c r="CG186" s="103">
        <f t="shared" ca="1" si="189"/>
        <v>0</v>
      </c>
      <c r="CH186" s="106">
        <f ca="1">COUNTIF(BZ186:CG186,"&lt;"&amp;MAX(BZ186:CG186))+IF(Calcs[[#This Row],[RL1]]=0,0,1)</f>
        <v>0</v>
      </c>
      <c r="CI18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6" s="103">
        <f ca="1">IFERROR(OFFSET(CJ186,-1,0)+0,0)+IF(INDEX(INDIRECT(RangeContrQty),MATCH(Calcs[[#This Row],[Line]],OFFSET(Items[Line],0,0,ROW(Proposed[])-ROW(Items[])+ROWS(Proposed[]),1),0)),1,0)</f>
        <v>0</v>
      </c>
    </row>
    <row r="187" spans="1:88" x14ac:dyDescent="0.15">
      <c r="A187" s="64">
        <f ca="1">IFERROR(OFFSET(A187,-1,0)+0,0)+MAX(IF(LEN(Calcs[[#This Row],[Line]])&gt;0,1,0),Calcs[[#This Row],[DL]],Calcs[[#This Row],[RL]])</f>
        <v>10</v>
      </c>
      <c r="B187" s="90" t="str">
        <f ca="1">IFERROR(INDEX(OFFSET(Items[Line],0,0,ROW(Proposed[])-ROW(Items[])+ROWS(Proposed[]),1),MATCH(ROW(B187)-ROW(B$3),INDIRECT(RangeCount),0)),"")</f>
        <v/>
      </c>
      <c r="C187" s="90" t="str">
        <f ca="1">IF(LEN(Calcs[[#This Row],[Line]])&gt;0,TRIM(IFERROR(INDEX(Items[Description],MATCH(Calcs[[#This Row],[Line]],Items[Line],0))&amp;INDEX(Items[Description2],MATCH(Calcs[[#This Row],[Line]],Items[Line],0)),INDEX(Proposed[Description],MATCH(Calcs[[#This Row],[Line]],Proposed[Line],0)))),"")</f>
        <v/>
      </c>
      <c r="D187" s="96">
        <f t="shared" ca="1" si="120"/>
        <v>0</v>
      </c>
      <c r="E187" s="103">
        <f t="shared" ca="1" si="121"/>
        <v>0</v>
      </c>
      <c r="F187" s="103">
        <f t="shared" ca="1" si="122"/>
        <v>0</v>
      </c>
      <c r="G187" s="103">
        <f t="shared" ca="1" si="123"/>
        <v>0</v>
      </c>
      <c r="H187" s="103">
        <f t="shared" ca="1" si="124"/>
        <v>0</v>
      </c>
      <c r="I187" s="103">
        <f t="shared" ca="1" si="125"/>
        <v>0</v>
      </c>
      <c r="J187" s="103">
        <f t="shared" ca="1" si="126"/>
        <v>0</v>
      </c>
      <c r="K187" s="103">
        <f t="shared" ca="1" si="127"/>
        <v>0</v>
      </c>
      <c r="L187" s="103">
        <f t="shared" ca="1" si="128"/>
        <v>0</v>
      </c>
      <c r="M187" s="103">
        <f t="shared" ca="1" si="129"/>
        <v>0</v>
      </c>
      <c r="N187" s="103">
        <f t="shared" ca="1" si="130"/>
        <v>0</v>
      </c>
      <c r="O187" s="103">
        <f t="shared" ca="1" si="131"/>
        <v>0</v>
      </c>
      <c r="P187" s="103">
        <f t="shared" ca="1" si="132"/>
        <v>0</v>
      </c>
      <c r="Q187" s="103">
        <f t="shared" ca="1" si="133"/>
        <v>0</v>
      </c>
      <c r="R187" s="103">
        <f t="shared" ca="1" si="134"/>
        <v>0</v>
      </c>
      <c r="S187" s="103">
        <f t="shared" ca="1" si="135"/>
        <v>0</v>
      </c>
      <c r="T187" s="103">
        <f t="shared" ca="1" si="136"/>
        <v>0</v>
      </c>
      <c r="U187" s="103">
        <f t="shared" ca="1" si="137"/>
        <v>0</v>
      </c>
      <c r="V187" s="103">
        <f t="shared" ca="1" si="138"/>
        <v>0</v>
      </c>
      <c r="W187" s="103">
        <f t="shared" ca="1" si="139"/>
        <v>0</v>
      </c>
      <c r="X187" s="103">
        <f t="shared" ca="1" si="140"/>
        <v>0</v>
      </c>
      <c r="Y187" s="103">
        <f t="shared" ca="1" si="141"/>
        <v>0</v>
      </c>
      <c r="Z187" s="103">
        <f t="shared" ca="1" si="142"/>
        <v>0</v>
      </c>
      <c r="AA187" s="103">
        <f t="shared" ca="1" si="143"/>
        <v>0</v>
      </c>
      <c r="AB187" s="103">
        <f t="shared" ca="1" si="144"/>
        <v>0</v>
      </c>
      <c r="AC187" s="103">
        <f t="shared" ca="1" si="145"/>
        <v>0</v>
      </c>
      <c r="AD187" s="103">
        <f t="shared" ca="1" si="146"/>
        <v>0</v>
      </c>
      <c r="AE187" s="103">
        <f t="shared" ca="1" si="147"/>
        <v>0</v>
      </c>
      <c r="AF187" s="103">
        <f t="shared" ca="1" si="148"/>
        <v>0</v>
      </c>
      <c r="AG187" s="103">
        <f t="shared" ca="1" si="149"/>
        <v>0</v>
      </c>
      <c r="AH187" s="103">
        <f t="shared" ca="1" si="150"/>
        <v>0</v>
      </c>
      <c r="AI187" s="103">
        <f t="shared" ca="1" si="151"/>
        <v>0</v>
      </c>
      <c r="AJ187" s="98">
        <f t="shared" ca="1" si="188"/>
        <v>0</v>
      </c>
      <c r="AK187" s="103">
        <f t="shared" ca="1" si="188"/>
        <v>0</v>
      </c>
      <c r="AL187" s="103">
        <f t="shared" ca="1" si="188"/>
        <v>0</v>
      </c>
      <c r="AM187" s="103">
        <f t="shared" ca="1" si="188"/>
        <v>0</v>
      </c>
      <c r="AN187" s="103">
        <f t="shared" ca="1" si="188"/>
        <v>0</v>
      </c>
      <c r="AO187" s="103">
        <f t="shared" ca="1" si="188"/>
        <v>0</v>
      </c>
      <c r="AP187" s="103">
        <f t="shared" ca="1" si="188"/>
        <v>0</v>
      </c>
      <c r="AQ187" s="103">
        <f t="shared" ca="1" si="188"/>
        <v>0</v>
      </c>
      <c r="AR187" s="104">
        <f ca="1">COUNTIF(AJ187:AQ187,"&lt;"&amp;MAX(AJ187:AQ187))+IF(Calcs[[#This Row],[DL1]]=0,0,1)</f>
        <v>0</v>
      </c>
      <c r="AS187" s="105" t="str">
        <f ca="1">IF(LEN(Calcs[[#This Row],[Line]])&gt;0,IF(RIGHT(Calcs[[#This Row],[Remark]],3)=".  ",LEFT(Calcs[[#This Row],[Remark]],LEN(Calcs[[#This Row],[Remark]])-3),Calcs[[#This Row],[Remark]]),"")</f>
        <v/>
      </c>
      <c r="AT187" s="96">
        <f t="shared" ca="1" si="152"/>
        <v>0</v>
      </c>
      <c r="AU187" s="103">
        <f t="shared" ca="1" si="153"/>
        <v>0</v>
      </c>
      <c r="AV187" s="103">
        <f t="shared" ca="1" si="154"/>
        <v>0</v>
      </c>
      <c r="AW187" s="103">
        <f t="shared" ca="1" si="155"/>
        <v>0</v>
      </c>
      <c r="AX187" s="103">
        <f t="shared" ca="1" si="156"/>
        <v>0</v>
      </c>
      <c r="AY187" s="103">
        <f t="shared" ca="1" si="157"/>
        <v>0</v>
      </c>
      <c r="AZ187" s="103">
        <f t="shared" ca="1" si="158"/>
        <v>0</v>
      </c>
      <c r="BA187" s="103">
        <f t="shared" ca="1" si="159"/>
        <v>0</v>
      </c>
      <c r="BB187" s="103">
        <f t="shared" ca="1" si="160"/>
        <v>0</v>
      </c>
      <c r="BC187" s="103">
        <f t="shared" ca="1" si="161"/>
        <v>0</v>
      </c>
      <c r="BD187" s="103">
        <f t="shared" ca="1" si="162"/>
        <v>0</v>
      </c>
      <c r="BE187" s="103">
        <f t="shared" ca="1" si="163"/>
        <v>0</v>
      </c>
      <c r="BF187" s="103">
        <f t="shared" ca="1" si="164"/>
        <v>0</v>
      </c>
      <c r="BG187" s="103">
        <f t="shared" ca="1" si="165"/>
        <v>0</v>
      </c>
      <c r="BH187" s="103">
        <f t="shared" ca="1" si="166"/>
        <v>0</v>
      </c>
      <c r="BI187" s="103">
        <f t="shared" ca="1" si="167"/>
        <v>0</v>
      </c>
      <c r="BJ187" s="103">
        <f t="shared" ca="1" si="168"/>
        <v>0</v>
      </c>
      <c r="BK187" s="103">
        <f t="shared" ca="1" si="169"/>
        <v>0</v>
      </c>
      <c r="BL187" s="103">
        <f t="shared" ca="1" si="170"/>
        <v>0</v>
      </c>
      <c r="BM187" s="103">
        <f t="shared" ca="1" si="171"/>
        <v>0</v>
      </c>
      <c r="BN187" s="103">
        <f t="shared" ca="1" si="172"/>
        <v>0</v>
      </c>
      <c r="BO187" s="103">
        <f t="shared" ca="1" si="173"/>
        <v>0</v>
      </c>
      <c r="BP187" s="103">
        <f t="shared" ca="1" si="174"/>
        <v>0</v>
      </c>
      <c r="BQ187" s="103">
        <f t="shared" ca="1" si="175"/>
        <v>0</v>
      </c>
      <c r="BR187" s="103">
        <f t="shared" ca="1" si="176"/>
        <v>0</v>
      </c>
      <c r="BS187" s="103">
        <f t="shared" ca="1" si="177"/>
        <v>0</v>
      </c>
      <c r="BT187" s="103">
        <f t="shared" ca="1" si="178"/>
        <v>0</v>
      </c>
      <c r="BU187" s="103">
        <f t="shared" ca="1" si="179"/>
        <v>0</v>
      </c>
      <c r="BV187" s="103">
        <f t="shared" ca="1" si="180"/>
        <v>0</v>
      </c>
      <c r="BW187" s="103">
        <f t="shared" ca="1" si="181"/>
        <v>0</v>
      </c>
      <c r="BX187" s="103">
        <f t="shared" ca="1" si="182"/>
        <v>0</v>
      </c>
      <c r="BY187" s="103">
        <f t="shared" ca="1" si="183"/>
        <v>0</v>
      </c>
      <c r="BZ187" s="98">
        <f t="shared" ca="1" si="189"/>
        <v>0</v>
      </c>
      <c r="CA187" s="103">
        <f t="shared" ca="1" si="189"/>
        <v>0</v>
      </c>
      <c r="CB187" s="103">
        <f t="shared" ca="1" si="189"/>
        <v>0</v>
      </c>
      <c r="CC187" s="103">
        <f t="shared" ca="1" si="189"/>
        <v>0</v>
      </c>
      <c r="CD187" s="103">
        <f t="shared" ca="1" si="189"/>
        <v>0</v>
      </c>
      <c r="CE187" s="103">
        <f t="shared" ca="1" si="189"/>
        <v>0</v>
      </c>
      <c r="CF187" s="103">
        <f t="shared" ca="1" si="189"/>
        <v>0</v>
      </c>
      <c r="CG187" s="103">
        <f t="shared" ca="1" si="189"/>
        <v>0</v>
      </c>
      <c r="CH187" s="106">
        <f ca="1">COUNTIF(BZ187:CG187,"&lt;"&amp;MAX(BZ187:CG187))+IF(Calcs[[#This Row],[RL1]]=0,0,1)</f>
        <v>0</v>
      </c>
      <c r="CI18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7" s="103">
        <f ca="1">IFERROR(OFFSET(CJ187,-1,0)+0,0)+IF(INDEX(INDIRECT(RangeContrQty),MATCH(Calcs[[#This Row],[Line]],OFFSET(Items[Line],0,0,ROW(Proposed[])-ROW(Items[])+ROWS(Proposed[]),1),0)),1,0)</f>
        <v>0</v>
      </c>
    </row>
    <row r="188" spans="1:88" x14ac:dyDescent="0.15">
      <c r="A188" s="64">
        <f ca="1">IFERROR(OFFSET(A188,-1,0)+0,0)+MAX(IF(LEN(Calcs[[#This Row],[Line]])&gt;0,1,0),Calcs[[#This Row],[DL]],Calcs[[#This Row],[RL]])</f>
        <v>10</v>
      </c>
      <c r="B188" s="90" t="str">
        <f ca="1">IFERROR(INDEX(OFFSET(Items[Line],0,0,ROW(Proposed[])-ROW(Items[])+ROWS(Proposed[]),1),MATCH(ROW(B188)-ROW(B$3),INDIRECT(RangeCount),0)),"")</f>
        <v/>
      </c>
      <c r="C188" s="90" t="str">
        <f ca="1">IF(LEN(Calcs[[#This Row],[Line]])&gt;0,TRIM(IFERROR(INDEX(Items[Description],MATCH(Calcs[[#This Row],[Line]],Items[Line],0))&amp;INDEX(Items[Description2],MATCH(Calcs[[#This Row],[Line]],Items[Line],0)),INDEX(Proposed[Description],MATCH(Calcs[[#This Row],[Line]],Proposed[Line],0)))),"")</f>
        <v/>
      </c>
      <c r="D188" s="96">
        <f t="shared" ca="1" si="120"/>
        <v>0</v>
      </c>
      <c r="E188" s="103">
        <f t="shared" ca="1" si="121"/>
        <v>0</v>
      </c>
      <c r="F188" s="103">
        <f t="shared" ca="1" si="122"/>
        <v>0</v>
      </c>
      <c r="G188" s="103">
        <f t="shared" ca="1" si="123"/>
        <v>0</v>
      </c>
      <c r="H188" s="103">
        <f t="shared" ca="1" si="124"/>
        <v>0</v>
      </c>
      <c r="I188" s="103">
        <f t="shared" ca="1" si="125"/>
        <v>0</v>
      </c>
      <c r="J188" s="103">
        <f t="shared" ca="1" si="126"/>
        <v>0</v>
      </c>
      <c r="K188" s="103">
        <f t="shared" ca="1" si="127"/>
        <v>0</v>
      </c>
      <c r="L188" s="103">
        <f t="shared" ca="1" si="128"/>
        <v>0</v>
      </c>
      <c r="M188" s="103">
        <f t="shared" ca="1" si="129"/>
        <v>0</v>
      </c>
      <c r="N188" s="103">
        <f t="shared" ca="1" si="130"/>
        <v>0</v>
      </c>
      <c r="O188" s="103">
        <f t="shared" ca="1" si="131"/>
        <v>0</v>
      </c>
      <c r="P188" s="103">
        <f t="shared" ca="1" si="132"/>
        <v>0</v>
      </c>
      <c r="Q188" s="103">
        <f t="shared" ca="1" si="133"/>
        <v>0</v>
      </c>
      <c r="R188" s="103">
        <f t="shared" ca="1" si="134"/>
        <v>0</v>
      </c>
      <c r="S188" s="103">
        <f t="shared" ca="1" si="135"/>
        <v>0</v>
      </c>
      <c r="T188" s="103">
        <f t="shared" ca="1" si="136"/>
        <v>0</v>
      </c>
      <c r="U188" s="103">
        <f t="shared" ca="1" si="137"/>
        <v>0</v>
      </c>
      <c r="V188" s="103">
        <f t="shared" ca="1" si="138"/>
        <v>0</v>
      </c>
      <c r="W188" s="103">
        <f t="shared" ca="1" si="139"/>
        <v>0</v>
      </c>
      <c r="X188" s="103">
        <f t="shared" ca="1" si="140"/>
        <v>0</v>
      </c>
      <c r="Y188" s="103">
        <f t="shared" ca="1" si="141"/>
        <v>0</v>
      </c>
      <c r="Z188" s="103">
        <f t="shared" ca="1" si="142"/>
        <v>0</v>
      </c>
      <c r="AA188" s="103">
        <f t="shared" ca="1" si="143"/>
        <v>0</v>
      </c>
      <c r="AB188" s="103">
        <f t="shared" ca="1" si="144"/>
        <v>0</v>
      </c>
      <c r="AC188" s="103">
        <f t="shared" ca="1" si="145"/>
        <v>0</v>
      </c>
      <c r="AD188" s="103">
        <f t="shared" ca="1" si="146"/>
        <v>0</v>
      </c>
      <c r="AE188" s="103">
        <f t="shared" ca="1" si="147"/>
        <v>0</v>
      </c>
      <c r="AF188" s="103">
        <f t="shared" ca="1" si="148"/>
        <v>0</v>
      </c>
      <c r="AG188" s="103">
        <f t="shared" ca="1" si="149"/>
        <v>0</v>
      </c>
      <c r="AH188" s="103">
        <f t="shared" ca="1" si="150"/>
        <v>0</v>
      </c>
      <c r="AI188" s="103">
        <f t="shared" ca="1" si="151"/>
        <v>0</v>
      </c>
      <c r="AJ188" s="98">
        <f t="shared" ca="1" si="188"/>
        <v>0</v>
      </c>
      <c r="AK188" s="103">
        <f t="shared" ca="1" si="188"/>
        <v>0</v>
      </c>
      <c r="AL188" s="103">
        <f t="shared" ca="1" si="188"/>
        <v>0</v>
      </c>
      <c r="AM188" s="103">
        <f t="shared" ca="1" si="188"/>
        <v>0</v>
      </c>
      <c r="AN188" s="103">
        <f t="shared" ca="1" si="188"/>
        <v>0</v>
      </c>
      <c r="AO188" s="103">
        <f t="shared" ca="1" si="188"/>
        <v>0</v>
      </c>
      <c r="AP188" s="103">
        <f t="shared" ca="1" si="188"/>
        <v>0</v>
      </c>
      <c r="AQ188" s="103">
        <f t="shared" ca="1" si="188"/>
        <v>0</v>
      </c>
      <c r="AR188" s="104">
        <f ca="1">COUNTIF(AJ188:AQ188,"&lt;"&amp;MAX(AJ188:AQ188))+IF(Calcs[[#This Row],[DL1]]=0,0,1)</f>
        <v>0</v>
      </c>
      <c r="AS188" s="105" t="str">
        <f ca="1">IF(LEN(Calcs[[#This Row],[Line]])&gt;0,IF(RIGHT(Calcs[[#This Row],[Remark]],3)=".  ",LEFT(Calcs[[#This Row],[Remark]],LEN(Calcs[[#This Row],[Remark]])-3),Calcs[[#This Row],[Remark]]),"")</f>
        <v/>
      </c>
      <c r="AT188" s="96">
        <f t="shared" ca="1" si="152"/>
        <v>0</v>
      </c>
      <c r="AU188" s="103">
        <f t="shared" ca="1" si="153"/>
        <v>0</v>
      </c>
      <c r="AV188" s="103">
        <f t="shared" ca="1" si="154"/>
        <v>0</v>
      </c>
      <c r="AW188" s="103">
        <f t="shared" ca="1" si="155"/>
        <v>0</v>
      </c>
      <c r="AX188" s="103">
        <f t="shared" ca="1" si="156"/>
        <v>0</v>
      </c>
      <c r="AY188" s="103">
        <f t="shared" ca="1" si="157"/>
        <v>0</v>
      </c>
      <c r="AZ188" s="103">
        <f t="shared" ca="1" si="158"/>
        <v>0</v>
      </c>
      <c r="BA188" s="103">
        <f t="shared" ca="1" si="159"/>
        <v>0</v>
      </c>
      <c r="BB188" s="103">
        <f t="shared" ca="1" si="160"/>
        <v>0</v>
      </c>
      <c r="BC188" s="103">
        <f t="shared" ca="1" si="161"/>
        <v>0</v>
      </c>
      <c r="BD188" s="103">
        <f t="shared" ca="1" si="162"/>
        <v>0</v>
      </c>
      <c r="BE188" s="103">
        <f t="shared" ca="1" si="163"/>
        <v>0</v>
      </c>
      <c r="BF188" s="103">
        <f t="shared" ca="1" si="164"/>
        <v>0</v>
      </c>
      <c r="BG188" s="103">
        <f t="shared" ca="1" si="165"/>
        <v>0</v>
      </c>
      <c r="BH188" s="103">
        <f t="shared" ca="1" si="166"/>
        <v>0</v>
      </c>
      <c r="BI188" s="103">
        <f t="shared" ca="1" si="167"/>
        <v>0</v>
      </c>
      <c r="BJ188" s="103">
        <f t="shared" ca="1" si="168"/>
        <v>0</v>
      </c>
      <c r="BK188" s="103">
        <f t="shared" ca="1" si="169"/>
        <v>0</v>
      </c>
      <c r="BL188" s="103">
        <f t="shared" ca="1" si="170"/>
        <v>0</v>
      </c>
      <c r="BM188" s="103">
        <f t="shared" ca="1" si="171"/>
        <v>0</v>
      </c>
      <c r="BN188" s="103">
        <f t="shared" ca="1" si="172"/>
        <v>0</v>
      </c>
      <c r="BO188" s="103">
        <f t="shared" ca="1" si="173"/>
        <v>0</v>
      </c>
      <c r="BP188" s="103">
        <f t="shared" ca="1" si="174"/>
        <v>0</v>
      </c>
      <c r="BQ188" s="103">
        <f t="shared" ca="1" si="175"/>
        <v>0</v>
      </c>
      <c r="BR188" s="103">
        <f t="shared" ca="1" si="176"/>
        <v>0</v>
      </c>
      <c r="BS188" s="103">
        <f t="shared" ca="1" si="177"/>
        <v>0</v>
      </c>
      <c r="BT188" s="103">
        <f t="shared" ca="1" si="178"/>
        <v>0</v>
      </c>
      <c r="BU188" s="103">
        <f t="shared" ca="1" si="179"/>
        <v>0</v>
      </c>
      <c r="BV188" s="103">
        <f t="shared" ca="1" si="180"/>
        <v>0</v>
      </c>
      <c r="BW188" s="103">
        <f t="shared" ca="1" si="181"/>
        <v>0</v>
      </c>
      <c r="BX188" s="103">
        <f t="shared" ca="1" si="182"/>
        <v>0</v>
      </c>
      <c r="BY188" s="103">
        <f t="shared" ca="1" si="183"/>
        <v>0</v>
      </c>
      <c r="BZ188" s="98">
        <f t="shared" ca="1" si="189"/>
        <v>0</v>
      </c>
      <c r="CA188" s="103">
        <f t="shared" ca="1" si="189"/>
        <v>0</v>
      </c>
      <c r="CB188" s="103">
        <f t="shared" ca="1" si="189"/>
        <v>0</v>
      </c>
      <c r="CC188" s="103">
        <f t="shared" ca="1" si="189"/>
        <v>0</v>
      </c>
      <c r="CD188" s="103">
        <f t="shared" ca="1" si="189"/>
        <v>0</v>
      </c>
      <c r="CE188" s="103">
        <f t="shared" ca="1" si="189"/>
        <v>0</v>
      </c>
      <c r="CF188" s="103">
        <f t="shared" ca="1" si="189"/>
        <v>0</v>
      </c>
      <c r="CG188" s="103">
        <f t="shared" ca="1" si="189"/>
        <v>0</v>
      </c>
      <c r="CH188" s="106">
        <f ca="1">COUNTIF(BZ188:CG188,"&lt;"&amp;MAX(BZ188:CG188))+IF(Calcs[[#This Row],[RL1]]=0,0,1)</f>
        <v>0</v>
      </c>
      <c r="CI18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8" s="103">
        <f ca="1">IFERROR(OFFSET(CJ188,-1,0)+0,0)+IF(INDEX(INDIRECT(RangeContrQty),MATCH(Calcs[[#This Row],[Line]],OFFSET(Items[Line],0,0,ROW(Proposed[])-ROW(Items[])+ROWS(Proposed[]),1),0)),1,0)</f>
        <v>0</v>
      </c>
    </row>
    <row r="189" spans="1:88" x14ac:dyDescent="0.15">
      <c r="A189" s="64">
        <f ca="1">IFERROR(OFFSET(A189,-1,0)+0,0)+MAX(IF(LEN(Calcs[[#This Row],[Line]])&gt;0,1,0),Calcs[[#This Row],[DL]],Calcs[[#This Row],[RL]])</f>
        <v>10</v>
      </c>
      <c r="B189" s="90" t="str">
        <f ca="1">IFERROR(INDEX(OFFSET(Items[Line],0,0,ROW(Proposed[])-ROW(Items[])+ROWS(Proposed[]),1),MATCH(ROW(B189)-ROW(B$3),INDIRECT(RangeCount),0)),"")</f>
        <v/>
      </c>
      <c r="C189" s="90" t="str">
        <f ca="1">IF(LEN(Calcs[[#This Row],[Line]])&gt;0,TRIM(IFERROR(INDEX(Items[Description],MATCH(Calcs[[#This Row],[Line]],Items[Line],0))&amp;INDEX(Items[Description2],MATCH(Calcs[[#This Row],[Line]],Items[Line],0)),INDEX(Proposed[Description],MATCH(Calcs[[#This Row],[Line]],Proposed[Line],0)))),"")</f>
        <v/>
      </c>
      <c r="D189" s="96">
        <f t="shared" ca="1" si="120"/>
        <v>0</v>
      </c>
      <c r="E189" s="103">
        <f t="shared" ca="1" si="121"/>
        <v>0</v>
      </c>
      <c r="F189" s="103">
        <f t="shared" ca="1" si="122"/>
        <v>0</v>
      </c>
      <c r="G189" s="103">
        <f t="shared" ca="1" si="123"/>
        <v>0</v>
      </c>
      <c r="H189" s="103">
        <f t="shared" ca="1" si="124"/>
        <v>0</v>
      </c>
      <c r="I189" s="103">
        <f t="shared" ca="1" si="125"/>
        <v>0</v>
      </c>
      <c r="J189" s="103">
        <f t="shared" ca="1" si="126"/>
        <v>0</v>
      </c>
      <c r="K189" s="103">
        <f t="shared" ca="1" si="127"/>
        <v>0</v>
      </c>
      <c r="L189" s="103">
        <f t="shared" ca="1" si="128"/>
        <v>0</v>
      </c>
      <c r="M189" s="103">
        <f t="shared" ca="1" si="129"/>
        <v>0</v>
      </c>
      <c r="N189" s="103">
        <f t="shared" ca="1" si="130"/>
        <v>0</v>
      </c>
      <c r="O189" s="103">
        <f t="shared" ca="1" si="131"/>
        <v>0</v>
      </c>
      <c r="P189" s="103">
        <f t="shared" ca="1" si="132"/>
        <v>0</v>
      </c>
      <c r="Q189" s="103">
        <f t="shared" ca="1" si="133"/>
        <v>0</v>
      </c>
      <c r="R189" s="103">
        <f t="shared" ca="1" si="134"/>
        <v>0</v>
      </c>
      <c r="S189" s="103">
        <f t="shared" ca="1" si="135"/>
        <v>0</v>
      </c>
      <c r="T189" s="103">
        <f t="shared" ca="1" si="136"/>
        <v>0</v>
      </c>
      <c r="U189" s="103">
        <f t="shared" ca="1" si="137"/>
        <v>0</v>
      </c>
      <c r="V189" s="103">
        <f t="shared" ca="1" si="138"/>
        <v>0</v>
      </c>
      <c r="W189" s="103">
        <f t="shared" ca="1" si="139"/>
        <v>0</v>
      </c>
      <c r="X189" s="103">
        <f t="shared" ca="1" si="140"/>
        <v>0</v>
      </c>
      <c r="Y189" s="103">
        <f t="shared" ca="1" si="141"/>
        <v>0</v>
      </c>
      <c r="Z189" s="103">
        <f t="shared" ca="1" si="142"/>
        <v>0</v>
      </c>
      <c r="AA189" s="103">
        <f t="shared" ca="1" si="143"/>
        <v>0</v>
      </c>
      <c r="AB189" s="103">
        <f t="shared" ca="1" si="144"/>
        <v>0</v>
      </c>
      <c r="AC189" s="103">
        <f t="shared" ca="1" si="145"/>
        <v>0</v>
      </c>
      <c r="AD189" s="103">
        <f t="shared" ca="1" si="146"/>
        <v>0</v>
      </c>
      <c r="AE189" s="103">
        <f t="shared" ca="1" si="147"/>
        <v>0</v>
      </c>
      <c r="AF189" s="103">
        <f t="shared" ca="1" si="148"/>
        <v>0</v>
      </c>
      <c r="AG189" s="103">
        <f t="shared" ca="1" si="149"/>
        <v>0</v>
      </c>
      <c r="AH189" s="103">
        <f t="shared" ca="1" si="150"/>
        <v>0</v>
      </c>
      <c r="AI189" s="103">
        <f t="shared" ca="1" si="151"/>
        <v>0</v>
      </c>
      <c r="AJ189" s="98">
        <f t="shared" ca="1" si="188"/>
        <v>0</v>
      </c>
      <c r="AK189" s="103">
        <f t="shared" ca="1" si="188"/>
        <v>0</v>
      </c>
      <c r="AL189" s="103">
        <f t="shared" ca="1" si="188"/>
        <v>0</v>
      </c>
      <c r="AM189" s="103">
        <f t="shared" ca="1" si="188"/>
        <v>0</v>
      </c>
      <c r="AN189" s="103">
        <f t="shared" ca="1" si="188"/>
        <v>0</v>
      </c>
      <c r="AO189" s="103">
        <f t="shared" ca="1" si="188"/>
        <v>0</v>
      </c>
      <c r="AP189" s="103">
        <f t="shared" ca="1" si="188"/>
        <v>0</v>
      </c>
      <c r="AQ189" s="103">
        <f t="shared" ca="1" si="188"/>
        <v>0</v>
      </c>
      <c r="AR189" s="104">
        <f ca="1">COUNTIF(AJ189:AQ189,"&lt;"&amp;MAX(AJ189:AQ189))+IF(Calcs[[#This Row],[DL1]]=0,0,1)</f>
        <v>0</v>
      </c>
      <c r="AS189" s="105" t="str">
        <f ca="1">IF(LEN(Calcs[[#This Row],[Line]])&gt;0,IF(RIGHT(Calcs[[#This Row],[Remark]],3)=".  ",LEFT(Calcs[[#This Row],[Remark]],LEN(Calcs[[#This Row],[Remark]])-3),Calcs[[#This Row],[Remark]]),"")</f>
        <v/>
      </c>
      <c r="AT189" s="96">
        <f t="shared" ca="1" si="152"/>
        <v>0</v>
      </c>
      <c r="AU189" s="103">
        <f t="shared" ca="1" si="153"/>
        <v>0</v>
      </c>
      <c r="AV189" s="103">
        <f t="shared" ca="1" si="154"/>
        <v>0</v>
      </c>
      <c r="AW189" s="103">
        <f t="shared" ca="1" si="155"/>
        <v>0</v>
      </c>
      <c r="AX189" s="103">
        <f t="shared" ca="1" si="156"/>
        <v>0</v>
      </c>
      <c r="AY189" s="103">
        <f t="shared" ca="1" si="157"/>
        <v>0</v>
      </c>
      <c r="AZ189" s="103">
        <f t="shared" ca="1" si="158"/>
        <v>0</v>
      </c>
      <c r="BA189" s="103">
        <f t="shared" ca="1" si="159"/>
        <v>0</v>
      </c>
      <c r="BB189" s="103">
        <f t="shared" ca="1" si="160"/>
        <v>0</v>
      </c>
      <c r="BC189" s="103">
        <f t="shared" ca="1" si="161"/>
        <v>0</v>
      </c>
      <c r="BD189" s="103">
        <f t="shared" ca="1" si="162"/>
        <v>0</v>
      </c>
      <c r="BE189" s="103">
        <f t="shared" ca="1" si="163"/>
        <v>0</v>
      </c>
      <c r="BF189" s="103">
        <f t="shared" ca="1" si="164"/>
        <v>0</v>
      </c>
      <c r="BG189" s="103">
        <f t="shared" ca="1" si="165"/>
        <v>0</v>
      </c>
      <c r="BH189" s="103">
        <f t="shared" ca="1" si="166"/>
        <v>0</v>
      </c>
      <c r="BI189" s="103">
        <f t="shared" ca="1" si="167"/>
        <v>0</v>
      </c>
      <c r="BJ189" s="103">
        <f t="shared" ca="1" si="168"/>
        <v>0</v>
      </c>
      <c r="BK189" s="103">
        <f t="shared" ca="1" si="169"/>
        <v>0</v>
      </c>
      <c r="BL189" s="103">
        <f t="shared" ca="1" si="170"/>
        <v>0</v>
      </c>
      <c r="BM189" s="103">
        <f t="shared" ca="1" si="171"/>
        <v>0</v>
      </c>
      <c r="BN189" s="103">
        <f t="shared" ca="1" si="172"/>
        <v>0</v>
      </c>
      <c r="BO189" s="103">
        <f t="shared" ca="1" si="173"/>
        <v>0</v>
      </c>
      <c r="BP189" s="103">
        <f t="shared" ca="1" si="174"/>
        <v>0</v>
      </c>
      <c r="BQ189" s="103">
        <f t="shared" ca="1" si="175"/>
        <v>0</v>
      </c>
      <c r="BR189" s="103">
        <f t="shared" ca="1" si="176"/>
        <v>0</v>
      </c>
      <c r="BS189" s="103">
        <f t="shared" ca="1" si="177"/>
        <v>0</v>
      </c>
      <c r="BT189" s="103">
        <f t="shared" ca="1" si="178"/>
        <v>0</v>
      </c>
      <c r="BU189" s="103">
        <f t="shared" ca="1" si="179"/>
        <v>0</v>
      </c>
      <c r="BV189" s="103">
        <f t="shared" ca="1" si="180"/>
        <v>0</v>
      </c>
      <c r="BW189" s="103">
        <f t="shared" ca="1" si="181"/>
        <v>0</v>
      </c>
      <c r="BX189" s="103">
        <f t="shared" ca="1" si="182"/>
        <v>0</v>
      </c>
      <c r="BY189" s="103">
        <f t="shared" ca="1" si="183"/>
        <v>0</v>
      </c>
      <c r="BZ189" s="98">
        <f t="shared" ca="1" si="189"/>
        <v>0</v>
      </c>
      <c r="CA189" s="103">
        <f t="shared" ca="1" si="189"/>
        <v>0</v>
      </c>
      <c r="CB189" s="103">
        <f t="shared" ca="1" si="189"/>
        <v>0</v>
      </c>
      <c r="CC189" s="103">
        <f t="shared" ca="1" si="189"/>
        <v>0</v>
      </c>
      <c r="CD189" s="103">
        <f t="shared" ca="1" si="189"/>
        <v>0</v>
      </c>
      <c r="CE189" s="103">
        <f t="shared" ca="1" si="189"/>
        <v>0</v>
      </c>
      <c r="CF189" s="103">
        <f t="shared" ca="1" si="189"/>
        <v>0</v>
      </c>
      <c r="CG189" s="103">
        <f t="shared" ca="1" si="189"/>
        <v>0</v>
      </c>
      <c r="CH189" s="106">
        <f ca="1">COUNTIF(BZ189:CG189,"&lt;"&amp;MAX(BZ189:CG189))+IF(Calcs[[#This Row],[RL1]]=0,0,1)</f>
        <v>0</v>
      </c>
      <c r="CI18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9" s="103">
        <f ca="1">IFERROR(OFFSET(CJ189,-1,0)+0,0)+IF(INDEX(INDIRECT(RangeContrQty),MATCH(Calcs[[#This Row],[Line]],OFFSET(Items[Line],0,0,ROW(Proposed[])-ROW(Items[])+ROWS(Proposed[]),1),0)),1,0)</f>
        <v>0</v>
      </c>
    </row>
    <row r="190" spans="1:88" x14ac:dyDescent="0.15">
      <c r="A190" s="64">
        <f ca="1">IFERROR(OFFSET(A190,-1,0)+0,0)+MAX(IF(LEN(Calcs[[#This Row],[Line]])&gt;0,1,0),Calcs[[#This Row],[DL]],Calcs[[#This Row],[RL]])</f>
        <v>10</v>
      </c>
      <c r="B190" s="90" t="str">
        <f ca="1">IFERROR(INDEX(OFFSET(Items[Line],0,0,ROW(Proposed[])-ROW(Items[])+ROWS(Proposed[]),1),MATCH(ROW(B190)-ROW(B$3),INDIRECT(RangeCount),0)),"")</f>
        <v/>
      </c>
      <c r="C190" s="90" t="str">
        <f ca="1">IF(LEN(Calcs[[#This Row],[Line]])&gt;0,TRIM(IFERROR(INDEX(Items[Description],MATCH(Calcs[[#This Row],[Line]],Items[Line],0))&amp;INDEX(Items[Description2],MATCH(Calcs[[#This Row],[Line]],Items[Line],0)),INDEX(Proposed[Description],MATCH(Calcs[[#This Row],[Line]],Proposed[Line],0)))),"")</f>
        <v/>
      </c>
      <c r="D190" s="96">
        <f t="shared" ca="1" si="120"/>
        <v>0</v>
      </c>
      <c r="E190" s="103">
        <f t="shared" ca="1" si="121"/>
        <v>0</v>
      </c>
      <c r="F190" s="103">
        <f t="shared" ca="1" si="122"/>
        <v>0</v>
      </c>
      <c r="G190" s="103">
        <f t="shared" ca="1" si="123"/>
        <v>0</v>
      </c>
      <c r="H190" s="103">
        <f t="shared" ca="1" si="124"/>
        <v>0</v>
      </c>
      <c r="I190" s="103">
        <f t="shared" ca="1" si="125"/>
        <v>0</v>
      </c>
      <c r="J190" s="103">
        <f t="shared" ca="1" si="126"/>
        <v>0</v>
      </c>
      <c r="K190" s="103">
        <f t="shared" ca="1" si="127"/>
        <v>0</v>
      </c>
      <c r="L190" s="103">
        <f t="shared" ca="1" si="128"/>
        <v>0</v>
      </c>
      <c r="M190" s="103">
        <f t="shared" ca="1" si="129"/>
        <v>0</v>
      </c>
      <c r="N190" s="103">
        <f t="shared" ca="1" si="130"/>
        <v>0</v>
      </c>
      <c r="O190" s="103">
        <f t="shared" ca="1" si="131"/>
        <v>0</v>
      </c>
      <c r="P190" s="103">
        <f t="shared" ca="1" si="132"/>
        <v>0</v>
      </c>
      <c r="Q190" s="103">
        <f t="shared" ca="1" si="133"/>
        <v>0</v>
      </c>
      <c r="R190" s="103">
        <f t="shared" ca="1" si="134"/>
        <v>0</v>
      </c>
      <c r="S190" s="103">
        <f t="shared" ca="1" si="135"/>
        <v>0</v>
      </c>
      <c r="T190" s="103">
        <f t="shared" ca="1" si="136"/>
        <v>0</v>
      </c>
      <c r="U190" s="103">
        <f t="shared" ca="1" si="137"/>
        <v>0</v>
      </c>
      <c r="V190" s="103">
        <f t="shared" ca="1" si="138"/>
        <v>0</v>
      </c>
      <c r="W190" s="103">
        <f t="shared" ca="1" si="139"/>
        <v>0</v>
      </c>
      <c r="X190" s="103">
        <f t="shared" ca="1" si="140"/>
        <v>0</v>
      </c>
      <c r="Y190" s="103">
        <f t="shared" ca="1" si="141"/>
        <v>0</v>
      </c>
      <c r="Z190" s="103">
        <f t="shared" ca="1" si="142"/>
        <v>0</v>
      </c>
      <c r="AA190" s="103">
        <f t="shared" ca="1" si="143"/>
        <v>0</v>
      </c>
      <c r="AB190" s="103">
        <f t="shared" ca="1" si="144"/>
        <v>0</v>
      </c>
      <c r="AC190" s="103">
        <f t="shared" ca="1" si="145"/>
        <v>0</v>
      </c>
      <c r="AD190" s="103">
        <f t="shared" ca="1" si="146"/>
        <v>0</v>
      </c>
      <c r="AE190" s="103">
        <f t="shared" ca="1" si="147"/>
        <v>0</v>
      </c>
      <c r="AF190" s="103">
        <f t="shared" ca="1" si="148"/>
        <v>0</v>
      </c>
      <c r="AG190" s="103">
        <f t="shared" ca="1" si="149"/>
        <v>0</v>
      </c>
      <c r="AH190" s="103">
        <f t="shared" ca="1" si="150"/>
        <v>0</v>
      </c>
      <c r="AI190" s="103">
        <f t="shared" ca="1" si="151"/>
        <v>0</v>
      </c>
      <c r="AJ190" s="98">
        <f t="shared" ca="1" si="188"/>
        <v>0</v>
      </c>
      <c r="AK190" s="103">
        <f t="shared" ca="1" si="188"/>
        <v>0</v>
      </c>
      <c r="AL190" s="103">
        <f t="shared" ca="1" si="188"/>
        <v>0</v>
      </c>
      <c r="AM190" s="103">
        <f t="shared" ca="1" si="188"/>
        <v>0</v>
      </c>
      <c r="AN190" s="103">
        <f t="shared" ca="1" si="188"/>
        <v>0</v>
      </c>
      <c r="AO190" s="103">
        <f t="shared" ca="1" si="188"/>
        <v>0</v>
      </c>
      <c r="AP190" s="103">
        <f t="shared" ca="1" si="188"/>
        <v>0</v>
      </c>
      <c r="AQ190" s="103">
        <f t="shared" ca="1" si="188"/>
        <v>0</v>
      </c>
      <c r="AR190" s="104">
        <f ca="1">COUNTIF(AJ190:AQ190,"&lt;"&amp;MAX(AJ190:AQ190))+IF(Calcs[[#This Row],[DL1]]=0,0,1)</f>
        <v>0</v>
      </c>
      <c r="AS190" s="105" t="str">
        <f ca="1">IF(LEN(Calcs[[#This Row],[Line]])&gt;0,IF(RIGHT(Calcs[[#This Row],[Remark]],3)=".  ",LEFT(Calcs[[#This Row],[Remark]],LEN(Calcs[[#This Row],[Remark]])-3),Calcs[[#This Row],[Remark]]),"")</f>
        <v/>
      </c>
      <c r="AT190" s="96">
        <f t="shared" ca="1" si="152"/>
        <v>0</v>
      </c>
      <c r="AU190" s="103">
        <f t="shared" ca="1" si="153"/>
        <v>0</v>
      </c>
      <c r="AV190" s="103">
        <f t="shared" ca="1" si="154"/>
        <v>0</v>
      </c>
      <c r="AW190" s="103">
        <f t="shared" ca="1" si="155"/>
        <v>0</v>
      </c>
      <c r="AX190" s="103">
        <f t="shared" ca="1" si="156"/>
        <v>0</v>
      </c>
      <c r="AY190" s="103">
        <f t="shared" ca="1" si="157"/>
        <v>0</v>
      </c>
      <c r="AZ190" s="103">
        <f t="shared" ca="1" si="158"/>
        <v>0</v>
      </c>
      <c r="BA190" s="103">
        <f t="shared" ca="1" si="159"/>
        <v>0</v>
      </c>
      <c r="BB190" s="103">
        <f t="shared" ca="1" si="160"/>
        <v>0</v>
      </c>
      <c r="BC190" s="103">
        <f t="shared" ca="1" si="161"/>
        <v>0</v>
      </c>
      <c r="BD190" s="103">
        <f t="shared" ca="1" si="162"/>
        <v>0</v>
      </c>
      <c r="BE190" s="103">
        <f t="shared" ca="1" si="163"/>
        <v>0</v>
      </c>
      <c r="BF190" s="103">
        <f t="shared" ca="1" si="164"/>
        <v>0</v>
      </c>
      <c r="BG190" s="103">
        <f t="shared" ca="1" si="165"/>
        <v>0</v>
      </c>
      <c r="BH190" s="103">
        <f t="shared" ca="1" si="166"/>
        <v>0</v>
      </c>
      <c r="BI190" s="103">
        <f t="shared" ca="1" si="167"/>
        <v>0</v>
      </c>
      <c r="BJ190" s="103">
        <f t="shared" ca="1" si="168"/>
        <v>0</v>
      </c>
      <c r="BK190" s="103">
        <f t="shared" ca="1" si="169"/>
        <v>0</v>
      </c>
      <c r="BL190" s="103">
        <f t="shared" ca="1" si="170"/>
        <v>0</v>
      </c>
      <c r="BM190" s="103">
        <f t="shared" ca="1" si="171"/>
        <v>0</v>
      </c>
      <c r="BN190" s="103">
        <f t="shared" ca="1" si="172"/>
        <v>0</v>
      </c>
      <c r="BO190" s="103">
        <f t="shared" ca="1" si="173"/>
        <v>0</v>
      </c>
      <c r="BP190" s="103">
        <f t="shared" ca="1" si="174"/>
        <v>0</v>
      </c>
      <c r="BQ190" s="103">
        <f t="shared" ca="1" si="175"/>
        <v>0</v>
      </c>
      <c r="BR190" s="103">
        <f t="shared" ca="1" si="176"/>
        <v>0</v>
      </c>
      <c r="BS190" s="103">
        <f t="shared" ca="1" si="177"/>
        <v>0</v>
      </c>
      <c r="BT190" s="103">
        <f t="shared" ca="1" si="178"/>
        <v>0</v>
      </c>
      <c r="BU190" s="103">
        <f t="shared" ca="1" si="179"/>
        <v>0</v>
      </c>
      <c r="BV190" s="103">
        <f t="shared" ca="1" si="180"/>
        <v>0</v>
      </c>
      <c r="BW190" s="103">
        <f t="shared" ca="1" si="181"/>
        <v>0</v>
      </c>
      <c r="BX190" s="103">
        <f t="shared" ca="1" si="182"/>
        <v>0</v>
      </c>
      <c r="BY190" s="103">
        <f t="shared" ca="1" si="183"/>
        <v>0</v>
      </c>
      <c r="BZ190" s="98">
        <f t="shared" ca="1" si="189"/>
        <v>0</v>
      </c>
      <c r="CA190" s="103">
        <f t="shared" ca="1" si="189"/>
        <v>0</v>
      </c>
      <c r="CB190" s="103">
        <f t="shared" ca="1" si="189"/>
        <v>0</v>
      </c>
      <c r="CC190" s="103">
        <f t="shared" ca="1" si="189"/>
        <v>0</v>
      </c>
      <c r="CD190" s="103">
        <f t="shared" ca="1" si="189"/>
        <v>0</v>
      </c>
      <c r="CE190" s="103">
        <f t="shared" ca="1" si="189"/>
        <v>0</v>
      </c>
      <c r="CF190" s="103">
        <f t="shared" ca="1" si="189"/>
        <v>0</v>
      </c>
      <c r="CG190" s="103">
        <f t="shared" ca="1" si="189"/>
        <v>0</v>
      </c>
      <c r="CH190" s="106">
        <f ca="1">COUNTIF(BZ190:CG190,"&lt;"&amp;MAX(BZ190:CG190))+IF(Calcs[[#This Row],[RL1]]=0,0,1)</f>
        <v>0</v>
      </c>
      <c r="CI19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0" s="103">
        <f ca="1">IFERROR(OFFSET(CJ190,-1,0)+0,0)+IF(INDEX(INDIRECT(RangeContrQty),MATCH(Calcs[[#This Row],[Line]],OFFSET(Items[Line],0,0,ROW(Proposed[])-ROW(Items[])+ROWS(Proposed[]),1),0)),1,0)</f>
        <v>0</v>
      </c>
    </row>
    <row r="191" spans="1:88" x14ac:dyDescent="0.15">
      <c r="A191" s="64">
        <f ca="1">IFERROR(OFFSET(A191,-1,0)+0,0)+MAX(IF(LEN(Calcs[[#This Row],[Line]])&gt;0,1,0),Calcs[[#This Row],[DL]],Calcs[[#This Row],[RL]])</f>
        <v>10</v>
      </c>
      <c r="B191" s="90" t="str">
        <f ca="1">IFERROR(INDEX(OFFSET(Items[Line],0,0,ROW(Proposed[])-ROW(Items[])+ROWS(Proposed[]),1),MATCH(ROW(B191)-ROW(B$3),INDIRECT(RangeCount),0)),"")</f>
        <v/>
      </c>
      <c r="C191" s="90" t="str">
        <f ca="1">IF(LEN(Calcs[[#This Row],[Line]])&gt;0,TRIM(IFERROR(INDEX(Items[Description],MATCH(Calcs[[#This Row],[Line]],Items[Line],0))&amp;INDEX(Items[Description2],MATCH(Calcs[[#This Row],[Line]],Items[Line],0)),INDEX(Proposed[Description],MATCH(Calcs[[#This Row],[Line]],Proposed[Line],0)))),"")</f>
        <v/>
      </c>
      <c r="D191" s="96">
        <f t="shared" ca="1" si="120"/>
        <v>0</v>
      </c>
      <c r="E191" s="103">
        <f t="shared" ca="1" si="121"/>
        <v>0</v>
      </c>
      <c r="F191" s="103">
        <f t="shared" ca="1" si="122"/>
        <v>0</v>
      </c>
      <c r="G191" s="103">
        <f t="shared" ca="1" si="123"/>
        <v>0</v>
      </c>
      <c r="H191" s="103">
        <f t="shared" ca="1" si="124"/>
        <v>0</v>
      </c>
      <c r="I191" s="103">
        <f t="shared" ca="1" si="125"/>
        <v>0</v>
      </c>
      <c r="J191" s="103">
        <f t="shared" ca="1" si="126"/>
        <v>0</v>
      </c>
      <c r="K191" s="103">
        <f t="shared" ca="1" si="127"/>
        <v>0</v>
      </c>
      <c r="L191" s="103">
        <f t="shared" ca="1" si="128"/>
        <v>0</v>
      </c>
      <c r="M191" s="103">
        <f t="shared" ca="1" si="129"/>
        <v>0</v>
      </c>
      <c r="N191" s="103">
        <f t="shared" ca="1" si="130"/>
        <v>0</v>
      </c>
      <c r="O191" s="103">
        <f t="shared" ca="1" si="131"/>
        <v>0</v>
      </c>
      <c r="P191" s="103">
        <f t="shared" ca="1" si="132"/>
        <v>0</v>
      </c>
      <c r="Q191" s="103">
        <f t="shared" ca="1" si="133"/>
        <v>0</v>
      </c>
      <c r="R191" s="103">
        <f t="shared" ca="1" si="134"/>
        <v>0</v>
      </c>
      <c r="S191" s="103">
        <f t="shared" ca="1" si="135"/>
        <v>0</v>
      </c>
      <c r="T191" s="103">
        <f t="shared" ca="1" si="136"/>
        <v>0</v>
      </c>
      <c r="U191" s="103">
        <f t="shared" ca="1" si="137"/>
        <v>0</v>
      </c>
      <c r="V191" s="103">
        <f t="shared" ca="1" si="138"/>
        <v>0</v>
      </c>
      <c r="W191" s="103">
        <f t="shared" ca="1" si="139"/>
        <v>0</v>
      </c>
      <c r="X191" s="103">
        <f t="shared" ca="1" si="140"/>
        <v>0</v>
      </c>
      <c r="Y191" s="103">
        <f t="shared" ca="1" si="141"/>
        <v>0</v>
      </c>
      <c r="Z191" s="103">
        <f t="shared" ca="1" si="142"/>
        <v>0</v>
      </c>
      <c r="AA191" s="103">
        <f t="shared" ca="1" si="143"/>
        <v>0</v>
      </c>
      <c r="AB191" s="103">
        <f t="shared" ca="1" si="144"/>
        <v>0</v>
      </c>
      <c r="AC191" s="103">
        <f t="shared" ca="1" si="145"/>
        <v>0</v>
      </c>
      <c r="AD191" s="103">
        <f t="shared" ca="1" si="146"/>
        <v>0</v>
      </c>
      <c r="AE191" s="103">
        <f t="shared" ca="1" si="147"/>
        <v>0</v>
      </c>
      <c r="AF191" s="103">
        <f t="shared" ca="1" si="148"/>
        <v>0</v>
      </c>
      <c r="AG191" s="103">
        <f t="shared" ca="1" si="149"/>
        <v>0</v>
      </c>
      <c r="AH191" s="103">
        <f t="shared" ca="1" si="150"/>
        <v>0</v>
      </c>
      <c r="AI191" s="103">
        <f t="shared" ca="1" si="151"/>
        <v>0</v>
      </c>
      <c r="AJ191" s="98">
        <f t="shared" ca="1" si="188"/>
        <v>0</v>
      </c>
      <c r="AK191" s="103">
        <f t="shared" ca="1" si="188"/>
        <v>0</v>
      </c>
      <c r="AL191" s="103">
        <f t="shared" ca="1" si="188"/>
        <v>0</v>
      </c>
      <c r="AM191" s="103">
        <f t="shared" ca="1" si="188"/>
        <v>0</v>
      </c>
      <c r="AN191" s="103">
        <f t="shared" ca="1" si="188"/>
        <v>0</v>
      </c>
      <c r="AO191" s="103">
        <f t="shared" ca="1" si="188"/>
        <v>0</v>
      </c>
      <c r="AP191" s="103">
        <f t="shared" ca="1" si="188"/>
        <v>0</v>
      </c>
      <c r="AQ191" s="103">
        <f t="shared" ca="1" si="188"/>
        <v>0</v>
      </c>
      <c r="AR191" s="104">
        <f ca="1">COUNTIF(AJ191:AQ191,"&lt;"&amp;MAX(AJ191:AQ191))+IF(Calcs[[#This Row],[DL1]]=0,0,1)</f>
        <v>0</v>
      </c>
      <c r="AS191" s="105" t="str">
        <f ca="1">IF(LEN(Calcs[[#This Row],[Line]])&gt;0,IF(RIGHT(Calcs[[#This Row],[Remark]],3)=".  ",LEFT(Calcs[[#This Row],[Remark]],LEN(Calcs[[#This Row],[Remark]])-3),Calcs[[#This Row],[Remark]]),"")</f>
        <v/>
      </c>
      <c r="AT191" s="96">
        <f t="shared" ca="1" si="152"/>
        <v>0</v>
      </c>
      <c r="AU191" s="103">
        <f t="shared" ca="1" si="153"/>
        <v>0</v>
      </c>
      <c r="AV191" s="103">
        <f t="shared" ca="1" si="154"/>
        <v>0</v>
      </c>
      <c r="AW191" s="103">
        <f t="shared" ca="1" si="155"/>
        <v>0</v>
      </c>
      <c r="AX191" s="103">
        <f t="shared" ca="1" si="156"/>
        <v>0</v>
      </c>
      <c r="AY191" s="103">
        <f t="shared" ca="1" si="157"/>
        <v>0</v>
      </c>
      <c r="AZ191" s="103">
        <f t="shared" ca="1" si="158"/>
        <v>0</v>
      </c>
      <c r="BA191" s="103">
        <f t="shared" ca="1" si="159"/>
        <v>0</v>
      </c>
      <c r="BB191" s="103">
        <f t="shared" ca="1" si="160"/>
        <v>0</v>
      </c>
      <c r="BC191" s="103">
        <f t="shared" ca="1" si="161"/>
        <v>0</v>
      </c>
      <c r="BD191" s="103">
        <f t="shared" ca="1" si="162"/>
        <v>0</v>
      </c>
      <c r="BE191" s="103">
        <f t="shared" ca="1" si="163"/>
        <v>0</v>
      </c>
      <c r="BF191" s="103">
        <f t="shared" ca="1" si="164"/>
        <v>0</v>
      </c>
      <c r="BG191" s="103">
        <f t="shared" ca="1" si="165"/>
        <v>0</v>
      </c>
      <c r="BH191" s="103">
        <f t="shared" ca="1" si="166"/>
        <v>0</v>
      </c>
      <c r="BI191" s="103">
        <f t="shared" ca="1" si="167"/>
        <v>0</v>
      </c>
      <c r="BJ191" s="103">
        <f t="shared" ca="1" si="168"/>
        <v>0</v>
      </c>
      <c r="BK191" s="103">
        <f t="shared" ca="1" si="169"/>
        <v>0</v>
      </c>
      <c r="BL191" s="103">
        <f t="shared" ca="1" si="170"/>
        <v>0</v>
      </c>
      <c r="BM191" s="103">
        <f t="shared" ca="1" si="171"/>
        <v>0</v>
      </c>
      <c r="BN191" s="103">
        <f t="shared" ca="1" si="172"/>
        <v>0</v>
      </c>
      <c r="BO191" s="103">
        <f t="shared" ca="1" si="173"/>
        <v>0</v>
      </c>
      <c r="BP191" s="103">
        <f t="shared" ca="1" si="174"/>
        <v>0</v>
      </c>
      <c r="BQ191" s="103">
        <f t="shared" ca="1" si="175"/>
        <v>0</v>
      </c>
      <c r="BR191" s="103">
        <f t="shared" ca="1" si="176"/>
        <v>0</v>
      </c>
      <c r="BS191" s="103">
        <f t="shared" ca="1" si="177"/>
        <v>0</v>
      </c>
      <c r="BT191" s="103">
        <f t="shared" ca="1" si="178"/>
        <v>0</v>
      </c>
      <c r="BU191" s="103">
        <f t="shared" ca="1" si="179"/>
        <v>0</v>
      </c>
      <c r="BV191" s="103">
        <f t="shared" ca="1" si="180"/>
        <v>0</v>
      </c>
      <c r="BW191" s="103">
        <f t="shared" ca="1" si="181"/>
        <v>0</v>
      </c>
      <c r="BX191" s="103">
        <f t="shared" ca="1" si="182"/>
        <v>0</v>
      </c>
      <c r="BY191" s="103">
        <f t="shared" ca="1" si="183"/>
        <v>0</v>
      </c>
      <c r="BZ191" s="98">
        <f t="shared" ca="1" si="189"/>
        <v>0</v>
      </c>
      <c r="CA191" s="103">
        <f t="shared" ca="1" si="189"/>
        <v>0</v>
      </c>
      <c r="CB191" s="103">
        <f t="shared" ca="1" si="189"/>
        <v>0</v>
      </c>
      <c r="CC191" s="103">
        <f t="shared" ca="1" si="189"/>
        <v>0</v>
      </c>
      <c r="CD191" s="103">
        <f t="shared" ca="1" si="189"/>
        <v>0</v>
      </c>
      <c r="CE191" s="103">
        <f t="shared" ca="1" si="189"/>
        <v>0</v>
      </c>
      <c r="CF191" s="103">
        <f t="shared" ca="1" si="189"/>
        <v>0</v>
      </c>
      <c r="CG191" s="103">
        <f t="shared" ca="1" si="189"/>
        <v>0</v>
      </c>
      <c r="CH191" s="106">
        <f ca="1">COUNTIF(BZ191:CG191,"&lt;"&amp;MAX(BZ191:CG191))+IF(Calcs[[#This Row],[RL1]]=0,0,1)</f>
        <v>0</v>
      </c>
      <c r="CI19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1" s="103">
        <f ca="1">IFERROR(OFFSET(CJ191,-1,0)+0,0)+IF(INDEX(INDIRECT(RangeContrQty),MATCH(Calcs[[#This Row],[Line]],OFFSET(Items[Line],0,0,ROW(Proposed[])-ROW(Items[])+ROWS(Proposed[]),1),0)),1,0)</f>
        <v>0</v>
      </c>
    </row>
    <row r="192" spans="1:88" x14ac:dyDescent="0.15">
      <c r="A192" s="64">
        <f ca="1">IFERROR(OFFSET(A192,-1,0)+0,0)+MAX(IF(LEN(Calcs[[#This Row],[Line]])&gt;0,1,0),Calcs[[#This Row],[DL]],Calcs[[#This Row],[RL]])</f>
        <v>10</v>
      </c>
      <c r="B192" s="90" t="str">
        <f ca="1">IFERROR(INDEX(OFFSET(Items[Line],0,0,ROW(Proposed[])-ROW(Items[])+ROWS(Proposed[]),1),MATCH(ROW(B192)-ROW(B$3),INDIRECT(RangeCount),0)),"")</f>
        <v/>
      </c>
      <c r="C192" s="90" t="str">
        <f ca="1">IF(LEN(Calcs[[#This Row],[Line]])&gt;0,TRIM(IFERROR(INDEX(Items[Description],MATCH(Calcs[[#This Row],[Line]],Items[Line],0))&amp;INDEX(Items[Description2],MATCH(Calcs[[#This Row],[Line]],Items[Line],0)),INDEX(Proposed[Description],MATCH(Calcs[[#This Row],[Line]],Proposed[Line],0)))),"")</f>
        <v/>
      </c>
      <c r="D192" s="96">
        <f t="shared" ca="1" si="120"/>
        <v>0</v>
      </c>
      <c r="E192" s="103">
        <f t="shared" ca="1" si="121"/>
        <v>0</v>
      </c>
      <c r="F192" s="103">
        <f t="shared" ca="1" si="122"/>
        <v>0</v>
      </c>
      <c r="G192" s="103">
        <f t="shared" ca="1" si="123"/>
        <v>0</v>
      </c>
      <c r="H192" s="103">
        <f t="shared" ca="1" si="124"/>
        <v>0</v>
      </c>
      <c r="I192" s="103">
        <f t="shared" ca="1" si="125"/>
        <v>0</v>
      </c>
      <c r="J192" s="103">
        <f t="shared" ca="1" si="126"/>
        <v>0</v>
      </c>
      <c r="K192" s="103">
        <f t="shared" ca="1" si="127"/>
        <v>0</v>
      </c>
      <c r="L192" s="103">
        <f t="shared" ca="1" si="128"/>
        <v>0</v>
      </c>
      <c r="M192" s="103">
        <f t="shared" ca="1" si="129"/>
        <v>0</v>
      </c>
      <c r="N192" s="103">
        <f t="shared" ca="1" si="130"/>
        <v>0</v>
      </c>
      <c r="O192" s="103">
        <f t="shared" ca="1" si="131"/>
        <v>0</v>
      </c>
      <c r="P192" s="103">
        <f t="shared" ca="1" si="132"/>
        <v>0</v>
      </c>
      <c r="Q192" s="103">
        <f t="shared" ca="1" si="133"/>
        <v>0</v>
      </c>
      <c r="R192" s="103">
        <f t="shared" ca="1" si="134"/>
        <v>0</v>
      </c>
      <c r="S192" s="103">
        <f t="shared" ca="1" si="135"/>
        <v>0</v>
      </c>
      <c r="T192" s="103">
        <f t="shared" ca="1" si="136"/>
        <v>0</v>
      </c>
      <c r="U192" s="103">
        <f t="shared" ca="1" si="137"/>
        <v>0</v>
      </c>
      <c r="V192" s="103">
        <f t="shared" ca="1" si="138"/>
        <v>0</v>
      </c>
      <c r="W192" s="103">
        <f t="shared" ca="1" si="139"/>
        <v>0</v>
      </c>
      <c r="X192" s="103">
        <f t="shared" ca="1" si="140"/>
        <v>0</v>
      </c>
      <c r="Y192" s="103">
        <f t="shared" ca="1" si="141"/>
        <v>0</v>
      </c>
      <c r="Z192" s="103">
        <f t="shared" ca="1" si="142"/>
        <v>0</v>
      </c>
      <c r="AA192" s="103">
        <f t="shared" ca="1" si="143"/>
        <v>0</v>
      </c>
      <c r="AB192" s="103">
        <f t="shared" ca="1" si="144"/>
        <v>0</v>
      </c>
      <c r="AC192" s="103">
        <f t="shared" ca="1" si="145"/>
        <v>0</v>
      </c>
      <c r="AD192" s="103">
        <f t="shared" ca="1" si="146"/>
        <v>0</v>
      </c>
      <c r="AE192" s="103">
        <f t="shared" ca="1" si="147"/>
        <v>0</v>
      </c>
      <c r="AF192" s="103">
        <f t="shared" ca="1" si="148"/>
        <v>0</v>
      </c>
      <c r="AG192" s="103">
        <f t="shared" ca="1" si="149"/>
        <v>0</v>
      </c>
      <c r="AH192" s="103">
        <f t="shared" ca="1" si="150"/>
        <v>0</v>
      </c>
      <c r="AI192" s="103">
        <f t="shared" ca="1" si="151"/>
        <v>0</v>
      </c>
      <c r="AJ192" s="98">
        <f t="shared" ref="AJ192:AQ201" ca="1" si="190">HLOOKUP(IF(COLUMN(AJ192)-COLUMN($AJ$3)=0,0,OFFSET(AJ192,0,-1))+widthPayItem,$D192:$AI192,1)</f>
        <v>0</v>
      </c>
      <c r="AK192" s="103">
        <f t="shared" ca="1" si="190"/>
        <v>0</v>
      </c>
      <c r="AL192" s="103">
        <f t="shared" ca="1" si="190"/>
        <v>0</v>
      </c>
      <c r="AM192" s="103">
        <f t="shared" ca="1" si="190"/>
        <v>0</v>
      </c>
      <c r="AN192" s="103">
        <f t="shared" ca="1" si="190"/>
        <v>0</v>
      </c>
      <c r="AO192" s="103">
        <f t="shared" ca="1" si="190"/>
        <v>0</v>
      </c>
      <c r="AP192" s="103">
        <f t="shared" ca="1" si="190"/>
        <v>0</v>
      </c>
      <c r="AQ192" s="103">
        <f t="shared" ca="1" si="190"/>
        <v>0</v>
      </c>
      <c r="AR192" s="104">
        <f ca="1">COUNTIF(AJ192:AQ192,"&lt;"&amp;MAX(AJ192:AQ192))+IF(Calcs[[#This Row],[DL1]]=0,0,1)</f>
        <v>0</v>
      </c>
      <c r="AS192" s="105" t="str">
        <f ca="1">IF(LEN(Calcs[[#This Row],[Line]])&gt;0,IF(RIGHT(Calcs[[#This Row],[Remark]],3)=".  ",LEFT(Calcs[[#This Row],[Remark]],LEN(Calcs[[#This Row],[Remark]])-3),Calcs[[#This Row],[Remark]]),"")</f>
        <v/>
      </c>
      <c r="AT192" s="96">
        <f t="shared" ca="1" si="152"/>
        <v>0</v>
      </c>
      <c r="AU192" s="103">
        <f t="shared" ca="1" si="153"/>
        <v>0</v>
      </c>
      <c r="AV192" s="103">
        <f t="shared" ca="1" si="154"/>
        <v>0</v>
      </c>
      <c r="AW192" s="103">
        <f t="shared" ca="1" si="155"/>
        <v>0</v>
      </c>
      <c r="AX192" s="103">
        <f t="shared" ca="1" si="156"/>
        <v>0</v>
      </c>
      <c r="AY192" s="103">
        <f t="shared" ca="1" si="157"/>
        <v>0</v>
      </c>
      <c r="AZ192" s="103">
        <f t="shared" ca="1" si="158"/>
        <v>0</v>
      </c>
      <c r="BA192" s="103">
        <f t="shared" ca="1" si="159"/>
        <v>0</v>
      </c>
      <c r="BB192" s="103">
        <f t="shared" ca="1" si="160"/>
        <v>0</v>
      </c>
      <c r="BC192" s="103">
        <f t="shared" ca="1" si="161"/>
        <v>0</v>
      </c>
      <c r="BD192" s="103">
        <f t="shared" ca="1" si="162"/>
        <v>0</v>
      </c>
      <c r="BE192" s="103">
        <f t="shared" ca="1" si="163"/>
        <v>0</v>
      </c>
      <c r="BF192" s="103">
        <f t="shared" ca="1" si="164"/>
        <v>0</v>
      </c>
      <c r="BG192" s="103">
        <f t="shared" ca="1" si="165"/>
        <v>0</v>
      </c>
      <c r="BH192" s="103">
        <f t="shared" ca="1" si="166"/>
        <v>0</v>
      </c>
      <c r="BI192" s="103">
        <f t="shared" ca="1" si="167"/>
        <v>0</v>
      </c>
      <c r="BJ192" s="103">
        <f t="shared" ca="1" si="168"/>
        <v>0</v>
      </c>
      <c r="BK192" s="103">
        <f t="shared" ca="1" si="169"/>
        <v>0</v>
      </c>
      <c r="BL192" s="103">
        <f t="shared" ca="1" si="170"/>
        <v>0</v>
      </c>
      <c r="BM192" s="103">
        <f t="shared" ca="1" si="171"/>
        <v>0</v>
      </c>
      <c r="BN192" s="103">
        <f t="shared" ca="1" si="172"/>
        <v>0</v>
      </c>
      <c r="BO192" s="103">
        <f t="shared" ca="1" si="173"/>
        <v>0</v>
      </c>
      <c r="BP192" s="103">
        <f t="shared" ca="1" si="174"/>
        <v>0</v>
      </c>
      <c r="BQ192" s="103">
        <f t="shared" ca="1" si="175"/>
        <v>0</v>
      </c>
      <c r="BR192" s="103">
        <f t="shared" ca="1" si="176"/>
        <v>0</v>
      </c>
      <c r="BS192" s="103">
        <f t="shared" ca="1" si="177"/>
        <v>0</v>
      </c>
      <c r="BT192" s="103">
        <f t="shared" ca="1" si="178"/>
        <v>0</v>
      </c>
      <c r="BU192" s="103">
        <f t="shared" ca="1" si="179"/>
        <v>0</v>
      </c>
      <c r="BV192" s="103">
        <f t="shared" ca="1" si="180"/>
        <v>0</v>
      </c>
      <c r="BW192" s="103">
        <f t="shared" ca="1" si="181"/>
        <v>0</v>
      </c>
      <c r="BX192" s="103">
        <f t="shared" ca="1" si="182"/>
        <v>0</v>
      </c>
      <c r="BY192" s="103">
        <f t="shared" ca="1" si="183"/>
        <v>0</v>
      </c>
      <c r="BZ192" s="98">
        <f t="shared" ref="BZ192:CG201" ca="1" si="191">HLOOKUP(IF(COLUMN(BZ192)-COLUMN($BZ$3)=0,0,OFFSET(BZ192,0,-1))+widthRemarks,$AT192:$BY192,1)</f>
        <v>0</v>
      </c>
      <c r="CA192" s="103">
        <f t="shared" ca="1" si="191"/>
        <v>0</v>
      </c>
      <c r="CB192" s="103">
        <f t="shared" ca="1" si="191"/>
        <v>0</v>
      </c>
      <c r="CC192" s="103">
        <f t="shared" ca="1" si="191"/>
        <v>0</v>
      </c>
      <c r="CD192" s="103">
        <f t="shared" ca="1" si="191"/>
        <v>0</v>
      </c>
      <c r="CE192" s="103">
        <f t="shared" ca="1" si="191"/>
        <v>0</v>
      </c>
      <c r="CF192" s="103">
        <f t="shared" ca="1" si="191"/>
        <v>0</v>
      </c>
      <c r="CG192" s="103">
        <f t="shared" ca="1" si="191"/>
        <v>0</v>
      </c>
      <c r="CH192" s="106">
        <f ca="1">COUNTIF(BZ192:CG192,"&lt;"&amp;MAX(BZ192:CG192))+IF(Calcs[[#This Row],[RL1]]=0,0,1)</f>
        <v>0</v>
      </c>
      <c r="CI19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2" s="103">
        <f ca="1">IFERROR(OFFSET(CJ192,-1,0)+0,0)+IF(INDEX(INDIRECT(RangeContrQty),MATCH(Calcs[[#This Row],[Line]],OFFSET(Items[Line],0,0,ROW(Proposed[])-ROW(Items[])+ROWS(Proposed[]),1),0)),1,0)</f>
        <v>0</v>
      </c>
    </row>
    <row r="193" spans="1:88" x14ac:dyDescent="0.15">
      <c r="A193" s="64">
        <f ca="1">IFERROR(OFFSET(A193,-1,0)+0,0)+MAX(IF(LEN(Calcs[[#This Row],[Line]])&gt;0,1,0),Calcs[[#This Row],[DL]],Calcs[[#This Row],[RL]])</f>
        <v>10</v>
      </c>
      <c r="B193" s="90" t="str">
        <f ca="1">IFERROR(INDEX(OFFSET(Items[Line],0,0,ROW(Proposed[])-ROW(Items[])+ROWS(Proposed[]),1),MATCH(ROW(B193)-ROW(B$3),INDIRECT(RangeCount),0)),"")</f>
        <v/>
      </c>
      <c r="C193" s="90" t="str">
        <f ca="1">IF(LEN(Calcs[[#This Row],[Line]])&gt;0,TRIM(IFERROR(INDEX(Items[Description],MATCH(Calcs[[#This Row],[Line]],Items[Line],0))&amp;INDEX(Items[Description2],MATCH(Calcs[[#This Row],[Line]],Items[Line],0)),INDEX(Proposed[Description],MATCH(Calcs[[#This Row],[Line]],Proposed[Line],0)))),"")</f>
        <v/>
      </c>
      <c r="D193" s="96">
        <f t="shared" ca="1" si="120"/>
        <v>0</v>
      </c>
      <c r="E193" s="103">
        <f t="shared" ca="1" si="121"/>
        <v>0</v>
      </c>
      <c r="F193" s="103">
        <f t="shared" ca="1" si="122"/>
        <v>0</v>
      </c>
      <c r="G193" s="103">
        <f t="shared" ca="1" si="123"/>
        <v>0</v>
      </c>
      <c r="H193" s="103">
        <f t="shared" ca="1" si="124"/>
        <v>0</v>
      </c>
      <c r="I193" s="103">
        <f t="shared" ca="1" si="125"/>
        <v>0</v>
      </c>
      <c r="J193" s="103">
        <f t="shared" ca="1" si="126"/>
        <v>0</v>
      </c>
      <c r="K193" s="103">
        <f t="shared" ca="1" si="127"/>
        <v>0</v>
      </c>
      <c r="L193" s="103">
        <f t="shared" ca="1" si="128"/>
        <v>0</v>
      </c>
      <c r="M193" s="103">
        <f t="shared" ca="1" si="129"/>
        <v>0</v>
      </c>
      <c r="N193" s="103">
        <f t="shared" ca="1" si="130"/>
        <v>0</v>
      </c>
      <c r="O193" s="103">
        <f t="shared" ca="1" si="131"/>
        <v>0</v>
      </c>
      <c r="P193" s="103">
        <f t="shared" ca="1" si="132"/>
        <v>0</v>
      </c>
      <c r="Q193" s="103">
        <f t="shared" ca="1" si="133"/>
        <v>0</v>
      </c>
      <c r="R193" s="103">
        <f t="shared" ca="1" si="134"/>
        <v>0</v>
      </c>
      <c r="S193" s="103">
        <f t="shared" ca="1" si="135"/>
        <v>0</v>
      </c>
      <c r="T193" s="103">
        <f t="shared" ca="1" si="136"/>
        <v>0</v>
      </c>
      <c r="U193" s="103">
        <f t="shared" ca="1" si="137"/>
        <v>0</v>
      </c>
      <c r="V193" s="103">
        <f t="shared" ca="1" si="138"/>
        <v>0</v>
      </c>
      <c r="W193" s="103">
        <f t="shared" ca="1" si="139"/>
        <v>0</v>
      </c>
      <c r="X193" s="103">
        <f t="shared" ca="1" si="140"/>
        <v>0</v>
      </c>
      <c r="Y193" s="103">
        <f t="shared" ca="1" si="141"/>
        <v>0</v>
      </c>
      <c r="Z193" s="103">
        <f t="shared" ca="1" si="142"/>
        <v>0</v>
      </c>
      <c r="AA193" s="103">
        <f t="shared" ca="1" si="143"/>
        <v>0</v>
      </c>
      <c r="AB193" s="103">
        <f t="shared" ca="1" si="144"/>
        <v>0</v>
      </c>
      <c r="AC193" s="103">
        <f t="shared" ca="1" si="145"/>
        <v>0</v>
      </c>
      <c r="AD193" s="103">
        <f t="shared" ca="1" si="146"/>
        <v>0</v>
      </c>
      <c r="AE193" s="103">
        <f t="shared" ca="1" si="147"/>
        <v>0</v>
      </c>
      <c r="AF193" s="103">
        <f t="shared" ca="1" si="148"/>
        <v>0</v>
      </c>
      <c r="AG193" s="103">
        <f t="shared" ca="1" si="149"/>
        <v>0</v>
      </c>
      <c r="AH193" s="103">
        <f t="shared" ca="1" si="150"/>
        <v>0</v>
      </c>
      <c r="AI193" s="103">
        <f t="shared" ca="1" si="151"/>
        <v>0</v>
      </c>
      <c r="AJ193" s="98">
        <f t="shared" ca="1" si="190"/>
        <v>0</v>
      </c>
      <c r="AK193" s="103">
        <f t="shared" ca="1" si="190"/>
        <v>0</v>
      </c>
      <c r="AL193" s="103">
        <f t="shared" ca="1" si="190"/>
        <v>0</v>
      </c>
      <c r="AM193" s="103">
        <f t="shared" ca="1" si="190"/>
        <v>0</v>
      </c>
      <c r="AN193" s="103">
        <f t="shared" ca="1" si="190"/>
        <v>0</v>
      </c>
      <c r="AO193" s="103">
        <f t="shared" ca="1" si="190"/>
        <v>0</v>
      </c>
      <c r="AP193" s="103">
        <f t="shared" ca="1" si="190"/>
        <v>0</v>
      </c>
      <c r="AQ193" s="103">
        <f t="shared" ca="1" si="190"/>
        <v>0</v>
      </c>
      <c r="AR193" s="104">
        <f ca="1">COUNTIF(AJ193:AQ193,"&lt;"&amp;MAX(AJ193:AQ193))+IF(Calcs[[#This Row],[DL1]]=0,0,1)</f>
        <v>0</v>
      </c>
      <c r="AS193" s="105" t="str">
        <f ca="1">IF(LEN(Calcs[[#This Row],[Line]])&gt;0,IF(RIGHT(Calcs[[#This Row],[Remark]],3)=".  ",LEFT(Calcs[[#This Row],[Remark]],LEN(Calcs[[#This Row],[Remark]])-3),Calcs[[#This Row],[Remark]]),"")</f>
        <v/>
      </c>
      <c r="AT193" s="96">
        <f t="shared" ca="1" si="152"/>
        <v>0</v>
      </c>
      <c r="AU193" s="103">
        <f t="shared" ca="1" si="153"/>
        <v>0</v>
      </c>
      <c r="AV193" s="103">
        <f t="shared" ca="1" si="154"/>
        <v>0</v>
      </c>
      <c r="AW193" s="103">
        <f t="shared" ca="1" si="155"/>
        <v>0</v>
      </c>
      <c r="AX193" s="103">
        <f t="shared" ca="1" si="156"/>
        <v>0</v>
      </c>
      <c r="AY193" s="103">
        <f t="shared" ca="1" si="157"/>
        <v>0</v>
      </c>
      <c r="AZ193" s="103">
        <f t="shared" ca="1" si="158"/>
        <v>0</v>
      </c>
      <c r="BA193" s="103">
        <f t="shared" ca="1" si="159"/>
        <v>0</v>
      </c>
      <c r="BB193" s="103">
        <f t="shared" ca="1" si="160"/>
        <v>0</v>
      </c>
      <c r="BC193" s="103">
        <f t="shared" ca="1" si="161"/>
        <v>0</v>
      </c>
      <c r="BD193" s="103">
        <f t="shared" ca="1" si="162"/>
        <v>0</v>
      </c>
      <c r="BE193" s="103">
        <f t="shared" ca="1" si="163"/>
        <v>0</v>
      </c>
      <c r="BF193" s="103">
        <f t="shared" ca="1" si="164"/>
        <v>0</v>
      </c>
      <c r="BG193" s="103">
        <f t="shared" ca="1" si="165"/>
        <v>0</v>
      </c>
      <c r="BH193" s="103">
        <f t="shared" ca="1" si="166"/>
        <v>0</v>
      </c>
      <c r="BI193" s="103">
        <f t="shared" ca="1" si="167"/>
        <v>0</v>
      </c>
      <c r="BJ193" s="103">
        <f t="shared" ca="1" si="168"/>
        <v>0</v>
      </c>
      <c r="BK193" s="103">
        <f t="shared" ca="1" si="169"/>
        <v>0</v>
      </c>
      <c r="BL193" s="103">
        <f t="shared" ca="1" si="170"/>
        <v>0</v>
      </c>
      <c r="BM193" s="103">
        <f t="shared" ca="1" si="171"/>
        <v>0</v>
      </c>
      <c r="BN193" s="103">
        <f t="shared" ca="1" si="172"/>
        <v>0</v>
      </c>
      <c r="BO193" s="103">
        <f t="shared" ca="1" si="173"/>
        <v>0</v>
      </c>
      <c r="BP193" s="103">
        <f t="shared" ca="1" si="174"/>
        <v>0</v>
      </c>
      <c r="BQ193" s="103">
        <f t="shared" ca="1" si="175"/>
        <v>0</v>
      </c>
      <c r="BR193" s="103">
        <f t="shared" ca="1" si="176"/>
        <v>0</v>
      </c>
      <c r="BS193" s="103">
        <f t="shared" ca="1" si="177"/>
        <v>0</v>
      </c>
      <c r="BT193" s="103">
        <f t="shared" ca="1" si="178"/>
        <v>0</v>
      </c>
      <c r="BU193" s="103">
        <f t="shared" ca="1" si="179"/>
        <v>0</v>
      </c>
      <c r="BV193" s="103">
        <f t="shared" ca="1" si="180"/>
        <v>0</v>
      </c>
      <c r="BW193" s="103">
        <f t="shared" ca="1" si="181"/>
        <v>0</v>
      </c>
      <c r="BX193" s="103">
        <f t="shared" ca="1" si="182"/>
        <v>0</v>
      </c>
      <c r="BY193" s="103">
        <f t="shared" ca="1" si="183"/>
        <v>0</v>
      </c>
      <c r="BZ193" s="98">
        <f t="shared" ca="1" si="191"/>
        <v>0</v>
      </c>
      <c r="CA193" s="103">
        <f t="shared" ca="1" si="191"/>
        <v>0</v>
      </c>
      <c r="CB193" s="103">
        <f t="shared" ca="1" si="191"/>
        <v>0</v>
      </c>
      <c r="CC193" s="103">
        <f t="shared" ca="1" si="191"/>
        <v>0</v>
      </c>
      <c r="CD193" s="103">
        <f t="shared" ca="1" si="191"/>
        <v>0</v>
      </c>
      <c r="CE193" s="103">
        <f t="shared" ca="1" si="191"/>
        <v>0</v>
      </c>
      <c r="CF193" s="103">
        <f t="shared" ca="1" si="191"/>
        <v>0</v>
      </c>
      <c r="CG193" s="103">
        <f t="shared" ca="1" si="191"/>
        <v>0</v>
      </c>
      <c r="CH193" s="106">
        <f ca="1">COUNTIF(BZ193:CG193,"&lt;"&amp;MAX(BZ193:CG193))+IF(Calcs[[#This Row],[RL1]]=0,0,1)</f>
        <v>0</v>
      </c>
      <c r="CI19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3" s="103">
        <f ca="1">IFERROR(OFFSET(CJ193,-1,0)+0,0)+IF(INDEX(INDIRECT(RangeContrQty),MATCH(Calcs[[#This Row],[Line]],OFFSET(Items[Line],0,0,ROW(Proposed[])-ROW(Items[])+ROWS(Proposed[]),1),0)),1,0)</f>
        <v>0</v>
      </c>
    </row>
    <row r="194" spans="1:88" x14ac:dyDescent="0.15">
      <c r="A194" s="64">
        <f ca="1">IFERROR(OFFSET(A194,-1,0)+0,0)+MAX(IF(LEN(Calcs[[#This Row],[Line]])&gt;0,1,0),Calcs[[#This Row],[DL]],Calcs[[#This Row],[RL]])</f>
        <v>10</v>
      </c>
      <c r="B194" s="90" t="str">
        <f ca="1">IFERROR(INDEX(OFFSET(Items[Line],0,0,ROW(Proposed[])-ROW(Items[])+ROWS(Proposed[]),1),MATCH(ROW(B194)-ROW(B$3),INDIRECT(RangeCount),0)),"")</f>
        <v/>
      </c>
      <c r="C194" s="90" t="str">
        <f ca="1">IF(LEN(Calcs[[#This Row],[Line]])&gt;0,TRIM(IFERROR(INDEX(Items[Description],MATCH(Calcs[[#This Row],[Line]],Items[Line],0))&amp;INDEX(Items[Description2],MATCH(Calcs[[#This Row],[Line]],Items[Line],0)),INDEX(Proposed[Description],MATCH(Calcs[[#This Row],[Line]],Proposed[Line],0)))),"")</f>
        <v/>
      </c>
      <c r="D194" s="96">
        <f t="shared" ca="1" si="120"/>
        <v>0</v>
      </c>
      <c r="E194" s="103">
        <f t="shared" ca="1" si="121"/>
        <v>0</v>
      </c>
      <c r="F194" s="103">
        <f t="shared" ca="1" si="122"/>
        <v>0</v>
      </c>
      <c r="G194" s="103">
        <f t="shared" ca="1" si="123"/>
        <v>0</v>
      </c>
      <c r="H194" s="103">
        <f t="shared" ca="1" si="124"/>
        <v>0</v>
      </c>
      <c r="I194" s="103">
        <f t="shared" ca="1" si="125"/>
        <v>0</v>
      </c>
      <c r="J194" s="103">
        <f t="shared" ca="1" si="126"/>
        <v>0</v>
      </c>
      <c r="K194" s="103">
        <f t="shared" ca="1" si="127"/>
        <v>0</v>
      </c>
      <c r="L194" s="103">
        <f t="shared" ca="1" si="128"/>
        <v>0</v>
      </c>
      <c r="M194" s="103">
        <f t="shared" ca="1" si="129"/>
        <v>0</v>
      </c>
      <c r="N194" s="103">
        <f t="shared" ca="1" si="130"/>
        <v>0</v>
      </c>
      <c r="O194" s="103">
        <f t="shared" ca="1" si="131"/>
        <v>0</v>
      </c>
      <c r="P194" s="103">
        <f t="shared" ca="1" si="132"/>
        <v>0</v>
      </c>
      <c r="Q194" s="103">
        <f t="shared" ca="1" si="133"/>
        <v>0</v>
      </c>
      <c r="R194" s="103">
        <f t="shared" ca="1" si="134"/>
        <v>0</v>
      </c>
      <c r="S194" s="103">
        <f t="shared" ca="1" si="135"/>
        <v>0</v>
      </c>
      <c r="T194" s="103">
        <f t="shared" ca="1" si="136"/>
        <v>0</v>
      </c>
      <c r="U194" s="103">
        <f t="shared" ca="1" si="137"/>
        <v>0</v>
      </c>
      <c r="V194" s="103">
        <f t="shared" ca="1" si="138"/>
        <v>0</v>
      </c>
      <c r="W194" s="103">
        <f t="shared" ca="1" si="139"/>
        <v>0</v>
      </c>
      <c r="X194" s="103">
        <f t="shared" ca="1" si="140"/>
        <v>0</v>
      </c>
      <c r="Y194" s="103">
        <f t="shared" ca="1" si="141"/>
        <v>0</v>
      </c>
      <c r="Z194" s="103">
        <f t="shared" ca="1" si="142"/>
        <v>0</v>
      </c>
      <c r="AA194" s="103">
        <f t="shared" ca="1" si="143"/>
        <v>0</v>
      </c>
      <c r="AB194" s="103">
        <f t="shared" ca="1" si="144"/>
        <v>0</v>
      </c>
      <c r="AC194" s="103">
        <f t="shared" ca="1" si="145"/>
        <v>0</v>
      </c>
      <c r="AD194" s="103">
        <f t="shared" ca="1" si="146"/>
        <v>0</v>
      </c>
      <c r="AE194" s="103">
        <f t="shared" ca="1" si="147"/>
        <v>0</v>
      </c>
      <c r="AF194" s="103">
        <f t="shared" ca="1" si="148"/>
        <v>0</v>
      </c>
      <c r="AG194" s="103">
        <f t="shared" ca="1" si="149"/>
        <v>0</v>
      </c>
      <c r="AH194" s="103">
        <f t="shared" ca="1" si="150"/>
        <v>0</v>
      </c>
      <c r="AI194" s="103">
        <f t="shared" ca="1" si="151"/>
        <v>0</v>
      </c>
      <c r="AJ194" s="98">
        <f t="shared" ca="1" si="190"/>
        <v>0</v>
      </c>
      <c r="AK194" s="103">
        <f t="shared" ca="1" si="190"/>
        <v>0</v>
      </c>
      <c r="AL194" s="103">
        <f t="shared" ca="1" si="190"/>
        <v>0</v>
      </c>
      <c r="AM194" s="103">
        <f t="shared" ca="1" si="190"/>
        <v>0</v>
      </c>
      <c r="AN194" s="103">
        <f t="shared" ca="1" si="190"/>
        <v>0</v>
      </c>
      <c r="AO194" s="103">
        <f t="shared" ca="1" si="190"/>
        <v>0</v>
      </c>
      <c r="AP194" s="103">
        <f t="shared" ca="1" si="190"/>
        <v>0</v>
      </c>
      <c r="AQ194" s="103">
        <f t="shared" ca="1" si="190"/>
        <v>0</v>
      </c>
      <c r="AR194" s="104">
        <f ca="1">COUNTIF(AJ194:AQ194,"&lt;"&amp;MAX(AJ194:AQ194))+IF(Calcs[[#This Row],[DL1]]=0,0,1)</f>
        <v>0</v>
      </c>
      <c r="AS194" s="105" t="str">
        <f ca="1">IF(LEN(Calcs[[#This Row],[Line]])&gt;0,IF(RIGHT(Calcs[[#This Row],[Remark]],3)=".  ",LEFT(Calcs[[#This Row],[Remark]],LEN(Calcs[[#This Row],[Remark]])-3),Calcs[[#This Row],[Remark]]),"")</f>
        <v/>
      </c>
      <c r="AT194" s="96">
        <f t="shared" ca="1" si="152"/>
        <v>0</v>
      </c>
      <c r="AU194" s="103">
        <f t="shared" ca="1" si="153"/>
        <v>0</v>
      </c>
      <c r="AV194" s="103">
        <f t="shared" ca="1" si="154"/>
        <v>0</v>
      </c>
      <c r="AW194" s="103">
        <f t="shared" ca="1" si="155"/>
        <v>0</v>
      </c>
      <c r="AX194" s="103">
        <f t="shared" ca="1" si="156"/>
        <v>0</v>
      </c>
      <c r="AY194" s="103">
        <f t="shared" ca="1" si="157"/>
        <v>0</v>
      </c>
      <c r="AZ194" s="103">
        <f t="shared" ca="1" si="158"/>
        <v>0</v>
      </c>
      <c r="BA194" s="103">
        <f t="shared" ca="1" si="159"/>
        <v>0</v>
      </c>
      <c r="BB194" s="103">
        <f t="shared" ca="1" si="160"/>
        <v>0</v>
      </c>
      <c r="BC194" s="103">
        <f t="shared" ca="1" si="161"/>
        <v>0</v>
      </c>
      <c r="BD194" s="103">
        <f t="shared" ca="1" si="162"/>
        <v>0</v>
      </c>
      <c r="BE194" s="103">
        <f t="shared" ca="1" si="163"/>
        <v>0</v>
      </c>
      <c r="BF194" s="103">
        <f t="shared" ca="1" si="164"/>
        <v>0</v>
      </c>
      <c r="BG194" s="103">
        <f t="shared" ca="1" si="165"/>
        <v>0</v>
      </c>
      <c r="BH194" s="103">
        <f t="shared" ca="1" si="166"/>
        <v>0</v>
      </c>
      <c r="BI194" s="103">
        <f t="shared" ca="1" si="167"/>
        <v>0</v>
      </c>
      <c r="BJ194" s="103">
        <f t="shared" ca="1" si="168"/>
        <v>0</v>
      </c>
      <c r="BK194" s="103">
        <f t="shared" ca="1" si="169"/>
        <v>0</v>
      </c>
      <c r="BL194" s="103">
        <f t="shared" ca="1" si="170"/>
        <v>0</v>
      </c>
      <c r="BM194" s="103">
        <f t="shared" ca="1" si="171"/>
        <v>0</v>
      </c>
      <c r="BN194" s="103">
        <f t="shared" ca="1" si="172"/>
        <v>0</v>
      </c>
      <c r="BO194" s="103">
        <f t="shared" ca="1" si="173"/>
        <v>0</v>
      </c>
      <c r="BP194" s="103">
        <f t="shared" ca="1" si="174"/>
        <v>0</v>
      </c>
      <c r="BQ194" s="103">
        <f t="shared" ca="1" si="175"/>
        <v>0</v>
      </c>
      <c r="BR194" s="103">
        <f t="shared" ca="1" si="176"/>
        <v>0</v>
      </c>
      <c r="BS194" s="103">
        <f t="shared" ca="1" si="177"/>
        <v>0</v>
      </c>
      <c r="BT194" s="103">
        <f t="shared" ca="1" si="178"/>
        <v>0</v>
      </c>
      <c r="BU194" s="103">
        <f t="shared" ca="1" si="179"/>
        <v>0</v>
      </c>
      <c r="BV194" s="103">
        <f t="shared" ca="1" si="180"/>
        <v>0</v>
      </c>
      <c r="BW194" s="103">
        <f t="shared" ca="1" si="181"/>
        <v>0</v>
      </c>
      <c r="BX194" s="103">
        <f t="shared" ca="1" si="182"/>
        <v>0</v>
      </c>
      <c r="BY194" s="103">
        <f t="shared" ca="1" si="183"/>
        <v>0</v>
      </c>
      <c r="BZ194" s="98">
        <f t="shared" ca="1" si="191"/>
        <v>0</v>
      </c>
      <c r="CA194" s="103">
        <f t="shared" ca="1" si="191"/>
        <v>0</v>
      </c>
      <c r="CB194" s="103">
        <f t="shared" ca="1" si="191"/>
        <v>0</v>
      </c>
      <c r="CC194" s="103">
        <f t="shared" ca="1" si="191"/>
        <v>0</v>
      </c>
      <c r="CD194" s="103">
        <f t="shared" ca="1" si="191"/>
        <v>0</v>
      </c>
      <c r="CE194" s="103">
        <f t="shared" ca="1" si="191"/>
        <v>0</v>
      </c>
      <c r="CF194" s="103">
        <f t="shared" ca="1" si="191"/>
        <v>0</v>
      </c>
      <c r="CG194" s="103">
        <f t="shared" ca="1" si="191"/>
        <v>0</v>
      </c>
      <c r="CH194" s="106">
        <f ca="1">COUNTIF(BZ194:CG194,"&lt;"&amp;MAX(BZ194:CG194))+IF(Calcs[[#This Row],[RL1]]=0,0,1)</f>
        <v>0</v>
      </c>
      <c r="CI19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4" s="103">
        <f ca="1">IFERROR(OFFSET(CJ194,-1,0)+0,0)+IF(INDEX(INDIRECT(RangeContrQty),MATCH(Calcs[[#This Row],[Line]],OFFSET(Items[Line],0,0,ROW(Proposed[])-ROW(Items[])+ROWS(Proposed[]),1),0)),1,0)</f>
        <v>0</v>
      </c>
    </row>
    <row r="195" spans="1:88" x14ac:dyDescent="0.15">
      <c r="A195" s="64">
        <f ca="1">IFERROR(OFFSET(A195,-1,0)+0,0)+MAX(IF(LEN(Calcs[[#This Row],[Line]])&gt;0,1,0),Calcs[[#This Row],[DL]],Calcs[[#This Row],[RL]])</f>
        <v>10</v>
      </c>
      <c r="B195" s="90" t="str">
        <f ca="1">IFERROR(INDEX(OFFSET(Items[Line],0,0,ROW(Proposed[])-ROW(Items[])+ROWS(Proposed[]),1),MATCH(ROW(B195)-ROW(B$3),INDIRECT(RangeCount),0)),"")</f>
        <v/>
      </c>
      <c r="C195" s="90" t="str">
        <f ca="1">IF(LEN(Calcs[[#This Row],[Line]])&gt;0,TRIM(IFERROR(INDEX(Items[Description],MATCH(Calcs[[#This Row],[Line]],Items[Line],0))&amp;INDEX(Items[Description2],MATCH(Calcs[[#This Row],[Line]],Items[Line],0)),INDEX(Proposed[Description],MATCH(Calcs[[#This Row],[Line]],Proposed[Line],0)))),"")</f>
        <v/>
      </c>
      <c r="D195" s="96">
        <f t="shared" ca="1" si="120"/>
        <v>0</v>
      </c>
      <c r="E195" s="103">
        <f t="shared" ca="1" si="121"/>
        <v>0</v>
      </c>
      <c r="F195" s="103">
        <f t="shared" ca="1" si="122"/>
        <v>0</v>
      </c>
      <c r="G195" s="103">
        <f t="shared" ca="1" si="123"/>
        <v>0</v>
      </c>
      <c r="H195" s="103">
        <f t="shared" ca="1" si="124"/>
        <v>0</v>
      </c>
      <c r="I195" s="103">
        <f t="shared" ca="1" si="125"/>
        <v>0</v>
      </c>
      <c r="J195" s="103">
        <f t="shared" ca="1" si="126"/>
        <v>0</v>
      </c>
      <c r="K195" s="103">
        <f t="shared" ca="1" si="127"/>
        <v>0</v>
      </c>
      <c r="L195" s="103">
        <f t="shared" ca="1" si="128"/>
        <v>0</v>
      </c>
      <c r="M195" s="103">
        <f t="shared" ca="1" si="129"/>
        <v>0</v>
      </c>
      <c r="N195" s="103">
        <f t="shared" ca="1" si="130"/>
        <v>0</v>
      </c>
      <c r="O195" s="103">
        <f t="shared" ca="1" si="131"/>
        <v>0</v>
      </c>
      <c r="P195" s="103">
        <f t="shared" ca="1" si="132"/>
        <v>0</v>
      </c>
      <c r="Q195" s="103">
        <f t="shared" ca="1" si="133"/>
        <v>0</v>
      </c>
      <c r="R195" s="103">
        <f t="shared" ca="1" si="134"/>
        <v>0</v>
      </c>
      <c r="S195" s="103">
        <f t="shared" ca="1" si="135"/>
        <v>0</v>
      </c>
      <c r="T195" s="103">
        <f t="shared" ca="1" si="136"/>
        <v>0</v>
      </c>
      <c r="U195" s="103">
        <f t="shared" ca="1" si="137"/>
        <v>0</v>
      </c>
      <c r="V195" s="103">
        <f t="shared" ca="1" si="138"/>
        <v>0</v>
      </c>
      <c r="W195" s="103">
        <f t="shared" ca="1" si="139"/>
        <v>0</v>
      </c>
      <c r="X195" s="103">
        <f t="shared" ca="1" si="140"/>
        <v>0</v>
      </c>
      <c r="Y195" s="103">
        <f t="shared" ca="1" si="141"/>
        <v>0</v>
      </c>
      <c r="Z195" s="103">
        <f t="shared" ca="1" si="142"/>
        <v>0</v>
      </c>
      <c r="AA195" s="103">
        <f t="shared" ca="1" si="143"/>
        <v>0</v>
      </c>
      <c r="AB195" s="103">
        <f t="shared" ca="1" si="144"/>
        <v>0</v>
      </c>
      <c r="AC195" s="103">
        <f t="shared" ca="1" si="145"/>
        <v>0</v>
      </c>
      <c r="AD195" s="103">
        <f t="shared" ca="1" si="146"/>
        <v>0</v>
      </c>
      <c r="AE195" s="103">
        <f t="shared" ca="1" si="147"/>
        <v>0</v>
      </c>
      <c r="AF195" s="103">
        <f t="shared" ca="1" si="148"/>
        <v>0</v>
      </c>
      <c r="AG195" s="103">
        <f t="shared" ca="1" si="149"/>
        <v>0</v>
      </c>
      <c r="AH195" s="103">
        <f t="shared" ca="1" si="150"/>
        <v>0</v>
      </c>
      <c r="AI195" s="103">
        <f t="shared" ca="1" si="151"/>
        <v>0</v>
      </c>
      <c r="AJ195" s="98">
        <f t="shared" ca="1" si="190"/>
        <v>0</v>
      </c>
      <c r="AK195" s="103">
        <f t="shared" ca="1" si="190"/>
        <v>0</v>
      </c>
      <c r="AL195" s="103">
        <f t="shared" ca="1" si="190"/>
        <v>0</v>
      </c>
      <c r="AM195" s="103">
        <f t="shared" ca="1" si="190"/>
        <v>0</v>
      </c>
      <c r="AN195" s="103">
        <f t="shared" ca="1" si="190"/>
        <v>0</v>
      </c>
      <c r="AO195" s="103">
        <f t="shared" ca="1" si="190"/>
        <v>0</v>
      </c>
      <c r="AP195" s="103">
        <f t="shared" ca="1" si="190"/>
        <v>0</v>
      </c>
      <c r="AQ195" s="103">
        <f t="shared" ca="1" si="190"/>
        <v>0</v>
      </c>
      <c r="AR195" s="104">
        <f ca="1">COUNTIF(AJ195:AQ195,"&lt;"&amp;MAX(AJ195:AQ195))+IF(Calcs[[#This Row],[DL1]]=0,0,1)</f>
        <v>0</v>
      </c>
      <c r="AS195" s="105" t="str">
        <f ca="1">IF(LEN(Calcs[[#This Row],[Line]])&gt;0,IF(RIGHT(Calcs[[#This Row],[Remark]],3)=".  ",LEFT(Calcs[[#This Row],[Remark]],LEN(Calcs[[#This Row],[Remark]])-3),Calcs[[#This Row],[Remark]]),"")</f>
        <v/>
      </c>
      <c r="AT195" s="96">
        <f t="shared" ca="1" si="152"/>
        <v>0</v>
      </c>
      <c r="AU195" s="103">
        <f t="shared" ca="1" si="153"/>
        <v>0</v>
      </c>
      <c r="AV195" s="103">
        <f t="shared" ca="1" si="154"/>
        <v>0</v>
      </c>
      <c r="AW195" s="103">
        <f t="shared" ca="1" si="155"/>
        <v>0</v>
      </c>
      <c r="AX195" s="103">
        <f t="shared" ca="1" si="156"/>
        <v>0</v>
      </c>
      <c r="AY195" s="103">
        <f t="shared" ca="1" si="157"/>
        <v>0</v>
      </c>
      <c r="AZ195" s="103">
        <f t="shared" ca="1" si="158"/>
        <v>0</v>
      </c>
      <c r="BA195" s="103">
        <f t="shared" ca="1" si="159"/>
        <v>0</v>
      </c>
      <c r="BB195" s="103">
        <f t="shared" ca="1" si="160"/>
        <v>0</v>
      </c>
      <c r="BC195" s="103">
        <f t="shared" ca="1" si="161"/>
        <v>0</v>
      </c>
      <c r="BD195" s="103">
        <f t="shared" ca="1" si="162"/>
        <v>0</v>
      </c>
      <c r="BE195" s="103">
        <f t="shared" ca="1" si="163"/>
        <v>0</v>
      </c>
      <c r="BF195" s="103">
        <f t="shared" ca="1" si="164"/>
        <v>0</v>
      </c>
      <c r="BG195" s="103">
        <f t="shared" ca="1" si="165"/>
        <v>0</v>
      </c>
      <c r="BH195" s="103">
        <f t="shared" ca="1" si="166"/>
        <v>0</v>
      </c>
      <c r="BI195" s="103">
        <f t="shared" ca="1" si="167"/>
        <v>0</v>
      </c>
      <c r="BJ195" s="103">
        <f t="shared" ca="1" si="168"/>
        <v>0</v>
      </c>
      <c r="BK195" s="103">
        <f t="shared" ca="1" si="169"/>
        <v>0</v>
      </c>
      <c r="BL195" s="103">
        <f t="shared" ca="1" si="170"/>
        <v>0</v>
      </c>
      <c r="BM195" s="103">
        <f t="shared" ca="1" si="171"/>
        <v>0</v>
      </c>
      <c r="BN195" s="103">
        <f t="shared" ca="1" si="172"/>
        <v>0</v>
      </c>
      <c r="BO195" s="103">
        <f t="shared" ca="1" si="173"/>
        <v>0</v>
      </c>
      <c r="BP195" s="103">
        <f t="shared" ca="1" si="174"/>
        <v>0</v>
      </c>
      <c r="BQ195" s="103">
        <f t="shared" ca="1" si="175"/>
        <v>0</v>
      </c>
      <c r="BR195" s="103">
        <f t="shared" ca="1" si="176"/>
        <v>0</v>
      </c>
      <c r="BS195" s="103">
        <f t="shared" ca="1" si="177"/>
        <v>0</v>
      </c>
      <c r="BT195" s="103">
        <f t="shared" ca="1" si="178"/>
        <v>0</v>
      </c>
      <c r="BU195" s="103">
        <f t="shared" ca="1" si="179"/>
        <v>0</v>
      </c>
      <c r="BV195" s="103">
        <f t="shared" ca="1" si="180"/>
        <v>0</v>
      </c>
      <c r="BW195" s="103">
        <f t="shared" ca="1" si="181"/>
        <v>0</v>
      </c>
      <c r="BX195" s="103">
        <f t="shared" ca="1" si="182"/>
        <v>0</v>
      </c>
      <c r="BY195" s="103">
        <f t="shared" ca="1" si="183"/>
        <v>0</v>
      </c>
      <c r="BZ195" s="98">
        <f t="shared" ca="1" si="191"/>
        <v>0</v>
      </c>
      <c r="CA195" s="103">
        <f t="shared" ca="1" si="191"/>
        <v>0</v>
      </c>
      <c r="CB195" s="103">
        <f t="shared" ca="1" si="191"/>
        <v>0</v>
      </c>
      <c r="CC195" s="103">
        <f t="shared" ca="1" si="191"/>
        <v>0</v>
      </c>
      <c r="CD195" s="103">
        <f t="shared" ca="1" si="191"/>
        <v>0</v>
      </c>
      <c r="CE195" s="103">
        <f t="shared" ca="1" si="191"/>
        <v>0</v>
      </c>
      <c r="CF195" s="103">
        <f t="shared" ca="1" si="191"/>
        <v>0</v>
      </c>
      <c r="CG195" s="103">
        <f t="shared" ca="1" si="191"/>
        <v>0</v>
      </c>
      <c r="CH195" s="106">
        <f ca="1">COUNTIF(BZ195:CG195,"&lt;"&amp;MAX(BZ195:CG195))+IF(Calcs[[#This Row],[RL1]]=0,0,1)</f>
        <v>0</v>
      </c>
      <c r="CI19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5" s="103">
        <f ca="1">IFERROR(OFFSET(CJ195,-1,0)+0,0)+IF(INDEX(INDIRECT(RangeContrQty),MATCH(Calcs[[#This Row],[Line]],OFFSET(Items[Line],0,0,ROW(Proposed[])-ROW(Items[])+ROWS(Proposed[]),1),0)),1,0)</f>
        <v>0</v>
      </c>
    </row>
    <row r="196" spans="1:88" x14ac:dyDescent="0.15">
      <c r="A196" s="64">
        <f ca="1">IFERROR(OFFSET(A196,-1,0)+0,0)+MAX(IF(LEN(Calcs[[#This Row],[Line]])&gt;0,1,0),Calcs[[#This Row],[DL]],Calcs[[#This Row],[RL]])</f>
        <v>10</v>
      </c>
      <c r="B196" s="90" t="str">
        <f ca="1">IFERROR(INDEX(OFFSET(Items[Line],0,0,ROW(Proposed[])-ROW(Items[])+ROWS(Proposed[]),1),MATCH(ROW(B196)-ROW(B$3),INDIRECT(RangeCount),0)),"")</f>
        <v/>
      </c>
      <c r="C196" s="90" t="str">
        <f ca="1">IF(LEN(Calcs[[#This Row],[Line]])&gt;0,TRIM(IFERROR(INDEX(Items[Description],MATCH(Calcs[[#This Row],[Line]],Items[Line],0))&amp;INDEX(Items[Description2],MATCH(Calcs[[#This Row],[Line]],Items[Line],0)),INDEX(Proposed[Description],MATCH(Calcs[[#This Row],[Line]],Proposed[Line],0)))),"")</f>
        <v/>
      </c>
      <c r="D196" s="96">
        <f t="shared" ca="1" si="120"/>
        <v>0</v>
      </c>
      <c r="E196" s="103">
        <f t="shared" ca="1" si="121"/>
        <v>0</v>
      </c>
      <c r="F196" s="103">
        <f t="shared" ca="1" si="122"/>
        <v>0</v>
      </c>
      <c r="G196" s="103">
        <f t="shared" ca="1" si="123"/>
        <v>0</v>
      </c>
      <c r="H196" s="103">
        <f t="shared" ca="1" si="124"/>
        <v>0</v>
      </c>
      <c r="I196" s="103">
        <f t="shared" ca="1" si="125"/>
        <v>0</v>
      </c>
      <c r="J196" s="103">
        <f t="shared" ca="1" si="126"/>
        <v>0</v>
      </c>
      <c r="K196" s="103">
        <f t="shared" ca="1" si="127"/>
        <v>0</v>
      </c>
      <c r="L196" s="103">
        <f t="shared" ca="1" si="128"/>
        <v>0</v>
      </c>
      <c r="M196" s="103">
        <f t="shared" ca="1" si="129"/>
        <v>0</v>
      </c>
      <c r="N196" s="103">
        <f t="shared" ca="1" si="130"/>
        <v>0</v>
      </c>
      <c r="O196" s="103">
        <f t="shared" ca="1" si="131"/>
        <v>0</v>
      </c>
      <c r="P196" s="103">
        <f t="shared" ca="1" si="132"/>
        <v>0</v>
      </c>
      <c r="Q196" s="103">
        <f t="shared" ca="1" si="133"/>
        <v>0</v>
      </c>
      <c r="R196" s="103">
        <f t="shared" ca="1" si="134"/>
        <v>0</v>
      </c>
      <c r="S196" s="103">
        <f t="shared" ca="1" si="135"/>
        <v>0</v>
      </c>
      <c r="T196" s="103">
        <f t="shared" ca="1" si="136"/>
        <v>0</v>
      </c>
      <c r="U196" s="103">
        <f t="shared" ca="1" si="137"/>
        <v>0</v>
      </c>
      <c r="V196" s="103">
        <f t="shared" ca="1" si="138"/>
        <v>0</v>
      </c>
      <c r="W196" s="103">
        <f t="shared" ca="1" si="139"/>
        <v>0</v>
      </c>
      <c r="X196" s="103">
        <f t="shared" ca="1" si="140"/>
        <v>0</v>
      </c>
      <c r="Y196" s="103">
        <f t="shared" ca="1" si="141"/>
        <v>0</v>
      </c>
      <c r="Z196" s="103">
        <f t="shared" ca="1" si="142"/>
        <v>0</v>
      </c>
      <c r="AA196" s="103">
        <f t="shared" ca="1" si="143"/>
        <v>0</v>
      </c>
      <c r="AB196" s="103">
        <f t="shared" ca="1" si="144"/>
        <v>0</v>
      </c>
      <c r="AC196" s="103">
        <f t="shared" ca="1" si="145"/>
        <v>0</v>
      </c>
      <c r="AD196" s="103">
        <f t="shared" ca="1" si="146"/>
        <v>0</v>
      </c>
      <c r="AE196" s="103">
        <f t="shared" ca="1" si="147"/>
        <v>0</v>
      </c>
      <c r="AF196" s="103">
        <f t="shared" ca="1" si="148"/>
        <v>0</v>
      </c>
      <c r="AG196" s="103">
        <f t="shared" ca="1" si="149"/>
        <v>0</v>
      </c>
      <c r="AH196" s="103">
        <f t="shared" ca="1" si="150"/>
        <v>0</v>
      </c>
      <c r="AI196" s="103">
        <f t="shared" ca="1" si="151"/>
        <v>0</v>
      </c>
      <c r="AJ196" s="98">
        <f t="shared" ca="1" si="190"/>
        <v>0</v>
      </c>
      <c r="AK196" s="103">
        <f t="shared" ca="1" si="190"/>
        <v>0</v>
      </c>
      <c r="AL196" s="103">
        <f t="shared" ca="1" si="190"/>
        <v>0</v>
      </c>
      <c r="AM196" s="103">
        <f t="shared" ca="1" si="190"/>
        <v>0</v>
      </c>
      <c r="AN196" s="103">
        <f t="shared" ca="1" si="190"/>
        <v>0</v>
      </c>
      <c r="AO196" s="103">
        <f t="shared" ca="1" si="190"/>
        <v>0</v>
      </c>
      <c r="AP196" s="103">
        <f t="shared" ca="1" si="190"/>
        <v>0</v>
      </c>
      <c r="AQ196" s="103">
        <f t="shared" ca="1" si="190"/>
        <v>0</v>
      </c>
      <c r="AR196" s="104">
        <f ca="1">COUNTIF(AJ196:AQ196,"&lt;"&amp;MAX(AJ196:AQ196))+IF(Calcs[[#This Row],[DL1]]=0,0,1)</f>
        <v>0</v>
      </c>
      <c r="AS196" s="105" t="str">
        <f ca="1">IF(LEN(Calcs[[#This Row],[Line]])&gt;0,IF(RIGHT(Calcs[[#This Row],[Remark]],3)=".  ",LEFT(Calcs[[#This Row],[Remark]],LEN(Calcs[[#This Row],[Remark]])-3),Calcs[[#This Row],[Remark]]),"")</f>
        <v/>
      </c>
      <c r="AT196" s="96">
        <f t="shared" ca="1" si="152"/>
        <v>0</v>
      </c>
      <c r="AU196" s="103">
        <f t="shared" ca="1" si="153"/>
        <v>0</v>
      </c>
      <c r="AV196" s="103">
        <f t="shared" ca="1" si="154"/>
        <v>0</v>
      </c>
      <c r="AW196" s="103">
        <f t="shared" ca="1" si="155"/>
        <v>0</v>
      </c>
      <c r="AX196" s="103">
        <f t="shared" ca="1" si="156"/>
        <v>0</v>
      </c>
      <c r="AY196" s="103">
        <f t="shared" ca="1" si="157"/>
        <v>0</v>
      </c>
      <c r="AZ196" s="103">
        <f t="shared" ca="1" si="158"/>
        <v>0</v>
      </c>
      <c r="BA196" s="103">
        <f t="shared" ca="1" si="159"/>
        <v>0</v>
      </c>
      <c r="BB196" s="103">
        <f t="shared" ca="1" si="160"/>
        <v>0</v>
      </c>
      <c r="BC196" s="103">
        <f t="shared" ca="1" si="161"/>
        <v>0</v>
      </c>
      <c r="BD196" s="103">
        <f t="shared" ca="1" si="162"/>
        <v>0</v>
      </c>
      <c r="BE196" s="103">
        <f t="shared" ca="1" si="163"/>
        <v>0</v>
      </c>
      <c r="BF196" s="103">
        <f t="shared" ca="1" si="164"/>
        <v>0</v>
      </c>
      <c r="BG196" s="103">
        <f t="shared" ca="1" si="165"/>
        <v>0</v>
      </c>
      <c r="BH196" s="103">
        <f t="shared" ca="1" si="166"/>
        <v>0</v>
      </c>
      <c r="BI196" s="103">
        <f t="shared" ca="1" si="167"/>
        <v>0</v>
      </c>
      <c r="BJ196" s="103">
        <f t="shared" ca="1" si="168"/>
        <v>0</v>
      </c>
      <c r="BK196" s="103">
        <f t="shared" ca="1" si="169"/>
        <v>0</v>
      </c>
      <c r="BL196" s="103">
        <f t="shared" ca="1" si="170"/>
        <v>0</v>
      </c>
      <c r="BM196" s="103">
        <f t="shared" ca="1" si="171"/>
        <v>0</v>
      </c>
      <c r="BN196" s="103">
        <f t="shared" ca="1" si="172"/>
        <v>0</v>
      </c>
      <c r="BO196" s="103">
        <f t="shared" ca="1" si="173"/>
        <v>0</v>
      </c>
      <c r="BP196" s="103">
        <f t="shared" ca="1" si="174"/>
        <v>0</v>
      </c>
      <c r="BQ196" s="103">
        <f t="shared" ca="1" si="175"/>
        <v>0</v>
      </c>
      <c r="BR196" s="103">
        <f t="shared" ca="1" si="176"/>
        <v>0</v>
      </c>
      <c r="BS196" s="103">
        <f t="shared" ca="1" si="177"/>
        <v>0</v>
      </c>
      <c r="BT196" s="103">
        <f t="shared" ca="1" si="178"/>
        <v>0</v>
      </c>
      <c r="BU196" s="103">
        <f t="shared" ca="1" si="179"/>
        <v>0</v>
      </c>
      <c r="BV196" s="103">
        <f t="shared" ca="1" si="180"/>
        <v>0</v>
      </c>
      <c r="BW196" s="103">
        <f t="shared" ca="1" si="181"/>
        <v>0</v>
      </c>
      <c r="BX196" s="103">
        <f t="shared" ca="1" si="182"/>
        <v>0</v>
      </c>
      <c r="BY196" s="103">
        <f t="shared" ca="1" si="183"/>
        <v>0</v>
      </c>
      <c r="BZ196" s="98">
        <f t="shared" ca="1" si="191"/>
        <v>0</v>
      </c>
      <c r="CA196" s="103">
        <f t="shared" ca="1" si="191"/>
        <v>0</v>
      </c>
      <c r="CB196" s="103">
        <f t="shared" ca="1" si="191"/>
        <v>0</v>
      </c>
      <c r="CC196" s="103">
        <f t="shared" ca="1" si="191"/>
        <v>0</v>
      </c>
      <c r="CD196" s="103">
        <f t="shared" ca="1" si="191"/>
        <v>0</v>
      </c>
      <c r="CE196" s="103">
        <f t="shared" ca="1" si="191"/>
        <v>0</v>
      </c>
      <c r="CF196" s="103">
        <f t="shared" ca="1" si="191"/>
        <v>0</v>
      </c>
      <c r="CG196" s="103">
        <f t="shared" ca="1" si="191"/>
        <v>0</v>
      </c>
      <c r="CH196" s="106">
        <f ca="1">COUNTIF(BZ196:CG196,"&lt;"&amp;MAX(BZ196:CG196))+IF(Calcs[[#This Row],[RL1]]=0,0,1)</f>
        <v>0</v>
      </c>
      <c r="CI19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6" s="103">
        <f ca="1">IFERROR(OFFSET(CJ196,-1,0)+0,0)+IF(INDEX(INDIRECT(RangeContrQty),MATCH(Calcs[[#This Row],[Line]],OFFSET(Items[Line],0,0,ROW(Proposed[])-ROW(Items[])+ROWS(Proposed[]),1),0)),1,0)</f>
        <v>0</v>
      </c>
    </row>
    <row r="197" spans="1:88" x14ac:dyDescent="0.15">
      <c r="A197" s="64">
        <f ca="1">IFERROR(OFFSET(A197,-1,0)+0,0)+MAX(IF(LEN(Calcs[[#This Row],[Line]])&gt;0,1,0),Calcs[[#This Row],[DL]],Calcs[[#This Row],[RL]])</f>
        <v>10</v>
      </c>
      <c r="B197" s="90" t="str">
        <f ca="1">IFERROR(INDEX(OFFSET(Items[Line],0,0,ROW(Proposed[])-ROW(Items[])+ROWS(Proposed[]),1),MATCH(ROW(B197)-ROW(B$3),INDIRECT(RangeCount),0)),"")</f>
        <v/>
      </c>
      <c r="C197" s="90" t="str">
        <f ca="1">IF(LEN(Calcs[[#This Row],[Line]])&gt;0,TRIM(IFERROR(INDEX(Items[Description],MATCH(Calcs[[#This Row],[Line]],Items[Line],0))&amp;INDEX(Items[Description2],MATCH(Calcs[[#This Row],[Line]],Items[Line],0)),INDEX(Proposed[Description],MATCH(Calcs[[#This Row],[Line]],Proposed[Line],0)))),"")</f>
        <v/>
      </c>
      <c r="D197" s="96">
        <f t="shared" ca="1" si="120"/>
        <v>0</v>
      </c>
      <c r="E197" s="103">
        <f t="shared" ca="1" si="121"/>
        <v>0</v>
      </c>
      <c r="F197" s="103">
        <f t="shared" ca="1" si="122"/>
        <v>0</v>
      </c>
      <c r="G197" s="103">
        <f t="shared" ca="1" si="123"/>
        <v>0</v>
      </c>
      <c r="H197" s="103">
        <f t="shared" ca="1" si="124"/>
        <v>0</v>
      </c>
      <c r="I197" s="103">
        <f t="shared" ca="1" si="125"/>
        <v>0</v>
      </c>
      <c r="J197" s="103">
        <f t="shared" ca="1" si="126"/>
        <v>0</v>
      </c>
      <c r="K197" s="103">
        <f t="shared" ca="1" si="127"/>
        <v>0</v>
      </c>
      <c r="L197" s="103">
        <f t="shared" ca="1" si="128"/>
        <v>0</v>
      </c>
      <c r="M197" s="103">
        <f t="shared" ca="1" si="129"/>
        <v>0</v>
      </c>
      <c r="N197" s="103">
        <f t="shared" ca="1" si="130"/>
        <v>0</v>
      </c>
      <c r="O197" s="103">
        <f t="shared" ca="1" si="131"/>
        <v>0</v>
      </c>
      <c r="P197" s="103">
        <f t="shared" ca="1" si="132"/>
        <v>0</v>
      </c>
      <c r="Q197" s="103">
        <f t="shared" ca="1" si="133"/>
        <v>0</v>
      </c>
      <c r="R197" s="103">
        <f t="shared" ca="1" si="134"/>
        <v>0</v>
      </c>
      <c r="S197" s="103">
        <f t="shared" ca="1" si="135"/>
        <v>0</v>
      </c>
      <c r="T197" s="103">
        <f t="shared" ca="1" si="136"/>
        <v>0</v>
      </c>
      <c r="U197" s="103">
        <f t="shared" ca="1" si="137"/>
        <v>0</v>
      </c>
      <c r="V197" s="103">
        <f t="shared" ca="1" si="138"/>
        <v>0</v>
      </c>
      <c r="W197" s="103">
        <f t="shared" ca="1" si="139"/>
        <v>0</v>
      </c>
      <c r="X197" s="103">
        <f t="shared" ca="1" si="140"/>
        <v>0</v>
      </c>
      <c r="Y197" s="103">
        <f t="shared" ca="1" si="141"/>
        <v>0</v>
      </c>
      <c r="Z197" s="103">
        <f t="shared" ca="1" si="142"/>
        <v>0</v>
      </c>
      <c r="AA197" s="103">
        <f t="shared" ca="1" si="143"/>
        <v>0</v>
      </c>
      <c r="AB197" s="103">
        <f t="shared" ca="1" si="144"/>
        <v>0</v>
      </c>
      <c r="AC197" s="103">
        <f t="shared" ca="1" si="145"/>
        <v>0</v>
      </c>
      <c r="AD197" s="103">
        <f t="shared" ca="1" si="146"/>
        <v>0</v>
      </c>
      <c r="AE197" s="103">
        <f t="shared" ca="1" si="147"/>
        <v>0</v>
      </c>
      <c r="AF197" s="103">
        <f t="shared" ca="1" si="148"/>
        <v>0</v>
      </c>
      <c r="AG197" s="103">
        <f t="shared" ca="1" si="149"/>
        <v>0</v>
      </c>
      <c r="AH197" s="103">
        <f t="shared" ca="1" si="150"/>
        <v>0</v>
      </c>
      <c r="AI197" s="103">
        <f t="shared" ca="1" si="151"/>
        <v>0</v>
      </c>
      <c r="AJ197" s="98">
        <f t="shared" ca="1" si="190"/>
        <v>0</v>
      </c>
      <c r="AK197" s="103">
        <f t="shared" ca="1" si="190"/>
        <v>0</v>
      </c>
      <c r="AL197" s="103">
        <f t="shared" ca="1" si="190"/>
        <v>0</v>
      </c>
      <c r="AM197" s="103">
        <f t="shared" ca="1" si="190"/>
        <v>0</v>
      </c>
      <c r="AN197" s="103">
        <f t="shared" ca="1" si="190"/>
        <v>0</v>
      </c>
      <c r="AO197" s="103">
        <f t="shared" ca="1" si="190"/>
        <v>0</v>
      </c>
      <c r="AP197" s="103">
        <f t="shared" ca="1" si="190"/>
        <v>0</v>
      </c>
      <c r="AQ197" s="103">
        <f t="shared" ca="1" si="190"/>
        <v>0</v>
      </c>
      <c r="AR197" s="104">
        <f ca="1">COUNTIF(AJ197:AQ197,"&lt;"&amp;MAX(AJ197:AQ197))+IF(Calcs[[#This Row],[DL1]]=0,0,1)</f>
        <v>0</v>
      </c>
      <c r="AS197" s="105" t="str">
        <f ca="1">IF(LEN(Calcs[[#This Row],[Line]])&gt;0,IF(RIGHT(Calcs[[#This Row],[Remark]],3)=".  ",LEFT(Calcs[[#This Row],[Remark]],LEN(Calcs[[#This Row],[Remark]])-3),Calcs[[#This Row],[Remark]]),"")</f>
        <v/>
      </c>
      <c r="AT197" s="96">
        <f t="shared" ca="1" si="152"/>
        <v>0</v>
      </c>
      <c r="AU197" s="103">
        <f t="shared" ca="1" si="153"/>
        <v>0</v>
      </c>
      <c r="AV197" s="103">
        <f t="shared" ca="1" si="154"/>
        <v>0</v>
      </c>
      <c r="AW197" s="103">
        <f t="shared" ca="1" si="155"/>
        <v>0</v>
      </c>
      <c r="AX197" s="103">
        <f t="shared" ca="1" si="156"/>
        <v>0</v>
      </c>
      <c r="AY197" s="103">
        <f t="shared" ca="1" si="157"/>
        <v>0</v>
      </c>
      <c r="AZ197" s="103">
        <f t="shared" ca="1" si="158"/>
        <v>0</v>
      </c>
      <c r="BA197" s="103">
        <f t="shared" ca="1" si="159"/>
        <v>0</v>
      </c>
      <c r="BB197" s="103">
        <f t="shared" ca="1" si="160"/>
        <v>0</v>
      </c>
      <c r="BC197" s="103">
        <f t="shared" ca="1" si="161"/>
        <v>0</v>
      </c>
      <c r="BD197" s="103">
        <f t="shared" ca="1" si="162"/>
        <v>0</v>
      </c>
      <c r="BE197" s="103">
        <f t="shared" ca="1" si="163"/>
        <v>0</v>
      </c>
      <c r="BF197" s="103">
        <f t="shared" ca="1" si="164"/>
        <v>0</v>
      </c>
      <c r="BG197" s="103">
        <f t="shared" ca="1" si="165"/>
        <v>0</v>
      </c>
      <c r="BH197" s="103">
        <f t="shared" ca="1" si="166"/>
        <v>0</v>
      </c>
      <c r="BI197" s="103">
        <f t="shared" ca="1" si="167"/>
        <v>0</v>
      </c>
      <c r="BJ197" s="103">
        <f t="shared" ca="1" si="168"/>
        <v>0</v>
      </c>
      <c r="BK197" s="103">
        <f t="shared" ca="1" si="169"/>
        <v>0</v>
      </c>
      <c r="BL197" s="103">
        <f t="shared" ca="1" si="170"/>
        <v>0</v>
      </c>
      <c r="BM197" s="103">
        <f t="shared" ca="1" si="171"/>
        <v>0</v>
      </c>
      <c r="BN197" s="103">
        <f t="shared" ca="1" si="172"/>
        <v>0</v>
      </c>
      <c r="BO197" s="103">
        <f t="shared" ca="1" si="173"/>
        <v>0</v>
      </c>
      <c r="BP197" s="103">
        <f t="shared" ca="1" si="174"/>
        <v>0</v>
      </c>
      <c r="BQ197" s="103">
        <f t="shared" ca="1" si="175"/>
        <v>0</v>
      </c>
      <c r="BR197" s="103">
        <f t="shared" ca="1" si="176"/>
        <v>0</v>
      </c>
      <c r="BS197" s="103">
        <f t="shared" ca="1" si="177"/>
        <v>0</v>
      </c>
      <c r="BT197" s="103">
        <f t="shared" ca="1" si="178"/>
        <v>0</v>
      </c>
      <c r="BU197" s="103">
        <f t="shared" ca="1" si="179"/>
        <v>0</v>
      </c>
      <c r="BV197" s="103">
        <f t="shared" ca="1" si="180"/>
        <v>0</v>
      </c>
      <c r="BW197" s="103">
        <f t="shared" ca="1" si="181"/>
        <v>0</v>
      </c>
      <c r="BX197" s="103">
        <f t="shared" ca="1" si="182"/>
        <v>0</v>
      </c>
      <c r="BY197" s="103">
        <f t="shared" ca="1" si="183"/>
        <v>0</v>
      </c>
      <c r="BZ197" s="98">
        <f t="shared" ca="1" si="191"/>
        <v>0</v>
      </c>
      <c r="CA197" s="103">
        <f t="shared" ca="1" si="191"/>
        <v>0</v>
      </c>
      <c r="CB197" s="103">
        <f t="shared" ca="1" si="191"/>
        <v>0</v>
      </c>
      <c r="CC197" s="103">
        <f t="shared" ca="1" si="191"/>
        <v>0</v>
      </c>
      <c r="CD197" s="103">
        <f t="shared" ca="1" si="191"/>
        <v>0</v>
      </c>
      <c r="CE197" s="103">
        <f t="shared" ca="1" si="191"/>
        <v>0</v>
      </c>
      <c r="CF197" s="103">
        <f t="shared" ca="1" si="191"/>
        <v>0</v>
      </c>
      <c r="CG197" s="103">
        <f t="shared" ca="1" si="191"/>
        <v>0</v>
      </c>
      <c r="CH197" s="106">
        <f ca="1">COUNTIF(BZ197:CG197,"&lt;"&amp;MAX(BZ197:CG197))+IF(Calcs[[#This Row],[RL1]]=0,0,1)</f>
        <v>0</v>
      </c>
      <c r="CI19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7" s="103">
        <f ca="1">IFERROR(OFFSET(CJ197,-1,0)+0,0)+IF(INDEX(INDIRECT(RangeContrQty),MATCH(Calcs[[#This Row],[Line]],OFFSET(Items[Line],0,0,ROW(Proposed[])-ROW(Items[])+ROWS(Proposed[]),1),0)),1,0)</f>
        <v>0</v>
      </c>
    </row>
    <row r="198" spans="1:88" x14ac:dyDescent="0.15">
      <c r="A198" s="64">
        <f ca="1">IFERROR(OFFSET(A198,-1,0)+0,0)+MAX(IF(LEN(Calcs[[#This Row],[Line]])&gt;0,1,0),Calcs[[#This Row],[DL]],Calcs[[#This Row],[RL]])</f>
        <v>10</v>
      </c>
      <c r="B198" s="90" t="str">
        <f ca="1">IFERROR(INDEX(OFFSET(Items[Line],0,0,ROW(Proposed[])-ROW(Items[])+ROWS(Proposed[]),1),MATCH(ROW(B198)-ROW(B$3),INDIRECT(RangeCount),0)),"")</f>
        <v/>
      </c>
      <c r="C198" s="90" t="str">
        <f ca="1">IF(LEN(Calcs[[#This Row],[Line]])&gt;0,TRIM(IFERROR(INDEX(Items[Description],MATCH(Calcs[[#This Row],[Line]],Items[Line],0))&amp;INDEX(Items[Description2],MATCH(Calcs[[#This Row],[Line]],Items[Line],0)),INDEX(Proposed[Description],MATCH(Calcs[[#This Row],[Line]],Proposed[Line],0)))),"")</f>
        <v/>
      </c>
      <c r="D198" s="96">
        <f t="shared" ca="1" si="120"/>
        <v>0</v>
      </c>
      <c r="E198" s="103">
        <f t="shared" ca="1" si="121"/>
        <v>0</v>
      </c>
      <c r="F198" s="103">
        <f t="shared" ca="1" si="122"/>
        <v>0</v>
      </c>
      <c r="G198" s="103">
        <f t="shared" ca="1" si="123"/>
        <v>0</v>
      </c>
      <c r="H198" s="103">
        <f t="shared" ca="1" si="124"/>
        <v>0</v>
      </c>
      <c r="I198" s="103">
        <f t="shared" ca="1" si="125"/>
        <v>0</v>
      </c>
      <c r="J198" s="103">
        <f t="shared" ca="1" si="126"/>
        <v>0</v>
      </c>
      <c r="K198" s="103">
        <f t="shared" ca="1" si="127"/>
        <v>0</v>
      </c>
      <c r="L198" s="103">
        <f t="shared" ca="1" si="128"/>
        <v>0</v>
      </c>
      <c r="M198" s="103">
        <f t="shared" ca="1" si="129"/>
        <v>0</v>
      </c>
      <c r="N198" s="103">
        <f t="shared" ca="1" si="130"/>
        <v>0</v>
      </c>
      <c r="O198" s="103">
        <f t="shared" ca="1" si="131"/>
        <v>0</v>
      </c>
      <c r="P198" s="103">
        <f t="shared" ca="1" si="132"/>
        <v>0</v>
      </c>
      <c r="Q198" s="103">
        <f t="shared" ca="1" si="133"/>
        <v>0</v>
      </c>
      <c r="R198" s="103">
        <f t="shared" ca="1" si="134"/>
        <v>0</v>
      </c>
      <c r="S198" s="103">
        <f t="shared" ca="1" si="135"/>
        <v>0</v>
      </c>
      <c r="T198" s="103">
        <f t="shared" ca="1" si="136"/>
        <v>0</v>
      </c>
      <c r="U198" s="103">
        <f t="shared" ca="1" si="137"/>
        <v>0</v>
      </c>
      <c r="V198" s="103">
        <f t="shared" ca="1" si="138"/>
        <v>0</v>
      </c>
      <c r="W198" s="103">
        <f t="shared" ca="1" si="139"/>
        <v>0</v>
      </c>
      <c r="X198" s="103">
        <f t="shared" ca="1" si="140"/>
        <v>0</v>
      </c>
      <c r="Y198" s="103">
        <f t="shared" ca="1" si="141"/>
        <v>0</v>
      </c>
      <c r="Z198" s="103">
        <f t="shared" ca="1" si="142"/>
        <v>0</v>
      </c>
      <c r="AA198" s="103">
        <f t="shared" ca="1" si="143"/>
        <v>0</v>
      </c>
      <c r="AB198" s="103">
        <f t="shared" ca="1" si="144"/>
        <v>0</v>
      </c>
      <c r="AC198" s="103">
        <f t="shared" ca="1" si="145"/>
        <v>0</v>
      </c>
      <c r="AD198" s="103">
        <f t="shared" ca="1" si="146"/>
        <v>0</v>
      </c>
      <c r="AE198" s="103">
        <f t="shared" ca="1" si="147"/>
        <v>0</v>
      </c>
      <c r="AF198" s="103">
        <f t="shared" ca="1" si="148"/>
        <v>0</v>
      </c>
      <c r="AG198" s="103">
        <f t="shared" ca="1" si="149"/>
        <v>0</v>
      </c>
      <c r="AH198" s="103">
        <f t="shared" ca="1" si="150"/>
        <v>0</v>
      </c>
      <c r="AI198" s="103">
        <f t="shared" ca="1" si="151"/>
        <v>0</v>
      </c>
      <c r="AJ198" s="98">
        <f t="shared" ca="1" si="190"/>
        <v>0</v>
      </c>
      <c r="AK198" s="103">
        <f t="shared" ca="1" si="190"/>
        <v>0</v>
      </c>
      <c r="AL198" s="103">
        <f t="shared" ca="1" si="190"/>
        <v>0</v>
      </c>
      <c r="AM198" s="103">
        <f t="shared" ca="1" si="190"/>
        <v>0</v>
      </c>
      <c r="AN198" s="103">
        <f t="shared" ca="1" si="190"/>
        <v>0</v>
      </c>
      <c r="AO198" s="103">
        <f t="shared" ca="1" si="190"/>
        <v>0</v>
      </c>
      <c r="AP198" s="103">
        <f t="shared" ca="1" si="190"/>
        <v>0</v>
      </c>
      <c r="AQ198" s="103">
        <f t="shared" ca="1" si="190"/>
        <v>0</v>
      </c>
      <c r="AR198" s="104">
        <f ca="1">COUNTIF(AJ198:AQ198,"&lt;"&amp;MAX(AJ198:AQ198))+IF(Calcs[[#This Row],[DL1]]=0,0,1)</f>
        <v>0</v>
      </c>
      <c r="AS198" s="105" t="str">
        <f ca="1">IF(LEN(Calcs[[#This Row],[Line]])&gt;0,IF(RIGHT(Calcs[[#This Row],[Remark]],3)=".  ",LEFT(Calcs[[#This Row],[Remark]],LEN(Calcs[[#This Row],[Remark]])-3),Calcs[[#This Row],[Remark]]),"")</f>
        <v/>
      </c>
      <c r="AT198" s="96">
        <f t="shared" ca="1" si="152"/>
        <v>0</v>
      </c>
      <c r="AU198" s="103">
        <f t="shared" ca="1" si="153"/>
        <v>0</v>
      </c>
      <c r="AV198" s="103">
        <f t="shared" ca="1" si="154"/>
        <v>0</v>
      </c>
      <c r="AW198" s="103">
        <f t="shared" ca="1" si="155"/>
        <v>0</v>
      </c>
      <c r="AX198" s="103">
        <f t="shared" ca="1" si="156"/>
        <v>0</v>
      </c>
      <c r="AY198" s="103">
        <f t="shared" ca="1" si="157"/>
        <v>0</v>
      </c>
      <c r="AZ198" s="103">
        <f t="shared" ca="1" si="158"/>
        <v>0</v>
      </c>
      <c r="BA198" s="103">
        <f t="shared" ca="1" si="159"/>
        <v>0</v>
      </c>
      <c r="BB198" s="103">
        <f t="shared" ca="1" si="160"/>
        <v>0</v>
      </c>
      <c r="BC198" s="103">
        <f t="shared" ca="1" si="161"/>
        <v>0</v>
      </c>
      <c r="BD198" s="103">
        <f t="shared" ca="1" si="162"/>
        <v>0</v>
      </c>
      <c r="BE198" s="103">
        <f t="shared" ca="1" si="163"/>
        <v>0</v>
      </c>
      <c r="BF198" s="103">
        <f t="shared" ca="1" si="164"/>
        <v>0</v>
      </c>
      <c r="BG198" s="103">
        <f t="shared" ca="1" si="165"/>
        <v>0</v>
      </c>
      <c r="BH198" s="103">
        <f t="shared" ca="1" si="166"/>
        <v>0</v>
      </c>
      <c r="BI198" s="103">
        <f t="shared" ca="1" si="167"/>
        <v>0</v>
      </c>
      <c r="BJ198" s="103">
        <f t="shared" ca="1" si="168"/>
        <v>0</v>
      </c>
      <c r="BK198" s="103">
        <f t="shared" ca="1" si="169"/>
        <v>0</v>
      </c>
      <c r="BL198" s="103">
        <f t="shared" ca="1" si="170"/>
        <v>0</v>
      </c>
      <c r="BM198" s="103">
        <f t="shared" ca="1" si="171"/>
        <v>0</v>
      </c>
      <c r="BN198" s="103">
        <f t="shared" ca="1" si="172"/>
        <v>0</v>
      </c>
      <c r="BO198" s="103">
        <f t="shared" ca="1" si="173"/>
        <v>0</v>
      </c>
      <c r="BP198" s="103">
        <f t="shared" ca="1" si="174"/>
        <v>0</v>
      </c>
      <c r="BQ198" s="103">
        <f t="shared" ca="1" si="175"/>
        <v>0</v>
      </c>
      <c r="BR198" s="103">
        <f t="shared" ca="1" si="176"/>
        <v>0</v>
      </c>
      <c r="BS198" s="103">
        <f t="shared" ca="1" si="177"/>
        <v>0</v>
      </c>
      <c r="BT198" s="103">
        <f t="shared" ca="1" si="178"/>
        <v>0</v>
      </c>
      <c r="BU198" s="103">
        <f t="shared" ca="1" si="179"/>
        <v>0</v>
      </c>
      <c r="BV198" s="103">
        <f t="shared" ca="1" si="180"/>
        <v>0</v>
      </c>
      <c r="BW198" s="103">
        <f t="shared" ca="1" si="181"/>
        <v>0</v>
      </c>
      <c r="BX198" s="103">
        <f t="shared" ca="1" si="182"/>
        <v>0</v>
      </c>
      <c r="BY198" s="103">
        <f t="shared" ca="1" si="183"/>
        <v>0</v>
      </c>
      <c r="BZ198" s="98">
        <f t="shared" ca="1" si="191"/>
        <v>0</v>
      </c>
      <c r="CA198" s="103">
        <f t="shared" ca="1" si="191"/>
        <v>0</v>
      </c>
      <c r="CB198" s="103">
        <f t="shared" ca="1" si="191"/>
        <v>0</v>
      </c>
      <c r="CC198" s="103">
        <f t="shared" ca="1" si="191"/>
        <v>0</v>
      </c>
      <c r="CD198" s="103">
        <f t="shared" ca="1" si="191"/>
        <v>0</v>
      </c>
      <c r="CE198" s="103">
        <f t="shared" ca="1" si="191"/>
        <v>0</v>
      </c>
      <c r="CF198" s="103">
        <f t="shared" ca="1" si="191"/>
        <v>0</v>
      </c>
      <c r="CG198" s="103">
        <f t="shared" ca="1" si="191"/>
        <v>0</v>
      </c>
      <c r="CH198" s="106">
        <f ca="1">COUNTIF(BZ198:CG198,"&lt;"&amp;MAX(BZ198:CG198))+IF(Calcs[[#This Row],[RL1]]=0,0,1)</f>
        <v>0</v>
      </c>
      <c r="CI19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8" s="103">
        <f ca="1">IFERROR(OFFSET(CJ198,-1,0)+0,0)+IF(INDEX(INDIRECT(RangeContrQty),MATCH(Calcs[[#This Row],[Line]],OFFSET(Items[Line],0,0,ROW(Proposed[])-ROW(Items[])+ROWS(Proposed[]),1),0)),1,0)</f>
        <v>0</v>
      </c>
    </row>
    <row r="199" spans="1:88" x14ac:dyDescent="0.15">
      <c r="A199" s="64">
        <f ca="1">IFERROR(OFFSET(A199,-1,0)+0,0)+MAX(IF(LEN(Calcs[[#This Row],[Line]])&gt;0,1,0),Calcs[[#This Row],[DL]],Calcs[[#This Row],[RL]])</f>
        <v>10</v>
      </c>
      <c r="B199" s="90" t="str">
        <f ca="1">IFERROR(INDEX(OFFSET(Items[Line],0,0,ROW(Proposed[])-ROW(Items[])+ROWS(Proposed[]),1),MATCH(ROW(B199)-ROW(B$3),INDIRECT(RangeCount),0)),"")</f>
        <v/>
      </c>
      <c r="C199" s="90" t="str">
        <f ca="1">IF(LEN(Calcs[[#This Row],[Line]])&gt;0,TRIM(IFERROR(INDEX(Items[Description],MATCH(Calcs[[#This Row],[Line]],Items[Line],0))&amp;INDEX(Items[Description2],MATCH(Calcs[[#This Row],[Line]],Items[Line],0)),INDEX(Proposed[Description],MATCH(Calcs[[#This Row],[Line]],Proposed[Line],0)))),"")</f>
        <v/>
      </c>
      <c r="D199" s="96">
        <f t="shared" ca="1" si="120"/>
        <v>0</v>
      </c>
      <c r="E199" s="103">
        <f t="shared" ca="1" si="121"/>
        <v>0</v>
      </c>
      <c r="F199" s="103">
        <f t="shared" ca="1" si="122"/>
        <v>0</v>
      </c>
      <c r="G199" s="103">
        <f t="shared" ca="1" si="123"/>
        <v>0</v>
      </c>
      <c r="H199" s="103">
        <f t="shared" ca="1" si="124"/>
        <v>0</v>
      </c>
      <c r="I199" s="103">
        <f t="shared" ca="1" si="125"/>
        <v>0</v>
      </c>
      <c r="J199" s="103">
        <f t="shared" ca="1" si="126"/>
        <v>0</v>
      </c>
      <c r="K199" s="103">
        <f t="shared" ca="1" si="127"/>
        <v>0</v>
      </c>
      <c r="L199" s="103">
        <f t="shared" ca="1" si="128"/>
        <v>0</v>
      </c>
      <c r="M199" s="103">
        <f t="shared" ca="1" si="129"/>
        <v>0</v>
      </c>
      <c r="N199" s="103">
        <f t="shared" ca="1" si="130"/>
        <v>0</v>
      </c>
      <c r="O199" s="103">
        <f t="shared" ca="1" si="131"/>
        <v>0</v>
      </c>
      <c r="P199" s="103">
        <f t="shared" ca="1" si="132"/>
        <v>0</v>
      </c>
      <c r="Q199" s="103">
        <f t="shared" ca="1" si="133"/>
        <v>0</v>
      </c>
      <c r="R199" s="103">
        <f t="shared" ca="1" si="134"/>
        <v>0</v>
      </c>
      <c r="S199" s="103">
        <f t="shared" ca="1" si="135"/>
        <v>0</v>
      </c>
      <c r="T199" s="103">
        <f t="shared" ca="1" si="136"/>
        <v>0</v>
      </c>
      <c r="U199" s="103">
        <f t="shared" ca="1" si="137"/>
        <v>0</v>
      </c>
      <c r="V199" s="103">
        <f t="shared" ca="1" si="138"/>
        <v>0</v>
      </c>
      <c r="W199" s="103">
        <f t="shared" ca="1" si="139"/>
        <v>0</v>
      </c>
      <c r="X199" s="103">
        <f t="shared" ca="1" si="140"/>
        <v>0</v>
      </c>
      <c r="Y199" s="103">
        <f t="shared" ca="1" si="141"/>
        <v>0</v>
      </c>
      <c r="Z199" s="103">
        <f t="shared" ca="1" si="142"/>
        <v>0</v>
      </c>
      <c r="AA199" s="103">
        <f t="shared" ca="1" si="143"/>
        <v>0</v>
      </c>
      <c r="AB199" s="103">
        <f t="shared" ca="1" si="144"/>
        <v>0</v>
      </c>
      <c r="AC199" s="103">
        <f t="shared" ca="1" si="145"/>
        <v>0</v>
      </c>
      <c r="AD199" s="103">
        <f t="shared" ca="1" si="146"/>
        <v>0</v>
      </c>
      <c r="AE199" s="103">
        <f t="shared" ca="1" si="147"/>
        <v>0</v>
      </c>
      <c r="AF199" s="103">
        <f t="shared" ca="1" si="148"/>
        <v>0</v>
      </c>
      <c r="AG199" s="103">
        <f t="shared" ca="1" si="149"/>
        <v>0</v>
      </c>
      <c r="AH199" s="103">
        <f t="shared" ca="1" si="150"/>
        <v>0</v>
      </c>
      <c r="AI199" s="103">
        <f t="shared" ca="1" si="151"/>
        <v>0</v>
      </c>
      <c r="AJ199" s="98">
        <f t="shared" ca="1" si="190"/>
        <v>0</v>
      </c>
      <c r="AK199" s="103">
        <f t="shared" ca="1" si="190"/>
        <v>0</v>
      </c>
      <c r="AL199" s="103">
        <f t="shared" ca="1" si="190"/>
        <v>0</v>
      </c>
      <c r="AM199" s="103">
        <f t="shared" ca="1" si="190"/>
        <v>0</v>
      </c>
      <c r="AN199" s="103">
        <f t="shared" ca="1" si="190"/>
        <v>0</v>
      </c>
      <c r="AO199" s="103">
        <f t="shared" ca="1" si="190"/>
        <v>0</v>
      </c>
      <c r="AP199" s="103">
        <f t="shared" ca="1" si="190"/>
        <v>0</v>
      </c>
      <c r="AQ199" s="103">
        <f t="shared" ca="1" si="190"/>
        <v>0</v>
      </c>
      <c r="AR199" s="104">
        <f ca="1">COUNTIF(AJ199:AQ199,"&lt;"&amp;MAX(AJ199:AQ199))+IF(Calcs[[#This Row],[DL1]]=0,0,1)</f>
        <v>0</v>
      </c>
      <c r="AS199" s="105" t="str">
        <f ca="1">IF(LEN(Calcs[[#This Row],[Line]])&gt;0,IF(RIGHT(Calcs[[#This Row],[Remark]],3)=".  ",LEFT(Calcs[[#This Row],[Remark]],LEN(Calcs[[#This Row],[Remark]])-3),Calcs[[#This Row],[Remark]]),"")</f>
        <v/>
      </c>
      <c r="AT199" s="96">
        <f t="shared" ca="1" si="152"/>
        <v>0</v>
      </c>
      <c r="AU199" s="103">
        <f t="shared" ca="1" si="153"/>
        <v>0</v>
      </c>
      <c r="AV199" s="103">
        <f t="shared" ca="1" si="154"/>
        <v>0</v>
      </c>
      <c r="AW199" s="103">
        <f t="shared" ca="1" si="155"/>
        <v>0</v>
      </c>
      <c r="AX199" s="103">
        <f t="shared" ca="1" si="156"/>
        <v>0</v>
      </c>
      <c r="AY199" s="103">
        <f t="shared" ca="1" si="157"/>
        <v>0</v>
      </c>
      <c r="AZ199" s="103">
        <f t="shared" ca="1" si="158"/>
        <v>0</v>
      </c>
      <c r="BA199" s="103">
        <f t="shared" ca="1" si="159"/>
        <v>0</v>
      </c>
      <c r="BB199" s="103">
        <f t="shared" ca="1" si="160"/>
        <v>0</v>
      </c>
      <c r="BC199" s="103">
        <f t="shared" ca="1" si="161"/>
        <v>0</v>
      </c>
      <c r="BD199" s="103">
        <f t="shared" ca="1" si="162"/>
        <v>0</v>
      </c>
      <c r="BE199" s="103">
        <f t="shared" ca="1" si="163"/>
        <v>0</v>
      </c>
      <c r="BF199" s="103">
        <f t="shared" ca="1" si="164"/>
        <v>0</v>
      </c>
      <c r="BG199" s="103">
        <f t="shared" ca="1" si="165"/>
        <v>0</v>
      </c>
      <c r="BH199" s="103">
        <f t="shared" ca="1" si="166"/>
        <v>0</v>
      </c>
      <c r="BI199" s="103">
        <f t="shared" ca="1" si="167"/>
        <v>0</v>
      </c>
      <c r="BJ199" s="103">
        <f t="shared" ca="1" si="168"/>
        <v>0</v>
      </c>
      <c r="BK199" s="103">
        <f t="shared" ca="1" si="169"/>
        <v>0</v>
      </c>
      <c r="BL199" s="103">
        <f t="shared" ca="1" si="170"/>
        <v>0</v>
      </c>
      <c r="BM199" s="103">
        <f t="shared" ca="1" si="171"/>
        <v>0</v>
      </c>
      <c r="BN199" s="103">
        <f t="shared" ca="1" si="172"/>
        <v>0</v>
      </c>
      <c r="BO199" s="103">
        <f t="shared" ca="1" si="173"/>
        <v>0</v>
      </c>
      <c r="BP199" s="103">
        <f t="shared" ca="1" si="174"/>
        <v>0</v>
      </c>
      <c r="BQ199" s="103">
        <f t="shared" ca="1" si="175"/>
        <v>0</v>
      </c>
      <c r="BR199" s="103">
        <f t="shared" ca="1" si="176"/>
        <v>0</v>
      </c>
      <c r="BS199" s="103">
        <f t="shared" ca="1" si="177"/>
        <v>0</v>
      </c>
      <c r="BT199" s="103">
        <f t="shared" ca="1" si="178"/>
        <v>0</v>
      </c>
      <c r="BU199" s="103">
        <f t="shared" ca="1" si="179"/>
        <v>0</v>
      </c>
      <c r="BV199" s="103">
        <f t="shared" ca="1" si="180"/>
        <v>0</v>
      </c>
      <c r="BW199" s="103">
        <f t="shared" ca="1" si="181"/>
        <v>0</v>
      </c>
      <c r="BX199" s="103">
        <f t="shared" ca="1" si="182"/>
        <v>0</v>
      </c>
      <c r="BY199" s="103">
        <f t="shared" ca="1" si="183"/>
        <v>0</v>
      </c>
      <c r="BZ199" s="98">
        <f t="shared" ca="1" si="191"/>
        <v>0</v>
      </c>
      <c r="CA199" s="103">
        <f t="shared" ca="1" si="191"/>
        <v>0</v>
      </c>
      <c r="CB199" s="103">
        <f t="shared" ca="1" si="191"/>
        <v>0</v>
      </c>
      <c r="CC199" s="103">
        <f t="shared" ca="1" si="191"/>
        <v>0</v>
      </c>
      <c r="CD199" s="103">
        <f t="shared" ca="1" si="191"/>
        <v>0</v>
      </c>
      <c r="CE199" s="103">
        <f t="shared" ca="1" si="191"/>
        <v>0</v>
      </c>
      <c r="CF199" s="103">
        <f t="shared" ca="1" si="191"/>
        <v>0</v>
      </c>
      <c r="CG199" s="103">
        <f t="shared" ca="1" si="191"/>
        <v>0</v>
      </c>
      <c r="CH199" s="106">
        <f ca="1">COUNTIF(BZ199:CG199,"&lt;"&amp;MAX(BZ199:CG199))+IF(Calcs[[#This Row],[RL1]]=0,0,1)</f>
        <v>0</v>
      </c>
      <c r="CI19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9" s="103">
        <f ca="1">IFERROR(OFFSET(CJ199,-1,0)+0,0)+IF(INDEX(INDIRECT(RangeContrQty),MATCH(Calcs[[#This Row],[Line]],OFFSET(Items[Line],0,0,ROW(Proposed[])-ROW(Items[])+ROWS(Proposed[]),1),0)),1,0)</f>
        <v>0</v>
      </c>
    </row>
    <row r="200" spans="1:88" x14ac:dyDescent="0.15">
      <c r="A200" s="64">
        <f ca="1">IFERROR(OFFSET(A200,-1,0)+0,0)+MAX(IF(LEN(Calcs[[#This Row],[Line]])&gt;0,1,0),Calcs[[#This Row],[DL]],Calcs[[#This Row],[RL]])</f>
        <v>10</v>
      </c>
      <c r="B200" s="90" t="str">
        <f ca="1">IFERROR(INDEX(OFFSET(Items[Line],0,0,ROW(Proposed[])-ROW(Items[])+ROWS(Proposed[]),1),MATCH(ROW(B200)-ROW(B$3),INDIRECT(RangeCount),0)),"")</f>
        <v/>
      </c>
      <c r="C200" s="90" t="str">
        <f ca="1">IF(LEN(Calcs[[#This Row],[Line]])&gt;0,TRIM(IFERROR(INDEX(Items[Description],MATCH(Calcs[[#This Row],[Line]],Items[Line],0))&amp;INDEX(Items[Description2],MATCH(Calcs[[#This Row],[Line]],Items[Line],0)),INDEX(Proposed[Description],MATCH(Calcs[[#This Row],[Line]],Proposed[Line],0)))),"")</f>
        <v/>
      </c>
      <c r="D200" s="96">
        <f t="shared" ca="1" si="120"/>
        <v>0</v>
      </c>
      <c r="E200" s="103">
        <f t="shared" ca="1" si="121"/>
        <v>0</v>
      </c>
      <c r="F200" s="103">
        <f t="shared" ca="1" si="122"/>
        <v>0</v>
      </c>
      <c r="G200" s="103">
        <f t="shared" ca="1" si="123"/>
        <v>0</v>
      </c>
      <c r="H200" s="103">
        <f t="shared" ca="1" si="124"/>
        <v>0</v>
      </c>
      <c r="I200" s="103">
        <f t="shared" ca="1" si="125"/>
        <v>0</v>
      </c>
      <c r="J200" s="103">
        <f t="shared" ca="1" si="126"/>
        <v>0</v>
      </c>
      <c r="K200" s="103">
        <f t="shared" ca="1" si="127"/>
        <v>0</v>
      </c>
      <c r="L200" s="103">
        <f t="shared" ca="1" si="128"/>
        <v>0</v>
      </c>
      <c r="M200" s="103">
        <f t="shared" ca="1" si="129"/>
        <v>0</v>
      </c>
      <c r="N200" s="103">
        <f t="shared" ca="1" si="130"/>
        <v>0</v>
      </c>
      <c r="O200" s="103">
        <f t="shared" ca="1" si="131"/>
        <v>0</v>
      </c>
      <c r="P200" s="103">
        <f t="shared" ca="1" si="132"/>
        <v>0</v>
      </c>
      <c r="Q200" s="103">
        <f t="shared" ca="1" si="133"/>
        <v>0</v>
      </c>
      <c r="R200" s="103">
        <f t="shared" ca="1" si="134"/>
        <v>0</v>
      </c>
      <c r="S200" s="103">
        <f t="shared" ca="1" si="135"/>
        <v>0</v>
      </c>
      <c r="T200" s="103">
        <f t="shared" ca="1" si="136"/>
        <v>0</v>
      </c>
      <c r="U200" s="103">
        <f t="shared" ca="1" si="137"/>
        <v>0</v>
      </c>
      <c r="V200" s="103">
        <f t="shared" ca="1" si="138"/>
        <v>0</v>
      </c>
      <c r="W200" s="103">
        <f t="shared" ca="1" si="139"/>
        <v>0</v>
      </c>
      <c r="X200" s="103">
        <f t="shared" ca="1" si="140"/>
        <v>0</v>
      </c>
      <c r="Y200" s="103">
        <f t="shared" ca="1" si="141"/>
        <v>0</v>
      </c>
      <c r="Z200" s="103">
        <f t="shared" ca="1" si="142"/>
        <v>0</v>
      </c>
      <c r="AA200" s="103">
        <f t="shared" ca="1" si="143"/>
        <v>0</v>
      </c>
      <c r="AB200" s="103">
        <f t="shared" ca="1" si="144"/>
        <v>0</v>
      </c>
      <c r="AC200" s="103">
        <f t="shared" ca="1" si="145"/>
        <v>0</v>
      </c>
      <c r="AD200" s="103">
        <f t="shared" ca="1" si="146"/>
        <v>0</v>
      </c>
      <c r="AE200" s="103">
        <f t="shared" ca="1" si="147"/>
        <v>0</v>
      </c>
      <c r="AF200" s="103">
        <f t="shared" ca="1" si="148"/>
        <v>0</v>
      </c>
      <c r="AG200" s="103">
        <f t="shared" ca="1" si="149"/>
        <v>0</v>
      </c>
      <c r="AH200" s="103">
        <f t="shared" ca="1" si="150"/>
        <v>0</v>
      </c>
      <c r="AI200" s="103">
        <f t="shared" ca="1" si="151"/>
        <v>0</v>
      </c>
      <c r="AJ200" s="98">
        <f t="shared" ca="1" si="190"/>
        <v>0</v>
      </c>
      <c r="AK200" s="103">
        <f t="shared" ca="1" si="190"/>
        <v>0</v>
      </c>
      <c r="AL200" s="103">
        <f t="shared" ca="1" si="190"/>
        <v>0</v>
      </c>
      <c r="AM200" s="103">
        <f t="shared" ca="1" si="190"/>
        <v>0</v>
      </c>
      <c r="AN200" s="103">
        <f t="shared" ca="1" si="190"/>
        <v>0</v>
      </c>
      <c r="AO200" s="103">
        <f t="shared" ca="1" si="190"/>
        <v>0</v>
      </c>
      <c r="AP200" s="103">
        <f t="shared" ca="1" si="190"/>
        <v>0</v>
      </c>
      <c r="AQ200" s="103">
        <f t="shared" ca="1" si="190"/>
        <v>0</v>
      </c>
      <c r="AR200" s="104">
        <f ca="1">COUNTIF(AJ200:AQ200,"&lt;"&amp;MAX(AJ200:AQ200))+IF(Calcs[[#This Row],[DL1]]=0,0,1)</f>
        <v>0</v>
      </c>
      <c r="AS200" s="105" t="str">
        <f ca="1">IF(LEN(Calcs[[#This Row],[Line]])&gt;0,IF(RIGHT(Calcs[[#This Row],[Remark]],3)=".  ",LEFT(Calcs[[#This Row],[Remark]],LEN(Calcs[[#This Row],[Remark]])-3),Calcs[[#This Row],[Remark]]),"")</f>
        <v/>
      </c>
      <c r="AT200" s="96">
        <f t="shared" ca="1" si="152"/>
        <v>0</v>
      </c>
      <c r="AU200" s="103">
        <f t="shared" ca="1" si="153"/>
        <v>0</v>
      </c>
      <c r="AV200" s="103">
        <f t="shared" ca="1" si="154"/>
        <v>0</v>
      </c>
      <c r="AW200" s="103">
        <f t="shared" ca="1" si="155"/>
        <v>0</v>
      </c>
      <c r="AX200" s="103">
        <f t="shared" ca="1" si="156"/>
        <v>0</v>
      </c>
      <c r="AY200" s="103">
        <f t="shared" ca="1" si="157"/>
        <v>0</v>
      </c>
      <c r="AZ200" s="103">
        <f t="shared" ca="1" si="158"/>
        <v>0</v>
      </c>
      <c r="BA200" s="103">
        <f t="shared" ca="1" si="159"/>
        <v>0</v>
      </c>
      <c r="BB200" s="103">
        <f t="shared" ca="1" si="160"/>
        <v>0</v>
      </c>
      <c r="BC200" s="103">
        <f t="shared" ca="1" si="161"/>
        <v>0</v>
      </c>
      <c r="BD200" s="103">
        <f t="shared" ca="1" si="162"/>
        <v>0</v>
      </c>
      <c r="BE200" s="103">
        <f t="shared" ca="1" si="163"/>
        <v>0</v>
      </c>
      <c r="BF200" s="103">
        <f t="shared" ca="1" si="164"/>
        <v>0</v>
      </c>
      <c r="BG200" s="103">
        <f t="shared" ca="1" si="165"/>
        <v>0</v>
      </c>
      <c r="BH200" s="103">
        <f t="shared" ca="1" si="166"/>
        <v>0</v>
      </c>
      <c r="BI200" s="103">
        <f t="shared" ca="1" si="167"/>
        <v>0</v>
      </c>
      <c r="BJ200" s="103">
        <f t="shared" ca="1" si="168"/>
        <v>0</v>
      </c>
      <c r="BK200" s="103">
        <f t="shared" ca="1" si="169"/>
        <v>0</v>
      </c>
      <c r="BL200" s="103">
        <f t="shared" ca="1" si="170"/>
        <v>0</v>
      </c>
      <c r="BM200" s="103">
        <f t="shared" ca="1" si="171"/>
        <v>0</v>
      </c>
      <c r="BN200" s="103">
        <f t="shared" ca="1" si="172"/>
        <v>0</v>
      </c>
      <c r="BO200" s="103">
        <f t="shared" ca="1" si="173"/>
        <v>0</v>
      </c>
      <c r="BP200" s="103">
        <f t="shared" ca="1" si="174"/>
        <v>0</v>
      </c>
      <c r="BQ200" s="103">
        <f t="shared" ca="1" si="175"/>
        <v>0</v>
      </c>
      <c r="BR200" s="103">
        <f t="shared" ca="1" si="176"/>
        <v>0</v>
      </c>
      <c r="BS200" s="103">
        <f t="shared" ca="1" si="177"/>
        <v>0</v>
      </c>
      <c r="BT200" s="103">
        <f t="shared" ca="1" si="178"/>
        <v>0</v>
      </c>
      <c r="BU200" s="103">
        <f t="shared" ca="1" si="179"/>
        <v>0</v>
      </c>
      <c r="BV200" s="103">
        <f t="shared" ca="1" si="180"/>
        <v>0</v>
      </c>
      <c r="BW200" s="103">
        <f t="shared" ca="1" si="181"/>
        <v>0</v>
      </c>
      <c r="BX200" s="103">
        <f t="shared" ca="1" si="182"/>
        <v>0</v>
      </c>
      <c r="BY200" s="103">
        <f t="shared" ca="1" si="183"/>
        <v>0</v>
      </c>
      <c r="BZ200" s="98">
        <f t="shared" ca="1" si="191"/>
        <v>0</v>
      </c>
      <c r="CA200" s="103">
        <f t="shared" ca="1" si="191"/>
        <v>0</v>
      </c>
      <c r="CB200" s="103">
        <f t="shared" ca="1" si="191"/>
        <v>0</v>
      </c>
      <c r="CC200" s="103">
        <f t="shared" ca="1" si="191"/>
        <v>0</v>
      </c>
      <c r="CD200" s="103">
        <f t="shared" ca="1" si="191"/>
        <v>0</v>
      </c>
      <c r="CE200" s="103">
        <f t="shared" ca="1" si="191"/>
        <v>0</v>
      </c>
      <c r="CF200" s="103">
        <f t="shared" ca="1" si="191"/>
        <v>0</v>
      </c>
      <c r="CG200" s="103">
        <f t="shared" ca="1" si="191"/>
        <v>0</v>
      </c>
      <c r="CH200" s="106">
        <f ca="1">COUNTIF(BZ200:CG200,"&lt;"&amp;MAX(BZ200:CG200))+IF(Calcs[[#This Row],[RL1]]=0,0,1)</f>
        <v>0</v>
      </c>
      <c r="CI20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0" s="103">
        <f ca="1">IFERROR(OFFSET(CJ200,-1,0)+0,0)+IF(INDEX(INDIRECT(RangeContrQty),MATCH(Calcs[[#This Row],[Line]],OFFSET(Items[Line],0,0,ROW(Proposed[])-ROW(Items[])+ROWS(Proposed[]),1),0)),1,0)</f>
        <v>0</v>
      </c>
    </row>
    <row r="201" spans="1:88" x14ac:dyDescent="0.15">
      <c r="A201" s="64">
        <f ca="1">IFERROR(OFFSET(A201,-1,0)+0,0)+MAX(IF(LEN(Calcs[[#This Row],[Line]])&gt;0,1,0),Calcs[[#This Row],[DL]],Calcs[[#This Row],[RL]])</f>
        <v>10</v>
      </c>
      <c r="B201" s="90" t="str">
        <f ca="1">IFERROR(INDEX(OFFSET(Items[Line],0,0,ROW(Proposed[])-ROW(Items[])+ROWS(Proposed[]),1),MATCH(ROW(B201)-ROW(B$3),INDIRECT(RangeCount),0)),"")</f>
        <v/>
      </c>
      <c r="C201" s="90" t="str">
        <f ca="1">IF(LEN(Calcs[[#This Row],[Line]])&gt;0,TRIM(IFERROR(INDEX(Items[Description],MATCH(Calcs[[#This Row],[Line]],Items[Line],0))&amp;INDEX(Items[Description2],MATCH(Calcs[[#This Row],[Line]],Items[Line],0)),INDEX(Proposed[Description],MATCH(Calcs[[#This Row],[Line]],Proposed[Line],0)))),"")</f>
        <v/>
      </c>
      <c r="D201" s="96">
        <f t="shared" ca="1" si="120"/>
        <v>0</v>
      </c>
      <c r="E201" s="103">
        <f t="shared" ca="1" si="121"/>
        <v>0</v>
      </c>
      <c r="F201" s="103">
        <f t="shared" ca="1" si="122"/>
        <v>0</v>
      </c>
      <c r="G201" s="103">
        <f t="shared" ca="1" si="123"/>
        <v>0</v>
      </c>
      <c r="H201" s="103">
        <f t="shared" ca="1" si="124"/>
        <v>0</v>
      </c>
      <c r="I201" s="103">
        <f t="shared" ca="1" si="125"/>
        <v>0</v>
      </c>
      <c r="J201" s="103">
        <f t="shared" ca="1" si="126"/>
        <v>0</v>
      </c>
      <c r="K201" s="103">
        <f t="shared" ca="1" si="127"/>
        <v>0</v>
      </c>
      <c r="L201" s="103">
        <f t="shared" ca="1" si="128"/>
        <v>0</v>
      </c>
      <c r="M201" s="103">
        <f t="shared" ca="1" si="129"/>
        <v>0</v>
      </c>
      <c r="N201" s="103">
        <f t="shared" ca="1" si="130"/>
        <v>0</v>
      </c>
      <c r="O201" s="103">
        <f t="shared" ca="1" si="131"/>
        <v>0</v>
      </c>
      <c r="P201" s="103">
        <f t="shared" ca="1" si="132"/>
        <v>0</v>
      </c>
      <c r="Q201" s="103">
        <f t="shared" ca="1" si="133"/>
        <v>0</v>
      </c>
      <c r="R201" s="103">
        <f t="shared" ca="1" si="134"/>
        <v>0</v>
      </c>
      <c r="S201" s="103">
        <f t="shared" ca="1" si="135"/>
        <v>0</v>
      </c>
      <c r="T201" s="103">
        <f t="shared" ca="1" si="136"/>
        <v>0</v>
      </c>
      <c r="U201" s="103">
        <f t="shared" ca="1" si="137"/>
        <v>0</v>
      </c>
      <c r="V201" s="103">
        <f t="shared" ca="1" si="138"/>
        <v>0</v>
      </c>
      <c r="W201" s="103">
        <f t="shared" ca="1" si="139"/>
        <v>0</v>
      </c>
      <c r="X201" s="103">
        <f t="shared" ca="1" si="140"/>
        <v>0</v>
      </c>
      <c r="Y201" s="103">
        <f t="shared" ca="1" si="141"/>
        <v>0</v>
      </c>
      <c r="Z201" s="103">
        <f t="shared" ca="1" si="142"/>
        <v>0</v>
      </c>
      <c r="AA201" s="103">
        <f t="shared" ca="1" si="143"/>
        <v>0</v>
      </c>
      <c r="AB201" s="103">
        <f t="shared" ca="1" si="144"/>
        <v>0</v>
      </c>
      <c r="AC201" s="103">
        <f t="shared" ca="1" si="145"/>
        <v>0</v>
      </c>
      <c r="AD201" s="103">
        <f t="shared" ca="1" si="146"/>
        <v>0</v>
      </c>
      <c r="AE201" s="103">
        <f t="shared" ca="1" si="147"/>
        <v>0</v>
      </c>
      <c r="AF201" s="103">
        <f t="shared" ca="1" si="148"/>
        <v>0</v>
      </c>
      <c r="AG201" s="103">
        <f t="shared" ca="1" si="149"/>
        <v>0</v>
      </c>
      <c r="AH201" s="103">
        <f t="shared" ca="1" si="150"/>
        <v>0</v>
      </c>
      <c r="AI201" s="103">
        <f t="shared" ca="1" si="151"/>
        <v>0</v>
      </c>
      <c r="AJ201" s="98">
        <f t="shared" ca="1" si="190"/>
        <v>0</v>
      </c>
      <c r="AK201" s="103">
        <f t="shared" ca="1" si="190"/>
        <v>0</v>
      </c>
      <c r="AL201" s="103">
        <f t="shared" ca="1" si="190"/>
        <v>0</v>
      </c>
      <c r="AM201" s="103">
        <f t="shared" ca="1" si="190"/>
        <v>0</v>
      </c>
      <c r="AN201" s="103">
        <f t="shared" ca="1" si="190"/>
        <v>0</v>
      </c>
      <c r="AO201" s="103">
        <f t="shared" ca="1" si="190"/>
        <v>0</v>
      </c>
      <c r="AP201" s="103">
        <f t="shared" ca="1" si="190"/>
        <v>0</v>
      </c>
      <c r="AQ201" s="103">
        <f t="shared" ca="1" si="190"/>
        <v>0</v>
      </c>
      <c r="AR201" s="104">
        <f ca="1">COUNTIF(AJ201:AQ201,"&lt;"&amp;MAX(AJ201:AQ201))+IF(Calcs[[#This Row],[DL1]]=0,0,1)</f>
        <v>0</v>
      </c>
      <c r="AS201" s="105" t="str">
        <f ca="1">IF(LEN(Calcs[[#This Row],[Line]])&gt;0,IF(RIGHT(Calcs[[#This Row],[Remark]],3)=".  ",LEFT(Calcs[[#This Row],[Remark]],LEN(Calcs[[#This Row],[Remark]])-3),Calcs[[#This Row],[Remark]]),"")</f>
        <v/>
      </c>
      <c r="AT201" s="96">
        <f t="shared" ca="1" si="152"/>
        <v>0</v>
      </c>
      <c r="AU201" s="103">
        <f t="shared" ca="1" si="153"/>
        <v>0</v>
      </c>
      <c r="AV201" s="103">
        <f t="shared" ca="1" si="154"/>
        <v>0</v>
      </c>
      <c r="AW201" s="103">
        <f t="shared" ca="1" si="155"/>
        <v>0</v>
      </c>
      <c r="AX201" s="103">
        <f t="shared" ca="1" si="156"/>
        <v>0</v>
      </c>
      <c r="AY201" s="103">
        <f t="shared" ca="1" si="157"/>
        <v>0</v>
      </c>
      <c r="AZ201" s="103">
        <f t="shared" ca="1" si="158"/>
        <v>0</v>
      </c>
      <c r="BA201" s="103">
        <f t="shared" ca="1" si="159"/>
        <v>0</v>
      </c>
      <c r="BB201" s="103">
        <f t="shared" ca="1" si="160"/>
        <v>0</v>
      </c>
      <c r="BC201" s="103">
        <f t="shared" ca="1" si="161"/>
        <v>0</v>
      </c>
      <c r="BD201" s="103">
        <f t="shared" ca="1" si="162"/>
        <v>0</v>
      </c>
      <c r="BE201" s="103">
        <f t="shared" ca="1" si="163"/>
        <v>0</v>
      </c>
      <c r="BF201" s="103">
        <f t="shared" ca="1" si="164"/>
        <v>0</v>
      </c>
      <c r="BG201" s="103">
        <f t="shared" ca="1" si="165"/>
        <v>0</v>
      </c>
      <c r="BH201" s="103">
        <f t="shared" ca="1" si="166"/>
        <v>0</v>
      </c>
      <c r="BI201" s="103">
        <f t="shared" ca="1" si="167"/>
        <v>0</v>
      </c>
      <c r="BJ201" s="103">
        <f t="shared" ca="1" si="168"/>
        <v>0</v>
      </c>
      <c r="BK201" s="103">
        <f t="shared" ca="1" si="169"/>
        <v>0</v>
      </c>
      <c r="BL201" s="103">
        <f t="shared" ca="1" si="170"/>
        <v>0</v>
      </c>
      <c r="BM201" s="103">
        <f t="shared" ca="1" si="171"/>
        <v>0</v>
      </c>
      <c r="BN201" s="103">
        <f t="shared" ca="1" si="172"/>
        <v>0</v>
      </c>
      <c r="BO201" s="103">
        <f t="shared" ca="1" si="173"/>
        <v>0</v>
      </c>
      <c r="BP201" s="103">
        <f t="shared" ca="1" si="174"/>
        <v>0</v>
      </c>
      <c r="BQ201" s="103">
        <f t="shared" ca="1" si="175"/>
        <v>0</v>
      </c>
      <c r="BR201" s="103">
        <f t="shared" ca="1" si="176"/>
        <v>0</v>
      </c>
      <c r="BS201" s="103">
        <f t="shared" ca="1" si="177"/>
        <v>0</v>
      </c>
      <c r="BT201" s="103">
        <f t="shared" ca="1" si="178"/>
        <v>0</v>
      </c>
      <c r="BU201" s="103">
        <f t="shared" ca="1" si="179"/>
        <v>0</v>
      </c>
      <c r="BV201" s="103">
        <f t="shared" ca="1" si="180"/>
        <v>0</v>
      </c>
      <c r="BW201" s="103">
        <f t="shared" ca="1" si="181"/>
        <v>0</v>
      </c>
      <c r="BX201" s="103">
        <f t="shared" ca="1" si="182"/>
        <v>0</v>
      </c>
      <c r="BY201" s="103">
        <f t="shared" ca="1" si="183"/>
        <v>0</v>
      </c>
      <c r="BZ201" s="98">
        <f t="shared" ca="1" si="191"/>
        <v>0</v>
      </c>
      <c r="CA201" s="103">
        <f t="shared" ca="1" si="191"/>
        <v>0</v>
      </c>
      <c r="CB201" s="103">
        <f t="shared" ca="1" si="191"/>
        <v>0</v>
      </c>
      <c r="CC201" s="103">
        <f t="shared" ca="1" si="191"/>
        <v>0</v>
      </c>
      <c r="CD201" s="103">
        <f t="shared" ca="1" si="191"/>
        <v>0</v>
      </c>
      <c r="CE201" s="103">
        <f t="shared" ca="1" si="191"/>
        <v>0</v>
      </c>
      <c r="CF201" s="103">
        <f t="shared" ca="1" si="191"/>
        <v>0</v>
      </c>
      <c r="CG201" s="103">
        <f t="shared" ca="1" si="191"/>
        <v>0</v>
      </c>
      <c r="CH201" s="106">
        <f ca="1">COUNTIF(BZ201:CG201,"&lt;"&amp;MAX(BZ201:CG201))+IF(Calcs[[#This Row],[RL1]]=0,0,1)</f>
        <v>0</v>
      </c>
      <c r="CI20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1" s="103">
        <f ca="1">IFERROR(OFFSET(CJ201,-1,0)+0,0)+IF(INDEX(INDIRECT(RangeContrQty),MATCH(Calcs[[#This Row],[Line]],OFFSET(Items[Line],0,0,ROW(Proposed[])-ROW(Items[])+ROWS(Proposed[]),1),0)),1,0)</f>
        <v>0</v>
      </c>
    </row>
    <row r="202" spans="1:88" x14ac:dyDescent="0.15">
      <c r="A202" s="64">
        <f ca="1">IFERROR(OFFSET(A202,-1,0)+0,0)+MAX(IF(LEN(Calcs[[#This Row],[Line]])&gt;0,1,0),Calcs[[#This Row],[DL]],Calcs[[#This Row],[RL]])</f>
        <v>10</v>
      </c>
      <c r="B202" s="90" t="str">
        <f ca="1">IFERROR(INDEX(OFFSET(Items[Line],0,0,ROW(Proposed[])-ROW(Items[])+ROWS(Proposed[]),1),MATCH(ROW(B202)-ROW(B$3),INDIRECT(RangeCount),0)),"")</f>
        <v/>
      </c>
      <c r="C202" s="90" t="str">
        <f ca="1">IF(LEN(Calcs[[#This Row],[Line]])&gt;0,TRIM(IFERROR(INDEX(Items[Description],MATCH(Calcs[[#This Row],[Line]],Items[Line],0))&amp;INDEX(Items[Description2],MATCH(Calcs[[#This Row],[Line]],Items[Line],0)),INDEX(Proposed[Description],MATCH(Calcs[[#This Row],[Line]],Proposed[Line],0)))),"")</f>
        <v/>
      </c>
      <c r="D202" s="96">
        <f t="shared" ca="1" si="120"/>
        <v>0</v>
      </c>
      <c r="E202" s="103">
        <f t="shared" ca="1" si="121"/>
        <v>0</v>
      </c>
      <c r="F202" s="103">
        <f t="shared" ca="1" si="122"/>
        <v>0</v>
      </c>
      <c r="G202" s="103">
        <f t="shared" ca="1" si="123"/>
        <v>0</v>
      </c>
      <c r="H202" s="103">
        <f t="shared" ca="1" si="124"/>
        <v>0</v>
      </c>
      <c r="I202" s="103">
        <f t="shared" ca="1" si="125"/>
        <v>0</v>
      </c>
      <c r="J202" s="103">
        <f t="shared" ca="1" si="126"/>
        <v>0</v>
      </c>
      <c r="K202" s="103">
        <f t="shared" ca="1" si="127"/>
        <v>0</v>
      </c>
      <c r="L202" s="103">
        <f t="shared" ca="1" si="128"/>
        <v>0</v>
      </c>
      <c r="M202" s="103">
        <f t="shared" ca="1" si="129"/>
        <v>0</v>
      </c>
      <c r="N202" s="103">
        <f t="shared" ca="1" si="130"/>
        <v>0</v>
      </c>
      <c r="O202" s="103">
        <f t="shared" ca="1" si="131"/>
        <v>0</v>
      </c>
      <c r="P202" s="103">
        <f t="shared" ca="1" si="132"/>
        <v>0</v>
      </c>
      <c r="Q202" s="103">
        <f t="shared" ca="1" si="133"/>
        <v>0</v>
      </c>
      <c r="R202" s="103">
        <f t="shared" ca="1" si="134"/>
        <v>0</v>
      </c>
      <c r="S202" s="103">
        <f t="shared" ca="1" si="135"/>
        <v>0</v>
      </c>
      <c r="T202" s="103">
        <f t="shared" ca="1" si="136"/>
        <v>0</v>
      </c>
      <c r="U202" s="103">
        <f t="shared" ca="1" si="137"/>
        <v>0</v>
      </c>
      <c r="V202" s="103">
        <f t="shared" ca="1" si="138"/>
        <v>0</v>
      </c>
      <c r="W202" s="103">
        <f t="shared" ca="1" si="139"/>
        <v>0</v>
      </c>
      <c r="X202" s="103">
        <f t="shared" ca="1" si="140"/>
        <v>0</v>
      </c>
      <c r="Y202" s="103">
        <f t="shared" ca="1" si="141"/>
        <v>0</v>
      </c>
      <c r="Z202" s="103">
        <f t="shared" ca="1" si="142"/>
        <v>0</v>
      </c>
      <c r="AA202" s="103">
        <f t="shared" ca="1" si="143"/>
        <v>0</v>
      </c>
      <c r="AB202" s="103">
        <f t="shared" ca="1" si="144"/>
        <v>0</v>
      </c>
      <c r="AC202" s="103">
        <f t="shared" ca="1" si="145"/>
        <v>0</v>
      </c>
      <c r="AD202" s="103">
        <f t="shared" ca="1" si="146"/>
        <v>0</v>
      </c>
      <c r="AE202" s="103">
        <f t="shared" ca="1" si="147"/>
        <v>0</v>
      </c>
      <c r="AF202" s="103">
        <f t="shared" ca="1" si="148"/>
        <v>0</v>
      </c>
      <c r="AG202" s="103">
        <f t="shared" ca="1" si="149"/>
        <v>0</v>
      </c>
      <c r="AH202" s="103">
        <f t="shared" ca="1" si="150"/>
        <v>0</v>
      </c>
      <c r="AI202" s="103">
        <f t="shared" ca="1" si="151"/>
        <v>0</v>
      </c>
      <c r="AJ202" s="98">
        <f t="shared" ref="AJ202:AQ211" ca="1" si="192">HLOOKUP(IF(COLUMN(AJ202)-COLUMN($AJ$3)=0,0,OFFSET(AJ202,0,-1))+widthPayItem,$D202:$AI202,1)</f>
        <v>0</v>
      </c>
      <c r="AK202" s="103">
        <f t="shared" ca="1" si="192"/>
        <v>0</v>
      </c>
      <c r="AL202" s="103">
        <f t="shared" ca="1" si="192"/>
        <v>0</v>
      </c>
      <c r="AM202" s="103">
        <f t="shared" ca="1" si="192"/>
        <v>0</v>
      </c>
      <c r="AN202" s="103">
        <f t="shared" ca="1" si="192"/>
        <v>0</v>
      </c>
      <c r="AO202" s="103">
        <f t="shared" ca="1" si="192"/>
        <v>0</v>
      </c>
      <c r="AP202" s="103">
        <f t="shared" ca="1" si="192"/>
        <v>0</v>
      </c>
      <c r="AQ202" s="103">
        <f t="shared" ca="1" si="192"/>
        <v>0</v>
      </c>
      <c r="AR202" s="104">
        <f ca="1">COUNTIF(AJ202:AQ202,"&lt;"&amp;MAX(AJ202:AQ202))+IF(Calcs[[#This Row],[DL1]]=0,0,1)</f>
        <v>0</v>
      </c>
      <c r="AS202" s="105" t="str">
        <f ca="1">IF(LEN(Calcs[[#This Row],[Line]])&gt;0,IF(RIGHT(Calcs[[#This Row],[Remark]],3)=".  ",LEFT(Calcs[[#This Row],[Remark]],LEN(Calcs[[#This Row],[Remark]])-3),Calcs[[#This Row],[Remark]]),"")</f>
        <v/>
      </c>
      <c r="AT202" s="96">
        <f t="shared" ca="1" si="152"/>
        <v>0</v>
      </c>
      <c r="AU202" s="103">
        <f t="shared" ca="1" si="153"/>
        <v>0</v>
      </c>
      <c r="AV202" s="103">
        <f t="shared" ca="1" si="154"/>
        <v>0</v>
      </c>
      <c r="AW202" s="103">
        <f t="shared" ca="1" si="155"/>
        <v>0</v>
      </c>
      <c r="AX202" s="103">
        <f t="shared" ca="1" si="156"/>
        <v>0</v>
      </c>
      <c r="AY202" s="103">
        <f t="shared" ca="1" si="157"/>
        <v>0</v>
      </c>
      <c r="AZ202" s="103">
        <f t="shared" ca="1" si="158"/>
        <v>0</v>
      </c>
      <c r="BA202" s="103">
        <f t="shared" ca="1" si="159"/>
        <v>0</v>
      </c>
      <c r="BB202" s="103">
        <f t="shared" ca="1" si="160"/>
        <v>0</v>
      </c>
      <c r="BC202" s="103">
        <f t="shared" ca="1" si="161"/>
        <v>0</v>
      </c>
      <c r="BD202" s="103">
        <f t="shared" ca="1" si="162"/>
        <v>0</v>
      </c>
      <c r="BE202" s="103">
        <f t="shared" ca="1" si="163"/>
        <v>0</v>
      </c>
      <c r="BF202" s="103">
        <f t="shared" ca="1" si="164"/>
        <v>0</v>
      </c>
      <c r="BG202" s="103">
        <f t="shared" ca="1" si="165"/>
        <v>0</v>
      </c>
      <c r="BH202" s="103">
        <f t="shared" ca="1" si="166"/>
        <v>0</v>
      </c>
      <c r="BI202" s="103">
        <f t="shared" ca="1" si="167"/>
        <v>0</v>
      </c>
      <c r="BJ202" s="103">
        <f t="shared" ca="1" si="168"/>
        <v>0</v>
      </c>
      <c r="BK202" s="103">
        <f t="shared" ca="1" si="169"/>
        <v>0</v>
      </c>
      <c r="BL202" s="103">
        <f t="shared" ca="1" si="170"/>
        <v>0</v>
      </c>
      <c r="BM202" s="103">
        <f t="shared" ca="1" si="171"/>
        <v>0</v>
      </c>
      <c r="BN202" s="103">
        <f t="shared" ca="1" si="172"/>
        <v>0</v>
      </c>
      <c r="BO202" s="103">
        <f t="shared" ca="1" si="173"/>
        <v>0</v>
      </c>
      <c r="BP202" s="103">
        <f t="shared" ca="1" si="174"/>
        <v>0</v>
      </c>
      <c r="BQ202" s="103">
        <f t="shared" ca="1" si="175"/>
        <v>0</v>
      </c>
      <c r="BR202" s="103">
        <f t="shared" ca="1" si="176"/>
        <v>0</v>
      </c>
      <c r="BS202" s="103">
        <f t="shared" ca="1" si="177"/>
        <v>0</v>
      </c>
      <c r="BT202" s="103">
        <f t="shared" ca="1" si="178"/>
        <v>0</v>
      </c>
      <c r="BU202" s="103">
        <f t="shared" ca="1" si="179"/>
        <v>0</v>
      </c>
      <c r="BV202" s="103">
        <f t="shared" ca="1" si="180"/>
        <v>0</v>
      </c>
      <c r="BW202" s="103">
        <f t="shared" ca="1" si="181"/>
        <v>0</v>
      </c>
      <c r="BX202" s="103">
        <f t="shared" ca="1" si="182"/>
        <v>0</v>
      </c>
      <c r="BY202" s="103">
        <f t="shared" ca="1" si="183"/>
        <v>0</v>
      </c>
      <c r="BZ202" s="98">
        <f t="shared" ref="BZ202:CG211" ca="1" si="193">HLOOKUP(IF(COLUMN(BZ202)-COLUMN($BZ$3)=0,0,OFFSET(BZ202,0,-1))+widthRemarks,$AT202:$BY202,1)</f>
        <v>0</v>
      </c>
      <c r="CA202" s="103">
        <f t="shared" ca="1" si="193"/>
        <v>0</v>
      </c>
      <c r="CB202" s="103">
        <f t="shared" ca="1" si="193"/>
        <v>0</v>
      </c>
      <c r="CC202" s="103">
        <f t="shared" ca="1" si="193"/>
        <v>0</v>
      </c>
      <c r="CD202" s="103">
        <f t="shared" ca="1" si="193"/>
        <v>0</v>
      </c>
      <c r="CE202" s="103">
        <f t="shared" ca="1" si="193"/>
        <v>0</v>
      </c>
      <c r="CF202" s="103">
        <f t="shared" ca="1" si="193"/>
        <v>0</v>
      </c>
      <c r="CG202" s="103">
        <f t="shared" ca="1" si="193"/>
        <v>0</v>
      </c>
      <c r="CH202" s="106">
        <f ca="1">COUNTIF(BZ202:CG202,"&lt;"&amp;MAX(BZ202:CG202))+IF(Calcs[[#This Row],[RL1]]=0,0,1)</f>
        <v>0</v>
      </c>
      <c r="CI20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2" s="103">
        <f ca="1">IFERROR(OFFSET(CJ202,-1,0)+0,0)+IF(INDEX(INDIRECT(RangeContrQty),MATCH(Calcs[[#This Row],[Line]],OFFSET(Items[Line],0,0,ROW(Proposed[])-ROW(Items[])+ROWS(Proposed[]),1),0)),1,0)</f>
        <v>0</v>
      </c>
    </row>
    <row r="203" spans="1:88" x14ac:dyDescent="0.15">
      <c r="A203" s="64">
        <f ca="1">IFERROR(OFFSET(A203,-1,0)+0,0)+MAX(IF(LEN(Calcs[[#This Row],[Line]])&gt;0,1,0),Calcs[[#This Row],[DL]],Calcs[[#This Row],[RL]])</f>
        <v>10</v>
      </c>
      <c r="B203" s="90" t="str">
        <f ca="1">IFERROR(INDEX(OFFSET(Items[Line],0,0,ROW(Proposed[])-ROW(Items[])+ROWS(Proposed[]),1),MATCH(ROW(B203)-ROW(B$3),INDIRECT(RangeCount),0)),"")</f>
        <v/>
      </c>
      <c r="C203" s="90" t="str">
        <f ca="1">IF(LEN(Calcs[[#This Row],[Line]])&gt;0,TRIM(IFERROR(INDEX(Items[Description],MATCH(Calcs[[#This Row],[Line]],Items[Line],0))&amp;INDEX(Items[Description2],MATCH(Calcs[[#This Row],[Line]],Items[Line],0)),INDEX(Proposed[Description],MATCH(Calcs[[#This Row],[Line]],Proposed[Line],0)))),"")</f>
        <v/>
      </c>
      <c r="D203" s="96">
        <f t="shared" ca="1" si="120"/>
        <v>0</v>
      </c>
      <c r="E203" s="103">
        <f t="shared" ca="1" si="121"/>
        <v>0</v>
      </c>
      <c r="F203" s="103">
        <f t="shared" ca="1" si="122"/>
        <v>0</v>
      </c>
      <c r="G203" s="103">
        <f t="shared" ca="1" si="123"/>
        <v>0</v>
      </c>
      <c r="H203" s="103">
        <f t="shared" ca="1" si="124"/>
        <v>0</v>
      </c>
      <c r="I203" s="103">
        <f t="shared" ca="1" si="125"/>
        <v>0</v>
      </c>
      <c r="J203" s="103">
        <f t="shared" ca="1" si="126"/>
        <v>0</v>
      </c>
      <c r="K203" s="103">
        <f t="shared" ca="1" si="127"/>
        <v>0</v>
      </c>
      <c r="L203" s="103">
        <f t="shared" ca="1" si="128"/>
        <v>0</v>
      </c>
      <c r="M203" s="103">
        <f t="shared" ca="1" si="129"/>
        <v>0</v>
      </c>
      <c r="N203" s="103">
        <f t="shared" ca="1" si="130"/>
        <v>0</v>
      </c>
      <c r="O203" s="103">
        <f t="shared" ca="1" si="131"/>
        <v>0</v>
      </c>
      <c r="P203" s="103">
        <f t="shared" ca="1" si="132"/>
        <v>0</v>
      </c>
      <c r="Q203" s="103">
        <f t="shared" ca="1" si="133"/>
        <v>0</v>
      </c>
      <c r="R203" s="103">
        <f t="shared" ca="1" si="134"/>
        <v>0</v>
      </c>
      <c r="S203" s="103">
        <f t="shared" ca="1" si="135"/>
        <v>0</v>
      </c>
      <c r="T203" s="103">
        <f t="shared" ca="1" si="136"/>
        <v>0</v>
      </c>
      <c r="U203" s="103">
        <f t="shared" ca="1" si="137"/>
        <v>0</v>
      </c>
      <c r="V203" s="103">
        <f t="shared" ca="1" si="138"/>
        <v>0</v>
      </c>
      <c r="W203" s="103">
        <f t="shared" ca="1" si="139"/>
        <v>0</v>
      </c>
      <c r="X203" s="103">
        <f t="shared" ca="1" si="140"/>
        <v>0</v>
      </c>
      <c r="Y203" s="103">
        <f t="shared" ca="1" si="141"/>
        <v>0</v>
      </c>
      <c r="Z203" s="103">
        <f t="shared" ca="1" si="142"/>
        <v>0</v>
      </c>
      <c r="AA203" s="103">
        <f t="shared" ca="1" si="143"/>
        <v>0</v>
      </c>
      <c r="AB203" s="103">
        <f t="shared" ca="1" si="144"/>
        <v>0</v>
      </c>
      <c r="AC203" s="103">
        <f t="shared" ca="1" si="145"/>
        <v>0</v>
      </c>
      <c r="AD203" s="103">
        <f t="shared" ca="1" si="146"/>
        <v>0</v>
      </c>
      <c r="AE203" s="103">
        <f t="shared" ca="1" si="147"/>
        <v>0</v>
      </c>
      <c r="AF203" s="103">
        <f t="shared" ca="1" si="148"/>
        <v>0</v>
      </c>
      <c r="AG203" s="103">
        <f t="shared" ca="1" si="149"/>
        <v>0</v>
      </c>
      <c r="AH203" s="103">
        <f t="shared" ca="1" si="150"/>
        <v>0</v>
      </c>
      <c r="AI203" s="103">
        <f t="shared" ca="1" si="151"/>
        <v>0</v>
      </c>
      <c r="AJ203" s="98">
        <f t="shared" ca="1" si="192"/>
        <v>0</v>
      </c>
      <c r="AK203" s="103">
        <f t="shared" ca="1" si="192"/>
        <v>0</v>
      </c>
      <c r="AL203" s="103">
        <f t="shared" ca="1" si="192"/>
        <v>0</v>
      </c>
      <c r="AM203" s="103">
        <f t="shared" ca="1" si="192"/>
        <v>0</v>
      </c>
      <c r="AN203" s="103">
        <f t="shared" ca="1" si="192"/>
        <v>0</v>
      </c>
      <c r="AO203" s="103">
        <f t="shared" ca="1" si="192"/>
        <v>0</v>
      </c>
      <c r="AP203" s="103">
        <f t="shared" ca="1" si="192"/>
        <v>0</v>
      </c>
      <c r="AQ203" s="103">
        <f t="shared" ca="1" si="192"/>
        <v>0</v>
      </c>
      <c r="AR203" s="104">
        <f ca="1">COUNTIF(AJ203:AQ203,"&lt;"&amp;MAX(AJ203:AQ203))+IF(Calcs[[#This Row],[DL1]]=0,0,1)</f>
        <v>0</v>
      </c>
      <c r="AS203" s="105" t="str">
        <f ca="1">IF(LEN(Calcs[[#This Row],[Line]])&gt;0,IF(RIGHT(Calcs[[#This Row],[Remark]],3)=".  ",LEFT(Calcs[[#This Row],[Remark]],LEN(Calcs[[#This Row],[Remark]])-3),Calcs[[#This Row],[Remark]]),"")</f>
        <v/>
      </c>
      <c r="AT203" s="96">
        <f t="shared" ca="1" si="152"/>
        <v>0</v>
      </c>
      <c r="AU203" s="103">
        <f t="shared" ca="1" si="153"/>
        <v>0</v>
      </c>
      <c r="AV203" s="103">
        <f t="shared" ca="1" si="154"/>
        <v>0</v>
      </c>
      <c r="AW203" s="103">
        <f t="shared" ca="1" si="155"/>
        <v>0</v>
      </c>
      <c r="AX203" s="103">
        <f t="shared" ca="1" si="156"/>
        <v>0</v>
      </c>
      <c r="AY203" s="103">
        <f t="shared" ca="1" si="157"/>
        <v>0</v>
      </c>
      <c r="AZ203" s="103">
        <f t="shared" ca="1" si="158"/>
        <v>0</v>
      </c>
      <c r="BA203" s="103">
        <f t="shared" ca="1" si="159"/>
        <v>0</v>
      </c>
      <c r="BB203" s="103">
        <f t="shared" ca="1" si="160"/>
        <v>0</v>
      </c>
      <c r="BC203" s="103">
        <f t="shared" ca="1" si="161"/>
        <v>0</v>
      </c>
      <c r="BD203" s="103">
        <f t="shared" ca="1" si="162"/>
        <v>0</v>
      </c>
      <c r="BE203" s="103">
        <f t="shared" ca="1" si="163"/>
        <v>0</v>
      </c>
      <c r="BF203" s="103">
        <f t="shared" ca="1" si="164"/>
        <v>0</v>
      </c>
      <c r="BG203" s="103">
        <f t="shared" ca="1" si="165"/>
        <v>0</v>
      </c>
      <c r="BH203" s="103">
        <f t="shared" ca="1" si="166"/>
        <v>0</v>
      </c>
      <c r="BI203" s="103">
        <f t="shared" ca="1" si="167"/>
        <v>0</v>
      </c>
      <c r="BJ203" s="103">
        <f t="shared" ca="1" si="168"/>
        <v>0</v>
      </c>
      <c r="BK203" s="103">
        <f t="shared" ca="1" si="169"/>
        <v>0</v>
      </c>
      <c r="BL203" s="103">
        <f t="shared" ca="1" si="170"/>
        <v>0</v>
      </c>
      <c r="BM203" s="103">
        <f t="shared" ca="1" si="171"/>
        <v>0</v>
      </c>
      <c r="BN203" s="103">
        <f t="shared" ca="1" si="172"/>
        <v>0</v>
      </c>
      <c r="BO203" s="103">
        <f t="shared" ca="1" si="173"/>
        <v>0</v>
      </c>
      <c r="BP203" s="103">
        <f t="shared" ca="1" si="174"/>
        <v>0</v>
      </c>
      <c r="BQ203" s="103">
        <f t="shared" ca="1" si="175"/>
        <v>0</v>
      </c>
      <c r="BR203" s="103">
        <f t="shared" ca="1" si="176"/>
        <v>0</v>
      </c>
      <c r="BS203" s="103">
        <f t="shared" ca="1" si="177"/>
        <v>0</v>
      </c>
      <c r="BT203" s="103">
        <f t="shared" ca="1" si="178"/>
        <v>0</v>
      </c>
      <c r="BU203" s="103">
        <f t="shared" ca="1" si="179"/>
        <v>0</v>
      </c>
      <c r="BV203" s="103">
        <f t="shared" ca="1" si="180"/>
        <v>0</v>
      </c>
      <c r="BW203" s="103">
        <f t="shared" ca="1" si="181"/>
        <v>0</v>
      </c>
      <c r="BX203" s="103">
        <f t="shared" ca="1" si="182"/>
        <v>0</v>
      </c>
      <c r="BY203" s="103">
        <f t="shared" ca="1" si="183"/>
        <v>0</v>
      </c>
      <c r="BZ203" s="98">
        <f t="shared" ca="1" si="193"/>
        <v>0</v>
      </c>
      <c r="CA203" s="103">
        <f t="shared" ca="1" si="193"/>
        <v>0</v>
      </c>
      <c r="CB203" s="103">
        <f t="shared" ca="1" si="193"/>
        <v>0</v>
      </c>
      <c r="CC203" s="103">
        <f t="shared" ca="1" si="193"/>
        <v>0</v>
      </c>
      <c r="CD203" s="103">
        <f t="shared" ca="1" si="193"/>
        <v>0</v>
      </c>
      <c r="CE203" s="103">
        <f t="shared" ca="1" si="193"/>
        <v>0</v>
      </c>
      <c r="CF203" s="103">
        <f t="shared" ca="1" si="193"/>
        <v>0</v>
      </c>
      <c r="CG203" s="103">
        <f t="shared" ca="1" si="193"/>
        <v>0</v>
      </c>
      <c r="CH203" s="106">
        <f ca="1">COUNTIF(BZ203:CG203,"&lt;"&amp;MAX(BZ203:CG203))+IF(Calcs[[#This Row],[RL1]]=0,0,1)</f>
        <v>0</v>
      </c>
      <c r="CI20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3" s="103">
        <f ca="1">IFERROR(OFFSET(CJ203,-1,0)+0,0)+IF(INDEX(INDIRECT(RangeContrQty),MATCH(Calcs[[#This Row],[Line]],OFFSET(Items[Line],0,0,ROW(Proposed[])-ROW(Items[])+ROWS(Proposed[]),1),0)),1,0)</f>
        <v>0</v>
      </c>
    </row>
    <row r="204" spans="1:88" x14ac:dyDescent="0.15">
      <c r="A204" s="64">
        <f ca="1">IFERROR(OFFSET(A204,-1,0)+0,0)+MAX(IF(LEN(Calcs[[#This Row],[Line]])&gt;0,1,0),Calcs[[#This Row],[DL]],Calcs[[#This Row],[RL]])</f>
        <v>10</v>
      </c>
      <c r="B204" s="90" t="str">
        <f ca="1">IFERROR(INDEX(OFFSET(Items[Line],0,0,ROW(Proposed[])-ROW(Items[])+ROWS(Proposed[]),1),MATCH(ROW(B204)-ROW(B$3),INDIRECT(RangeCount),0)),"")</f>
        <v/>
      </c>
      <c r="C204" s="90" t="str">
        <f ca="1">IF(LEN(Calcs[[#This Row],[Line]])&gt;0,TRIM(IFERROR(INDEX(Items[Description],MATCH(Calcs[[#This Row],[Line]],Items[Line],0))&amp;INDEX(Items[Description2],MATCH(Calcs[[#This Row],[Line]],Items[Line],0)),INDEX(Proposed[Description],MATCH(Calcs[[#This Row],[Line]],Proposed[Line],0)))),"")</f>
        <v/>
      </c>
      <c r="D204" s="96">
        <f t="shared" ca="1" si="120"/>
        <v>0</v>
      </c>
      <c r="E204" s="103">
        <f t="shared" ca="1" si="121"/>
        <v>0</v>
      </c>
      <c r="F204" s="103">
        <f t="shared" ca="1" si="122"/>
        <v>0</v>
      </c>
      <c r="G204" s="103">
        <f t="shared" ca="1" si="123"/>
        <v>0</v>
      </c>
      <c r="H204" s="103">
        <f t="shared" ca="1" si="124"/>
        <v>0</v>
      </c>
      <c r="I204" s="103">
        <f t="shared" ca="1" si="125"/>
        <v>0</v>
      </c>
      <c r="J204" s="103">
        <f t="shared" ca="1" si="126"/>
        <v>0</v>
      </c>
      <c r="K204" s="103">
        <f t="shared" ca="1" si="127"/>
        <v>0</v>
      </c>
      <c r="L204" s="103">
        <f t="shared" ca="1" si="128"/>
        <v>0</v>
      </c>
      <c r="M204" s="103">
        <f t="shared" ca="1" si="129"/>
        <v>0</v>
      </c>
      <c r="N204" s="103">
        <f t="shared" ca="1" si="130"/>
        <v>0</v>
      </c>
      <c r="O204" s="103">
        <f t="shared" ca="1" si="131"/>
        <v>0</v>
      </c>
      <c r="P204" s="103">
        <f t="shared" ca="1" si="132"/>
        <v>0</v>
      </c>
      <c r="Q204" s="103">
        <f t="shared" ca="1" si="133"/>
        <v>0</v>
      </c>
      <c r="R204" s="103">
        <f t="shared" ca="1" si="134"/>
        <v>0</v>
      </c>
      <c r="S204" s="103">
        <f t="shared" ca="1" si="135"/>
        <v>0</v>
      </c>
      <c r="T204" s="103">
        <f t="shared" ca="1" si="136"/>
        <v>0</v>
      </c>
      <c r="U204" s="103">
        <f t="shared" ca="1" si="137"/>
        <v>0</v>
      </c>
      <c r="V204" s="103">
        <f t="shared" ca="1" si="138"/>
        <v>0</v>
      </c>
      <c r="W204" s="103">
        <f t="shared" ca="1" si="139"/>
        <v>0</v>
      </c>
      <c r="X204" s="103">
        <f t="shared" ca="1" si="140"/>
        <v>0</v>
      </c>
      <c r="Y204" s="103">
        <f t="shared" ca="1" si="141"/>
        <v>0</v>
      </c>
      <c r="Z204" s="103">
        <f t="shared" ca="1" si="142"/>
        <v>0</v>
      </c>
      <c r="AA204" s="103">
        <f t="shared" ca="1" si="143"/>
        <v>0</v>
      </c>
      <c r="AB204" s="103">
        <f t="shared" ca="1" si="144"/>
        <v>0</v>
      </c>
      <c r="AC204" s="103">
        <f t="shared" ca="1" si="145"/>
        <v>0</v>
      </c>
      <c r="AD204" s="103">
        <f t="shared" ca="1" si="146"/>
        <v>0</v>
      </c>
      <c r="AE204" s="103">
        <f t="shared" ca="1" si="147"/>
        <v>0</v>
      </c>
      <c r="AF204" s="103">
        <f t="shared" ca="1" si="148"/>
        <v>0</v>
      </c>
      <c r="AG204" s="103">
        <f t="shared" ca="1" si="149"/>
        <v>0</v>
      </c>
      <c r="AH204" s="103">
        <f t="shared" ca="1" si="150"/>
        <v>0</v>
      </c>
      <c r="AI204" s="103">
        <f t="shared" ca="1" si="151"/>
        <v>0</v>
      </c>
      <c r="AJ204" s="98">
        <f t="shared" ca="1" si="192"/>
        <v>0</v>
      </c>
      <c r="AK204" s="103">
        <f t="shared" ca="1" si="192"/>
        <v>0</v>
      </c>
      <c r="AL204" s="103">
        <f t="shared" ca="1" si="192"/>
        <v>0</v>
      </c>
      <c r="AM204" s="103">
        <f t="shared" ca="1" si="192"/>
        <v>0</v>
      </c>
      <c r="AN204" s="103">
        <f t="shared" ca="1" si="192"/>
        <v>0</v>
      </c>
      <c r="AO204" s="103">
        <f t="shared" ca="1" si="192"/>
        <v>0</v>
      </c>
      <c r="AP204" s="103">
        <f t="shared" ca="1" si="192"/>
        <v>0</v>
      </c>
      <c r="AQ204" s="103">
        <f t="shared" ca="1" si="192"/>
        <v>0</v>
      </c>
      <c r="AR204" s="104">
        <f ca="1">COUNTIF(AJ204:AQ204,"&lt;"&amp;MAX(AJ204:AQ204))+IF(Calcs[[#This Row],[DL1]]=0,0,1)</f>
        <v>0</v>
      </c>
      <c r="AS204" s="105" t="str">
        <f ca="1">IF(LEN(Calcs[[#This Row],[Line]])&gt;0,IF(RIGHT(Calcs[[#This Row],[Remark]],3)=".  ",LEFT(Calcs[[#This Row],[Remark]],LEN(Calcs[[#This Row],[Remark]])-3),Calcs[[#This Row],[Remark]]),"")</f>
        <v/>
      </c>
      <c r="AT204" s="96">
        <f t="shared" ca="1" si="152"/>
        <v>0</v>
      </c>
      <c r="AU204" s="103">
        <f t="shared" ca="1" si="153"/>
        <v>0</v>
      </c>
      <c r="AV204" s="103">
        <f t="shared" ca="1" si="154"/>
        <v>0</v>
      </c>
      <c r="AW204" s="103">
        <f t="shared" ca="1" si="155"/>
        <v>0</v>
      </c>
      <c r="AX204" s="103">
        <f t="shared" ca="1" si="156"/>
        <v>0</v>
      </c>
      <c r="AY204" s="103">
        <f t="shared" ca="1" si="157"/>
        <v>0</v>
      </c>
      <c r="AZ204" s="103">
        <f t="shared" ca="1" si="158"/>
        <v>0</v>
      </c>
      <c r="BA204" s="103">
        <f t="shared" ca="1" si="159"/>
        <v>0</v>
      </c>
      <c r="BB204" s="103">
        <f t="shared" ca="1" si="160"/>
        <v>0</v>
      </c>
      <c r="BC204" s="103">
        <f t="shared" ca="1" si="161"/>
        <v>0</v>
      </c>
      <c r="BD204" s="103">
        <f t="shared" ca="1" si="162"/>
        <v>0</v>
      </c>
      <c r="BE204" s="103">
        <f t="shared" ca="1" si="163"/>
        <v>0</v>
      </c>
      <c r="BF204" s="103">
        <f t="shared" ca="1" si="164"/>
        <v>0</v>
      </c>
      <c r="BG204" s="103">
        <f t="shared" ca="1" si="165"/>
        <v>0</v>
      </c>
      <c r="BH204" s="103">
        <f t="shared" ca="1" si="166"/>
        <v>0</v>
      </c>
      <c r="BI204" s="103">
        <f t="shared" ca="1" si="167"/>
        <v>0</v>
      </c>
      <c r="BJ204" s="103">
        <f t="shared" ca="1" si="168"/>
        <v>0</v>
      </c>
      <c r="BK204" s="103">
        <f t="shared" ca="1" si="169"/>
        <v>0</v>
      </c>
      <c r="BL204" s="103">
        <f t="shared" ca="1" si="170"/>
        <v>0</v>
      </c>
      <c r="BM204" s="103">
        <f t="shared" ca="1" si="171"/>
        <v>0</v>
      </c>
      <c r="BN204" s="103">
        <f t="shared" ca="1" si="172"/>
        <v>0</v>
      </c>
      <c r="BO204" s="103">
        <f t="shared" ca="1" si="173"/>
        <v>0</v>
      </c>
      <c r="BP204" s="103">
        <f t="shared" ca="1" si="174"/>
        <v>0</v>
      </c>
      <c r="BQ204" s="103">
        <f t="shared" ca="1" si="175"/>
        <v>0</v>
      </c>
      <c r="BR204" s="103">
        <f t="shared" ca="1" si="176"/>
        <v>0</v>
      </c>
      <c r="BS204" s="103">
        <f t="shared" ca="1" si="177"/>
        <v>0</v>
      </c>
      <c r="BT204" s="103">
        <f t="shared" ca="1" si="178"/>
        <v>0</v>
      </c>
      <c r="BU204" s="103">
        <f t="shared" ca="1" si="179"/>
        <v>0</v>
      </c>
      <c r="BV204" s="103">
        <f t="shared" ca="1" si="180"/>
        <v>0</v>
      </c>
      <c r="BW204" s="103">
        <f t="shared" ca="1" si="181"/>
        <v>0</v>
      </c>
      <c r="BX204" s="103">
        <f t="shared" ca="1" si="182"/>
        <v>0</v>
      </c>
      <c r="BY204" s="103">
        <f t="shared" ca="1" si="183"/>
        <v>0</v>
      </c>
      <c r="BZ204" s="98">
        <f t="shared" ca="1" si="193"/>
        <v>0</v>
      </c>
      <c r="CA204" s="103">
        <f t="shared" ca="1" si="193"/>
        <v>0</v>
      </c>
      <c r="CB204" s="103">
        <f t="shared" ca="1" si="193"/>
        <v>0</v>
      </c>
      <c r="CC204" s="103">
        <f t="shared" ca="1" si="193"/>
        <v>0</v>
      </c>
      <c r="CD204" s="103">
        <f t="shared" ca="1" si="193"/>
        <v>0</v>
      </c>
      <c r="CE204" s="103">
        <f t="shared" ca="1" si="193"/>
        <v>0</v>
      </c>
      <c r="CF204" s="103">
        <f t="shared" ca="1" si="193"/>
        <v>0</v>
      </c>
      <c r="CG204" s="103">
        <f t="shared" ca="1" si="193"/>
        <v>0</v>
      </c>
      <c r="CH204" s="106">
        <f ca="1">COUNTIF(BZ204:CG204,"&lt;"&amp;MAX(BZ204:CG204))+IF(Calcs[[#This Row],[RL1]]=0,0,1)</f>
        <v>0</v>
      </c>
      <c r="CI20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4" s="103">
        <f ca="1">IFERROR(OFFSET(CJ204,-1,0)+0,0)+IF(INDEX(INDIRECT(RangeContrQty),MATCH(Calcs[[#This Row],[Line]],OFFSET(Items[Line],0,0,ROW(Proposed[])-ROW(Items[])+ROWS(Proposed[]),1),0)),1,0)</f>
        <v>0</v>
      </c>
    </row>
    <row r="205" spans="1:88" x14ac:dyDescent="0.15">
      <c r="A205" s="64">
        <f ca="1">IFERROR(OFFSET(A205,-1,0)+0,0)+MAX(IF(LEN(Calcs[[#This Row],[Line]])&gt;0,1,0),Calcs[[#This Row],[DL]],Calcs[[#This Row],[RL]])</f>
        <v>10</v>
      </c>
      <c r="B205" s="90" t="str">
        <f ca="1">IFERROR(INDEX(OFFSET(Items[Line],0,0,ROW(Proposed[])-ROW(Items[])+ROWS(Proposed[]),1),MATCH(ROW(B205)-ROW(B$3),INDIRECT(RangeCount),0)),"")</f>
        <v/>
      </c>
      <c r="C205" s="90" t="str">
        <f ca="1">IF(LEN(Calcs[[#This Row],[Line]])&gt;0,TRIM(IFERROR(INDEX(Items[Description],MATCH(Calcs[[#This Row],[Line]],Items[Line],0))&amp;INDEX(Items[Description2],MATCH(Calcs[[#This Row],[Line]],Items[Line],0)),INDEX(Proposed[Description],MATCH(Calcs[[#This Row],[Line]],Proposed[Line],0)))),"")</f>
        <v/>
      </c>
      <c r="D205" s="96">
        <f t="shared" ca="1" si="120"/>
        <v>0</v>
      </c>
      <c r="E205" s="103">
        <f t="shared" ca="1" si="121"/>
        <v>0</v>
      </c>
      <c r="F205" s="103">
        <f t="shared" ca="1" si="122"/>
        <v>0</v>
      </c>
      <c r="G205" s="103">
        <f t="shared" ca="1" si="123"/>
        <v>0</v>
      </c>
      <c r="H205" s="103">
        <f t="shared" ca="1" si="124"/>
        <v>0</v>
      </c>
      <c r="I205" s="103">
        <f t="shared" ca="1" si="125"/>
        <v>0</v>
      </c>
      <c r="J205" s="103">
        <f t="shared" ca="1" si="126"/>
        <v>0</v>
      </c>
      <c r="K205" s="103">
        <f t="shared" ca="1" si="127"/>
        <v>0</v>
      </c>
      <c r="L205" s="103">
        <f t="shared" ca="1" si="128"/>
        <v>0</v>
      </c>
      <c r="M205" s="103">
        <f t="shared" ca="1" si="129"/>
        <v>0</v>
      </c>
      <c r="N205" s="103">
        <f t="shared" ca="1" si="130"/>
        <v>0</v>
      </c>
      <c r="O205" s="103">
        <f t="shared" ca="1" si="131"/>
        <v>0</v>
      </c>
      <c r="P205" s="103">
        <f t="shared" ca="1" si="132"/>
        <v>0</v>
      </c>
      <c r="Q205" s="103">
        <f t="shared" ca="1" si="133"/>
        <v>0</v>
      </c>
      <c r="R205" s="103">
        <f t="shared" ca="1" si="134"/>
        <v>0</v>
      </c>
      <c r="S205" s="103">
        <f t="shared" ca="1" si="135"/>
        <v>0</v>
      </c>
      <c r="T205" s="103">
        <f t="shared" ca="1" si="136"/>
        <v>0</v>
      </c>
      <c r="U205" s="103">
        <f t="shared" ca="1" si="137"/>
        <v>0</v>
      </c>
      <c r="V205" s="103">
        <f t="shared" ca="1" si="138"/>
        <v>0</v>
      </c>
      <c r="W205" s="103">
        <f t="shared" ca="1" si="139"/>
        <v>0</v>
      </c>
      <c r="X205" s="103">
        <f t="shared" ca="1" si="140"/>
        <v>0</v>
      </c>
      <c r="Y205" s="103">
        <f t="shared" ca="1" si="141"/>
        <v>0</v>
      </c>
      <c r="Z205" s="103">
        <f t="shared" ca="1" si="142"/>
        <v>0</v>
      </c>
      <c r="AA205" s="103">
        <f t="shared" ca="1" si="143"/>
        <v>0</v>
      </c>
      <c r="AB205" s="103">
        <f t="shared" ca="1" si="144"/>
        <v>0</v>
      </c>
      <c r="AC205" s="103">
        <f t="shared" ca="1" si="145"/>
        <v>0</v>
      </c>
      <c r="AD205" s="103">
        <f t="shared" ca="1" si="146"/>
        <v>0</v>
      </c>
      <c r="AE205" s="103">
        <f t="shared" ca="1" si="147"/>
        <v>0</v>
      </c>
      <c r="AF205" s="103">
        <f t="shared" ca="1" si="148"/>
        <v>0</v>
      </c>
      <c r="AG205" s="103">
        <f t="shared" ca="1" si="149"/>
        <v>0</v>
      </c>
      <c r="AH205" s="103">
        <f t="shared" ca="1" si="150"/>
        <v>0</v>
      </c>
      <c r="AI205" s="103">
        <f t="shared" ca="1" si="151"/>
        <v>0</v>
      </c>
      <c r="AJ205" s="98">
        <f t="shared" ca="1" si="192"/>
        <v>0</v>
      </c>
      <c r="AK205" s="103">
        <f t="shared" ca="1" si="192"/>
        <v>0</v>
      </c>
      <c r="AL205" s="103">
        <f t="shared" ca="1" si="192"/>
        <v>0</v>
      </c>
      <c r="AM205" s="103">
        <f t="shared" ca="1" si="192"/>
        <v>0</v>
      </c>
      <c r="AN205" s="103">
        <f t="shared" ca="1" si="192"/>
        <v>0</v>
      </c>
      <c r="AO205" s="103">
        <f t="shared" ca="1" si="192"/>
        <v>0</v>
      </c>
      <c r="AP205" s="103">
        <f t="shared" ca="1" si="192"/>
        <v>0</v>
      </c>
      <c r="AQ205" s="103">
        <f t="shared" ca="1" si="192"/>
        <v>0</v>
      </c>
      <c r="AR205" s="104">
        <f ca="1">COUNTIF(AJ205:AQ205,"&lt;"&amp;MAX(AJ205:AQ205))+IF(Calcs[[#This Row],[DL1]]=0,0,1)</f>
        <v>0</v>
      </c>
      <c r="AS205" s="105" t="str">
        <f ca="1">IF(LEN(Calcs[[#This Row],[Line]])&gt;0,IF(RIGHT(Calcs[[#This Row],[Remark]],3)=".  ",LEFT(Calcs[[#This Row],[Remark]],LEN(Calcs[[#This Row],[Remark]])-3),Calcs[[#This Row],[Remark]]),"")</f>
        <v/>
      </c>
      <c r="AT205" s="96">
        <f t="shared" ca="1" si="152"/>
        <v>0</v>
      </c>
      <c r="AU205" s="103">
        <f t="shared" ca="1" si="153"/>
        <v>0</v>
      </c>
      <c r="AV205" s="103">
        <f t="shared" ca="1" si="154"/>
        <v>0</v>
      </c>
      <c r="AW205" s="103">
        <f t="shared" ca="1" si="155"/>
        <v>0</v>
      </c>
      <c r="AX205" s="103">
        <f t="shared" ca="1" si="156"/>
        <v>0</v>
      </c>
      <c r="AY205" s="103">
        <f t="shared" ca="1" si="157"/>
        <v>0</v>
      </c>
      <c r="AZ205" s="103">
        <f t="shared" ca="1" si="158"/>
        <v>0</v>
      </c>
      <c r="BA205" s="103">
        <f t="shared" ca="1" si="159"/>
        <v>0</v>
      </c>
      <c r="BB205" s="103">
        <f t="shared" ca="1" si="160"/>
        <v>0</v>
      </c>
      <c r="BC205" s="103">
        <f t="shared" ca="1" si="161"/>
        <v>0</v>
      </c>
      <c r="BD205" s="103">
        <f t="shared" ca="1" si="162"/>
        <v>0</v>
      </c>
      <c r="BE205" s="103">
        <f t="shared" ca="1" si="163"/>
        <v>0</v>
      </c>
      <c r="BF205" s="103">
        <f t="shared" ca="1" si="164"/>
        <v>0</v>
      </c>
      <c r="BG205" s="103">
        <f t="shared" ca="1" si="165"/>
        <v>0</v>
      </c>
      <c r="BH205" s="103">
        <f t="shared" ca="1" si="166"/>
        <v>0</v>
      </c>
      <c r="BI205" s="103">
        <f t="shared" ca="1" si="167"/>
        <v>0</v>
      </c>
      <c r="BJ205" s="103">
        <f t="shared" ca="1" si="168"/>
        <v>0</v>
      </c>
      <c r="BK205" s="103">
        <f t="shared" ca="1" si="169"/>
        <v>0</v>
      </c>
      <c r="BL205" s="103">
        <f t="shared" ca="1" si="170"/>
        <v>0</v>
      </c>
      <c r="BM205" s="103">
        <f t="shared" ca="1" si="171"/>
        <v>0</v>
      </c>
      <c r="BN205" s="103">
        <f t="shared" ca="1" si="172"/>
        <v>0</v>
      </c>
      <c r="BO205" s="103">
        <f t="shared" ca="1" si="173"/>
        <v>0</v>
      </c>
      <c r="BP205" s="103">
        <f t="shared" ca="1" si="174"/>
        <v>0</v>
      </c>
      <c r="BQ205" s="103">
        <f t="shared" ca="1" si="175"/>
        <v>0</v>
      </c>
      <c r="BR205" s="103">
        <f t="shared" ca="1" si="176"/>
        <v>0</v>
      </c>
      <c r="BS205" s="103">
        <f t="shared" ca="1" si="177"/>
        <v>0</v>
      </c>
      <c r="BT205" s="103">
        <f t="shared" ca="1" si="178"/>
        <v>0</v>
      </c>
      <c r="BU205" s="103">
        <f t="shared" ca="1" si="179"/>
        <v>0</v>
      </c>
      <c r="BV205" s="103">
        <f t="shared" ca="1" si="180"/>
        <v>0</v>
      </c>
      <c r="BW205" s="103">
        <f t="shared" ca="1" si="181"/>
        <v>0</v>
      </c>
      <c r="BX205" s="103">
        <f t="shared" ca="1" si="182"/>
        <v>0</v>
      </c>
      <c r="BY205" s="103">
        <f t="shared" ca="1" si="183"/>
        <v>0</v>
      </c>
      <c r="BZ205" s="98">
        <f t="shared" ca="1" si="193"/>
        <v>0</v>
      </c>
      <c r="CA205" s="103">
        <f t="shared" ca="1" si="193"/>
        <v>0</v>
      </c>
      <c r="CB205" s="103">
        <f t="shared" ca="1" si="193"/>
        <v>0</v>
      </c>
      <c r="CC205" s="103">
        <f t="shared" ca="1" si="193"/>
        <v>0</v>
      </c>
      <c r="CD205" s="103">
        <f t="shared" ca="1" si="193"/>
        <v>0</v>
      </c>
      <c r="CE205" s="103">
        <f t="shared" ca="1" si="193"/>
        <v>0</v>
      </c>
      <c r="CF205" s="103">
        <f t="shared" ca="1" si="193"/>
        <v>0</v>
      </c>
      <c r="CG205" s="103">
        <f t="shared" ca="1" si="193"/>
        <v>0</v>
      </c>
      <c r="CH205" s="106">
        <f ca="1">COUNTIF(BZ205:CG205,"&lt;"&amp;MAX(BZ205:CG205))+IF(Calcs[[#This Row],[RL1]]=0,0,1)</f>
        <v>0</v>
      </c>
      <c r="CI20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5" s="103">
        <f ca="1">IFERROR(OFFSET(CJ205,-1,0)+0,0)+IF(INDEX(INDIRECT(RangeContrQty),MATCH(Calcs[[#This Row],[Line]],OFFSET(Items[Line],0,0,ROW(Proposed[])-ROW(Items[])+ROWS(Proposed[]),1),0)),1,0)</f>
        <v>0</v>
      </c>
    </row>
    <row r="206" spans="1:88" x14ac:dyDescent="0.15">
      <c r="A206" s="64">
        <f ca="1">IFERROR(OFFSET(A206,-1,0)+0,0)+MAX(IF(LEN(Calcs[[#This Row],[Line]])&gt;0,1,0),Calcs[[#This Row],[DL]],Calcs[[#This Row],[RL]])</f>
        <v>10</v>
      </c>
      <c r="B206" s="90" t="str">
        <f ca="1">IFERROR(INDEX(OFFSET(Items[Line],0,0,ROW(Proposed[])-ROW(Items[])+ROWS(Proposed[]),1),MATCH(ROW(B206)-ROW(B$3),INDIRECT(RangeCount),0)),"")</f>
        <v/>
      </c>
      <c r="C206" s="90" t="str">
        <f ca="1">IF(LEN(Calcs[[#This Row],[Line]])&gt;0,TRIM(IFERROR(INDEX(Items[Description],MATCH(Calcs[[#This Row],[Line]],Items[Line],0))&amp;INDEX(Items[Description2],MATCH(Calcs[[#This Row],[Line]],Items[Line],0)),INDEX(Proposed[Description],MATCH(Calcs[[#This Row],[Line]],Proposed[Line],0)))),"")</f>
        <v/>
      </c>
      <c r="D206" s="96">
        <f t="shared" ca="1" si="120"/>
        <v>0</v>
      </c>
      <c r="E206" s="103">
        <f t="shared" ca="1" si="121"/>
        <v>0</v>
      </c>
      <c r="F206" s="103">
        <f t="shared" ca="1" si="122"/>
        <v>0</v>
      </c>
      <c r="G206" s="103">
        <f t="shared" ca="1" si="123"/>
        <v>0</v>
      </c>
      <c r="H206" s="103">
        <f t="shared" ca="1" si="124"/>
        <v>0</v>
      </c>
      <c r="I206" s="103">
        <f t="shared" ca="1" si="125"/>
        <v>0</v>
      </c>
      <c r="J206" s="103">
        <f t="shared" ca="1" si="126"/>
        <v>0</v>
      </c>
      <c r="K206" s="103">
        <f t="shared" ca="1" si="127"/>
        <v>0</v>
      </c>
      <c r="L206" s="103">
        <f t="shared" ca="1" si="128"/>
        <v>0</v>
      </c>
      <c r="M206" s="103">
        <f t="shared" ca="1" si="129"/>
        <v>0</v>
      </c>
      <c r="N206" s="103">
        <f t="shared" ca="1" si="130"/>
        <v>0</v>
      </c>
      <c r="O206" s="103">
        <f t="shared" ca="1" si="131"/>
        <v>0</v>
      </c>
      <c r="P206" s="103">
        <f t="shared" ca="1" si="132"/>
        <v>0</v>
      </c>
      <c r="Q206" s="103">
        <f t="shared" ca="1" si="133"/>
        <v>0</v>
      </c>
      <c r="R206" s="103">
        <f t="shared" ca="1" si="134"/>
        <v>0</v>
      </c>
      <c r="S206" s="103">
        <f t="shared" ca="1" si="135"/>
        <v>0</v>
      </c>
      <c r="T206" s="103">
        <f t="shared" ca="1" si="136"/>
        <v>0</v>
      </c>
      <c r="U206" s="103">
        <f t="shared" ca="1" si="137"/>
        <v>0</v>
      </c>
      <c r="V206" s="103">
        <f t="shared" ca="1" si="138"/>
        <v>0</v>
      </c>
      <c r="W206" s="103">
        <f t="shared" ca="1" si="139"/>
        <v>0</v>
      </c>
      <c r="X206" s="103">
        <f t="shared" ca="1" si="140"/>
        <v>0</v>
      </c>
      <c r="Y206" s="103">
        <f t="shared" ca="1" si="141"/>
        <v>0</v>
      </c>
      <c r="Z206" s="103">
        <f t="shared" ca="1" si="142"/>
        <v>0</v>
      </c>
      <c r="AA206" s="103">
        <f t="shared" ca="1" si="143"/>
        <v>0</v>
      </c>
      <c r="AB206" s="103">
        <f t="shared" ca="1" si="144"/>
        <v>0</v>
      </c>
      <c r="AC206" s="103">
        <f t="shared" ca="1" si="145"/>
        <v>0</v>
      </c>
      <c r="AD206" s="103">
        <f t="shared" ca="1" si="146"/>
        <v>0</v>
      </c>
      <c r="AE206" s="103">
        <f t="shared" ca="1" si="147"/>
        <v>0</v>
      </c>
      <c r="AF206" s="103">
        <f t="shared" ca="1" si="148"/>
        <v>0</v>
      </c>
      <c r="AG206" s="103">
        <f t="shared" ca="1" si="149"/>
        <v>0</v>
      </c>
      <c r="AH206" s="103">
        <f t="shared" ca="1" si="150"/>
        <v>0</v>
      </c>
      <c r="AI206" s="103">
        <f t="shared" ca="1" si="151"/>
        <v>0</v>
      </c>
      <c r="AJ206" s="98">
        <f t="shared" ca="1" si="192"/>
        <v>0</v>
      </c>
      <c r="AK206" s="103">
        <f t="shared" ca="1" si="192"/>
        <v>0</v>
      </c>
      <c r="AL206" s="103">
        <f t="shared" ca="1" si="192"/>
        <v>0</v>
      </c>
      <c r="AM206" s="103">
        <f t="shared" ca="1" si="192"/>
        <v>0</v>
      </c>
      <c r="AN206" s="103">
        <f t="shared" ca="1" si="192"/>
        <v>0</v>
      </c>
      <c r="AO206" s="103">
        <f t="shared" ca="1" si="192"/>
        <v>0</v>
      </c>
      <c r="AP206" s="103">
        <f t="shared" ca="1" si="192"/>
        <v>0</v>
      </c>
      <c r="AQ206" s="103">
        <f t="shared" ca="1" si="192"/>
        <v>0</v>
      </c>
      <c r="AR206" s="104">
        <f ca="1">COUNTIF(AJ206:AQ206,"&lt;"&amp;MAX(AJ206:AQ206))+IF(Calcs[[#This Row],[DL1]]=0,0,1)</f>
        <v>0</v>
      </c>
      <c r="AS206" s="105" t="str">
        <f ca="1">IF(LEN(Calcs[[#This Row],[Line]])&gt;0,IF(RIGHT(Calcs[[#This Row],[Remark]],3)=".  ",LEFT(Calcs[[#This Row],[Remark]],LEN(Calcs[[#This Row],[Remark]])-3),Calcs[[#This Row],[Remark]]),"")</f>
        <v/>
      </c>
      <c r="AT206" s="96">
        <f t="shared" ca="1" si="152"/>
        <v>0</v>
      </c>
      <c r="AU206" s="103">
        <f t="shared" ca="1" si="153"/>
        <v>0</v>
      </c>
      <c r="AV206" s="103">
        <f t="shared" ca="1" si="154"/>
        <v>0</v>
      </c>
      <c r="AW206" s="103">
        <f t="shared" ca="1" si="155"/>
        <v>0</v>
      </c>
      <c r="AX206" s="103">
        <f t="shared" ca="1" si="156"/>
        <v>0</v>
      </c>
      <c r="AY206" s="103">
        <f t="shared" ca="1" si="157"/>
        <v>0</v>
      </c>
      <c r="AZ206" s="103">
        <f t="shared" ca="1" si="158"/>
        <v>0</v>
      </c>
      <c r="BA206" s="103">
        <f t="shared" ca="1" si="159"/>
        <v>0</v>
      </c>
      <c r="BB206" s="103">
        <f t="shared" ca="1" si="160"/>
        <v>0</v>
      </c>
      <c r="BC206" s="103">
        <f t="shared" ca="1" si="161"/>
        <v>0</v>
      </c>
      <c r="BD206" s="103">
        <f t="shared" ca="1" si="162"/>
        <v>0</v>
      </c>
      <c r="BE206" s="103">
        <f t="shared" ca="1" si="163"/>
        <v>0</v>
      </c>
      <c r="BF206" s="103">
        <f t="shared" ca="1" si="164"/>
        <v>0</v>
      </c>
      <c r="BG206" s="103">
        <f t="shared" ca="1" si="165"/>
        <v>0</v>
      </c>
      <c r="BH206" s="103">
        <f t="shared" ca="1" si="166"/>
        <v>0</v>
      </c>
      <c r="BI206" s="103">
        <f t="shared" ca="1" si="167"/>
        <v>0</v>
      </c>
      <c r="BJ206" s="103">
        <f t="shared" ca="1" si="168"/>
        <v>0</v>
      </c>
      <c r="BK206" s="103">
        <f t="shared" ca="1" si="169"/>
        <v>0</v>
      </c>
      <c r="BL206" s="103">
        <f t="shared" ca="1" si="170"/>
        <v>0</v>
      </c>
      <c r="BM206" s="103">
        <f t="shared" ca="1" si="171"/>
        <v>0</v>
      </c>
      <c r="BN206" s="103">
        <f t="shared" ca="1" si="172"/>
        <v>0</v>
      </c>
      <c r="BO206" s="103">
        <f t="shared" ca="1" si="173"/>
        <v>0</v>
      </c>
      <c r="BP206" s="103">
        <f t="shared" ca="1" si="174"/>
        <v>0</v>
      </c>
      <c r="BQ206" s="103">
        <f t="shared" ca="1" si="175"/>
        <v>0</v>
      </c>
      <c r="BR206" s="103">
        <f t="shared" ca="1" si="176"/>
        <v>0</v>
      </c>
      <c r="BS206" s="103">
        <f t="shared" ca="1" si="177"/>
        <v>0</v>
      </c>
      <c r="BT206" s="103">
        <f t="shared" ca="1" si="178"/>
        <v>0</v>
      </c>
      <c r="BU206" s="103">
        <f t="shared" ca="1" si="179"/>
        <v>0</v>
      </c>
      <c r="BV206" s="103">
        <f t="shared" ca="1" si="180"/>
        <v>0</v>
      </c>
      <c r="BW206" s="103">
        <f t="shared" ca="1" si="181"/>
        <v>0</v>
      </c>
      <c r="BX206" s="103">
        <f t="shared" ca="1" si="182"/>
        <v>0</v>
      </c>
      <c r="BY206" s="103">
        <f t="shared" ca="1" si="183"/>
        <v>0</v>
      </c>
      <c r="BZ206" s="98">
        <f t="shared" ca="1" si="193"/>
        <v>0</v>
      </c>
      <c r="CA206" s="103">
        <f t="shared" ca="1" si="193"/>
        <v>0</v>
      </c>
      <c r="CB206" s="103">
        <f t="shared" ca="1" si="193"/>
        <v>0</v>
      </c>
      <c r="CC206" s="103">
        <f t="shared" ca="1" si="193"/>
        <v>0</v>
      </c>
      <c r="CD206" s="103">
        <f t="shared" ca="1" si="193"/>
        <v>0</v>
      </c>
      <c r="CE206" s="103">
        <f t="shared" ca="1" si="193"/>
        <v>0</v>
      </c>
      <c r="CF206" s="103">
        <f t="shared" ca="1" si="193"/>
        <v>0</v>
      </c>
      <c r="CG206" s="103">
        <f t="shared" ca="1" si="193"/>
        <v>0</v>
      </c>
      <c r="CH206" s="106">
        <f ca="1">COUNTIF(BZ206:CG206,"&lt;"&amp;MAX(BZ206:CG206))+IF(Calcs[[#This Row],[RL1]]=0,0,1)</f>
        <v>0</v>
      </c>
      <c r="CI20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6" s="103">
        <f ca="1">IFERROR(OFFSET(CJ206,-1,0)+0,0)+IF(INDEX(INDIRECT(RangeContrQty),MATCH(Calcs[[#This Row],[Line]],OFFSET(Items[Line],0,0,ROW(Proposed[])-ROW(Items[])+ROWS(Proposed[]),1),0)),1,0)</f>
        <v>0</v>
      </c>
    </row>
    <row r="207" spans="1:88" x14ac:dyDescent="0.15">
      <c r="A207" s="64">
        <f ca="1">IFERROR(OFFSET(A207,-1,0)+0,0)+MAX(IF(LEN(Calcs[[#This Row],[Line]])&gt;0,1,0),Calcs[[#This Row],[DL]],Calcs[[#This Row],[RL]])</f>
        <v>10</v>
      </c>
      <c r="B207" s="90" t="str">
        <f ca="1">IFERROR(INDEX(OFFSET(Items[Line],0,0,ROW(Proposed[])-ROW(Items[])+ROWS(Proposed[]),1),MATCH(ROW(B207)-ROW(B$3),INDIRECT(RangeCount),0)),"")</f>
        <v/>
      </c>
      <c r="C207" s="90" t="str">
        <f ca="1">IF(LEN(Calcs[[#This Row],[Line]])&gt;0,TRIM(IFERROR(INDEX(Items[Description],MATCH(Calcs[[#This Row],[Line]],Items[Line],0))&amp;INDEX(Items[Description2],MATCH(Calcs[[#This Row],[Line]],Items[Line],0)),INDEX(Proposed[Description],MATCH(Calcs[[#This Row],[Line]],Proposed[Line],0)))),"")</f>
        <v/>
      </c>
      <c r="D207" s="96">
        <f t="shared" ca="1" si="120"/>
        <v>0</v>
      </c>
      <c r="E207" s="103">
        <f t="shared" ca="1" si="121"/>
        <v>0</v>
      </c>
      <c r="F207" s="103">
        <f t="shared" ca="1" si="122"/>
        <v>0</v>
      </c>
      <c r="G207" s="103">
        <f t="shared" ca="1" si="123"/>
        <v>0</v>
      </c>
      <c r="H207" s="103">
        <f t="shared" ca="1" si="124"/>
        <v>0</v>
      </c>
      <c r="I207" s="103">
        <f t="shared" ca="1" si="125"/>
        <v>0</v>
      </c>
      <c r="J207" s="103">
        <f t="shared" ca="1" si="126"/>
        <v>0</v>
      </c>
      <c r="K207" s="103">
        <f t="shared" ca="1" si="127"/>
        <v>0</v>
      </c>
      <c r="L207" s="103">
        <f t="shared" ca="1" si="128"/>
        <v>0</v>
      </c>
      <c r="M207" s="103">
        <f t="shared" ca="1" si="129"/>
        <v>0</v>
      </c>
      <c r="N207" s="103">
        <f t="shared" ca="1" si="130"/>
        <v>0</v>
      </c>
      <c r="O207" s="103">
        <f t="shared" ca="1" si="131"/>
        <v>0</v>
      </c>
      <c r="P207" s="103">
        <f t="shared" ca="1" si="132"/>
        <v>0</v>
      </c>
      <c r="Q207" s="103">
        <f t="shared" ca="1" si="133"/>
        <v>0</v>
      </c>
      <c r="R207" s="103">
        <f t="shared" ca="1" si="134"/>
        <v>0</v>
      </c>
      <c r="S207" s="103">
        <f t="shared" ca="1" si="135"/>
        <v>0</v>
      </c>
      <c r="T207" s="103">
        <f t="shared" ca="1" si="136"/>
        <v>0</v>
      </c>
      <c r="U207" s="103">
        <f t="shared" ca="1" si="137"/>
        <v>0</v>
      </c>
      <c r="V207" s="103">
        <f t="shared" ca="1" si="138"/>
        <v>0</v>
      </c>
      <c r="W207" s="103">
        <f t="shared" ca="1" si="139"/>
        <v>0</v>
      </c>
      <c r="X207" s="103">
        <f t="shared" ca="1" si="140"/>
        <v>0</v>
      </c>
      <c r="Y207" s="103">
        <f t="shared" ca="1" si="141"/>
        <v>0</v>
      </c>
      <c r="Z207" s="103">
        <f t="shared" ca="1" si="142"/>
        <v>0</v>
      </c>
      <c r="AA207" s="103">
        <f t="shared" ca="1" si="143"/>
        <v>0</v>
      </c>
      <c r="AB207" s="103">
        <f t="shared" ca="1" si="144"/>
        <v>0</v>
      </c>
      <c r="AC207" s="103">
        <f t="shared" ca="1" si="145"/>
        <v>0</v>
      </c>
      <c r="AD207" s="103">
        <f t="shared" ca="1" si="146"/>
        <v>0</v>
      </c>
      <c r="AE207" s="103">
        <f t="shared" ca="1" si="147"/>
        <v>0</v>
      </c>
      <c r="AF207" s="103">
        <f t="shared" ca="1" si="148"/>
        <v>0</v>
      </c>
      <c r="AG207" s="103">
        <f t="shared" ca="1" si="149"/>
        <v>0</v>
      </c>
      <c r="AH207" s="103">
        <f t="shared" ca="1" si="150"/>
        <v>0</v>
      </c>
      <c r="AI207" s="103">
        <f t="shared" ca="1" si="151"/>
        <v>0</v>
      </c>
      <c r="AJ207" s="98">
        <f t="shared" ca="1" si="192"/>
        <v>0</v>
      </c>
      <c r="AK207" s="103">
        <f t="shared" ca="1" si="192"/>
        <v>0</v>
      </c>
      <c r="AL207" s="103">
        <f t="shared" ca="1" si="192"/>
        <v>0</v>
      </c>
      <c r="AM207" s="103">
        <f t="shared" ca="1" si="192"/>
        <v>0</v>
      </c>
      <c r="AN207" s="103">
        <f t="shared" ca="1" si="192"/>
        <v>0</v>
      </c>
      <c r="AO207" s="103">
        <f t="shared" ca="1" si="192"/>
        <v>0</v>
      </c>
      <c r="AP207" s="103">
        <f t="shared" ca="1" si="192"/>
        <v>0</v>
      </c>
      <c r="AQ207" s="103">
        <f t="shared" ca="1" si="192"/>
        <v>0</v>
      </c>
      <c r="AR207" s="104">
        <f ca="1">COUNTIF(AJ207:AQ207,"&lt;"&amp;MAX(AJ207:AQ207))+IF(Calcs[[#This Row],[DL1]]=0,0,1)</f>
        <v>0</v>
      </c>
      <c r="AS207" s="105" t="str">
        <f ca="1">IF(LEN(Calcs[[#This Row],[Line]])&gt;0,IF(RIGHT(Calcs[[#This Row],[Remark]],3)=".  ",LEFT(Calcs[[#This Row],[Remark]],LEN(Calcs[[#This Row],[Remark]])-3),Calcs[[#This Row],[Remark]]),"")</f>
        <v/>
      </c>
      <c r="AT207" s="96">
        <f t="shared" ca="1" si="152"/>
        <v>0</v>
      </c>
      <c r="AU207" s="103">
        <f t="shared" ca="1" si="153"/>
        <v>0</v>
      </c>
      <c r="AV207" s="103">
        <f t="shared" ca="1" si="154"/>
        <v>0</v>
      </c>
      <c r="AW207" s="103">
        <f t="shared" ca="1" si="155"/>
        <v>0</v>
      </c>
      <c r="AX207" s="103">
        <f t="shared" ca="1" si="156"/>
        <v>0</v>
      </c>
      <c r="AY207" s="103">
        <f t="shared" ca="1" si="157"/>
        <v>0</v>
      </c>
      <c r="AZ207" s="103">
        <f t="shared" ca="1" si="158"/>
        <v>0</v>
      </c>
      <c r="BA207" s="103">
        <f t="shared" ca="1" si="159"/>
        <v>0</v>
      </c>
      <c r="BB207" s="103">
        <f t="shared" ca="1" si="160"/>
        <v>0</v>
      </c>
      <c r="BC207" s="103">
        <f t="shared" ca="1" si="161"/>
        <v>0</v>
      </c>
      <c r="BD207" s="103">
        <f t="shared" ca="1" si="162"/>
        <v>0</v>
      </c>
      <c r="BE207" s="103">
        <f t="shared" ca="1" si="163"/>
        <v>0</v>
      </c>
      <c r="BF207" s="103">
        <f t="shared" ca="1" si="164"/>
        <v>0</v>
      </c>
      <c r="BG207" s="103">
        <f t="shared" ca="1" si="165"/>
        <v>0</v>
      </c>
      <c r="BH207" s="103">
        <f t="shared" ca="1" si="166"/>
        <v>0</v>
      </c>
      <c r="BI207" s="103">
        <f t="shared" ca="1" si="167"/>
        <v>0</v>
      </c>
      <c r="BJ207" s="103">
        <f t="shared" ca="1" si="168"/>
        <v>0</v>
      </c>
      <c r="BK207" s="103">
        <f t="shared" ca="1" si="169"/>
        <v>0</v>
      </c>
      <c r="BL207" s="103">
        <f t="shared" ca="1" si="170"/>
        <v>0</v>
      </c>
      <c r="BM207" s="103">
        <f t="shared" ca="1" si="171"/>
        <v>0</v>
      </c>
      <c r="BN207" s="103">
        <f t="shared" ca="1" si="172"/>
        <v>0</v>
      </c>
      <c r="BO207" s="103">
        <f t="shared" ca="1" si="173"/>
        <v>0</v>
      </c>
      <c r="BP207" s="103">
        <f t="shared" ca="1" si="174"/>
        <v>0</v>
      </c>
      <c r="BQ207" s="103">
        <f t="shared" ca="1" si="175"/>
        <v>0</v>
      </c>
      <c r="BR207" s="103">
        <f t="shared" ca="1" si="176"/>
        <v>0</v>
      </c>
      <c r="BS207" s="103">
        <f t="shared" ca="1" si="177"/>
        <v>0</v>
      </c>
      <c r="BT207" s="103">
        <f t="shared" ca="1" si="178"/>
        <v>0</v>
      </c>
      <c r="BU207" s="103">
        <f t="shared" ca="1" si="179"/>
        <v>0</v>
      </c>
      <c r="BV207" s="103">
        <f t="shared" ca="1" si="180"/>
        <v>0</v>
      </c>
      <c r="BW207" s="103">
        <f t="shared" ca="1" si="181"/>
        <v>0</v>
      </c>
      <c r="BX207" s="103">
        <f t="shared" ca="1" si="182"/>
        <v>0</v>
      </c>
      <c r="BY207" s="103">
        <f t="shared" ca="1" si="183"/>
        <v>0</v>
      </c>
      <c r="BZ207" s="98">
        <f t="shared" ca="1" si="193"/>
        <v>0</v>
      </c>
      <c r="CA207" s="103">
        <f t="shared" ca="1" si="193"/>
        <v>0</v>
      </c>
      <c r="CB207" s="103">
        <f t="shared" ca="1" si="193"/>
        <v>0</v>
      </c>
      <c r="CC207" s="103">
        <f t="shared" ca="1" si="193"/>
        <v>0</v>
      </c>
      <c r="CD207" s="103">
        <f t="shared" ca="1" si="193"/>
        <v>0</v>
      </c>
      <c r="CE207" s="103">
        <f t="shared" ca="1" si="193"/>
        <v>0</v>
      </c>
      <c r="CF207" s="103">
        <f t="shared" ca="1" si="193"/>
        <v>0</v>
      </c>
      <c r="CG207" s="103">
        <f t="shared" ca="1" si="193"/>
        <v>0</v>
      </c>
      <c r="CH207" s="106">
        <f ca="1">COUNTIF(BZ207:CG207,"&lt;"&amp;MAX(BZ207:CG207))+IF(Calcs[[#This Row],[RL1]]=0,0,1)</f>
        <v>0</v>
      </c>
      <c r="CI20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7" s="103">
        <f ca="1">IFERROR(OFFSET(CJ207,-1,0)+0,0)+IF(INDEX(INDIRECT(RangeContrQty),MATCH(Calcs[[#This Row],[Line]],OFFSET(Items[Line],0,0,ROW(Proposed[])-ROW(Items[])+ROWS(Proposed[]),1),0)),1,0)</f>
        <v>0</v>
      </c>
    </row>
    <row r="208" spans="1:88" x14ac:dyDescent="0.15">
      <c r="A208" s="64">
        <f ca="1">IFERROR(OFFSET(A208,-1,0)+0,0)+MAX(IF(LEN(Calcs[[#This Row],[Line]])&gt;0,1,0),Calcs[[#This Row],[DL]],Calcs[[#This Row],[RL]])</f>
        <v>10</v>
      </c>
      <c r="B208" s="90" t="str">
        <f ca="1">IFERROR(INDEX(OFFSET(Items[Line],0,0,ROW(Proposed[])-ROW(Items[])+ROWS(Proposed[]),1),MATCH(ROW(B208)-ROW(B$3),INDIRECT(RangeCount),0)),"")</f>
        <v/>
      </c>
      <c r="C208" s="90" t="str">
        <f ca="1">IF(LEN(Calcs[[#This Row],[Line]])&gt;0,TRIM(IFERROR(INDEX(Items[Description],MATCH(Calcs[[#This Row],[Line]],Items[Line],0))&amp;INDEX(Items[Description2],MATCH(Calcs[[#This Row],[Line]],Items[Line],0)),INDEX(Proposed[Description],MATCH(Calcs[[#This Row],[Line]],Proposed[Line],0)))),"")</f>
        <v/>
      </c>
      <c r="D208" s="96">
        <f t="shared" ca="1" si="120"/>
        <v>0</v>
      </c>
      <c r="E208" s="103">
        <f t="shared" ca="1" si="121"/>
        <v>0</v>
      </c>
      <c r="F208" s="103">
        <f t="shared" ca="1" si="122"/>
        <v>0</v>
      </c>
      <c r="G208" s="103">
        <f t="shared" ca="1" si="123"/>
        <v>0</v>
      </c>
      <c r="H208" s="103">
        <f t="shared" ca="1" si="124"/>
        <v>0</v>
      </c>
      <c r="I208" s="103">
        <f t="shared" ca="1" si="125"/>
        <v>0</v>
      </c>
      <c r="J208" s="103">
        <f t="shared" ca="1" si="126"/>
        <v>0</v>
      </c>
      <c r="K208" s="103">
        <f t="shared" ca="1" si="127"/>
        <v>0</v>
      </c>
      <c r="L208" s="103">
        <f t="shared" ca="1" si="128"/>
        <v>0</v>
      </c>
      <c r="M208" s="103">
        <f t="shared" ca="1" si="129"/>
        <v>0</v>
      </c>
      <c r="N208" s="103">
        <f t="shared" ca="1" si="130"/>
        <v>0</v>
      </c>
      <c r="O208" s="103">
        <f t="shared" ca="1" si="131"/>
        <v>0</v>
      </c>
      <c r="P208" s="103">
        <f t="shared" ca="1" si="132"/>
        <v>0</v>
      </c>
      <c r="Q208" s="103">
        <f t="shared" ca="1" si="133"/>
        <v>0</v>
      </c>
      <c r="R208" s="103">
        <f t="shared" ca="1" si="134"/>
        <v>0</v>
      </c>
      <c r="S208" s="103">
        <f t="shared" ca="1" si="135"/>
        <v>0</v>
      </c>
      <c r="T208" s="103">
        <f t="shared" ca="1" si="136"/>
        <v>0</v>
      </c>
      <c r="U208" s="103">
        <f t="shared" ca="1" si="137"/>
        <v>0</v>
      </c>
      <c r="V208" s="103">
        <f t="shared" ca="1" si="138"/>
        <v>0</v>
      </c>
      <c r="W208" s="103">
        <f t="shared" ca="1" si="139"/>
        <v>0</v>
      </c>
      <c r="X208" s="103">
        <f t="shared" ca="1" si="140"/>
        <v>0</v>
      </c>
      <c r="Y208" s="103">
        <f t="shared" ca="1" si="141"/>
        <v>0</v>
      </c>
      <c r="Z208" s="103">
        <f t="shared" ca="1" si="142"/>
        <v>0</v>
      </c>
      <c r="AA208" s="103">
        <f t="shared" ca="1" si="143"/>
        <v>0</v>
      </c>
      <c r="AB208" s="103">
        <f t="shared" ca="1" si="144"/>
        <v>0</v>
      </c>
      <c r="AC208" s="103">
        <f t="shared" ca="1" si="145"/>
        <v>0</v>
      </c>
      <c r="AD208" s="103">
        <f t="shared" ca="1" si="146"/>
        <v>0</v>
      </c>
      <c r="AE208" s="103">
        <f t="shared" ca="1" si="147"/>
        <v>0</v>
      </c>
      <c r="AF208" s="103">
        <f t="shared" ca="1" si="148"/>
        <v>0</v>
      </c>
      <c r="AG208" s="103">
        <f t="shared" ca="1" si="149"/>
        <v>0</v>
      </c>
      <c r="AH208" s="103">
        <f t="shared" ca="1" si="150"/>
        <v>0</v>
      </c>
      <c r="AI208" s="103">
        <f t="shared" ca="1" si="151"/>
        <v>0</v>
      </c>
      <c r="AJ208" s="98">
        <f t="shared" ca="1" si="192"/>
        <v>0</v>
      </c>
      <c r="AK208" s="103">
        <f t="shared" ca="1" si="192"/>
        <v>0</v>
      </c>
      <c r="AL208" s="103">
        <f t="shared" ca="1" si="192"/>
        <v>0</v>
      </c>
      <c r="AM208" s="103">
        <f t="shared" ca="1" si="192"/>
        <v>0</v>
      </c>
      <c r="AN208" s="103">
        <f t="shared" ca="1" si="192"/>
        <v>0</v>
      </c>
      <c r="AO208" s="103">
        <f t="shared" ca="1" si="192"/>
        <v>0</v>
      </c>
      <c r="AP208" s="103">
        <f t="shared" ca="1" si="192"/>
        <v>0</v>
      </c>
      <c r="AQ208" s="103">
        <f t="shared" ca="1" si="192"/>
        <v>0</v>
      </c>
      <c r="AR208" s="104">
        <f ca="1">COUNTIF(AJ208:AQ208,"&lt;"&amp;MAX(AJ208:AQ208))+IF(Calcs[[#This Row],[DL1]]=0,0,1)</f>
        <v>0</v>
      </c>
      <c r="AS208" s="105" t="str">
        <f ca="1">IF(LEN(Calcs[[#This Row],[Line]])&gt;0,IF(RIGHT(Calcs[[#This Row],[Remark]],3)=".  ",LEFT(Calcs[[#This Row],[Remark]],LEN(Calcs[[#This Row],[Remark]])-3),Calcs[[#This Row],[Remark]]),"")</f>
        <v/>
      </c>
      <c r="AT208" s="96">
        <f t="shared" ca="1" si="152"/>
        <v>0</v>
      </c>
      <c r="AU208" s="103">
        <f t="shared" ca="1" si="153"/>
        <v>0</v>
      </c>
      <c r="AV208" s="103">
        <f t="shared" ca="1" si="154"/>
        <v>0</v>
      </c>
      <c r="AW208" s="103">
        <f t="shared" ca="1" si="155"/>
        <v>0</v>
      </c>
      <c r="AX208" s="103">
        <f t="shared" ca="1" si="156"/>
        <v>0</v>
      </c>
      <c r="AY208" s="103">
        <f t="shared" ca="1" si="157"/>
        <v>0</v>
      </c>
      <c r="AZ208" s="103">
        <f t="shared" ca="1" si="158"/>
        <v>0</v>
      </c>
      <c r="BA208" s="103">
        <f t="shared" ca="1" si="159"/>
        <v>0</v>
      </c>
      <c r="BB208" s="103">
        <f t="shared" ca="1" si="160"/>
        <v>0</v>
      </c>
      <c r="BC208" s="103">
        <f t="shared" ca="1" si="161"/>
        <v>0</v>
      </c>
      <c r="BD208" s="103">
        <f t="shared" ca="1" si="162"/>
        <v>0</v>
      </c>
      <c r="BE208" s="103">
        <f t="shared" ca="1" si="163"/>
        <v>0</v>
      </c>
      <c r="BF208" s="103">
        <f t="shared" ca="1" si="164"/>
        <v>0</v>
      </c>
      <c r="BG208" s="103">
        <f t="shared" ca="1" si="165"/>
        <v>0</v>
      </c>
      <c r="BH208" s="103">
        <f t="shared" ca="1" si="166"/>
        <v>0</v>
      </c>
      <c r="BI208" s="103">
        <f t="shared" ca="1" si="167"/>
        <v>0</v>
      </c>
      <c r="BJ208" s="103">
        <f t="shared" ca="1" si="168"/>
        <v>0</v>
      </c>
      <c r="BK208" s="103">
        <f t="shared" ca="1" si="169"/>
        <v>0</v>
      </c>
      <c r="BL208" s="103">
        <f t="shared" ca="1" si="170"/>
        <v>0</v>
      </c>
      <c r="BM208" s="103">
        <f t="shared" ca="1" si="171"/>
        <v>0</v>
      </c>
      <c r="BN208" s="103">
        <f t="shared" ca="1" si="172"/>
        <v>0</v>
      </c>
      <c r="BO208" s="103">
        <f t="shared" ca="1" si="173"/>
        <v>0</v>
      </c>
      <c r="BP208" s="103">
        <f t="shared" ca="1" si="174"/>
        <v>0</v>
      </c>
      <c r="BQ208" s="103">
        <f t="shared" ca="1" si="175"/>
        <v>0</v>
      </c>
      <c r="BR208" s="103">
        <f t="shared" ca="1" si="176"/>
        <v>0</v>
      </c>
      <c r="BS208" s="103">
        <f t="shared" ca="1" si="177"/>
        <v>0</v>
      </c>
      <c r="BT208" s="103">
        <f t="shared" ca="1" si="178"/>
        <v>0</v>
      </c>
      <c r="BU208" s="103">
        <f t="shared" ca="1" si="179"/>
        <v>0</v>
      </c>
      <c r="BV208" s="103">
        <f t="shared" ca="1" si="180"/>
        <v>0</v>
      </c>
      <c r="BW208" s="103">
        <f t="shared" ca="1" si="181"/>
        <v>0</v>
      </c>
      <c r="BX208" s="103">
        <f t="shared" ca="1" si="182"/>
        <v>0</v>
      </c>
      <c r="BY208" s="103">
        <f t="shared" ca="1" si="183"/>
        <v>0</v>
      </c>
      <c r="BZ208" s="98">
        <f t="shared" ca="1" si="193"/>
        <v>0</v>
      </c>
      <c r="CA208" s="103">
        <f t="shared" ca="1" si="193"/>
        <v>0</v>
      </c>
      <c r="CB208" s="103">
        <f t="shared" ca="1" si="193"/>
        <v>0</v>
      </c>
      <c r="CC208" s="103">
        <f t="shared" ca="1" si="193"/>
        <v>0</v>
      </c>
      <c r="CD208" s="103">
        <f t="shared" ca="1" si="193"/>
        <v>0</v>
      </c>
      <c r="CE208" s="103">
        <f t="shared" ca="1" si="193"/>
        <v>0</v>
      </c>
      <c r="CF208" s="103">
        <f t="shared" ca="1" si="193"/>
        <v>0</v>
      </c>
      <c r="CG208" s="103">
        <f t="shared" ca="1" si="193"/>
        <v>0</v>
      </c>
      <c r="CH208" s="106">
        <f ca="1">COUNTIF(BZ208:CG208,"&lt;"&amp;MAX(BZ208:CG208))+IF(Calcs[[#This Row],[RL1]]=0,0,1)</f>
        <v>0</v>
      </c>
      <c r="CI20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8" s="103">
        <f ca="1">IFERROR(OFFSET(CJ208,-1,0)+0,0)+IF(INDEX(INDIRECT(RangeContrQty),MATCH(Calcs[[#This Row],[Line]],OFFSET(Items[Line],0,0,ROW(Proposed[])-ROW(Items[])+ROWS(Proposed[]),1),0)),1,0)</f>
        <v>0</v>
      </c>
    </row>
    <row r="209" spans="1:88" x14ac:dyDescent="0.15">
      <c r="A209" s="64">
        <f ca="1">IFERROR(OFFSET(A209,-1,0)+0,0)+MAX(IF(LEN(Calcs[[#This Row],[Line]])&gt;0,1,0),Calcs[[#This Row],[DL]],Calcs[[#This Row],[RL]])</f>
        <v>10</v>
      </c>
      <c r="B209" s="90" t="str">
        <f ca="1">IFERROR(INDEX(OFFSET(Items[Line],0,0,ROW(Proposed[])-ROW(Items[])+ROWS(Proposed[]),1),MATCH(ROW(B209)-ROW(B$3),INDIRECT(RangeCount),0)),"")</f>
        <v/>
      </c>
      <c r="C209" s="90" t="str">
        <f ca="1">IF(LEN(Calcs[[#This Row],[Line]])&gt;0,TRIM(IFERROR(INDEX(Items[Description],MATCH(Calcs[[#This Row],[Line]],Items[Line],0))&amp;INDEX(Items[Description2],MATCH(Calcs[[#This Row],[Line]],Items[Line],0)),INDEX(Proposed[Description],MATCH(Calcs[[#This Row],[Line]],Proposed[Line],0)))),"")</f>
        <v/>
      </c>
      <c r="D209" s="96">
        <f t="shared" ca="1" si="120"/>
        <v>0</v>
      </c>
      <c r="E209" s="103">
        <f t="shared" ca="1" si="121"/>
        <v>0</v>
      </c>
      <c r="F209" s="103">
        <f t="shared" ca="1" si="122"/>
        <v>0</v>
      </c>
      <c r="G209" s="103">
        <f t="shared" ca="1" si="123"/>
        <v>0</v>
      </c>
      <c r="H209" s="103">
        <f t="shared" ca="1" si="124"/>
        <v>0</v>
      </c>
      <c r="I209" s="103">
        <f t="shared" ca="1" si="125"/>
        <v>0</v>
      </c>
      <c r="J209" s="103">
        <f t="shared" ca="1" si="126"/>
        <v>0</v>
      </c>
      <c r="K209" s="103">
        <f t="shared" ca="1" si="127"/>
        <v>0</v>
      </c>
      <c r="L209" s="103">
        <f t="shared" ca="1" si="128"/>
        <v>0</v>
      </c>
      <c r="M209" s="103">
        <f t="shared" ca="1" si="129"/>
        <v>0</v>
      </c>
      <c r="N209" s="103">
        <f t="shared" ca="1" si="130"/>
        <v>0</v>
      </c>
      <c r="O209" s="103">
        <f t="shared" ca="1" si="131"/>
        <v>0</v>
      </c>
      <c r="P209" s="103">
        <f t="shared" ca="1" si="132"/>
        <v>0</v>
      </c>
      <c r="Q209" s="103">
        <f t="shared" ca="1" si="133"/>
        <v>0</v>
      </c>
      <c r="R209" s="103">
        <f t="shared" ca="1" si="134"/>
        <v>0</v>
      </c>
      <c r="S209" s="103">
        <f t="shared" ca="1" si="135"/>
        <v>0</v>
      </c>
      <c r="T209" s="103">
        <f t="shared" ca="1" si="136"/>
        <v>0</v>
      </c>
      <c r="U209" s="103">
        <f t="shared" ca="1" si="137"/>
        <v>0</v>
      </c>
      <c r="V209" s="103">
        <f t="shared" ca="1" si="138"/>
        <v>0</v>
      </c>
      <c r="W209" s="103">
        <f t="shared" ca="1" si="139"/>
        <v>0</v>
      </c>
      <c r="X209" s="103">
        <f t="shared" ca="1" si="140"/>
        <v>0</v>
      </c>
      <c r="Y209" s="103">
        <f t="shared" ca="1" si="141"/>
        <v>0</v>
      </c>
      <c r="Z209" s="103">
        <f t="shared" ca="1" si="142"/>
        <v>0</v>
      </c>
      <c r="AA209" s="103">
        <f t="shared" ca="1" si="143"/>
        <v>0</v>
      </c>
      <c r="AB209" s="103">
        <f t="shared" ca="1" si="144"/>
        <v>0</v>
      </c>
      <c r="AC209" s="103">
        <f t="shared" ca="1" si="145"/>
        <v>0</v>
      </c>
      <c r="AD209" s="103">
        <f t="shared" ca="1" si="146"/>
        <v>0</v>
      </c>
      <c r="AE209" s="103">
        <f t="shared" ca="1" si="147"/>
        <v>0</v>
      </c>
      <c r="AF209" s="103">
        <f t="shared" ca="1" si="148"/>
        <v>0</v>
      </c>
      <c r="AG209" s="103">
        <f t="shared" ca="1" si="149"/>
        <v>0</v>
      </c>
      <c r="AH209" s="103">
        <f t="shared" ca="1" si="150"/>
        <v>0</v>
      </c>
      <c r="AI209" s="103">
        <f t="shared" ca="1" si="151"/>
        <v>0</v>
      </c>
      <c r="AJ209" s="98">
        <f t="shared" ca="1" si="192"/>
        <v>0</v>
      </c>
      <c r="AK209" s="103">
        <f t="shared" ca="1" si="192"/>
        <v>0</v>
      </c>
      <c r="AL209" s="103">
        <f t="shared" ca="1" si="192"/>
        <v>0</v>
      </c>
      <c r="AM209" s="103">
        <f t="shared" ca="1" si="192"/>
        <v>0</v>
      </c>
      <c r="AN209" s="103">
        <f t="shared" ca="1" si="192"/>
        <v>0</v>
      </c>
      <c r="AO209" s="103">
        <f t="shared" ca="1" si="192"/>
        <v>0</v>
      </c>
      <c r="AP209" s="103">
        <f t="shared" ca="1" si="192"/>
        <v>0</v>
      </c>
      <c r="AQ209" s="103">
        <f t="shared" ca="1" si="192"/>
        <v>0</v>
      </c>
      <c r="AR209" s="104">
        <f ca="1">COUNTIF(AJ209:AQ209,"&lt;"&amp;MAX(AJ209:AQ209))+IF(Calcs[[#This Row],[DL1]]=0,0,1)</f>
        <v>0</v>
      </c>
      <c r="AS209" s="105" t="str">
        <f ca="1">IF(LEN(Calcs[[#This Row],[Line]])&gt;0,IF(RIGHT(Calcs[[#This Row],[Remark]],3)=".  ",LEFT(Calcs[[#This Row],[Remark]],LEN(Calcs[[#This Row],[Remark]])-3),Calcs[[#This Row],[Remark]]),"")</f>
        <v/>
      </c>
      <c r="AT209" s="96">
        <f t="shared" ca="1" si="152"/>
        <v>0</v>
      </c>
      <c r="AU209" s="103">
        <f t="shared" ca="1" si="153"/>
        <v>0</v>
      </c>
      <c r="AV209" s="103">
        <f t="shared" ca="1" si="154"/>
        <v>0</v>
      </c>
      <c r="AW209" s="103">
        <f t="shared" ca="1" si="155"/>
        <v>0</v>
      </c>
      <c r="AX209" s="103">
        <f t="shared" ca="1" si="156"/>
        <v>0</v>
      </c>
      <c r="AY209" s="103">
        <f t="shared" ca="1" si="157"/>
        <v>0</v>
      </c>
      <c r="AZ209" s="103">
        <f t="shared" ca="1" si="158"/>
        <v>0</v>
      </c>
      <c r="BA209" s="103">
        <f t="shared" ca="1" si="159"/>
        <v>0</v>
      </c>
      <c r="BB209" s="103">
        <f t="shared" ca="1" si="160"/>
        <v>0</v>
      </c>
      <c r="BC209" s="103">
        <f t="shared" ca="1" si="161"/>
        <v>0</v>
      </c>
      <c r="BD209" s="103">
        <f t="shared" ca="1" si="162"/>
        <v>0</v>
      </c>
      <c r="BE209" s="103">
        <f t="shared" ca="1" si="163"/>
        <v>0</v>
      </c>
      <c r="BF209" s="103">
        <f t="shared" ca="1" si="164"/>
        <v>0</v>
      </c>
      <c r="BG209" s="103">
        <f t="shared" ca="1" si="165"/>
        <v>0</v>
      </c>
      <c r="BH209" s="103">
        <f t="shared" ca="1" si="166"/>
        <v>0</v>
      </c>
      <c r="BI209" s="103">
        <f t="shared" ca="1" si="167"/>
        <v>0</v>
      </c>
      <c r="BJ209" s="103">
        <f t="shared" ca="1" si="168"/>
        <v>0</v>
      </c>
      <c r="BK209" s="103">
        <f t="shared" ca="1" si="169"/>
        <v>0</v>
      </c>
      <c r="BL209" s="103">
        <f t="shared" ca="1" si="170"/>
        <v>0</v>
      </c>
      <c r="BM209" s="103">
        <f t="shared" ca="1" si="171"/>
        <v>0</v>
      </c>
      <c r="BN209" s="103">
        <f t="shared" ca="1" si="172"/>
        <v>0</v>
      </c>
      <c r="BO209" s="103">
        <f t="shared" ca="1" si="173"/>
        <v>0</v>
      </c>
      <c r="BP209" s="103">
        <f t="shared" ca="1" si="174"/>
        <v>0</v>
      </c>
      <c r="BQ209" s="103">
        <f t="shared" ca="1" si="175"/>
        <v>0</v>
      </c>
      <c r="BR209" s="103">
        <f t="shared" ca="1" si="176"/>
        <v>0</v>
      </c>
      <c r="BS209" s="103">
        <f t="shared" ca="1" si="177"/>
        <v>0</v>
      </c>
      <c r="BT209" s="103">
        <f t="shared" ca="1" si="178"/>
        <v>0</v>
      </c>
      <c r="BU209" s="103">
        <f t="shared" ca="1" si="179"/>
        <v>0</v>
      </c>
      <c r="BV209" s="103">
        <f t="shared" ca="1" si="180"/>
        <v>0</v>
      </c>
      <c r="BW209" s="103">
        <f t="shared" ca="1" si="181"/>
        <v>0</v>
      </c>
      <c r="BX209" s="103">
        <f t="shared" ca="1" si="182"/>
        <v>0</v>
      </c>
      <c r="BY209" s="103">
        <f t="shared" ca="1" si="183"/>
        <v>0</v>
      </c>
      <c r="BZ209" s="98">
        <f t="shared" ca="1" si="193"/>
        <v>0</v>
      </c>
      <c r="CA209" s="103">
        <f t="shared" ca="1" si="193"/>
        <v>0</v>
      </c>
      <c r="CB209" s="103">
        <f t="shared" ca="1" si="193"/>
        <v>0</v>
      </c>
      <c r="CC209" s="103">
        <f t="shared" ca="1" si="193"/>
        <v>0</v>
      </c>
      <c r="CD209" s="103">
        <f t="shared" ca="1" si="193"/>
        <v>0</v>
      </c>
      <c r="CE209" s="103">
        <f t="shared" ca="1" si="193"/>
        <v>0</v>
      </c>
      <c r="CF209" s="103">
        <f t="shared" ca="1" si="193"/>
        <v>0</v>
      </c>
      <c r="CG209" s="103">
        <f t="shared" ca="1" si="193"/>
        <v>0</v>
      </c>
      <c r="CH209" s="106">
        <f ca="1">COUNTIF(BZ209:CG209,"&lt;"&amp;MAX(BZ209:CG209))+IF(Calcs[[#This Row],[RL1]]=0,0,1)</f>
        <v>0</v>
      </c>
      <c r="CI20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9" s="103">
        <f ca="1">IFERROR(OFFSET(CJ209,-1,0)+0,0)+IF(INDEX(INDIRECT(RangeContrQty),MATCH(Calcs[[#This Row],[Line]],OFFSET(Items[Line],0,0,ROW(Proposed[])-ROW(Items[])+ROWS(Proposed[]),1),0)),1,0)</f>
        <v>0</v>
      </c>
    </row>
    <row r="210" spans="1:88" x14ac:dyDescent="0.15">
      <c r="A210" s="64">
        <f ca="1">IFERROR(OFFSET(A210,-1,0)+0,0)+MAX(IF(LEN(Calcs[[#This Row],[Line]])&gt;0,1,0),Calcs[[#This Row],[DL]],Calcs[[#This Row],[RL]])</f>
        <v>10</v>
      </c>
      <c r="B210" s="90" t="str">
        <f ca="1">IFERROR(INDEX(OFFSET(Items[Line],0,0,ROW(Proposed[])-ROW(Items[])+ROWS(Proposed[]),1),MATCH(ROW(B210)-ROW(B$3),INDIRECT(RangeCount),0)),"")</f>
        <v/>
      </c>
      <c r="C210" s="90" t="str">
        <f ca="1">IF(LEN(Calcs[[#This Row],[Line]])&gt;0,TRIM(IFERROR(INDEX(Items[Description],MATCH(Calcs[[#This Row],[Line]],Items[Line],0))&amp;INDEX(Items[Description2],MATCH(Calcs[[#This Row],[Line]],Items[Line],0)),INDEX(Proposed[Description],MATCH(Calcs[[#This Row],[Line]],Proposed[Line],0)))),"")</f>
        <v/>
      </c>
      <c r="D210" s="96">
        <f t="shared" ca="1" si="120"/>
        <v>0</v>
      </c>
      <c r="E210" s="103">
        <f t="shared" ca="1" si="121"/>
        <v>0</v>
      </c>
      <c r="F210" s="103">
        <f t="shared" ca="1" si="122"/>
        <v>0</v>
      </c>
      <c r="G210" s="103">
        <f t="shared" ca="1" si="123"/>
        <v>0</v>
      </c>
      <c r="H210" s="103">
        <f t="shared" ca="1" si="124"/>
        <v>0</v>
      </c>
      <c r="I210" s="103">
        <f t="shared" ca="1" si="125"/>
        <v>0</v>
      </c>
      <c r="J210" s="103">
        <f t="shared" ca="1" si="126"/>
        <v>0</v>
      </c>
      <c r="K210" s="103">
        <f t="shared" ca="1" si="127"/>
        <v>0</v>
      </c>
      <c r="L210" s="103">
        <f t="shared" ca="1" si="128"/>
        <v>0</v>
      </c>
      <c r="M210" s="103">
        <f t="shared" ca="1" si="129"/>
        <v>0</v>
      </c>
      <c r="N210" s="103">
        <f t="shared" ca="1" si="130"/>
        <v>0</v>
      </c>
      <c r="O210" s="103">
        <f t="shared" ca="1" si="131"/>
        <v>0</v>
      </c>
      <c r="P210" s="103">
        <f t="shared" ca="1" si="132"/>
        <v>0</v>
      </c>
      <c r="Q210" s="103">
        <f t="shared" ca="1" si="133"/>
        <v>0</v>
      </c>
      <c r="R210" s="103">
        <f t="shared" ca="1" si="134"/>
        <v>0</v>
      </c>
      <c r="S210" s="103">
        <f t="shared" ca="1" si="135"/>
        <v>0</v>
      </c>
      <c r="T210" s="103">
        <f t="shared" ca="1" si="136"/>
        <v>0</v>
      </c>
      <c r="U210" s="103">
        <f t="shared" ca="1" si="137"/>
        <v>0</v>
      </c>
      <c r="V210" s="103">
        <f t="shared" ca="1" si="138"/>
        <v>0</v>
      </c>
      <c r="W210" s="103">
        <f t="shared" ca="1" si="139"/>
        <v>0</v>
      </c>
      <c r="X210" s="103">
        <f t="shared" ca="1" si="140"/>
        <v>0</v>
      </c>
      <c r="Y210" s="103">
        <f t="shared" ca="1" si="141"/>
        <v>0</v>
      </c>
      <c r="Z210" s="103">
        <f t="shared" ca="1" si="142"/>
        <v>0</v>
      </c>
      <c r="AA210" s="103">
        <f t="shared" ca="1" si="143"/>
        <v>0</v>
      </c>
      <c r="AB210" s="103">
        <f t="shared" ca="1" si="144"/>
        <v>0</v>
      </c>
      <c r="AC210" s="103">
        <f t="shared" ca="1" si="145"/>
        <v>0</v>
      </c>
      <c r="AD210" s="103">
        <f t="shared" ca="1" si="146"/>
        <v>0</v>
      </c>
      <c r="AE210" s="103">
        <f t="shared" ca="1" si="147"/>
        <v>0</v>
      </c>
      <c r="AF210" s="103">
        <f t="shared" ca="1" si="148"/>
        <v>0</v>
      </c>
      <c r="AG210" s="103">
        <f t="shared" ca="1" si="149"/>
        <v>0</v>
      </c>
      <c r="AH210" s="103">
        <f t="shared" ca="1" si="150"/>
        <v>0</v>
      </c>
      <c r="AI210" s="103">
        <f t="shared" ca="1" si="151"/>
        <v>0</v>
      </c>
      <c r="AJ210" s="98">
        <f t="shared" ca="1" si="192"/>
        <v>0</v>
      </c>
      <c r="AK210" s="103">
        <f t="shared" ca="1" si="192"/>
        <v>0</v>
      </c>
      <c r="AL210" s="103">
        <f t="shared" ca="1" si="192"/>
        <v>0</v>
      </c>
      <c r="AM210" s="103">
        <f t="shared" ca="1" si="192"/>
        <v>0</v>
      </c>
      <c r="AN210" s="103">
        <f t="shared" ca="1" si="192"/>
        <v>0</v>
      </c>
      <c r="AO210" s="103">
        <f t="shared" ca="1" si="192"/>
        <v>0</v>
      </c>
      <c r="AP210" s="103">
        <f t="shared" ca="1" si="192"/>
        <v>0</v>
      </c>
      <c r="AQ210" s="103">
        <f t="shared" ca="1" si="192"/>
        <v>0</v>
      </c>
      <c r="AR210" s="104">
        <f ca="1">COUNTIF(AJ210:AQ210,"&lt;"&amp;MAX(AJ210:AQ210))+IF(Calcs[[#This Row],[DL1]]=0,0,1)</f>
        <v>0</v>
      </c>
      <c r="AS210" s="105" t="str">
        <f ca="1">IF(LEN(Calcs[[#This Row],[Line]])&gt;0,IF(RIGHT(Calcs[[#This Row],[Remark]],3)=".  ",LEFT(Calcs[[#This Row],[Remark]],LEN(Calcs[[#This Row],[Remark]])-3),Calcs[[#This Row],[Remark]]),"")</f>
        <v/>
      </c>
      <c r="AT210" s="96">
        <f t="shared" ca="1" si="152"/>
        <v>0</v>
      </c>
      <c r="AU210" s="103">
        <f t="shared" ca="1" si="153"/>
        <v>0</v>
      </c>
      <c r="AV210" s="103">
        <f t="shared" ca="1" si="154"/>
        <v>0</v>
      </c>
      <c r="AW210" s="103">
        <f t="shared" ca="1" si="155"/>
        <v>0</v>
      </c>
      <c r="AX210" s="103">
        <f t="shared" ca="1" si="156"/>
        <v>0</v>
      </c>
      <c r="AY210" s="103">
        <f t="shared" ca="1" si="157"/>
        <v>0</v>
      </c>
      <c r="AZ210" s="103">
        <f t="shared" ca="1" si="158"/>
        <v>0</v>
      </c>
      <c r="BA210" s="103">
        <f t="shared" ca="1" si="159"/>
        <v>0</v>
      </c>
      <c r="BB210" s="103">
        <f t="shared" ca="1" si="160"/>
        <v>0</v>
      </c>
      <c r="BC210" s="103">
        <f t="shared" ca="1" si="161"/>
        <v>0</v>
      </c>
      <c r="BD210" s="103">
        <f t="shared" ca="1" si="162"/>
        <v>0</v>
      </c>
      <c r="BE210" s="103">
        <f t="shared" ca="1" si="163"/>
        <v>0</v>
      </c>
      <c r="BF210" s="103">
        <f t="shared" ca="1" si="164"/>
        <v>0</v>
      </c>
      <c r="BG210" s="103">
        <f t="shared" ca="1" si="165"/>
        <v>0</v>
      </c>
      <c r="BH210" s="103">
        <f t="shared" ca="1" si="166"/>
        <v>0</v>
      </c>
      <c r="BI210" s="103">
        <f t="shared" ca="1" si="167"/>
        <v>0</v>
      </c>
      <c r="BJ210" s="103">
        <f t="shared" ca="1" si="168"/>
        <v>0</v>
      </c>
      <c r="BK210" s="103">
        <f t="shared" ca="1" si="169"/>
        <v>0</v>
      </c>
      <c r="BL210" s="103">
        <f t="shared" ca="1" si="170"/>
        <v>0</v>
      </c>
      <c r="BM210" s="103">
        <f t="shared" ca="1" si="171"/>
        <v>0</v>
      </c>
      <c r="BN210" s="103">
        <f t="shared" ca="1" si="172"/>
        <v>0</v>
      </c>
      <c r="BO210" s="103">
        <f t="shared" ca="1" si="173"/>
        <v>0</v>
      </c>
      <c r="BP210" s="103">
        <f t="shared" ca="1" si="174"/>
        <v>0</v>
      </c>
      <c r="BQ210" s="103">
        <f t="shared" ca="1" si="175"/>
        <v>0</v>
      </c>
      <c r="BR210" s="103">
        <f t="shared" ca="1" si="176"/>
        <v>0</v>
      </c>
      <c r="BS210" s="103">
        <f t="shared" ca="1" si="177"/>
        <v>0</v>
      </c>
      <c r="BT210" s="103">
        <f t="shared" ca="1" si="178"/>
        <v>0</v>
      </c>
      <c r="BU210" s="103">
        <f t="shared" ca="1" si="179"/>
        <v>0</v>
      </c>
      <c r="BV210" s="103">
        <f t="shared" ca="1" si="180"/>
        <v>0</v>
      </c>
      <c r="BW210" s="103">
        <f t="shared" ca="1" si="181"/>
        <v>0</v>
      </c>
      <c r="BX210" s="103">
        <f t="shared" ca="1" si="182"/>
        <v>0</v>
      </c>
      <c r="BY210" s="103">
        <f t="shared" ca="1" si="183"/>
        <v>0</v>
      </c>
      <c r="BZ210" s="98">
        <f t="shared" ca="1" si="193"/>
        <v>0</v>
      </c>
      <c r="CA210" s="103">
        <f t="shared" ca="1" si="193"/>
        <v>0</v>
      </c>
      <c r="CB210" s="103">
        <f t="shared" ca="1" si="193"/>
        <v>0</v>
      </c>
      <c r="CC210" s="103">
        <f t="shared" ca="1" si="193"/>
        <v>0</v>
      </c>
      <c r="CD210" s="103">
        <f t="shared" ca="1" si="193"/>
        <v>0</v>
      </c>
      <c r="CE210" s="103">
        <f t="shared" ca="1" si="193"/>
        <v>0</v>
      </c>
      <c r="CF210" s="103">
        <f t="shared" ca="1" si="193"/>
        <v>0</v>
      </c>
      <c r="CG210" s="103">
        <f t="shared" ca="1" si="193"/>
        <v>0</v>
      </c>
      <c r="CH210" s="106">
        <f ca="1">COUNTIF(BZ210:CG210,"&lt;"&amp;MAX(BZ210:CG210))+IF(Calcs[[#This Row],[RL1]]=0,0,1)</f>
        <v>0</v>
      </c>
      <c r="CI21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0" s="103">
        <f ca="1">IFERROR(OFFSET(CJ210,-1,0)+0,0)+IF(INDEX(INDIRECT(RangeContrQty),MATCH(Calcs[[#This Row],[Line]],OFFSET(Items[Line],0,0,ROW(Proposed[])-ROW(Items[])+ROWS(Proposed[]),1),0)),1,0)</f>
        <v>0</v>
      </c>
    </row>
    <row r="211" spans="1:88" x14ac:dyDescent="0.15">
      <c r="A211" s="64">
        <f ca="1">IFERROR(OFFSET(A211,-1,0)+0,0)+MAX(IF(LEN(Calcs[[#This Row],[Line]])&gt;0,1,0),Calcs[[#This Row],[DL]],Calcs[[#This Row],[RL]])</f>
        <v>10</v>
      </c>
      <c r="B211" s="90" t="str">
        <f ca="1">IFERROR(INDEX(OFFSET(Items[Line],0,0,ROW(Proposed[])-ROW(Items[])+ROWS(Proposed[]),1),MATCH(ROW(B211)-ROW(B$3),INDIRECT(RangeCount),0)),"")</f>
        <v/>
      </c>
      <c r="C211" s="90" t="str">
        <f ca="1">IF(LEN(Calcs[[#This Row],[Line]])&gt;0,TRIM(IFERROR(INDEX(Items[Description],MATCH(Calcs[[#This Row],[Line]],Items[Line],0))&amp;INDEX(Items[Description2],MATCH(Calcs[[#This Row],[Line]],Items[Line],0)),INDEX(Proposed[Description],MATCH(Calcs[[#This Row],[Line]],Proposed[Line],0)))),"")</f>
        <v/>
      </c>
      <c r="D211" s="96">
        <f t="shared" ca="1" si="120"/>
        <v>0</v>
      </c>
      <c r="E211" s="103">
        <f t="shared" ca="1" si="121"/>
        <v>0</v>
      </c>
      <c r="F211" s="103">
        <f t="shared" ca="1" si="122"/>
        <v>0</v>
      </c>
      <c r="G211" s="103">
        <f t="shared" ca="1" si="123"/>
        <v>0</v>
      </c>
      <c r="H211" s="103">
        <f t="shared" ca="1" si="124"/>
        <v>0</v>
      </c>
      <c r="I211" s="103">
        <f t="shared" ca="1" si="125"/>
        <v>0</v>
      </c>
      <c r="J211" s="103">
        <f t="shared" ca="1" si="126"/>
        <v>0</v>
      </c>
      <c r="K211" s="103">
        <f t="shared" ca="1" si="127"/>
        <v>0</v>
      </c>
      <c r="L211" s="103">
        <f t="shared" ca="1" si="128"/>
        <v>0</v>
      </c>
      <c r="M211" s="103">
        <f t="shared" ca="1" si="129"/>
        <v>0</v>
      </c>
      <c r="N211" s="103">
        <f t="shared" ca="1" si="130"/>
        <v>0</v>
      </c>
      <c r="O211" s="103">
        <f t="shared" ca="1" si="131"/>
        <v>0</v>
      </c>
      <c r="P211" s="103">
        <f t="shared" ca="1" si="132"/>
        <v>0</v>
      </c>
      <c r="Q211" s="103">
        <f t="shared" ca="1" si="133"/>
        <v>0</v>
      </c>
      <c r="R211" s="103">
        <f t="shared" ca="1" si="134"/>
        <v>0</v>
      </c>
      <c r="S211" s="103">
        <f t="shared" ca="1" si="135"/>
        <v>0</v>
      </c>
      <c r="T211" s="103">
        <f t="shared" ca="1" si="136"/>
        <v>0</v>
      </c>
      <c r="U211" s="103">
        <f t="shared" ca="1" si="137"/>
        <v>0</v>
      </c>
      <c r="V211" s="103">
        <f t="shared" ca="1" si="138"/>
        <v>0</v>
      </c>
      <c r="W211" s="103">
        <f t="shared" ca="1" si="139"/>
        <v>0</v>
      </c>
      <c r="X211" s="103">
        <f t="shared" ca="1" si="140"/>
        <v>0</v>
      </c>
      <c r="Y211" s="103">
        <f t="shared" ca="1" si="141"/>
        <v>0</v>
      </c>
      <c r="Z211" s="103">
        <f t="shared" ca="1" si="142"/>
        <v>0</v>
      </c>
      <c r="AA211" s="103">
        <f t="shared" ca="1" si="143"/>
        <v>0</v>
      </c>
      <c r="AB211" s="103">
        <f t="shared" ca="1" si="144"/>
        <v>0</v>
      </c>
      <c r="AC211" s="103">
        <f t="shared" ca="1" si="145"/>
        <v>0</v>
      </c>
      <c r="AD211" s="103">
        <f t="shared" ca="1" si="146"/>
        <v>0</v>
      </c>
      <c r="AE211" s="103">
        <f t="shared" ca="1" si="147"/>
        <v>0</v>
      </c>
      <c r="AF211" s="103">
        <f t="shared" ca="1" si="148"/>
        <v>0</v>
      </c>
      <c r="AG211" s="103">
        <f t="shared" ca="1" si="149"/>
        <v>0</v>
      </c>
      <c r="AH211" s="103">
        <f t="shared" ca="1" si="150"/>
        <v>0</v>
      </c>
      <c r="AI211" s="103">
        <f t="shared" ca="1" si="151"/>
        <v>0</v>
      </c>
      <c r="AJ211" s="98">
        <f t="shared" ca="1" si="192"/>
        <v>0</v>
      </c>
      <c r="AK211" s="103">
        <f t="shared" ca="1" si="192"/>
        <v>0</v>
      </c>
      <c r="AL211" s="103">
        <f t="shared" ca="1" si="192"/>
        <v>0</v>
      </c>
      <c r="AM211" s="103">
        <f t="shared" ca="1" si="192"/>
        <v>0</v>
      </c>
      <c r="AN211" s="103">
        <f t="shared" ca="1" si="192"/>
        <v>0</v>
      </c>
      <c r="AO211" s="103">
        <f t="shared" ca="1" si="192"/>
        <v>0</v>
      </c>
      <c r="AP211" s="103">
        <f t="shared" ca="1" si="192"/>
        <v>0</v>
      </c>
      <c r="AQ211" s="103">
        <f t="shared" ca="1" si="192"/>
        <v>0</v>
      </c>
      <c r="AR211" s="104">
        <f ca="1">COUNTIF(AJ211:AQ211,"&lt;"&amp;MAX(AJ211:AQ211))+IF(Calcs[[#This Row],[DL1]]=0,0,1)</f>
        <v>0</v>
      </c>
      <c r="AS211" s="105" t="str">
        <f ca="1">IF(LEN(Calcs[[#This Row],[Line]])&gt;0,IF(RIGHT(Calcs[[#This Row],[Remark]],3)=".  ",LEFT(Calcs[[#This Row],[Remark]],LEN(Calcs[[#This Row],[Remark]])-3),Calcs[[#This Row],[Remark]]),"")</f>
        <v/>
      </c>
      <c r="AT211" s="96">
        <f t="shared" ca="1" si="152"/>
        <v>0</v>
      </c>
      <c r="AU211" s="103">
        <f t="shared" ca="1" si="153"/>
        <v>0</v>
      </c>
      <c r="AV211" s="103">
        <f t="shared" ca="1" si="154"/>
        <v>0</v>
      </c>
      <c r="AW211" s="103">
        <f t="shared" ca="1" si="155"/>
        <v>0</v>
      </c>
      <c r="AX211" s="103">
        <f t="shared" ca="1" si="156"/>
        <v>0</v>
      </c>
      <c r="AY211" s="103">
        <f t="shared" ca="1" si="157"/>
        <v>0</v>
      </c>
      <c r="AZ211" s="103">
        <f t="shared" ca="1" si="158"/>
        <v>0</v>
      </c>
      <c r="BA211" s="103">
        <f t="shared" ca="1" si="159"/>
        <v>0</v>
      </c>
      <c r="BB211" s="103">
        <f t="shared" ca="1" si="160"/>
        <v>0</v>
      </c>
      <c r="BC211" s="103">
        <f t="shared" ca="1" si="161"/>
        <v>0</v>
      </c>
      <c r="BD211" s="103">
        <f t="shared" ca="1" si="162"/>
        <v>0</v>
      </c>
      <c r="BE211" s="103">
        <f t="shared" ca="1" si="163"/>
        <v>0</v>
      </c>
      <c r="BF211" s="103">
        <f t="shared" ca="1" si="164"/>
        <v>0</v>
      </c>
      <c r="BG211" s="103">
        <f t="shared" ca="1" si="165"/>
        <v>0</v>
      </c>
      <c r="BH211" s="103">
        <f t="shared" ca="1" si="166"/>
        <v>0</v>
      </c>
      <c r="BI211" s="103">
        <f t="shared" ca="1" si="167"/>
        <v>0</v>
      </c>
      <c r="BJ211" s="103">
        <f t="shared" ca="1" si="168"/>
        <v>0</v>
      </c>
      <c r="BK211" s="103">
        <f t="shared" ca="1" si="169"/>
        <v>0</v>
      </c>
      <c r="BL211" s="103">
        <f t="shared" ca="1" si="170"/>
        <v>0</v>
      </c>
      <c r="BM211" s="103">
        <f t="shared" ca="1" si="171"/>
        <v>0</v>
      </c>
      <c r="BN211" s="103">
        <f t="shared" ca="1" si="172"/>
        <v>0</v>
      </c>
      <c r="BO211" s="103">
        <f t="shared" ca="1" si="173"/>
        <v>0</v>
      </c>
      <c r="BP211" s="103">
        <f t="shared" ca="1" si="174"/>
        <v>0</v>
      </c>
      <c r="BQ211" s="103">
        <f t="shared" ca="1" si="175"/>
        <v>0</v>
      </c>
      <c r="BR211" s="103">
        <f t="shared" ca="1" si="176"/>
        <v>0</v>
      </c>
      <c r="BS211" s="103">
        <f t="shared" ca="1" si="177"/>
        <v>0</v>
      </c>
      <c r="BT211" s="103">
        <f t="shared" ca="1" si="178"/>
        <v>0</v>
      </c>
      <c r="BU211" s="103">
        <f t="shared" ca="1" si="179"/>
        <v>0</v>
      </c>
      <c r="BV211" s="103">
        <f t="shared" ca="1" si="180"/>
        <v>0</v>
      </c>
      <c r="BW211" s="103">
        <f t="shared" ca="1" si="181"/>
        <v>0</v>
      </c>
      <c r="BX211" s="103">
        <f t="shared" ca="1" si="182"/>
        <v>0</v>
      </c>
      <c r="BY211" s="103">
        <f t="shared" ca="1" si="183"/>
        <v>0</v>
      </c>
      <c r="BZ211" s="98">
        <f t="shared" ca="1" si="193"/>
        <v>0</v>
      </c>
      <c r="CA211" s="103">
        <f t="shared" ca="1" si="193"/>
        <v>0</v>
      </c>
      <c r="CB211" s="103">
        <f t="shared" ca="1" si="193"/>
        <v>0</v>
      </c>
      <c r="CC211" s="103">
        <f t="shared" ca="1" si="193"/>
        <v>0</v>
      </c>
      <c r="CD211" s="103">
        <f t="shared" ca="1" si="193"/>
        <v>0</v>
      </c>
      <c r="CE211" s="103">
        <f t="shared" ca="1" si="193"/>
        <v>0</v>
      </c>
      <c r="CF211" s="103">
        <f t="shared" ca="1" si="193"/>
        <v>0</v>
      </c>
      <c r="CG211" s="103">
        <f t="shared" ca="1" si="193"/>
        <v>0</v>
      </c>
      <c r="CH211" s="106">
        <f ca="1">COUNTIF(BZ211:CG211,"&lt;"&amp;MAX(BZ211:CG211))+IF(Calcs[[#This Row],[RL1]]=0,0,1)</f>
        <v>0</v>
      </c>
      <c r="CI21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1" s="103">
        <f ca="1">IFERROR(OFFSET(CJ211,-1,0)+0,0)+IF(INDEX(INDIRECT(RangeContrQty),MATCH(Calcs[[#This Row],[Line]],OFFSET(Items[Line],0,0,ROW(Proposed[])-ROW(Items[])+ROWS(Proposed[]),1),0)),1,0)</f>
        <v>0</v>
      </c>
    </row>
    <row r="212" spans="1:88" x14ac:dyDescent="0.15">
      <c r="A212" s="64">
        <f ca="1">IFERROR(OFFSET(A212,-1,0)+0,0)+MAX(IF(LEN(Calcs[[#This Row],[Line]])&gt;0,1,0),Calcs[[#This Row],[DL]],Calcs[[#This Row],[RL]])</f>
        <v>10</v>
      </c>
      <c r="B212" s="90" t="str">
        <f ca="1">IFERROR(INDEX(OFFSET(Items[Line],0,0,ROW(Proposed[])-ROW(Items[])+ROWS(Proposed[]),1),MATCH(ROW(B212)-ROW(B$3),INDIRECT(RangeCount),0)),"")</f>
        <v/>
      </c>
      <c r="C212" s="90" t="str">
        <f ca="1">IF(LEN(Calcs[[#This Row],[Line]])&gt;0,TRIM(IFERROR(INDEX(Items[Description],MATCH(Calcs[[#This Row],[Line]],Items[Line],0))&amp;INDEX(Items[Description2],MATCH(Calcs[[#This Row],[Line]],Items[Line],0)),INDEX(Proposed[Description],MATCH(Calcs[[#This Row],[Line]],Proposed[Line],0)))),"")</f>
        <v/>
      </c>
      <c r="D212" s="96">
        <f t="shared" ca="1" si="120"/>
        <v>0</v>
      </c>
      <c r="E212" s="103">
        <f t="shared" ca="1" si="121"/>
        <v>0</v>
      </c>
      <c r="F212" s="103">
        <f t="shared" ca="1" si="122"/>
        <v>0</v>
      </c>
      <c r="G212" s="103">
        <f t="shared" ca="1" si="123"/>
        <v>0</v>
      </c>
      <c r="H212" s="103">
        <f t="shared" ca="1" si="124"/>
        <v>0</v>
      </c>
      <c r="I212" s="103">
        <f t="shared" ca="1" si="125"/>
        <v>0</v>
      </c>
      <c r="J212" s="103">
        <f t="shared" ca="1" si="126"/>
        <v>0</v>
      </c>
      <c r="K212" s="103">
        <f t="shared" ca="1" si="127"/>
        <v>0</v>
      </c>
      <c r="L212" s="103">
        <f t="shared" ca="1" si="128"/>
        <v>0</v>
      </c>
      <c r="M212" s="103">
        <f t="shared" ca="1" si="129"/>
        <v>0</v>
      </c>
      <c r="N212" s="103">
        <f t="shared" ca="1" si="130"/>
        <v>0</v>
      </c>
      <c r="O212" s="103">
        <f t="shared" ca="1" si="131"/>
        <v>0</v>
      </c>
      <c r="P212" s="103">
        <f t="shared" ca="1" si="132"/>
        <v>0</v>
      </c>
      <c r="Q212" s="103">
        <f t="shared" ca="1" si="133"/>
        <v>0</v>
      </c>
      <c r="R212" s="103">
        <f t="shared" ca="1" si="134"/>
        <v>0</v>
      </c>
      <c r="S212" s="103">
        <f t="shared" ca="1" si="135"/>
        <v>0</v>
      </c>
      <c r="T212" s="103">
        <f t="shared" ca="1" si="136"/>
        <v>0</v>
      </c>
      <c r="U212" s="103">
        <f t="shared" ca="1" si="137"/>
        <v>0</v>
      </c>
      <c r="V212" s="103">
        <f t="shared" ca="1" si="138"/>
        <v>0</v>
      </c>
      <c r="W212" s="103">
        <f t="shared" ca="1" si="139"/>
        <v>0</v>
      </c>
      <c r="X212" s="103">
        <f t="shared" ca="1" si="140"/>
        <v>0</v>
      </c>
      <c r="Y212" s="103">
        <f t="shared" ca="1" si="141"/>
        <v>0</v>
      </c>
      <c r="Z212" s="103">
        <f t="shared" ca="1" si="142"/>
        <v>0</v>
      </c>
      <c r="AA212" s="103">
        <f t="shared" ca="1" si="143"/>
        <v>0</v>
      </c>
      <c r="AB212" s="103">
        <f t="shared" ca="1" si="144"/>
        <v>0</v>
      </c>
      <c r="AC212" s="103">
        <f t="shared" ca="1" si="145"/>
        <v>0</v>
      </c>
      <c r="AD212" s="103">
        <f t="shared" ca="1" si="146"/>
        <v>0</v>
      </c>
      <c r="AE212" s="103">
        <f t="shared" ca="1" si="147"/>
        <v>0</v>
      </c>
      <c r="AF212" s="103">
        <f t="shared" ca="1" si="148"/>
        <v>0</v>
      </c>
      <c r="AG212" s="103">
        <f t="shared" ca="1" si="149"/>
        <v>0</v>
      </c>
      <c r="AH212" s="103">
        <f t="shared" ca="1" si="150"/>
        <v>0</v>
      </c>
      <c r="AI212" s="103">
        <f t="shared" ca="1" si="151"/>
        <v>0</v>
      </c>
      <c r="AJ212" s="98">
        <f t="shared" ref="AJ212:AQ221" ca="1" si="194">HLOOKUP(IF(COLUMN(AJ212)-COLUMN($AJ$3)=0,0,OFFSET(AJ212,0,-1))+widthPayItem,$D212:$AI212,1)</f>
        <v>0</v>
      </c>
      <c r="AK212" s="103">
        <f t="shared" ca="1" si="194"/>
        <v>0</v>
      </c>
      <c r="AL212" s="103">
        <f t="shared" ca="1" si="194"/>
        <v>0</v>
      </c>
      <c r="AM212" s="103">
        <f t="shared" ca="1" si="194"/>
        <v>0</v>
      </c>
      <c r="AN212" s="103">
        <f t="shared" ca="1" si="194"/>
        <v>0</v>
      </c>
      <c r="AO212" s="103">
        <f t="shared" ca="1" si="194"/>
        <v>0</v>
      </c>
      <c r="AP212" s="103">
        <f t="shared" ca="1" si="194"/>
        <v>0</v>
      </c>
      <c r="AQ212" s="103">
        <f t="shared" ca="1" si="194"/>
        <v>0</v>
      </c>
      <c r="AR212" s="104">
        <f ca="1">COUNTIF(AJ212:AQ212,"&lt;"&amp;MAX(AJ212:AQ212))+IF(Calcs[[#This Row],[DL1]]=0,0,1)</f>
        <v>0</v>
      </c>
      <c r="AS212" s="105" t="str">
        <f ca="1">IF(LEN(Calcs[[#This Row],[Line]])&gt;0,IF(RIGHT(Calcs[[#This Row],[Remark]],3)=".  ",LEFT(Calcs[[#This Row],[Remark]],LEN(Calcs[[#This Row],[Remark]])-3),Calcs[[#This Row],[Remark]]),"")</f>
        <v/>
      </c>
      <c r="AT212" s="96">
        <f t="shared" ca="1" si="152"/>
        <v>0</v>
      </c>
      <c r="AU212" s="103">
        <f t="shared" ca="1" si="153"/>
        <v>0</v>
      </c>
      <c r="AV212" s="103">
        <f t="shared" ca="1" si="154"/>
        <v>0</v>
      </c>
      <c r="AW212" s="103">
        <f t="shared" ca="1" si="155"/>
        <v>0</v>
      </c>
      <c r="AX212" s="103">
        <f t="shared" ca="1" si="156"/>
        <v>0</v>
      </c>
      <c r="AY212" s="103">
        <f t="shared" ca="1" si="157"/>
        <v>0</v>
      </c>
      <c r="AZ212" s="103">
        <f t="shared" ca="1" si="158"/>
        <v>0</v>
      </c>
      <c r="BA212" s="103">
        <f t="shared" ca="1" si="159"/>
        <v>0</v>
      </c>
      <c r="BB212" s="103">
        <f t="shared" ca="1" si="160"/>
        <v>0</v>
      </c>
      <c r="BC212" s="103">
        <f t="shared" ca="1" si="161"/>
        <v>0</v>
      </c>
      <c r="BD212" s="103">
        <f t="shared" ca="1" si="162"/>
        <v>0</v>
      </c>
      <c r="BE212" s="103">
        <f t="shared" ca="1" si="163"/>
        <v>0</v>
      </c>
      <c r="BF212" s="103">
        <f t="shared" ca="1" si="164"/>
        <v>0</v>
      </c>
      <c r="BG212" s="103">
        <f t="shared" ca="1" si="165"/>
        <v>0</v>
      </c>
      <c r="BH212" s="103">
        <f t="shared" ca="1" si="166"/>
        <v>0</v>
      </c>
      <c r="BI212" s="103">
        <f t="shared" ca="1" si="167"/>
        <v>0</v>
      </c>
      <c r="BJ212" s="103">
        <f t="shared" ca="1" si="168"/>
        <v>0</v>
      </c>
      <c r="BK212" s="103">
        <f t="shared" ca="1" si="169"/>
        <v>0</v>
      </c>
      <c r="BL212" s="103">
        <f t="shared" ca="1" si="170"/>
        <v>0</v>
      </c>
      <c r="BM212" s="103">
        <f t="shared" ca="1" si="171"/>
        <v>0</v>
      </c>
      <c r="BN212" s="103">
        <f t="shared" ca="1" si="172"/>
        <v>0</v>
      </c>
      <c r="BO212" s="103">
        <f t="shared" ca="1" si="173"/>
        <v>0</v>
      </c>
      <c r="BP212" s="103">
        <f t="shared" ca="1" si="174"/>
        <v>0</v>
      </c>
      <c r="BQ212" s="103">
        <f t="shared" ca="1" si="175"/>
        <v>0</v>
      </c>
      <c r="BR212" s="103">
        <f t="shared" ca="1" si="176"/>
        <v>0</v>
      </c>
      <c r="BS212" s="103">
        <f t="shared" ca="1" si="177"/>
        <v>0</v>
      </c>
      <c r="BT212" s="103">
        <f t="shared" ca="1" si="178"/>
        <v>0</v>
      </c>
      <c r="BU212" s="103">
        <f t="shared" ca="1" si="179"/>
        <v>0</v>
      </c>
      <c r="BV212" s="103">
        <f t="shared" ca="1" si="180"/>
        <v>0</v>
      </c>
      <c r="BW212" s="103">
        <f t="shared" ca="1" si="181"/>
        <v>0</v>
      </c>
      <c r="BX212" s="103">
        <f t="shared" ca="1" si="182"/>
        <v>0</v>
      </c>
      <c r="BY212" s="103">
        <f t="shared" ca="1" si="183"/>
        <v>0</v>
      </c>
      <c r="BZ212" s="98">
        <f t="shared" ref="BZ212:CG221" ca="1" si="195">HLOOKUP(IF(COLUMN(BZ212)-COLUMN($BZ$3)=0,0,OFFSET(BZ212,0,-1))+widthRemarks,$AT212:$BY212,1)</f>
        <v>0</v>
      </c>
      <c r="CA212" s="103">
        <f t="shared" ca="1" si="195"/>
        <v>0</v>
      </c>
      <c r="CB212" s="103">
        <f t="shared" ca="1" si="195"/>
        <v>0</v>
      </c>
      <c r="CC212" s="103">
        <f t="shared" ca="1" si="195"/>
        <v>0</v>
      </c>
      <c r="CD212" s="103">
        <f t="shared" ca="1" si="195"/>
        <v>0</v>
      </c>
      <c r="CE212" s="103">
        <f t="shared" ca="1" si="195"/>
        <v>0</v>
      </c>
      <c r="CF212" s="103">
        <f t="shared" ca="1" si="195"/>
        <v>0</v>
      </c>
      <c r="CG212" s="103">
        <f t="shared" ca="1" si="195"/>
        <v>0</v>
      </c>
      <c r="CH212" s="106">
        <f ca="1">COUNTIF(BZ212:CG212,"&lt;"&amp;MAX(BZ212:CG212))+IF(Calcs[[#This Row],[RL1]]=0,0,1)</f>
        <v>0</v>
      </c>
      <c r="CI21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2" s="103">
        <f ca="1">IFERROR(OFFSET(CJ212,-1,0)+0,0)+IF(INDEX(INDIRECT(RangeContrQty),MATCH(Calcs[[#This Row],[Line]],OFFSET(Items[Line],0,0,ROW(Proposed[])-ROW(Items[])+ROWS(Proposed[]),1),0)),1,0)</f>
        <v>0</v>
      </c>
    </row>
    <row r="213" spans="1:88" x14ac:dyDescent="0.15">
      <c r="A213" s="64">
        <f ca="1">IFERROR(OFFSET(A213,-1,0)+0,0)+MAX(IF(LEN(Calcs[[#This Row],[Line]])&gt;0,1,0),Calcs[[#This Row],[DL]],Calcs[[#This Row],[RL]])</f>
        <v>10</v>
      </c>
      <c r="B213" s="90" t="str">
        <f ca="1">IFERROR(INDEX(OFFSET(Items[Line],0,0,ROW(Proposed[])-ROW(Items[])+ROWS(Proposed[]),1),MATCH(ROW(B213)-ROW(B$3),INDIRECT(RangeCount),0)),"")</f>
        <v/>
      </c>
      <c r="C213" s="90" t="str">
        <f ca="1">IF(LEN(Calcs[[#This Row],[Line]])&gt;0,TRIM(IFERROR(INDEX(Items[Description],MATCH(Calcs[[#This Row],[Line]],Items[Line],0))&amp;INDEX(Items[Description2],MATCH(Calcs[[#This Row],[Line]],Items[Line],0)),INDEX(Proposed[Description],MATCH(Calcs[[#This Row],[Line]],Proposed[Line],0)))),"")</f>
        <v/>
      </c>
      <c r="D213" s="96">
        <f t="shared" ca="1" si="120"/>
        <v>0</v>
      </c>
      <c r="E213" s="103">
        <f t="shared" ca="1" si="121"/>
        <v>0</v>
      </c>
      <c r="F213" s="103">
        <f t="shared" ca="1" si="122"/>
        <v>0</v>
      </c>
      <c r="G213" s="103">
        <f t="shared" ca="1" si="123"/>
        <v>0</v>
      </c>
      <c r="H213" s="103">
        <f t="shared" ca="1" si="124"/>
        <v>0</v>
      </c>
      <c r="I213" s="103">
        <f t="shared" ca="1" si="125"/>
        <v>0</v>
      </c>
      <c r="J213" s="103">
        <f t="shared" ca="1" si="126"/>
        <v>0</v>
      </c>
      <c r="K213" s="103">
        <f t="shared" ca="1" si="127"/>
        <v>0</v>
      </c>
      <c r="L213" s="103">
        <f t="shared" ca="1" si="128"/>
        <v>0</v>
      </c>
      <c r="M213" s="103">
        <f t="shared" ca="1" si="129"/>
        <v>0</v>
      </c>
      <c r="N213" s="103">
        <f t="shared" ca="1" si="130"/>
        <v>0</v>
      </c>
      <c r="O213" s="103">
        <f t="shared" ca="1" si="131"/>
        <v>0</v>
      </c>
      <c r="P213" s="103">
        <f t="shared" ca="1" si="132"/>
        <v>0</v>
      </c>
      <c r="Q213" s="103">
        <f t="shared" ca="1" si="133"/>
        <v>0</v>
      </c>
      <c r="R213" s="103">
        <f t="shared" ca="1" si="134"/>
        <v>0</v>
      </c>
      <c r="S213" s="103">
        <f t="shared" ca="1" si="135"/>
        <v>0</v>
      </c>
      <c r="T213" s="103">
        <f t="shared" ca="1" si="136"/>
        <v>0</v>
      </c>
      <c r="U213" s="103">
        <f t="shared" ca="1" si="137"/>
        <v>0</v>
      </c>
      <c r="V213" s="103">
        <f t="shared" ca="1" si="138"/>
        <v>0</v>
      </c>
      <c r="W213" s="103">
        <f t="shared" ca="1" si="139"/>
        <v>0</v>
      </c>
      <c r="X213" s="103">
        <f t="shared" ca="1" si="140"/>
        <v>0</v>
      </c>
      <c r="Y213" s="103">
        <f t="shared" ca="1" si="141"/>
        <v>0</v>
      </c>
      <c r="Z213" s="103">
        <f t="shared" ca="1" si="142"/>
        <v>0</v>
      </c>
      <c r="AA213" s="103">
        <f t="shared" ca="1" si="143"/>
        <v>0</v>
      </c>
      <c r="AB213" s="103">
        <f t="shared" ca="1" si="144"/>
        <v>0</v>
      </c>
      <c r="AC213" s="103">
        <f t="shared" ca="1" si="145"/>
        <v>0</v>
      </c>
      <c r="AD213" s="103">
        <f t="shared" ca="1" si="146"/>
        <v>0</v>
      </c>
      <c r="AE213" s="103">
        <f t="shared" ca="1" si="147"/>
        <v>0</v>
      </c>
      <c r="AF213" s="103">
        <f t="shared" ca="1" si="148"/>
        <v>0</v>
      </c>
      <c r="AG213" s="103">
        <f t="shared" ca="1" si="149"/>
        <v>0</v>
      </c>
      <c r="AH213" s="103">
        <f t="shared" ca="1" si="150"/>
        <v>0</v>
      </c>
      <c r="AI213" s="103">
        <f t="shared" ca="1" si="151"/>
        <v>0</v>
      </c>
      <c r="AJ213" s="98">
        <f t="shared" ca="1" si="194"/>
        <v>0</v>
      </c>
      <c r="AK213" s="103">
        <f t="shared" ca="1" si="194"/>
        <v>0</v>
      </c>
      <c r="AL213" s="103">
        <f t="shared" ca="1" si="194"/>
        <v>0</v>
      </c>
      <c r="AM213" s="103">
        <f t="shared" ca="1" si="194"/>
        <v>0</v>
      </c>
      <c r="AN213" s="103">
        <f t="shared" ca="1" si="194"/>
        <v>0</v>
      </c>
      <c r="AO213" s="103">
        <f t="shared" ca="1" si="194"/>
        <v>0</v>
      </c>
      <c r="AP213" s="103">
        <f t="shared" ca="1" si="194"/>
        <v>0</v>
      </c>
      <c r="AQ213" s="103">
        <f t="shared" ca="1" si="194"/>
        <v>0</v>
      </c>
      <c r="AR213" s="104">
        <f ca="1">COUNTIF(AJ213:AQ213,"&lt;"&amp;MAX(AJ213:AQ213))+IF(Calcs[[#This Row],[DL1]]=0,0,1)</f>
        <v>0</v>
      </c>
      <c r="AS213" s="105" t="str">
        <f ca="1">IF(LEN(Calcs[[#This Row],[Line]])&gt;0,IF(RIGHT(Calcs[[#This Row],[Remark]],3)=".  ",LEFT(Calcs[[#This Row],[Remark]],LEN(Calcs[[#This Row],[Remark]])-3),Calcs[[#This Row],[Remark]]),"")</f>
        <v/>
      </c>
      <c r="AT213" s="96">
        <f t="shared" ca="1" si="152"/>
        <v>0</v>
      </c>
      <c r="AU213" s="103">
        <f t="shared" ca="1" si="153"/>
        <v>0</v>
      </c>
      <c r="AV213" s="103">
        <f t="shared" ca="1" si="154"/>
        <v>0</v>
      </c>
      <c r="AW213" s="103">
        <f t="shared" ca="1" si="155"/>
        <v>0</v>
      </c>
      <c r="AX213" s="103">
        <f t="shared" ca="1" si="156"/>
        <v>0</v>
      </c>
      <c r="AY213" s="103">
        <f t="shared" ca="1" si="157"/>
        <v>0</v>
      </c>
      <c r="AZ213" s="103">
        <f t="shared" ca="1" si="158"/>
        <v>0</v>
      </c>
      <c r="BA213" s="103">
        <f t="shared" ca="1" si="159"/>
        <v>0</v>
      </c>
      <c r="BB213" s="103">
        <f t="shared" ca="1" si="160"/>
        <v>0</v>
      </c>
      <c r="BC213" s="103">
        <f t="shared" ca="1" si="161"/>
        <v>0</v>
      </c>
      <c r="BD213" s="103">
        <f t="shared" ca="1" si="162"/>
        <v>0</v>
      </c>
      <c r="BE213" s="103">
        <f t="shared" ca="1" si="163"/>
        <v>0</v>
      </c>
      <c r="BF213" s="103">
        <f t="shared" ca="1" si="164"/>
        <v>0</v>
      </c>
      <c r="BG213" s="103">
        <f t="shared" ca="1" si="165"/>
        <v>0</v>
      </c>
      <c r="BH213" s="103">
        <f t="shared" ca="1" si="166"/>
        <v>0</v>
      </c>
      <c r="BI213" s="103">
        <f t="shared" ca="1" si="167"/>
        <v>0</v>
      </c>
      <c r="BJ213" s="103">
        <f t="shared" ca="1" si="168"/>
        <v>0</v>
      </c>
      <c r="BK213" s="103">
        <f t="shared" ca="1" si="169"/>
        <v>0</v>
      </c>
      <c r="BL213" s="103">
        <f t="shared" ca="1" si="170"/>
        <v>0</v>
      </c>
      <c r="BM213" s="103">
        <f t="shared" ca="1" si="171"/>
        <v>0</v>
      </c>
      <c r="BN213" s="103">
        <f t="shared" ca="1" si="172"/>
        <v>0</v>
      </c>
      <c r="BO213" s="103">
        <f t="shared" ca="1" si="173"/>
        <v>0</v>
      </c>
      <c r="BP213" s="103">
        <f t="shared" ca="1" si="174"/>
        <v>0</v>
      </c>
      <c r="BQ213" s="103">
        <f t="shared" ca="1" si="175"/>
        <v>0</v>
      </c>
      <c r="BR213" s="103">
        <f t="shared" ca="1" si="176"/>
        <v>0</v>
      </c>
      <c r="BS213" s="103">
        <f t="shared" ca="1" si="177"/>
        <v>0</v>
      </c>
      <c r="BT213" s="103">
        <f t="shared" ca="1" si="178"/>
        <v>0</v>
      </c>
      <c r="BU213" s="103">
        <f t="shared" ca="1" si="179"/>
        <v>0</v>
      </c>
      <c r="BV213" s="103">
        <f t="shared" ca="1" si="180"/>
        <v>0</v>
      </c>
      <c r="BW213" s="103">
        <f t="shared" ca="1" si="181"/>
        <v>0</v>
      </c>
      <c r="BX213" s="103">
        <f t="shared" ca="1" si="182"/>
        <v>0</v>
      </c>
      <c r="BY213" s="103">
        <f t="shared" ca="1" si="183"/>
        <v>0</v>
      </c>
      <c r="BZ213" s="98">
        <f t="shared" ca="1" si="195"/>
        <v>0</v>
      </c>
      <c r="CA213" s="103">
        <f t="shared" ca="1" si="195"/>
        <v>0</v>
      </c>
      <c r="CB213" s="103">
        <f t="shared" ca="1" si="195"/>
        <v>0</v>
      </c>
      <c r="CC213" s="103">
        <f t="shared" ca="1" si="195"/>
        <v>0</v>
      </c>
      <c r="CD213" s="103">
        <f t="shared" ca="1" si="195"/>
        <v>0</v>
      </c>
      <c r="CE213" s="103">
        <f t="shared" ca="1" si="195"/>
        <v>0</v>
      </c>
      <c r="CF213" s="103">
        <f t="shared" ca="1" si="195"/>
        <v>0</v>
      </c>
      <c r="CG213" s="103">
        <f t="shared" ca="1" si="195"/>
        <v>0</v>
      </c>
      <c r="CH213" s="106">
        <f ca="1">COUNTIF(BZ213:CG213,"&lt;"&amp;MAX(BZ213:CG213))+IF(Calcs[[#This Row],[RL1]]=0,0,1)</f>
        <v>0</v>
      </c>
      <c r="CI21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3" s="103">
        <f ca="1">IFERROR(OFFSET(CJ213,-1,0)+0,0)+IF(INDEX(INDIRECT(RangeContrQty),MATCH(Calcs[[#This Row],[Line]],OFFSET(Items[Line],0,0,ROW(Proposed[])-ROW(Items[])+ROWS(Proposed[]),1),0)),1,0)</f>
        <v>0</v>
      </c>
    </row>
    <row r="214" spans="1:88" x14ac:dyDescent="0.15">
      <c r="A214" s="64">
        <f ca="1">IFERROR(OFFSET(A214,-1,0)+0,0)+MAX(IF(LEN(Calcs[[#This Row],[Line]])&gt;0,1,0),Calcs[[#This Row],[DL]],Calcs[[#This Row],[RL]])</f>
        <v>10</v>
      </c>
      <c r="B214" s="90" t="str">
        <f ca="1">IFERROR(INDEX(OFFSET(Items[Line],0,0,ROW(Proposed[])-ROW(Items[])+ROWS(Proposed[]),1),MATCH(ROW(B214)-ROW(B$3),INDIRECT(RangeCount),0)),"")</f>
        <v/>
      </c>
      <c r="C214" s="90" t="str">
        <f ca="1">IF(LEN(Calcs[[#This Row],[Line]])&gt;0,TRIM(IFERROR(INDEX(Items[Description],MATCH(Calcs[[#This Row],[Line]],Items[Line],0))&amp;INDEX(Items[Description2],MATCH(Calcs[[#This Row],[Line]],Items[Line],0)),INDEX(Proposed[Description],MATCH(Calcs[[#This Row],[Line]],Proposed[Line],0)))),"")</f>
        <v/>
      </c>
      <c r="D214" s="96">
        <f t="shared" ca="1" si="120"/>
        <v>0</v>
      </c>
      <c r="E214" s="103">
        <f t="shared" ca="1" si="121"/>
        <v>0</v>
      </c>
      <c r="F214" s="103">
        <f t="shared" ca="1" si="122"/>
        <v>0</v>
      </c>
      <c r="G214" s="103">
        <f t="shared" ca="1" si="123"/>
        <v>0</v>
      </c>
      <c r="H214" s="103">
        <f t="shared" ca="1" si="124"/>
        <v>0</v>
      </c>
      <c r="I214" s="103">
        <f t="shared" ca="1" si="125"/>
        <v>0</v>
      </c>
      <c r="J214" s="103">
        <f t="shared" ca="1" si="126"/>
        <v>0</v>
      </c>
      <c r="K214" s="103">
        <f t="shared" ca="1" si="127"/>
        <v>0</v>
      </c>
      <c r="L214" s="103">
        <f t="shared" ca="1" si="128"/>
        <v>0</v>
      </c>
      <c r="M214" s="103">
        <f t="shared" ca="1" si="129"/>
        <v>0</v>
      </c>
      <c r="N214" s="103">
        <f t="shared" ca="1" si="130"/>
        <v>0</v>
      </c>
      <c r="O214" s="103">
        <f t="shared" ca="1" si="131"/>
        <v>0</v>
      </c>
      <c r="P214" s="103">
        <f t="shared" ca="1" si="132"/>
        <v>0</v>
      </c>
      <c r="Q214" s="103">
        <f t="shared" ca="1" si="133"/>
        <v>0</v>
      </c>
      <c r="R214" s="103">
        <f t="shared" ca="1" si="134"/>
        <v>0</v>
      </c>
      <c r="S214" s="103">
        <f t="shared" ca="1" si="135"/>
        <v>0</v>
      </c>
      <c r="T214" s="103">
        <f t="shared" ca="1" si="136"/>
        <v>0</v>
      </c>
      <c r="U214" s="103">
        <f t="shared" ca="1" si="137"/>
        <v>0</v>
      </c>
      <c r="V214" s="103">
        <f t="shared" ca="1" si="138"/>
        <v>0</v>
      </c>
      <c r="W214" s="103">
        <f t="shared" ca="1" si="139"/>
        <v>0</v>
      </c>
      <c r="X214" s="103">
        <f t="shared" ca="1" si="140"/>
        <v>0</v>
      </c>
      <c r="Y214" s="103">
        <f t="shared" ca="1" si="141"/>
        <v>0</v>
      </c>
      <c r="Z214" s="103">
        <f t="shared" ca="1" si="142"/>
        <v>0</v>
      </c>
      <c r="AA214" s="103">
        <f t="shared" ca="1" si="143"/>
        <v>0</v>
      </c>
      <c r="AB214" s="103">
        <f t="shared" ca="1" si="144"/>
        <v>0</v>
      </c>
      <c r="AC214" s="103">
        <f t="shared" ca="1" si="145"/>
        <v>0</v>
      </c>
      <c r="AD214" s="103">
        <f t="shared" ca="1" si="146"/>
        <v>0</v>
      </c>
      <c r="AE214" s="103">
        <f t="shared" ca="1" si="147"/>
        <v>0</v>
      </c>
      <c r="AF214" s="103">
        <f t="shared" ca="1" si="148"/>
        <v>0</v>
      </c>
      <c r="AG214" s="103">
        <f t="shared" ca="1" si="149"/>
        <v>0</v>
      </c>
      <c r="AH214" s="103">
        <f t="shared" ca="1" si="150"/>
        <v>0</v>
      </c>
      <c r="AI214" s="103">
        <f t="shared" ca="1" si="151"/>
        <v>0</v>
      </c>
      <c r="AJ214" s="98">
        <f t="shared" ca="1" si="194"/>
        <v>0</v>
      </c>
      <c r="AK214" s="103">
        <f t="shared" ca="1" si="194"/>
        <v>0</v>
      </c>
      <c r="AL214" s="103">
        <f t="shared" ca="1" si="194"/>
        <v>0</v>
      </c>
      <c r="AM214" s="103">
        <f t="shared" ca="1" si="194"/>
        <v>0</v>
      </c>
      <c r="AN214" s="103">
        <f t="shared" ca="1" si="194"/>
        <v>0</v>
      </c>
      <c r="AO214" s="103">
        <f t="shared" ca="1" si="194"/>
        <v>0</v>
      </c>
      <c r="AP214" s="103">
        <f t="shared" ca="1" si="194"/>
        <v>0</v>
      </c>
      <c r="AQ214" s="103">
        <f t="shared" ca="1" si="194"/>
        <v>0</v>
      </c>
      <c r="AR214" s="104">
        <f ca="1">COUNTIF(AJ214:AQ214,"&lt;"&amp;MAX(AJ214:AQ214))+IF(Calcs[[#This Row],[DL1]]=0,0,1)</f>
        <v>0</v>
      </c>
      <c r="AS214" s="105" t="str">
        <f ca="1">IF(LEN(Calcs[[#This Row],[Line]])&gt;0,IF(RIGHT(Calcs[[#This Row],[Remark]],3)=".  ",LEFT(Calcs[[#This Row],[Remark]],LEN(Calcs[[#This Row],[Remark]])-3),Calcs[[#This Row],[Remark]]),"")</f>
        <v/>
      </c>
      <c r="AT214" s="96">
        <f t="shared" ca="1" si="152"/>
        <v>0</v>
      </c>
      <c r="AU214" s="103">
        <f t="shared" ca="1" si="153"/>
        <v>0</v>
      </c>
      <c r="AV214" s="103">
        <f t="shared" ca="1" si="154"/>
        <v>0</v>
      </c>
      <c r="AW214" s="103">
        <f t="shared" ca="1" si="155"/>
        <v>0</v>
      </c>
      <c r="AX214" s="103">
        <f t="shared" ca="1" si="156"/>
        <v>0</v>
      </c>
      <c r="AY214" s="103">
        <f t="shared" ca="1" si="157"/>
        <v>0</v>
      </c>
      <c r="AZ214" s="103">
        <f t="shared" ca="1" si="158"/>
        <v>0</v>
      </c>
      <c r="BA214" s="103">
        <f t="shared" ca="1" si="159"/>
        <v>0</v>
      </c>
      <c r="BB214" s="103">
        <f t="shared" ca="1" si="160"/>
        <v>0</v>
      </c>
      <c r="BC214" s="103">
        <f t="shared" ca="1" si="161"/>
        <v>0</v>
      </c>
      <c r="BD214" s="103">
        <f t="shared" ca="1" si="162"/>
        <v>0</v>
      </c>
      <c r="BE214" s="103">
        <f t="shared" ca="1" si="163"/>
        <v>0</v>
      </c>
      <c r="BF214" s="103">
        <f t="shared" ca="1" si="164"/>
        <v>0</v>
      </c>
      <c r="BG214" s="103">
        <f t="shared" ca="1" si="165"/>
        <v>0</v>
      </c>
      <c r="BH214" s="103">
        <f t="shared" ca="1" si="166"/>
        <v>0</v>
      </c>
      <c r="BI214" s="103">
        <f t="shared" ca="1" si="167"/>
        <v>0</v>
      </c>
      <c r="BJ214" s="103">
        <f t="shared" ca="1" si="168"/>
        <v>0</v>
      </c>
      <c r="BK214" s="103">
        <f t="shared" ca="1" si="169"/>
        <v>0</v>
      </c>
      <c r="BL214" s="103">
        <f t="shared" ca="1" si="170"/>
        <v>0</v>
      </c>
      <c r="BM214" s="103">
        <f t="shared" ca="1" si="171"/>
        <v>0</v>
      </c>
      <c r="BN214" s="103">
        <f t="shared" ca="1" si="172"/>
        <v>0</v>
      </c>
      <c r="BO214" s="103">
        <f t="shared" ca="1" si="173"/>
        <v>0</v>
      </c>
      <c r="BP214" s="103">
        <f t="shared" ca="1" si="174"/>
        <v>0</v>
      </c>
      <c r="BQ214" s="103">
        <f t="shared" ca="1" si="175"/>
        <v>0</v>
      </c>
      <c r="BR214" s="103">
        <f t="shared" ca="1" si="176"/>
        <v>0</v>
      </c>
      <c r="BS214" s="103">
        <f t="shared" ca="1" si="177"/>
        <v>0</v>
      </c>
      <c r="BT214" s="103">
        <f t="shared" ca="1" si="178"/>
        <v>0</v>
      </c>
      <c r="BU214" s="103">
        <f t="shared" ca="1" si="179"/>
        <v>0</v>
      </c>
      <c r="BV214" s="103">
        <f t="shared" ca="1" si="180"/>
        <v>0</v>
      </c>
      <c r="BW214" s="103">
        <f t="shared" ca="1" si="181"/>
        <v>0</v>
      </c>
      <c r="BX214" s="103">
        <f t="shared" ca="1" si="182"/>
        <v>0</v>
      </c>
      <c r="BY214" s="103">
        <f t="shared" ca="1" si="183"/>
        <v>0</v>
      </c>
      <c r="BZ214" s="98">
        <f t="shared" ca="1" si="195"/>
        <v>0</v>
      </c>
      <c r="CA214" s="103">
        <f t="shared" ca="1" si="195"/>
        <v>0</v>
      </c>
      <c r="CB214" s="103">
        <f t="shared" ca="1" si="195"/>
        <v>0</v>
      </c>
      <c r="CC214" s="103">
        <f t="shared" ca="1" si="195"/>
        <v>0</v>
      </c>
      <c r="CD214" s="103">
        <f t="shared" ca="1" si="195"/>
        <v>0</v>
      </c>
      <c r="CE214" s="103">
        <f t="shared" ca="1" si="195"/>
        <v>0</v>
      </c>
      <c r="CF214" s="103">
        <f t="shared" ca="1" si="195"/>
        <v>0</v>
      </c>
      <c r="CG214" s="103">
        <f t="shared" ca="1" si="195"/>
        <v>0</v>
      </c>
      <c r="CH214" s="106">
        <f ca="1">COUNTIF(BZ214:CG214,"&lt;"&amp;MAX(BZ214:CG214))+IF(Calcs[[#This Row],[RL1]]=0,0,1)</f>
        <v>0</v>
      </c>
      <c r="CI21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4" s="103">
        <f ca="1">IFERROR(OFFSET(CJ214,-1,0)+0,0)+IF(INDEX(INDIRECT(RangeContrQty),MATCH(Calcs[[#This Row],[Line]],OFFSET(Items[Line],0,0,ROW(Proposed[])-ROW(Items[])+ROWS(Proposed[]),1),0)),1,0)</f>
        <v>0</v>
      </c>
    </row>
    <row r="215" spans="1:88" x14ac:dyDescent="0.15">
      <c r="A215" s="64">
        <f ca="1">IFERROR(OFFSET(A215,-1,0)+0,0)+MAX(IF(LEN(Calcs[[#This Row],[Line]])&gt;0,1,0),Calcs[[#This Row],[DL]],Calcs[[#This Row],[RL]])</f>
        <v>10</v>
      </c>
      <c r="B215" s="90" t="str">
        <f ca="1">IFERROR(INDEX(OFFSET(Items[Line],0,0,ROW(Proposed[])-ROW(Items[])+ROWS(Proposed[]),1),MATCH(ROW(B215)-ROW(B$3),INDIRECT(RangeCount),0)),"")</f>
        <v/>
      </c>
      <c r="C215" s="90" t="str">
        <f ca="1">IF(LEN(Calcs[[#This Row],[Line]])&gt;0,TRIM(IFERROR(INDEX(Items[Description],MATCH(Calcs[[#This Row],[Line]],Items[Line],0))&amp;INDEX(Items[Description2],MATCH(Calcs[[#This Row],[Line]],Items[Line],0)),INDEX(Proposed[Description],MATCH(Calcs[[#This Row],[Line]],Proposed[Line],0)))),"")</f>
        <v/>
      </c>
      <c r="D215" s="96">
        <f t="shared" ca="1" si="120"/>
        <v>0</v>
      </c>
      <c r="E215" s="103">
        <f t="shared" ca="1" si="121"/>
        <v>0</v>
      </c>
      <c r="F215" s="103">
        <f t="shared" ca="1" si="122"/>
        <v>0</v>
      </c>
      <c r="G215" s="103">
        <f t="shared" ca="1" si="123"/>
        <v>0</v>
      </c>
      <c r="H215" s="103">
        <f t="shared" ca="1" si="124"/>
        <v>0</v>
      </c>
      <c r="I215" s="103">
        <f t="shared" ca="1" si="125"/>
        <v>0</v>
      </c>
      <c r="J215" s="103">
        <f t="shared" ca="1" si="126"/>
        <v>0</v>
      </c>
      <c r="K215" s="103">
        <f t="shared" ca="1" si="127"/>
        <v>0</v>
      </c>
      <c r="L215" s="103">
        <f t="shared" ca="1" si="128"/>
        <v>0</v>
      </c>
      <c r="M215" s="103">
        <f t="shared" ca="1" si="129"/>
        <v>0</v>
      </c>
      <c r="N215" s="103">
        <f t="shared" ca="1" si="130"/>
        <v>0</v>
      </c>
      <c r="O215" s="103">
        <f t="shared" ca="1" si="131"/>
        <v>0</v>
      </c>
      <c r="P215" s="103">
        <f t="shared" ca="1" si="132"/>
        <v>0</v>
      </c>
      <c r="Q215" s="103">
        <f t="shared" ca="1" si="133"/>
        <v>0</v>
      </c>
      <c r="R215" s="103">
        <f t="shared" ca="1" si="134"/>
        <v>0</v>
      </c>
      <c r="S215" s="103">
        <f t="shared" ca="1" si="135"/>
        <v>0</v>
      </c>
      <c r="T215" s="103">
        <f t="shared" ca="1" si="136"/>
        <v>0</v>
      </c>
      <c r="U215" s="103">
        <f t="shared" ca="1" si="137"/>
        <v>0</v>
      </c>
      <c r="V215" s="103">
        <f t="shared" ca="1" si="138"/>
        <v>0</v>
      </c>
      <c r="W215" s="103">
        <f t="shared" ca="1" si="139"/>
        <v>0</v>
      </c>
      <c r="X215" s="103">
        <f t="shared" ca="1" si="140"/>
        <v>0</v>
      </c>
      <c r="Y215" s="103">
        <f t="shared" ca="1" si="141"/>
        <v>0</v>
      </c>
      <c r="Z215" s="103">
        <f t="shared" ca="1" si="142"/>
        <v>0</v>
      </c>
      <c r="AA215" s="103">
        <f t="shared" ca="1" si="143"/>
        <v>0</v>
      </c>
      <c r="AB215" s="103">
        <f t="shared" ca="1" si="144"/>
        <v>0</v>
      </c>
      <c r="AC215" s="103">
        <f t="shared" ca="1" si="145"/>
        <v>0</v>
      </c>
      <c r="AD215" s="103">
        <f t="shared" ca="1" si="146"/>
        <v>0</v>
      </c>
      <c r="AE215" s="103">
        <f t="shared" ca="1" si="147"/>
        <v>0</v>
      </c>
      <c r="AF215" s="103">
        <f t="shared" ca="1" si="148"/>
        <v>0</v>
      </c>
      <c r="AG215" s="103">
        <f t="shared" ca="1" si="149"/>
        <v>0</v>
      </c>
      <c r="AH215" s="103">
        <f t="shared" ca="1" si="150"/>
        <v>0</v>
      </c>
      <c r="AI215" s="103">
        <f t="shared" ca="1" si="151"/>
        <v>0</v>
      </c>
      <c r="AJ215" s="98">
        <f t="shared" ca="1" si="194"/>
        <v>0</v>
      </c>
      <c r="AK215" s="103">
        <f t="shared" ca="1" si="194"/>
        <v>0</v>
      </c>
      <c r="AL215" s="103">
        <f t="shared" ca="1" si="194"/>
        <v>0</v>
      </c>
      <c r="AM215" s="103">
        <f t="shared" ca="1" si="194"/>
        <v>0</v>
      </c>
      <c r="AN215" s="103">
        <f t="shared" ca="1" si="194"/>
        <v>0</v>
      </c>
      <c r="AO215" s="103">
        <f t="shared" ca="1" si="194"/>
        <v>0</v>
      </c>
      <c r="AP215" s="103">
        <f t="shared" ca="1" si="194"/>
        <v>0</v>
      </c>
      <c r="AQ215" s="103">
        <f t="shared" ca="1" si="194"/>
        <v>0</v>
      </c>
      <c r="AR215" s="104">
        <f ca="1">COUNTIF(AJ215:AQ215,"&lt;"&amp;MAX(AJ215:AQ215))+IF(Calcs[[#This Row],[DL1]]=0,0,1)</f>
        <v>0</v>
      </c>
      <c r="AS215" s="105" t="str">
        <f ca="1">IF(LEN(Calcs[[#This Row],[Line]])&gt;0,IF(RIGHT(Calcs[[#This Row],[Remark]],3)=".  ",LEFT(Calcs[[#This Row],[Remark]],LEN(Calcs[[#This Row],[Remark]])-3),Calcs[[#This Row],[Remark]]),"")</f>
        <v/>
      </c>
      <c r="AT215" s="96">
        <f t="shared" ca="1" si="152"/>
        <v>0</v>
      </c>
      <c r="AU215" s="103">
        <f t="shared" ca="1" si="153"/>
        <v>0</v>
      </c>
      <c r="AV215" s="103">
        <f t="shared" ca="1" si="154"/>
        <v>0</v>
      </c>
      <c r="AW215" s="103">
        <f t="shared" ca="1" si="155"/>
        <v>0</v>
      </c>
      <c r="AX215" s="103">
        <f t="shared" ca="1" si="156"/>
        <v>0</v>
      </c>
      <c r="AY215" s="103">
        <f t="shared" ca="1" si="157"/>
        <v>0</v>
      </c>
      <c r="AZ215" s="103">
        <f t="shared" ca="1" si="158"/>
        <v>0</v>
      </c>
      <c r="BA215" s="103">
        <f t="shared" ca="1" si="159"/>
        <v>0</v>
      </c>
      <c r="BB215" s="103">
        <f t="shared" ca="1" si="160"/>
        <v>0</v>
      </c>
      <c r="BC215" s="103">
        <f t="shared" ca="1" si="161"/>
        <v>0</v>
      </c>
      <c r="BD215" s="103">
        <f t="shared" ca="1" si="162"/>
        <v>0</v>
      </c>
      <c r="BE215" s="103">
        <f t="shared" ca="1" si="163"/>
        <v>0</v>
      </c>
      <c r="BF215" s="103">
        <f t="shared" ca="1" si="164"/>
        <v>0</v>
      </c>
      <c r="BG215" s="103">
        <f t="shared" ca="1" si="165"/>
        <v>0</v>
      </c>
      <c r="BH215" s="103">
        <f t="shared" ca="1" si="166"/>
        <v>0</v>
      </c>
      <c r="BI215" s="103">
        <f t="shared" ca="1" si="167"/>
        <v>0</v>
      </c>
      <c r="BJ215" s="103">
        <f t="shared" ca="1" si="168"/>
        <v>0</v>
      </c>
      <c r="BK215" s="103">
        <f t="shared" ca="1" si="169"/>
        <v>0</v>
      </c>
      <c r="BL215" s="103">
        <f t="shared" ca="1" si="170"/>
        <v>0</v>
      </c>
      <c r="BM215" s="103">
        <f t="shared" ca="1" si="171"/>
        <v>0</v>
      </c>
      <c r="BN215" s="103">
        <f t="shared" ca="1" si="172"/>
        <v>0</v>
      </c>
      <c r="BO215" s="103">
        <f t="shared" ca="1" si="173"/>
        <v>0</v>
      </c>
      <c r="BP215" s="103">
        <f t="shared" ca="1" si="174"/>
        <v>0</v>
      </c>
      <c r="BQ215" s="103">
        <f t="shared" ca="1" si="175"/>
        <v>0</v>
      </c>
      <c r="BR215" s="103">
        <f t="shared" ca="1" si="176"/>
        <v>0</v>
      </c>
      <c r="BS215" s="103">
        <f t="shared" ca="1" si="177"/>
        <v>0</v>
      </c>
      <c r="BT215" s="103">
        <f t="shared" ca="1" si="178"/>
        <v>0</v>
      </c>
      <c r="BU215" s="103">
        <f t="shared" ca="1" si="179"/>
        <v>0</v>
      </c>
      <c r="BV215" s="103">
        <f t="shared" ca="1" si="180"/>
        <v>0</v>
      </c>
      <c r="BW215" s="103">
        <f t="shared" ca="1" si="181"/>
        <v>0</v>
      </c>
      <c r="BX215" s="103">
        <f t="shared" ca="1" si="182"/>
        <v>0</v>
      </c>
      <c r="BY215" s="103">
        <f t="shared" ca="1" si="183"/>
        <v>0</v>
      </c>
      <c r="BZ215" s="98">
        <f t="shared" ca="1" si="195"/>
        <v>0</v>
      </c>
      <c r="CA215" s="103">
        <f t="shared" ca="1" si="195"/>
        <v>0</v>
      </c>
      <c r="CB215" s="103">
        <f t="shared" ca="1" si="195"/>
        <v>0</v>
      </c>
      <c r="CC215" s="103">
        <f t="shared" ca="1" si="195"/>
        <v>0</v>
      </c>
      <c r="CD215" s="103">
        <f t="shared" ca="1" si="195"/>
        <v>0</v>
      </c>
      <c r="CE215" s="103">
        <f t="shared" ca="1" si="195"/>
        <v>0</v>
      </c>
      <c r="CF215" s="103">
        <f t="shared" ca="1" si="195"/>
        <v>0</v>
      </c>
      <c r="CG215" s="103">
        <f t="shared" ca="1" si="195"/>
        <v>0</v>
      </c>
      <c r="CH215" s="106">
        <f ca="1">COUNTIF(BZ215:CG215,"&lt;"&amp;MAX(BZ215:CG215))+IF(Calcs[[#This Row],[RL1]]=0,0,1)</f>
        <v>0</v>
      </c>
      <c r="CI21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5" s="103">
        <f ca="1">IFERROR(OFFSET(CJ215,-1,0)+0,0)+IF(INDEX(INDIRECT(RangeContrQty),MATCH(Calcs[[#This Row],[Line]],OFFSET(Items[Line],0,0,ROW(Proposed[])-ROW(Items[])+ROWS(Proposed[]),1),0)),1,0)</f>
        <v>0</v>
      </c>
    </row>
    <row r="216" spans="1:88" x14ac:dyDescent="0.15">
      <c r="A216" s="64">
        <f ca="1">IFERROR(OFFSET(A216,-1,0)+0,0)+MAX(IF(LEN(Calcs[[#This Row],[Line]])&gt;0,1,0),Calcs[[#This Row],[DL]],Calcs[[#This Row],[RL]])</f>
        <v>10</v>
      </c>
      <c r="B216" s="90" t="str">
        <f ca="1">IFERROR(INDEX(OFFSET(Items[Line],0,0,ROW(Proposed[])-ROW(Items[])+ROWS(Proposed[]),1),MATCH(ROW(B216)-ROW(B$3),INDIRECT(RangeCount),0)),"")</f>
        <v/>
      </c>
      <c r="C216" s="90" t="str">
        <f ca="1">IF(LEN(Calcs[[#This Row],[Line]])&gt;0,TRIM(IFERROR(INDEX(Items[Description],MATCH(Calcs[[#This Row],[Line]],Items[Line],0))&amp;INDEX(Items[Description2],MATCH(Calcs[[#This Row],[Line]],Items[Line],0)),INDEX(Proposed[Description],MATCH(Calcs[[#This Row],[Line]],Proposed[Line],0)))),"")</f>
        <v/>
      </c>
      <c r="D216" s="96">
        <f t="shared" ca="1" si="120"/>
        <v>0</v>
      </c>
      <c r="E216" s="103">
        <f t="shared" ca="1" si="121"/>
        <v>0</v>
      </c>
      <c r="F216" s="103">
        <f t="shared" ca="1" si="122"/>
        <v>0</v>
      </c>
      <c r="G216" s="103">
        <f t="shared" ca="1" si="123"/>
        <v>0</v>
      </c>
      <c r="H216" s="103">
        <f t="shared" ca="1" si="124"/>
        <v>0</v>
      </c>
      <c r="I216" s="103">
        <f t="shared" ca="1" si="125"/>
        <v>0</v>
      </c>
      <c r="J216" s="103">
        <f t="shared" ca="1" si="126"/>
        <v>0</v>
      </c>
      <c r="K216" s="103">
        <f t="shared" ca="1" si="127"/>
        <v>0</v>
      </c>
      <c r="L216" s="103">
        <f t="shared" ca="1" si="128"/>
        <v>0</v>
      </c>
      <c r="M216" s="103">
        <f t="shared" ca="1" si="129"/>
        <v>0</v>
      </c>
      <c r="N216" s="103">
        <f t="shared" ca="1" si="130"/>
        <v>0</v>
      </c>
      <c r="O216" s="103">
        <f t="shared" ca="1" si="131"/>
        <v>0</v>
      </c>
      <c r="P216" s="103">
        <f t="shared" ca="1" si="132"/>
        <v>0</v>
      </c>
      <c r="Q216" s="103">
        <f t="shared" ca="1" si="133"/>
        <v>0</v>
      </c>
      <c r="R216" s="103">
        <f t="shared" ca="1" si="134"/>
        <v>0</v>
      </c>
      <c r="S216" s="103">
        <f t="shared" ca="1" si="135"/>
        <v>0</v>
      </c>
      <c r="T216" s="103">
        <f t="shared" ca="1" si="136"/>
        <v>0</v>
      </c>
      <c r="U216" s="103">
        <f t="shared" ca="1" si="137"/>
        <v>0</v>
      </c>
      <c r="V216" s="103">
        <f t="shared" ca="1" si="138"/>
        <v>0</v>
      </c>
      <c r="W216" s="103">
        <f t="shared" ca="1" si="139"/>
        <v>0</v>
      </c>
      <c r="X216" s="103">
        <f t="shared" ca="1" si="140"/>
        <v>0</v>
      </c>
      <c r="Y216" s="103">
        <f t="shared" ca="1" si="141"/>
        <v>0</v>
      </c>
      <c r="Z216" s="103">
        <f t="shared" ca="1" si="142"/>
        <v>0</v>
      </c>
      <c r="AA216" s="103">
        <f t="shared" ca="1" si="143"/>
        <v>0</v>
      </c>
      <c r="AB216" s="103">
        <f t="shared" ca="1" si="144"/>
        <v>0</v>
      </c>
      <c r="AC216" s="103">
        <f t="shared" ca="1" si="145"/>
        <v>0</v>
      </c>
      <c r="AD216" s="103">
        <f t="shared" ca="1" si="146"/>
        <v>0</v>
      </c>
      <c r="AE216" s="103">
        <f t="shared" ca="1" si="147"/>
        <v>0</v>
      </c>
      <c r="AF216" s="103">
        <f t="shared" ca="1" si="148"/>
        <v>0</v>
      </c>
      <c r="AG216" s="103">
        <f t="shared" ca="1" si="149"/>
        <v>0</v>
      </c>
      <c r="AH216" s="103">
        <f t="shared" ca="1" si="150"/>
        <v>0</v>
      </c>
      <c r="AI216" s="103">
        <f t="shared" ca="1" si="151"/>
        <v>0</v>
      </c>
      <c r="AJ216" s="98">
        <f t="shared" ca="1" si="194"/>
        <v>0</v>
      </c>
      <c r="AK216" s="103">
        <f t="shared" ca="1" si="194"/>
        <v>0</v>
      </c>
      <c r="AL216" s="103">
        <f t="shared" ca="1" si="194"/>
        <v>0</v>
      </c>
      <c r="AM216" s="103">
        <f t="shared" ca="1" si="194"/>
        <v>0</v>
      </c>
      <c r="AN216" s="103">
        <f t="shared" ca="1" si="194"/>
        <v>0</v>
      </c>
      <c r="AO216" s="103">
        <f t="shared" ca="1" si="194"/>
        <v>0</v>
      </c>
      <c r="AP216" s="103">
        <f t="shared" ca="1" si="194"/>
        <v>0</v>
      </c>
      <c r="AQ216" s="103">
        <f t="shared" ca="1" si="194"/>
        <v>0</v>
      </c>
      <c r="AR216" s="104">
        <f ca="1">COUNTIF(AJ216:AQ216,"&lt;"&amp;MAX(AJ216:AQ216))+IF(Calcs[[#This Row],[DL1]]=0,0,1)</f>
        <v>0</v>
      </c>
      <c r="AS216" s="105" t="str">
        <f ca="1">IF(LEN(Calcs[[#This Row],[Line]])&gt;0,IF(RIGHT(Calcs[[#This Row],[Remark]],3)=".  ",LEFT(Calcs[[#This Row],[Remark]],LEN(Calcs[[#This Row],[Remark]])-3),Calcs[[#This Row],[Remark]]),"")</f>
        <v/>
      </c>
      <c r="AT216" s="96">
        <f t="shared" ca="1" si="152"/>
        <v>0</v>
      </c>
      <c r="AU216" s="103">
        <f t="shared" ca="1" si="153"/>
        <v>0</v>
      </c>
      <c r="AV216" s="103">
        <f t="shared" ca="1" si="154"/>
        <v>0</v>
      </c>
      <c r="AW216" s="103">
        <f t="shared" ca="1" si="155"/>
        <v>0</v>
      </c>
      <c r="AX216" s="103">
        <f t="shared" ca="1" si="156"/>
        <v>0</v>
      </c>
      <c r="AY216" s="103">
        <f t="shared" ca="1" si="157"/>
        <v>0</v>
      </c>
      <c r="AZ216" s="103">
        <f t="shared" ca="1" si="158"/>
        <v>0</v>
      </c>
      <c r="BA216" s="103">
        <f t="shared" ca="1" si="159"/>
        <v>0</v>
      </c>
      <c r="BB216" s="103">
        <f t="shared" ca="1" si="160"/>
        <v>0</v>
      </c>
      <c r="BC216" s="103">
        <f t="shared" ca="1" si="161"/>
        <v>0</v>
      </c>
      <c r="BD216" s="103">
        <f t="shared" ca="1" si="162"/>
        <v>0</v>
      </c>
      <c r="BE216" s="103">
        <f t="shared" ca="1" si="163"/>
        <v>0</v>
      </c>
      <c r="BF216" s="103">
        <f t="shared" ca="1" si="164"/>
        <v>0</v>
      </c>
      <c r="BG216" s="103">
        <f t="shared" ca="1" si="165"/>
        <v>0</v>
      </c>
      <c r="BH216" s="103">
        <f t="shared" ca="1" si="166"/>
        <v>0</v>
      </c>
      <c r="BI216" s="103">
        <f t="shared" ca="1" si="167"/>
        <v>0</v>
      </c>
      <c r="BJ216" s="103">
        <f t="shared" ca="1" si="168"/>
        <v>0</v>
      </c>
      <c r="BK216" s="103">
        <f t="shared" ca="1" si="169"/>
        <v>0</v>
      </c>
      <c r="BL216" s="103">
        <f t="shared" ca="1" si="170"/>
        <v>0</v>
      </c>
      <c r="BM216" s="103">
        <f t="shared" ca="1" si="171"/>
        <v>0</v>
      </c>
      <c r="BN216" s="103">
        <f t="shared" ca="1" si="172"/>
        <v>0</v>
      </c>
      <c r="BO216" s="103">
        <f t="shared" ca="1" si="173"/>
        <v>0</v>
      </c>
      <c r="BP216" s="103">
        <f t="shared" ca="1" si="174"/>
        <v>0</v>
      </c>
      <c r="BQ216" s="103">
        <f t="shared" ca="1" si="175"/>
        <v>0</v>
      </c>
      <c r="BR216" s="103">
        <f t="shared" ca="1" si="176"/>
        <v>0</v>
      </c>
      <c r="BS216" s="103">
        <f t="shared" ca="1" si="177"/>
        <v>0</v>
      </c>
      <c r="BT216" s="103">
        <f t="shared" ca="1" si="178"/>
        <v>0</v>
      </c>
      <c r="BU216" s="103">
        <f t="shared" ca="1" si="179"/>
        <v>0</v>
      </c>
      <c r="BV216" s="103">
        <f t="shared" ca="1" si="180"/>
        <v>0</v>
      </c>
      <c r="BW216" s="103">
        <f t="shared" ca="1" si="181"/>
        <v>0</v>
      </c>
      <c r="BX216" s="103">
        <f t="shared" ca="1" si="182"/>
        <v>0</v>
      </c>
      <c r="BY216" s="103">
        <f t="shared" ca="1" si="183"/>
        <v>0</v>
      </c>
      <c r="BZ216" s="98">
        <f t="shared" ca="1" si="195"/>
        <v>0</v>
      </c>
      <c r="CA216" s="103">
        <f t="shared" ca="1" si="195"/>
        <v>0</v>
      </c>
      <c r="CB216" s="103">
        <f t="shared" ca="1" si="195"/>
        <v>0</v>
      </c>
      <c r="CC216" s="103">
        <f t="shared" ca="1" si="195"/>
        <v>0</v>
      </c>
      <c r="CD216" s="103">
        <f t="shared" ca="1" si="195"/>
        <v>0</v>
      </c>
      <c r="CE216" s="103">
        <f t="shared" ca="1" si="195"/>
        <v>0</v>
      </c>
      <c r="CF216" s="103">
        <f t="shared" ca="1" si="195"/>
        <v>0</v>
      </c>
      <c r="CG216" s="103">
        <f t="shared" ca="1" si="195"/>
        <v>0</v>
      </c>
      <c r="CH216" s="106">
        <f ca="1">COUNTIF(BZ216:CG216,"&lt;"&amp;MAX(BZ216:CG216))+IF(Calcs[[#This Row],[RL1]]=0,0,1)</f>
        <v>0</v>
      </c>
      <c r="CI21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6" s="103">
        <f ca="1">IFERROR(OFFSET(CJ216,-1,0)+0,0)+IF(INDEX(INDIRECT(RangeContrQty),MATCH(Calcs[[#This Row],[Line]],OFFSET(Items[Line],0,0,ROW(Proposed[])-ROW(Items[])+ROWS(Proposed[]),1),0)),1,0)</f>
        <v>0</v>
      </c>
    </row>
    <row r="217" spans="1:88" x14ac:dyDescent="0.15">
      <c r="A217" s="64">
        <f ca="1">IFERROR(OFFSET(A217,-1,0)+0,0)+MAX(IF(LEN(Calcs[[#This Row],[Line]])&gt;0,1,0),Calcs[[#This Row],[DL]],Calcs[[#This Row],[RL]])</f>
        <v>10</v>
      </c>
      <c r="B217" s="90" t="str">
        <f ca="1">IFERROR(INDEX(OFFSET(Items[Line],0,0,ROW(Proposed[])-ROW(Items[])+ROWS(Proposed[]),1),MATCH(ROW(B217)-ROW(B$3),INDIRECT(RangeCount),0)),"")</f>
        <v/>
      </c>
      <c r="C217" s="90" t="str">
        <f ca="1">IF(LEN(Calcs[[#This Row],[Line]])&gt;0,TRIM(IFERROR(INDEX(Items[Description],MATCH(Calcs[[#This Row],[Line]],Items[Line],0))&amp;INDEX(Items[Description2],MATCH(Calcs[[#This Row],[Line]],Items[Line],0)),INDEX(Proposed[Description],MATCH(Calcs[[#This Row],[Line]],Proposed[Line],0)))),"")</f>
        <v/>
      </c>
      <c r="D217" s="96">
        <f t="shared" ca="1" si="120"/>
        <v>0</v>
      </c>
      <c r="E217" s="103">
        <f t="shared" ca="1" si="121"/>
        <v>0</v>
      </c>
      <c r="F217" s="103">
        <f t="shared" ca="1" si="122"/>
        <v>0</v>
      </c>
      <c r="G217" s="103">
        <f t="shared" ca="1" si="123"/>
        <v>0</v>
      </c>
      <c r="H217" s="103">
        <f t="shared" ca="1" si="124"/>
        <v>0</v>
      </c>
      <c r="I217" s="103">
        <f t="shared" ca="1" si="125"/>
        <v>0</v>
      </c>
      <c r="J217" s="103">
        <f t="shared" ca="1" si="126"/>
        <v>0</v>
      </c>
      <c r="K217" s="103">
        <f t="shared" ca="1" si="127"/>
        <v>0</v>
      </c>
      <c r="L217" s="103">
        <f t="shared" ca="1" si="128"/>
        <v>0</v>
      </c>
      <c r="M217" s="103">
        <f t="shared" ca="1" si="129"/>
        <v>0</v>
      </c>
      <c r="N217" s="103">
        <f t="shared" ca="1" si="130"/>
        <v>0</v>
      </c>
      <c r="O217" s="103">
        <f t="shared" ca="1" si="131"/>
        <v>0</v>
      </c>
      <c r="P217" s="103">
        <f t="shared" ca="1" si="132"/>
        <v>0</v>
      </c>
      <c r="Q217" s="103">
        <f t="shared" ca="1" si="133"/>
        <v>0</v>
      </c>
      <c r="R217" s="103">
        <f t="shared" ca="1" si="134"/>
        <v>0</v>
      </c>
      <c r="S217" s="103">
        <f t="shared" ca="1" si="135"/>
        <v>0</v>
      </c>
      <c r="T217" s="103">
        <f t="shared" ca="1" si="136"/>
        <v>0</v>
      </c>
      <c r="U217" s="103">
        <f t="shared" ca="1" si="137"/>
        <v>0</v>
      </c>
      <c r="V217" s="103">
        <f t="shared" ca="1" si="138"/>
        <v>0</v>
      </c>
      <c r="W217" s="103">
        <f t="shared" ca="1" si="139"/>
        <v>0</v>
      </c>
      <c r="X217" s="103">
        <f t="shared" ca="1" si="140"/>
        <v>0</v>
      </c>
      <c r="Y217" s="103">
        <f t="shared" ca="1" si="141"/>
        <v>0</v>
      </c>
      <c r="Z217" s="103">
        <f t="shared" ca="1" si="142"/>
        <v>0</v>
      </c>
      <c r="AA217" s="103">
        <f t="shared" ca="1" si="143"/>
        <v>0</v>
      </c>
      <c r="AB217" s="103">
        <f t="shared" ca="1" si="144"/>
        <v>0</v>
      </c>
      <c r="AC217" s="103">
        <f t="shared" ca="1" si="145"/>
        <v>0</v>
      </c>
      <c r="AD217" s="103">
        <f t="shared" ca="1" si="146"/>
        <v>0</v>
      </c>
      <c r="AE217" s="103">
        <f t="shared" ca="1" si="147"/>
        <v>0</v>
      </c>
      <c r="AF217" s="103">
        <f t="shared" ca="1" si="148"/>
        <v>0</v>
      </c>
      <c r="AG217" s="103">
        <f t="shared" ca="1" si="149"/>
        <v>0</v>
      </c>
      <c r="AH217" s="103">
        <f t="shared" ca="1" si="150"/>
        <v>0</v>
      </c>
      <c r="AI217" s="103">
        <f t="shared" ca="1" si="151"/>
        <v>0</v>
      </c>
      <c r="AJ217" s="98">
        <f t="shared" ca="1" si="194"/>
        <v>0</v>
      </c>
      <c r="AK217" s="103">
        <f t="shared" ca="1" si="194"/>
        <v>0</v>
      </c>
      <c r="AL217" s="103">
        <f t="shared" ca="1" si="194"/>
        <v>0</v>
      </c>
      <c r="AM217" s="103">
        <f t="shared" ca="1" si="194"/>
        <v>0</v>
      </c>
      <c r="AN217" s="103">
        <f t="shared" ca="1" si="194"/>
        <v>0</v>
      </c>
      <c r="AO217" s="103">
        <f t="shared" ca="1" si="194"/>
        <v>0</v>
      </c>
      <c r="AP217" s="103">
        <f t="shared" ca="1" si="194"/>
        <v>0</v>
      </c>
      <c r="AQ217" s="103">
        <f t="shared" ca="1" si="194"/>
        <v>0</v>
      </c>
      <c r="AR217" s="104">
        <f ca="1">COUNTIF(AJ217:AQ217,"&lt;"&amp;MAX(AJ217:AQ217))+IF(Calcs[[#This Row],[DL1]]=0,0,1)</f>
        <v>0</v>
      </c>
      <c r="AS217" s="105" t="str">
        <f ca="1">IF(LEN(Calcs[[#This Row],[Line]])&gt;0,IF(RIGHT(Calcs[[#This Row],[Remark]],3)=".  ",LEFT(Calcs[[#This Row],[Remark]],LEN(Calcs[[#This Row],[Remark]])-3),Calcs[[#This Row],[Remark]]),"")</f>
        <v/>
      </c>
      <c r="AT217" s="96">
        <f t="shared" ca="1" si="152"/>
        <v>0</v>
      </c>
      <c r="AU217" s="103">
        <f t="shared" ca="1" si="153"/>
        <v>0</v>
      </c>
      <c r="AV217" s="103">
        <f t="shared" ca="1" si="154"/>
        <v>0</v>
      </c>
      <c r="AW217" s="103">
        <f t="shared" ca="1" si="155"/>
        <v>0</v>
      </c>
      <c r="AX217" s="103">
        <f t="shared" ca="1" si="156"/>
        <v>0</v>
      </c>
      <c r="AY217" s="103">
        <f t="shared" ca="1" si="157"/>
        <v>0</v>
      </c>
      <c r="AZ217" s="103">
        <f t="shared" ca="1" si="158"/>
        <v>0</v>
      </c>
      <c r="BA217" s="103">
        <f t="shared" ca="1" si="159"/>
        <v>0</v>
      </c>
      <c r="BB217" s="103">
        <f t="shared" ca="1" si="160"/>
        <v>0</v>
      </c>
      <c r="BC217" s="103">
        <f t="shared" ca="1" si="161"/>
        <v>0</v>
      </c>
      <c r="BD217" s="103">
        <f t="shared" ca="1" si="162"/>
        <v>0</v>
      </c>
      <c r="BE217" s="103">
        <f t="shared" ca="1" si="163"/>
        <v>0</v>
      </c>
      <c r="BF217" s="103">
        <f t="shared" ca="1" si="164"/>
        <v>0</v>
      </c>
      <c r="BG217" s="103">
        <f t="shared" ca="1" si="165"/>
        <v>0</v>
      </c>
      <c r="BH217" s="103">
        <f t="shared" ca="1" si="166"/>
        <v>0</v>
      </c>
      <c r="BI217" s="103">
        <f t="shared" ca="1" si="167"/>
        <v>0</v>
      </c>
      <c r="BJ217" s="103">
        <f t="shared" ca="1" si="168"/>
        <v>0</v>
      </c>
      <c r="BK217" s="103">
        <f t="shared" ca="1" si="169"/>
        <v>0</v>
      </c>
      <c r="BL217" s="103">
        <f t="shared" ca="1" si="170"/>
        <v>0</v>
      </c>
      <c r="BM217" s="103">
        <f t="shared" ca="1" si="171"/>
        <v>0</v>
      </c>
      <c r="BN217" s="103">
        <f t="shared" ca="1" si="172"/>
        <v>0</v>
      </c>
      <c r="BO217" s="103">
        <f t="shared" ca="1" si="173"/>
        <v>0</v>
      </c>
      <c r="BP217" s="103">
        <f t="shared" ca="1" si="174"/>
        <v>0</v>
      </c>
      <c r="BQ217" s="103">
        <f t="shared" ca="1" si="175"/>
        <v>0</v>
      </c>
      <c r="BR217" s="103">
        <f t="shared" ca="1" si="176"/>
        <v>0</v>
      </c>
      <c r="BS217" s="103">
        <f t="shared" ca="1" si="177"/>
        <v>0</v>
      </c>
      <c r="BT217" s="103">
        <f t="shared" ca="1" si="178"/>
        <v>0</v>
      </c>
      <c r="BU217" s="103">
        <f t="shared" ca="1" si="179"/>
        <v>0</v>
      </c>
      <c r="BV217" s="103">
        <f t="shared" ca="1" si="180"/>
        <v>0</v>
      </c>
      <c r="BW217" s="103">
        <f t="shared" ca="1" si="181"/>
        <v>0</v>
      </c>
      <c r="BX217" s="103">
        <f t="shared" ca="1" si="182"/>
        <v>0</v>
      </c>
      <c r="BY217" s="103">
        <f t="shared" ca="1" si="183"/>
        <v>0</v>
      </c>
      <c r="BZ217" s="98">
        <f t="shared" ca="1" si="195"/>
        <v>0</v>
      </c>
      <c r="CA217" s="103">
        <f t="shared" ca="1" si="195"/>
        <v>0</v>
      </c>
      <c r="CB217" s="103">
        <f t="shared" ca="1" si="195"/>
        <v>0</v>
      </c>
      <c r="CC217" s="103">
        <f t="shared" ca="1" si="195"/>
        <v>0</v>
      </c>
      <c r="CD217" s="103">
        <f t="shared" ca="1" si="195"/>
        <v>0</v>
      </c>
      <c r="CE217" s="103">
        <f t="shared" ca="1" si="195"/>
        <v>0</v>
      </c>
      <c r="CF217" s="103">
        <f t="shared" ca="1" si="195"/>
        <v>0</v>
      </c>
      <c r="CG217" s="103">
        <f t="shared" ca="1" si="195"/>
        <v>0</v>
      </c>
      <c r="CH217" s="106">
        <f ca="1">COUNTIF(BZ217:CG217,"&lt;"&amp;MAX(BZ217:CG217))+IF(Calcs[[#This Row],[RL1]]=0,0,1)</f>
        <v>0</v>
      </c>
      <c r="CI21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7" s="103">
        <f ca="1">IFERROR(OFFSET(CJ217,-1,0)+0,0)+IF(INDEX(INDIRECT(RangeContrQty),MATCH(Calcs[[#This Row],[Line]],OFFSET(Items[Line],0,0,ROW(Proposed[])-ROW(Items[])+ROWS(Proposed[]),1),0)),1,0)</f>
        <v>0</v>
      </c>
    </row>
    <row r="218" spans="1:88" x14ac:dyDescent="0.15">
      <c r="A218" s="64">
        <f ca="1">IFERROR(OFFSET(A218,-1,0)+0,0)+MAX(IF(LEN(Calcs[[#This Row],[Line]])&gt;0,1,0),Calcs[[#This Row],[DL]],Calcs[[#This Row],[RL]])</f>
        <v>10</v>
      </c>
      <c r="B218" s="90" t="str">
        <f ca="1">IFERROR(INDEX(OFFSET(Items[Line],0,0,ROW(Proposed[])-ROW(Items[])+ROWS(Proposed[]),1),MATCH(ROW(B218)-ROW(B$3),INDIRECT(RangeCount),0)),"")</f>
        <v/>
      </c>
      <c r="C218" s="90" t="str">
        <f ca="1">IF(LEN(Calcs[[#This Row],[Line]])&gt;0,TRIM(IFERROR(INDEX(Items[Description],MATCH(Calcs[[#This Row],[Line]],Items[Line],0))&amp;INDEX(Items[Description2],MATCH(Calcs[[#This Row],[Line]],Items[Line],0)),INDEX(Proposed[Description],MATCH(Calcs[[#This Row],[Line]],Proposed[Line],0)))),"")</f>
        <v/>
      </c>
      <c r="D218" s="96">
        <f t="shared" ca="1" si="120"/>
        <v>0</v>
      </c>
      <c r="E218" s="103">
        <f t="shared" ca="1" si="121"/>
        <v>0</v>
      </c>
      <c r="F218" s="103">
        <f t="shared" ca="1" si="122"/>
        <v>0</v>
      </c>
      <c r="G218" s="103">
        <f t="shared" ca="1" si="123"/>
        <v>0</v>
      </c>
      <c r="H218" s="103">
        <f t="shared" ca="1" si="124"/>
        <v>0</v>
      </c>
      <c r="I218" s="103">
        <f t="shared" ca="1" si="125"/>
        <v>0</v>
      </c>
      <c r="J218" s="103">
        <f t="shared" ca="1" si="126"/>
        <v>0</v>
      </c>
      <c r="K218" s="103">
        <f t="shared" ca="1" si="127"/>
        <v>0</v>
      </c>
      <c r="L218" s="103">
        <f t="shared" ca="1" si="128"/>
        <v>0</v>
      </c>
      <c r="M218" s="103">
        <f t="shared" ca="1" si="129"/>
        <v>0</v>
      </c>
      <c r="N218" s="103">
        <f t="shared" ca="1" si="130"/>
        <v>0</v>
      </c>
      <c r="O218" s="103">
        <f t="shared" ca="1" si="131"/>
        <v>0</v>
      </c>
      <c r="P218" s="103">
        <f t="shared" ca="1" si="132"/>
        <v>0</v>
      </c>
      <c r="Q218" s="103">
        <f t="shared" ca="1" si="133"/>
        <v>0</v>
      </c>
      <c r="R218" s="103">
        <f t="shared" ca="1" si="134"/>
        <v>0</v>
      </c>
      <c r="S218" s="103">
        <f t="shared" ca="1" si="135"/>
        <v>0</v>
      </c>
      <c r="T218" s="103">
        <f t="shared" ca="1" si="136"/>
        <v>0</v>
      </c>
      <c r="U218" s="103">
        <f t="shared" ca="1" si="137"/>
        <v>0</v>
      </c>
      <c r="V218" s="103">
        <f t="shared" ca="1" si="138"/>
        <v>0</v>
      </c>
      <c r="W218" s="103">
        <f t="shared" ca="1" si="139"/>
        <v>0</v>
      </c>
      <c r="X218" s="103">
        <f t="shared" ca="1" si="140"/>
        <v>0</v>
      </c>
      <c r="Y218" s="103">
        <f t="shared" ca="1" si="141"/>
        <v>0</v>
      </c>
      <c r="Z218" s="103">
        <f t="shared" ca="1" si="142"/>
        <v>0</v>
      </c>
      <c r="AA218" s="103">
        <f t="shared" ca="1" si="143"/>
        <v>0</v>
      </c>
      <c r="AB218" s="103">
        <f t="shared" ca="1" si="144"/>
        <v>0</v>
      </c>
      <c r="AC218" s="103">
        <f t="shared" ca="1" si="145"/>
        <v>0</v>
      </c>
      <c r="AD218" s="103">
        <f t="shared" ca="1" si="146"/>
        <v>0</v>
      </c>
      <c r="AE218" s="103">
        <f t="shared" ca="1" si="147"/>
        <v>0</v>
      </c>
      <c r="AF218" s="103">
        <f t="shared" ca="1" si="148"/>
        <v>0</v>
      </c>
      <c r="AG218" s="103">
        <f t="shared" ca="1" si="149"/>
        <v>0</v>
      </c>
      <c r="AH218" s="103">
        <f t="shared" ca="1" si="150"/>
        <v>0</v>
      </c>
      <c r="AI218" s="103">
        <f t="shared" ca="1" si="151"/>
        <v>0</v>
      </c>
      <c r="AJ218" s="98">
        <f t="shared" ca="1" si="194"/>
        <v>0</v>
      </c>
      <c r="AK218" s="103">
        <f t="shared" ca="1" si="194"/>
        <v>0</v>
      </c>
      <c r="AL218" s="103">
        <f t="shared" ca="1" si="194"/>
        <v>0</v>
      </c>
      <c r="AM218" s="103">
        <f t="shared" ca="1" si="194"/>
        <v>0</v>
      </c>
      <c r="AN218" s="103">
        <f t="shared" ca="1" si="194"/>
        <v>0</v>
      </c>
      <c r="AO218" s="103">
        <f t="shared" ca="1" si="194"/>
        <v>0</v>
      </c>
      <c r="AP218" s="103">
        <f t="shared" ca="1" si="194"/>
        <v>0</v>
      </c>
      <c r="AQ218" s="103">
        <f t="shared" ca="1" si="194"/>
        <v>0</v>
      </c>
      <c r="AR218" s="104">
        <f ca="1">COUNTIF(AJ218:AQ218,"&lt;"&amp;MAX(AJ218:AQ218))+IF(Calcs[[#This Row],[DL1]]=0,0,1)</f>
        <v>0</v>
      </c>
      <c r="AS218" s="105" t="str">
        <f ca="1">IF(LEN(Calcs[[#This Row],[Line]])&gt;0,IF(RIGHT(Calcs[[#This Row],[Remark]],3)=".  ",LEFT(Calcs[[#This Row],[Remark]],LEN(Calcs[[#This Row],[Remark]])-3),Calcs[[#This Row],[Remark]]),"")</f>
        <v/>
      </c>
      <c r="AT218" s="96">
        <f t="shared" ca="1" si="152"/>
        <v>0</v>
      </c>
      <c r="AU218" s="103">
        <f t="shared" ca="1" si="153"/>
        <v>0</v>
      </c>
      <c r="AV218" s="103">
        <f t="shared" ca="1" si="154"/>
        <v>0</v>
      </c>
      <c r="AW218" s="103">
        <f t="shared" ca="1" si="155"/>
        <v>0</v>
      </c>
      <c r="AX218" s="103">
        <f t="shared" ca="1" si="156"/>
        <v>0</v>
      </c>
      <c r="AY218" s="103">
        <f t="shared" ca="1" si="157"/>
        <v>0</v>
      </c>
      <c r="AZ218" s="103">
        <f t="shared" ca="1" si="158"/>
        <v>0</v>
      </c>
      <c r="BA218" s="103">
        <f t="shared" ca="1" si="159"/>
        <v>0</v>
      </c>
      <c r="BB218" s="103">
        <f t="shared" ca="1" si="160"/>
        <v>0</v>
      </c>
      <c r="BC218" s="103">
        <f t="shared" ca="1" si="161"/>
        <v>0</v>
      </c>
      <c r="BD218" s="103">
        <f t="shared" ca="1" si="162"/>
        <v>0</v>
      </c>
      <c r="BE218" s="103">
        <f t="shared" ca="1" si="163"/>
        <v>0</v>
      </c>
      <c r="BF218" s="103">
        <f t="shared" ca="1" si="164"/>
        <v>0</v>
      </c>
      <c r="BG218" s="103">
        <f t="shared" ca="1" si="165"/>
        <v>0</v>
      </c>
      <c r="BH218" s="103">
        <f t="shared" ca="1" si="166"/>
        <v>0</v>
      </c>
      <c r="BI218" s="103">
        <f t="shared" ca="1" si="167"/>
        <v>0</v>
      </c>
      <c r="BJ218" s="103">
        <f t="shared" ca="1" si="168"/>
        <v>0</v>
      </c>
      <c r="BK218" s="103">
        <f t="shared" ca="1" si="169"/>
        <v>0</v>
      </c>
      <c r="BL218" s="103">
        <f t="shared" ca="1" si="170"/>
        <v>0</v>
      </c>
      <c r="BM218" s="103">
        <f t="shared" ca="1" si="171"/>
        <v>0</v>
      </c>
      <c r="BN218" s="103">
        <f t="shared" ca="1" si="172"/>
        <v>0</v>
      </c>
      <c r="BO218" s="103">
        <f t="shared" ca="1" si="173"/>
        <v>0</v>
      </c>
      <c r="BP218" s="103">
        <f t="shared" ca="1" si="174"/>
        <v>0</v>
      </c>
      <c r="BQ218" s="103">
        <f t="shared" ca="1" si="175"/>
        <v>0</v>
      </c>
      <c r="BR218" s="103">
        <f t="shared" ca="1" si="176"/>
        <v>0</v>
      </c>
      <c r="BS218" s="103">
        <f t="shared" ca="1" si="177"/>
        <v>0</v>
      </c>
      <c r="BT218" s="103">
        <f t="shared" ca="1" si="178"/>
        <v>0</v>
      </c>
      <c r="BU218" s="103">
        <f t="shared" ca="1" si="179"/>
        <v>0</v>
      </c>
      <c r="BV218" s="103">
        <f t="shared" ca="1" si="180"/>
        <v>0</v>
      </c>
      <c r="BW218" s="103">
        <f t="shared" ca="1" si="181"/>
        <v>0</v>
      </c>
      <c r="BX218" s="103">
        <f t="shared" ca="1" si="182"/>
        <v>0</v>
      </c>
      <c r="BY218" s="103">
        <f t="shared" ca="1" si="183"/>
        <v>0</v>
      </c>
      <c r="BZ218" s="98">
        <f t="shared" ca="1" si="195"/>
        <v>0</v>
      </c>
      <c r="CA218" s="103">
        <f t="shared" ca="1" si="195"/>
        <v>0</v>
      </c>
      <c r="CB218" s="103">
        <f t="shared" ca="1" si="195"/>
        <v>0</v>
      </c>
      <c r="CC218" s="103">
        <f t="shared" ca="1" si="195"/>
        <v>0</v>
      </c>
      <c r="CD218" s="103">
        <f t="shared" ca="1" si="195"/>
        <v>0</v>
      </c>
      <c r="CE218" s="103">
        <f t="shared" ca="1" si="195"/>
        <v>0</v>
      </c>
      <c r="CF218" s="103">
        <f t="shared" ca="1" si="195"/>
        <v>0</v>
      </c>
      <c r="CG218" s="103">
        <f t="shared" ca="1" si="195"/>
        <v>0</v>
      </c>
      <c r="CH218" s="106">
        <f ca="1">COUNTIF(BZ218:CG218,"&lt;"&amp;MAX(BZ218:CG218))+IF(Calcs[[#This Row],[RL1]]=0,0,1)</f>
        <v>0</v>
      </c>
      <c r="CI21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8" s="103">
        <f ca="1">IFERROR(OFFSET(CJ218,-1,0)+0,0)+IF(INDEX(INDIRECT(RangeContrQty),MATCH(Calcs[[#This Row],[Line]],OFFSET(Items[Line],0,0,ROW(Proposed[])-ROW(Items[])+ROWS(Proposed[]),1),0)),1,0)</f>
        <v>0</v>
      </c>
    </row>
    <row r="219" spans="1:88" x14ac:dyDescent="0.15">
      <c r="A219" s="64">
        <f ca="1">IFERROR(OFFSET(A219,-1,0)+0,0)+MAX(IF(LEN(Calcs[[#This Row],[Line]])&gt;0,1,0),Calcs[[#This Row],[DL]],Calcs[[#This Row],[RL]])</f>
        <v>10</v>
      </c>
      <c r="B219" s="90" t="str">
        <f ca="1">IFERROR(INDEX(OFFSET(Items[Line],0,0,ROW(Proposed[])-ROW(Items[])+ROWS(Proposed[]),1),MATCH(ROW(B219)-ROW(B$3),INDIRECT(RangeCount),0)),"")</f>
        <v/>
      </c>
      <c r="C219" s="90" t="str">
        <f ca="1">IF(LEN(Calcs[[#This Row],[Line]])&gt;0,TRIM(IFERROR(INDEX(Items[Description],MATCH(Calcs[[#This Row],[Line]],Items[Line],0))&amp;INDEX(Items[Description2],MATCH(Calcs[[#This Row],[Line]],Items[Line],0)),INDEX(Proposed[Description],MATCH(Calcs[[#This Row],[Line]],Proposed[Line],0)))),"")</f>
        <v/>
      </c>
      <c r="D219" s="96">
        <f t="shared" ca="1" si="120"/>
        <v>0</v>
      </c>
      <c r="E219" s="103">
        <f t="shared" ca="1" si="121"/>
        <v>0</v>
      </c>
      <c r="F219" s="103">
        <f t="shared" ca="1" si="122"/>
        <v>0</v>
      </c>
      <c r="G219" s="103">
        <f t="shared" ca="1" si="123"/>
        <v>0</v>
      </c>
      <c r="H219" s="103">
        <f t="shared" ca="1" si="124"/>
        <v>0</v>
      </c>
      <c r="I219" s="103">
        <f t="shared" ca="1" si="125"/>
        <v>0</v>
      </c>
      <c r="J219" s="103">
        <f t="shared" ca="1" si="126"/>
        <v>0</v>
      </c>
      <c r="K219" s="103">
        <f t="shared" ca="1" si="127"/>
        <v>0</v>
      </c>
      <c r="L219" s="103">
        <f t="shared" ca="1" si="128"/>
        <v>0</v>
      </c>
      <c r="M219" s="103">
        <f t="shared" ca="1" si="129"/>
        <v>0</v>
      </c>
      <c r="N219" s="103">
        <f t="shared" ca="1" si="130"/>
        <v>0</v>
      </c>
      <c r="O219" s="103">
        <f t="shared" ca="1" si="131"/>
        <v>0</v>
      </c>
      <c r="P219" s="103">
        <f t="shared" ca="1" si="132"/>
        <v>0</v>
      </c>
      <c r="Q219" s="103">
        <f t="shared" ca="1" si="133"/>
        <v>0</v>
      </c>
      <c r="R219" s="103">
        <f t="shared" ca="1" si="134"/>
        <v>0</v>
      </c>
      <c r="S219" s="103">
        <f t="shared" ca="1" si="135"/>
        <v>0</v>
      </c>
      <c r="T219" s="103">
        <f t="shared" ca="1" si="136"/>
        <v>0</v>
      </c>
      <c r="U219" s="103">
        <f t="shared" ca="1" si="137"/>
        <v>0</v>
      </c>
      <c r="V219" s="103">
        <f t="shared" ca="1" si="138"/>
        <v>0</v>
      </c>
      <c r="W219" s="103">
        <f t="shared" ca="1" si="139"/>
        <v>0</v>
      </c>
      <c r="X219" s="103">
        <f t="shared" ca="1" si="140"/>
        <v>0</v>
      </c>
      <c r="Y219" s="103">
        <f t="shared" ca="1" si="141"/>
        <v>0</v>
      </c>
      <c r="Z219" s="103">
        <f t="shared" ca="1" si="142"/>
        <v>0</v>
      </c>
      <c r="AA219" s="103">
        <f t="shared" ca="1" si="143"/>
        <v>0</v>
      </c>
      <c r="AB219" s="103">
        <f t="shared" ca="1" si="144"/>
        <v>0</v>
      </c>
      <c r="AC219" s="103">
        <f t="shared" ca="1" si="145"/>
        <v>0</v>
      </c>
      <c r="AD219" s="103">
        <f t="shared" ca="1" si="146"/>
        <v>0</v>
      </c>
      <c r="AE219" s="103">
        <f t="shared" ca="1" si="147"/>
        <v>0</v>
      </c>
      <c r="AF219" s="103">
        <f t="shared" ca="1" si="148"/>
        <v>0</v>
      </c>
      <c r="AG219" s="103">
        <f t="shared" ca="1" si="149"/>
        <v>0</v>
      </c>
      <c r="AH219" s="103">
        <f t="shared" ca="1" si="150"/>
        <v>0</v>
      </c>
      <c r="AI219" s="103">
        <f t="shared" ca="1" si="151"/>
        <v>0</v>
      </c>
      <c r="AJ219" s="98">
        <f t="shared" ca="1" si="194"/>
        <v>0</v>
      </c>
      <c r="AK219" s="103">
        <f t="shared" ca="1" si="194"/>
        <v>0</v>
      </c>
      <c r="AL219" s="103">
        <f t="shared" ca="1" si="194"/>
        <v>0</v>
      </c>
      <c r="AM219" s="103">
        <f t="shared" ca="1" si="194"/>
        <v>0</v>
      </c>
      <c r="AN219" s="103">
        <f t="shared" ca="1" si="194"/>
        <v>0</v>
      </c>
      <c r="AO219" s="103">
        <f t="shared" ca="1" si="194"/>
        <v>0</v>
      </c>
      <c r="AP219" s="103">
        <f t="shared" ca="1" si="194"/>
        <v>0</v>
      </c>
      <c r="AQ219" s="103">
        <f t="shared" ca="1" si="194"/>
        <v>0</v>
      </c>
      <c r="AR219" s="104">
        <f ca="1">COUNTIF(AJ219:AQ219,"&lt;"&amp;MAX(AJ219:AQ219))+IF(Calcs[[#This Row],[DL1]]=0,0,1)</f>
        <v>0</v>
      </c>
      <c r="AS219" s="105" t="str">
        <f ca="1">IF(LEN(Calcs[[#This Row],[Line]])&gt;0,IF(RIGHT(Calcs[[#This Row],[Remark]],3)=".  ",LEFT(Calcs[[#This Row],[Remark]],LEN(Calcs[[#This Row],[Remark]])-3),Calcs[[#This Row],[Remark]]),"")</f>
        <v/>
      </c>
      <c r="AT219" s="96">
        <f t="shared" ca="1" si="152"/>
        <v>0</v>
      </c>
      <c r="AU219" s="103">
        <f t="shared" ca="1" si="153"/>
        <v>0</v>
      </c>
      <c r="AV219" s="103">
        <f t="shared" ca="1" si="154"/>
        <v>0</v>
      </c>
      <c r="AW219" s="103">
        <f t="shared" ca="1" si="155"/>
        <v>0</v>
      </c>
      <c r="AX219" s="103">
        <f t="shared" ca="1" si="156"/>
        <v>0</v>
      </c>
      <c r="AY219" s="103">
        <f t="shared" ca="1" si="157"/>
        <v>0</v>
      </c>
      <c r="AZ219" s="103">
        <f t="shared" ca="1" si="158"/>
        <v>0</v>
      </c>
      <c r="BA219" s="103">
        <f t="shared" ca="1" si="159"/>
        <v>0</v>
      </c>
      <c r="BB219" s="103">
        <f t="shared" ca="1" si="160"/>
        <v>0</v>
      </c>
      <c r="BC219" s="103">
        <f t="shared" ca="1" si="161"/>
        <v>0</v>
      </c>
      <c r="BD219" s="103">
        <f t="shared" ca="1" si="162"/>
        <v>0</v>
      </c>
      <c r="BE219" s="103">
        <f t="shared" ca="1" si="163"/>
        <v>0</v>
      </c>
      <c r="BF219" s="103">
        <f t="shared" ca="1" si="164"/>
        <v>0</v>
      </c>
      <c r="BG219" s="103">
        <f t="shared" ca="1" si="165"/>
        <v>0</v>
      </c>
      <c r="BH219" s="103">
        <f t="shared" ca="1" si="166"/>
        <v>0</v>
      </c>
      <c r="BI219" s="103">
        <f t="shared" ca="1" si="167"/>
        <v>0</v>
      </c>
      <c r="BJ219" s="103">
        <f t="shared" ca="1" si="168"/>
        <v>0</v>
      </c>
      <c r="BK219" s="103">
        <f t="shared" ca="1" si="169"/>
        <v>0</v>
      </c>
      <c r="BL219" s="103">
        <f t="shared" ca="1" si="170"/>
        <v>0</v>
      </c>
      <c r="BM219" s="103">
        <f t="shared" ca="1" si="171"/>
        <v>0</v>
      </c>
      <c r="BN219" s="103">
        <f t="shared" ca="1" si="172"/>
        <v>0</v>
      </c>
      <c r="BO219" s="103">
        <f t="shared" ca="1" si="173"/>
        <v>0</v>
      </c>
      <c r="BP219" s="103">
        <f t="shared" ca="1" si="174"/>
        <v>0</v>
      </c>
      <c r="BQ219" s="103">
        <f t="shared" ca="1" si="175"/>
        <v>0</v>
      </c>
      <c r="BR219" s="103">
        <f t="shared" ca="1" si="176"/>
        <v>0</v>
      </c>
      <c r="BS219" s="103">
        <f t="shared" ca="1" si="177"/>
        <v>0</v>
      </c>
      <c r="BT219" s="103">
        <f t="shared" ca="1" si="178"/>
        <v>0</v>
      </c>
      <c r="BU219" s="103">
        <f t="shared" ca="1" si="179"/>
        <v>0</v>
      </c>
      <c r="BV219" s="103">
        <f t="shared" ca="1" si="180"/>
        <v>0</v>
      </c>
      <c r="BW219" s="103">
        <f t="shared" ca="1" si="181"/>
        <v>0</v>
      </c>
      <c r="BX219" s="103">
        <f t="shared" ca="1" si="182"/>
        <v>0</v>
      </c>
      <c r="BY219" s="103">
        <f t="shared" ca="1" si="183"/>
        <v>0</v>
      </c>
      <c r="BZ219" s="98">
        <f t="shared" ca="1" si="195"/>
        <v>0</v>
      </c>
      <c r="CA219" s="103">
        <f t="shared" ca="1" si="195"/>
        <v>0</v>
      </c>
      <c r="CB219" s="103">
        <f t="shared" ca="1" si="195"/>
        <v>0</v>
      </c>
      <c r="CC219" s="103">
        <f t="shared" ca="1" si="195"/>
        <v>0</v>
      </c>
      <c r="CD219" s="103">
        <f t="shared" ca="1" si="195"/>
        <v>0</v>
      </c>
      <c r="CE219" s="103">
        <f t="shared" ca="1" si="195"/>
        <v>0</v>
      </c>
      <c r="CF219" s="103">
        <f t="shared" ca="1" si="195"/>
        <v>0</v>
      </c>
      <c r="CG219" s="103">
        <f t="shared" ca="1" si="195"/>
        <v>0</v>
      </c>
      <c r="CH219" s="106">
        <f ca="1">COUNTIF(BZ219:CG219,"&lt;"&amp;MAX(BZ219:CG219))+IF(Calcs[[#This Row],[RL1]]=0,0,1)</f>
        <v>0</v>
      </c>
      <c r="CI21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9" s="103">
        <f ca="1">IFERROR(OFFSET(CJ219,-1,0)+0,0)+IF(INDEX(INDIRECT(RangeContrQty),MATCH(Calcs[[#This Row],[Line]],OFFSET(Items[Line],0,0,ROW(Proposed[])-ROW(Items[])+ROWS(Proposed[]),1),0)),1,0)</f>
        <v>0</v>
      </c>
    </row>
    <row r="220" spans="1:88" x14ac:dyDescent="0.15">
      <c r="A220" s="64">
        <f ca="1">IFERROR(OFFSET(A220,-1,0)+0,0)+MAX(IF(LEN(Calcs[[#This Row],[Line]])&gt;0,1,0),Calcs[[#This Row],[DL]],Calcs[[#This Row],[RL]])</f>
        <v>10</v>
      </c>
      <c r="B220" s="90" t="str">
        <f ca="1">IFERROR(INDEX(OFFSET(Items[Line],0,0,ROW(Proposed[])-ROW(Items[])+ROWS(Proposed[]),1),MATCH(ROW(B220)-ROW(B$3),INDIRECT(RangeCount),0)),"")</f>
        <v/>
      </c>
      <c r="C220" s="90" t="str">
        <f ca="1">IF(LEN(Calcs[[#This Row],[Line]])&gt;0,TRIM(IFERROR(INDEX(Items[Description],MATCH(Calcs[[#This Row],[Line]],Items[Line],0))&amp;INDEX(Items[Description2],MATCH(Calcs[[#This Row],[Line]],Items[Line],0)),INDEX(Proposed[Description],MATCH(Calcs[[#This Row],[Line]],Proposed[Line],0)))),"")</f>
        <v/>
      </c>
      <c r="D220" s="96">
        <f t="shared" ref="D220:D253" ca="1" si="196">IFERROR(FIND(" ",$C220,IFERROR(OFFSET(D220,0,-1)+1,1)),LEN($C220))</f>
        <v>0</v>
      </c>
      <c r="E220" s="103">
        <f t="shared" ref="E220:E253" ca="1" si="197">IFERROR(FIND(" ",$C220,IFERROR(OFFSET(E220,0,-1)+1,1)),LEN($C220))</f>
        <v>0</v>
      </c>
      <c r="F220" s="103">
        <f t="shared" ref="F220:F253" ca="1" si="198">IFERROR(FIND(" ",$C220,IFERROR(OFFSET(F220,0,-1)+1,1)),LEN($C220))</f>
        <v>0</v>
      </c>
      <c r="G220" s="103">
        <f t="shared" ref="G220:G253" ca="1" si="199">IFERROR(FIND(" ",$C220,IFERROR(OFFSET(G220,0,-1)+1,1)),LEN($C220))</f>
        <v>0</v>
      </c>
      <c r="H220" s="103">
        <f t="shared" ref="H220:H253" ca="1" si="200">IFERROR(FIND(" ",$C220,IFERROR(OFFSET(H220,0,-1)+1,1)),LEN($C220))</f>
        <v>0</v>
      </c>
      <c r="I220" s="103">
        <f t="shared" ref="I220:I253" ca="1" si="201">IFERROR(FIND(" ",$C220,IFERROR(OFFSET(I220,0,-1)+1,1)),LEN($C220))</f>
        <v>0</v>
      </c>
      <c r="J220" s="103">
        <f t="shared" ref="J220:J253" ca="1" si="202">IFERROR(FIND(" ",$C220,IFERROR(OFFSET(J220,0,-1)+1,1)),LEN($C220))</f>
        <v>0</v>
      </c>
      <c r="K220" s="103">
        <f t="shared" ref="K220:K253" ca="1" si="203">IFERROR(FIND(" ",$C220,IFERROR(OFFSET(K220,0,-1)+1,1)),LEN($C220))</f>
        <v>0</v>
      </c>
      <c r="L220" s="103">
        <f t="shared" ref="L220:L253" ca="1" si="204">IFERROR(FIND(" ",$C220,IFERROR(OFFSET(L220,0,-1)+1,1)),LEN($C220))</f>
        <v>0</v>
      </c>
      <c r="M220" s="103">
        <f t="shared" ref="M220:M253" ca="1" si="205">IFERROR(FIND(" ",$C220,IFERROR(OFFSET(M220,0,-1)+1,1)),LEN($C220))</f>
        <v>0</v>
      </c>
      <c r="N220" s="103">
        <f t="shared" ref="N220:N253" ca="1" si="206">IFERROR(FIND(" ",$C220,IFERROR(OFFSET(N220,0,-1)+1,1)),LEN($C220))</f>
        <v>0</v>
      </c>
      <c r="O220" s="103">
        <f t="shared" ref="O220:O253" ca="1" si="207">IFERROR(FIND(" ",$C220,IFERROR(OFFSET(O220,0,-1)+1,1)),LEN($C220))</f>
        <v>0</v>
      </c>
      <c r="P220" s="103">
        <f t="shared" ref="P220:P253" ca="1" si="208">IFERROR(FIND(" ",$C220,IFERROR(OFFSET(P220,0,-1)+1,1)),LEN($C220))</f>
        <v>0</v>
      </c>
      <c r="Q220" s="103">
        <f t="shared" ref="Q220:Q253" ca="1" si="209">IFERROR(FIND(" ",$C220,IFERROR(OFFSET(Q220,0,-1)+1,1)),LEN($C220))</f>
        <v>0</v>
      </c>
      <c r="R220" s="103">
        <f t="shared" ref="R220:R253" ca="1" si="210">IFERROR(FIND(" ",$C220,IFERROR(OFFSET(R220,0,-1)+1,1)),LEN($C220))</f>
        <v>0</v>
      </c>
      <c r="S220" s="103">
        <f t="shared" ref="S220:S253" ca="1" si="211">IFERROR(FIND(" ",$C220,IFERROR(OFFSET(S220,0,-1)+1,1)),LEN($C220))</f>
        <v>0</v>
      </c>
      <c r="T220" s="103">
        <f t="shared" ref="T220:T253" ca="1" si="212">IFERROR(FIND(" ",$C220,IFERROR(OFFSET(T220,0,-1)+1,1)),LEN($C220))</f>
        <v>0</v>
      </c>
      <c r="U220" s="103">
        <f t="shared" ref="U220:U253" ca="1" si="213">IFERROR(FIND(" ",$C220,IFERROR(OFFSET(U220,0,-1)+1,1)),LEN($C220))</f>
        <v>0</v>
      </c>
      <c r="V220" s="103">
        <f t="shared" ref="V220:V253" ca="1" si="214">IFERROR(FIND(" ",$C220,IFERROR(OFFSET(V220,0,-1)+1,1)),LEN($C220))</f>
        <v>0</v>
      </c>
      <c r="W220" s="103">
        <f t="shared" ref="W220:W253" ca="1" si="215">IFERROR(FIND(" ",$C220,IFERROR(OFFSET(W220,0,-1)+1,1)),LEN($C220))</f>
        <v>0</v>
      </c>
      <c r="X220" s="103">
        <f t="shared" ref="X220:X253" ca="1" si="216">IFERROR(FIND(" ",$C220,IFERROR(OFFSET(X220,0,-1)+1,1)),LEN($C220))</f>
        <v>0</v>
      </c>
      <c r="Y220" s="103">
        <f t="shared" ref="Y220:Y253" ca="1" si="217">IFERROR(FIND(" ",$C220,IFERROR(OFFSET(Y220,0,-1)+1,1)),LEN($C220))</f>
        <v>0</v>
      </c>
      <c r="Z220" s="103">
        <f t="shared" ref="Z220:Z253" ca="1" si="218">IFERROR(FIND(" ",$C220,IFERROR(OFFSET(Z220,0,-1)+1,1)),LEN($C220))</f>
        <v>0</v>
      </c>
      <c r="AA220" s="103">
        <f t="shared" ref="AA220:AA253" ca="1" si="219">IFERROR(FIND(" ",$C220,IFERROR(OFFSET(AA220,0,-1)+1,1)),LEN($C220))</f>
        <v>0</v>
      </c>
      <c r="AB220" s="103">
        <f t="shared" ref="AB220:AB253" ca="1" si="220">IFERROR(FIND(" ",$C220,IFERROR(OFFSET(AB220,0,-1)+1,1)),LEN($C220))</f>
        <v>0</v>
      </c>
      <c r="AC220" s="103">
        <f t="shared" ref="AC220:AC253" ca="1" si="221">IFERROR(FIND(" ",$C220,IFERROR(OFFSET(AC220,0,-1)+1,1)),LEN($C220))</f>
        <v>0</v>
      </c>
      <c r="AD220" s="103">
        <f t="shared" ref="AD220:AD253" ca="1" si="222">IFERROR(FIND(" ",$C220,IFERROR(OFFSET(AD220,0,-1)+1,1)),LEN($C220))</f>
        <v>0</v>
      </c>
      <c r="AE220" s="103">
        <f t="shared" ref="AE220:AE253" ca="1" si="223">IFERROR(FIND(" ",$C220,IFERROR(OFFSET(AE220,0,-1)+1,1)),LEN($C220))</f>
        <v>0</v>
      </c>
      <c r="AF220" s="103">
        <f t="shared" ref="AF220:AF253" ca="1" si="224">IFERROR(FIND(" ",$C220,IFERROR(OFFSET(AF220,0,-1)+1,1)),LEN($C220))</f>
        <v>0</v>
      </c>
      <c r="AG220" s="103">
        <f t="shared" ref="AG220:AG253" ca="1" si="225">IFERROR(FIND(" ",$C220,IFERROR(OFFSET(AG220,0,-1)+1,1)),LEN($C220))</f>
        <v>0</v>
      </c>
      <c r="AH220" s="103">
        <f t="shared" ref="AH220:AH253" ca="1" si="226">IFERROR(FIND(" ",$C220,IFERROR(OFFSET(AH220,0,-1)+1,1)),LEN($C220))</f>
        <v>0</v>
      </c>
      <c r="AI220" s="103">
        <f t="shared" ref="AI220:AI253" ca="1" si="227">IFERROR(FIND(" ",$C220,IFERROR(OFFSET(AI220,0,-1)+1,1)),LEN($C220))</f>
        <v>0</v>
      </c>
      <c r="AJ220" s="98">
        <f t="shared" ca="1" si="194"/>
        <v>0</v>
      </c>
      <c r="AK220" s="103">
        <f t="shared" ca="1" si="194"/>
        <v>0</v>
      </c>
      <c r="AL220" s="103">
        <f t="shared" ca="1" si="194"/>
        <v>0</v>
      </c>
      <c r="AM220" s="103">
        <f t="shared" ca="1" si="194"/>
        <v>0</v>
      </c>
      <c r="AN220" s="103">
        <f t="shared" ca="1" si="194"/>
        <v>0</v>
      </c>
      <c r="AO220" s="103">
        <f t="shared" ca="1" si="194"/>
        <v>0</v>
      </c>
      <c r="AP220" s="103">
        <f t="shared" ca="1" si="194"/>
        <v>0</v>
      </c>
      <c r="AQ220" s="103">
        <f t="shared" ca="1" si="194"/>
        <v>0</v>
      </c>
      <c r="AR220" s="104">
        <f ca="1">COUNTIF(AJ220:AQ220,"&lt;"&amp;MAX(AJ220:AQ220))+IF(Calcs[[#This Row],[DL1]]=0,0,1)</f>
        <v>0</v>
      </c>
      <c r="AS220" s="105" t="str">
        <f ca="1">IF(LEN(Calcs[[#This Row],[Line]])&gt;0,IF(RIGHT(Calcs[[#This Row],[Remark]],3)=".  ",LEFT(Calcs[[#This Row],[Remark]],LEN(Calcs[[#This Row],[Remark]])-3),Calcs[[#This Row],[Remark]]),"")</f>
        <v/>
      </c>
      <c r="AT220" s="96">
        <f t="shared" ref="AT220:AT253" ca="1" si="228">IFERROR(FIND(" ",$AS220,IFERROR(OFFSET(AT220,0,-1)+1,1)),LEN($AS220))</f>
        <v>0</v>
      </c>
      <c r="AU220" s="103">
        <f t="shared" ref="AU220:AU253" ca="1" si="229">IFERROR(FIND(" ",$AS220,IFERROR(OFFSET(AU220,0,-1)+1,1)),LEN($AS220))</f>
        <v>0</v>
      </c>
      <c r="AV220" s="103">
        <f t="shared" ref="AV220:AV253" ca="1" si="230">IFERROR(FIND(" ",$AS220,IFERROR(OFFSET(AV220,0,-1)+1,1)),LEN($AS220))</f>
        <v>0</v>
      </c>
      <c r="AW220" s="103">
        <f t="shared" ref="AW220:AW253" ca="1" si="231">IFERROR(FIND(" ",$AS220,IFERROR(OFFSET(AW220,0,-1)+1,1)),LEN($AS220))</f>
        <v>0</v>
      </c>
      <c r="AX220" s="103">
        <f t="shared" ref="AX220:AX253" ca="1" si="232">IFERROR(FIND(" ",$AS220,IFERROR(OFFSET(AX220,0,-1)+1,1)),LEN($AS220))</f>
        <v>0</v>
      </c>
      <c r="AY220" s="103">
        <f t="shared" ref="AY220:AY253" ca="1" si="233">IFERROR(FIND(" ",$AS220,IFERROR(OFFSET(AY220,0,-1)+1,1)),LEN($AS220))</f>
        <v>0</v>
      </c>
      <c r="AZ220" s="103">
        <f t="shared" ref="AZ220:AZ253" ca="1" si="234">IFERROR(FIND(" ",$AS220,IFERROR(OFFSET(AZ220,0,-1)+1,1)),LEN($AS220))</f>
        <v>0</v>
      </c>
      <c r="BA220" s="103">
        <f t="shared" ref="BA220:BA253" ca="1" si="235">IFERROR(FIND(" ",$AS220,IFERROR(OFFSET(BA220,0,-1)+1,1)),LEN($AS220))</f>
        <v>0</v>
      </c>
      <c r="BB220" s="103">
        <f t="shared" ref="BB220:BB253" ca="1" si="236">IFERROR(FIND(" ",$AS220,IFERROR(OFFSET(BB220,0,-1)+1,1)),LEN($AS220))</f>
        <v>0</v>
      </c>
      <c r="BC220" s="103">
        <f t="shared" ref="BC220:BC253" ca="1" si="237">IFERROR(FIND(" ",$AS220,IFERROR(OFFSET(BC220,0,-1)+1,1)),LEN($AS220))</f>
        <v>0</v>
      </c>
      <c r="BD220" s="103">
        <f t="shared" ref="BD220:BD253" ca="1" si="238">IFERROR(FIND(" ",$AS220,IFERROR(OFFSET(BD220,0,-1)+1,1)),LEN($AS220))</f>
        <v>0</v>
      </c>
      <c r="BE220" s="103">
        <f t="shared" ref="BE220:BE253" ca="1" si="239">IFERROR(FIND(" ",$AS220,IFERROR(OFFSET(BE220,0,-1)+1,1)),LEN($AS220))</f>
        <v>0</v>
      </c>
      <c r="BF220" s="103">
        <f t="shared" ref="BF220:BF253" ca="1" si="240">IFERROR(FIND(" ",$AS220,IFERROR(OFFSET(BF220,0,-1)+1,1)),LEN($AS220))</f>
        <v>0</v>
      </c>
      <c r="BG220" s="103">
        <f t="shared" ref="BG220:BG253" ca="1" si="241">IFERROR(FIND(" ",$AS220,IFERROR(OFFSET(BG220,0,-1)+1,1)),LEN($AS220))</f>
        <v>0</v>
      </c>
      <c r="BH220" s="103">
        <f t="shared" ref="BH220:BH253" ca="1" si="242">IFERROR(FIND(" ",$AS220,IFERROR(OFFSET(BH220,0,-1)+1,1)),LEN($AS220))</f>
        <v>0</v>
      </c>
      <c r="BI220" s="103">
        <f t="shared" ref="BI220:BI253" ca="1" si="243">IFERROR(FIND(" ",$AS220,IFERROR(OFFSET(BI220,0,-1)+1,1)),LEN($AS220))</f>
        <v>0</v>
      </c>
      <c r="BJ220" s="103">
        <f t="shared" ref="BJ220:BJ253" ca="1" si="244">IFERROR(FIND(" ",$AS220,IFERROR(OFFSET(BJ220,0,-1)+1,1)),LEN($AS220))</f>
        <v>0</v>
      </c>
      <c r="BK220" s="103">
        <f t="shared" ref="BK220:BK253" ca="1" si="245">IFERROR(FIND(" ",$AS220,IFERROR(OFFSET(BK220,0,-1)+1,1)),LEN($AS220))</f>
        <v>0</v>
      </c>
      <c r="BL220" s="103">
        <f t="shared" ref="BL220:BL253" ca="1" si="246">IFERROR(FIND(" ",$AS220,IFERROR(OFFSET(BL220,0,-1)+1,1)),LEN($AS220))</f>
        <v>0</v>
      </c>
      <c r="BM220" s="103">
        <f t="shared" ref="BM220:BM253" ca="1" si="247">IFERROR(FIND(" ",$AS220,IFERROR(OFFSET(BM220,0,-1)+1,1)),LEN($AS220))</f>
        <v>0</v>
      </c>
      <c r="BN220" s="103">
        <f t="shared" ref="BN220:BN253" ca="1" si="248">IFERROR(FIND(" ",$AS220,IFERROR(OFFSET(BN220,0,-1)+1,1)),LEN($AS220))</f>
        <v>0</v>
      </c>
      <c r="BO220" s="103">
        <f t="shared" ref="BO220:BO253" ca="1" si="249">IFERROR(FIND(" ",$AS220,IFERROR(OFFSET(BO220,0,-1)+1,1)),LEN($AS220))</f>
        <v>0</v>
      </c>
      <c r="BP220" s="103">
        <f t="shared" ref="BP220:BP253" ca="1" si="250">IFERROR(FIND(" ",$AS220,IFERROR(OFFSET(BP220,0,-1)+1,1)),LEN($AS220))</f>
        <v>0</v>
      </c>
      <c r="BQ220" s="103">
        <f t="shared" ref="BQ220:BQ253" ca="1" si="251">IFERROR(FIND(" ",$AS220,IFERROR(OFFSET(BQ220,0,-1)+1,1)),LEN($AS220))</f>
        <v>0</v>
      </c>
      <c r="BR220" s="103">
        <f t="shared" ref="BR220:BR253" ca="1" si="252">IFERROR(FIND(" ",$AS220,IFERROR(OFFSET(BR220,0,-1)+1,1)),LEN($AS220))</f>
        <v>0</v>
      </c>
      <c r="BS220" s="103">
        <f t="shared" ref="BS220:BS253" ca="1" si="253">IFERROR(FIND(" ",$AS220,IFERROR(OFFSET(BS220,0,-1)+1,1)),LEN($AS220))</f>
        <v>0</v>
      </c>
      <c r="BT220" s="103">
        <f t="shared" ref="BT220:BT253" ca="1" si="254">IFERROR(FIND(" ",$AS220,IFERROR(OFFSET(BT220,0,-1)+1,1)),LEN($AS220))</f>
        <v>0</v>
      </c>
      <c r="BU220" s="103">
        <f t="shared" ref="BU220:BU253" ca="1" si="255">IFERROR(FIND(" ",$AS220,IFERROR(OFFSET(BU220,0,-1)+1,1)),LEN($AS220))</f>
        <v>0</v>
      </c>
      <c r="BV220" s="103">
        <f t="shared" ref="BV220:BV253" ca="1" si="256">IFERROR(FIND(" ",$AS220,IFERROR(OFFSET(BV220,0,-1)+1,1)),LEN($AS220))</f>
        <v>0</v>
      </c>
      <c r="BW220" s="103">
        <f t="shared" ref="BW220:BW253" ca="1" si="257">IFERROR(FIND(" ",$AS220,IFERROR(OFFSET(BW220,0,-1)+1,1)),LEN($AS220))</f>
        <v>0</v>
      </c>
      <c r="BX220" s="103">
        <f t="shared" ref="BX220:BX253" ca="1" si="258">IFERROR(FIND(" ",$AS220,IFERROR(OFFSET(BX220,0,-1)+1,1)),LEN($AS220))</f>
        <v>0</v>
      </c>
      <c r="BY220" s="103">
        <f t="shared" ref="BY220:BY253" ca="1" si="259">IFERROR(FIND(" ",$AS220,IFERROR(OFFSET(BY220,0,-1)+1,1)),LEN($AS220))</f>
        <v>0</v>
      </c>
      <c r="BZ220" s="98">
        <f t="shared" ca="1" si="195"/>
        <v>0</v>
      </c>
      <c r="CA220" s="103">
        <f t="shared" ca="1" si="195"/>
        <v>0</v>
      </c>
      <c r="CB220" s="103">
        <f t="shared" ca="1" si="195"/>
        <v>0</v>
      </c>
      <c r="CC220" s="103">
        <f t="shared" ca="1" si="195"/>
        <v>0</v>
      </c>
      <c r="CD220" s="103">
        <f t="shared" ca="1" si="195"/>
        <v>0</v>
      </c>
      <c r="CE220" s="103">
        <f t="shared" ca="1" si="195"/>
        <v>0</v>
      </c>
      <c r="CF220" s="103">
        <f t="shared" ca="1" si="195"/>
        <v>0</v>
      </c>
      <c r="CG220" s="103">
        <f t="shared" ca="1" si="195"/>
        <v>0</v>
      </c>
      <c r="CH220" s="106">
        <f ca="1">COUNTIF(BZ220:CG220,"&lt;"&amp;MAX(BZ220:CG220))+IF(Calcs[[#This Row],[RL1]]=0,0,1)</f>
        <v>0</v>
      </c>
      <c r="CI22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0" s="103">
        <f ca="1">IFERROR(OFFSET(CJ220,-1,0)+0,0)+IF(INDEX(INDIRECT(RangeContrQty),MATCH(Calcs[[#This Row],[Line]],OFFSET(Items[Line],0,0,ROW(Proposed[])-ROW(Items[])+ROWS(Proposed[]),1),0)),1,0)</f>
        <v>0</v>
      </c>
    </row>
    <row r="221" spans="1:88" x14ac:dyDescent="0.15">
      <c r="A221" s="64">
        <f ca="1">IFERROR(OFFSET(A221,-1,0)+0,0)+MAX(IF(LEN(Calcs[[#This Row],[Line]])&gt;0,1,0),Calcs[[#This Row],[DL]],Calcs[[#This Row],[RL]])</f>
        <v>10</v>
      </c>
      <c r="B221" s="90" t="str">
        <f ca="1">IFERROR(INDEX(OFFSET(Items[Line],0,0,ROW(Proposed[])-ROW(Items[])+ROWS(Proposed[]),1),MATCH(ROW(B221)-ROW(B$3),INDIRECT(RangeCount),0)),"")</f>
        <v/>
      </c>
      <c r="C221" s="90" t="str">
        <f ca="1">IF(LEN(Calcs[[#This Row],[Line]])&gt;0,TRIM(IFERROR(INDEX(Items[Description],MATCH(Calcs[[#This Row],[Line]],Items[Line],0))&amp;INDEX(Items[Description2],MATCH(Calcs[[#This Row],[Line]],Items[Line],0)),INDEX(Proposed[Description],MATCH(Calcs[[#This Row],[Line]],Proposed[Line],0)))),"")</f>
        <v/>
      </c>
      <c r="D221" s="96">
        <f t="shared" ca="1" si="196"/>
        <v>0</v>
      </c>
      <c r="E221" s="103">
        <f t="shared" ca="1" si="197"/>
        <v>0</v>
      </c>
      <c r="F221" s="103">
        <f t="shared" ca="1" si="198"/>
        <v>0</v>
      </c>
      <c r="G221" s="103">
        <f t="shared" ca="1" si="199"/>
        <v>0</v>
      </c>
      <c r="H221" s="103">
        <f t="shared" ca="1" si="200"/>
        <v>0</v>
      </c>
      <c r="I221" s="103">
        <f t="shared" ca="1" si="201"/>
        <v>0</v>
      </c>
      <c r="J221" s="103">
        <f t="shared" ca="1" si="202"/>
        <v>0</v>
      </c>
      <c r="K221" s="103">
        <f t="shared" ca="1" si="203"/>
        <v>0</v>
      </c>
      <c r="L221" s="103">
        <f t="shared" ca="1" si="204"/>
        <v>0</v>
      </c>
      <c r="M221" s="103">
        <f t="shared" ca="1" si="205"/>
        <v>0</v>
      </c>
      <c r="N221" s="103">
        <f t="shared" ca="1" si="206"/>
        <v>0</v>
      </c>
      <c r="O221" s="103">
        <f t="shared" ca="1" si="207"/>
        <v>0</v>
      </c>
      <c r="P221" s="103">
        <f t="shared" ca="1" si="208"/>
        <v>0</v>
      </c>
      <c r="Q221" s="103">
        <f t="shared" ca="1" si="209"/>
        <v>0</v>
      </c>
      <c r="R221" s="103">
        <f t="shared" ca="1" si="210"/>
        <v>0</v>
      </c>
      <c r="S221" s="103">
        <f t="shared" ca="1" si="211"/>
        <v>0</v>
      </c>
      <c r="T221" s="103">
        <f t="shared" ca="1" si="212"/>
        <v>0</v>
      </c>
      <c r="U221" s="103">
        <f t="shared" ca="1" si="213"/>
        <v>0</v>
      </c>
      <c r="V221" s="103">
        <f t="shared" ca="1" si="214"/>
        <v>0</v>
      </c>
      <c r="W221" s="103">
        <f t="shared" ca="1" si="215"/>
        <v>0</v>
      </c>
      <c r="X221" s="103">
        <f t="shared" ca="1" si="216"/>
        <v>0</v>
      </c>
      <c r="Y221" s="103">
        <f t="shared" ca="1" si="217"/>
        <v>0</v>
      </c>
      <c r="Z221" s="103">
        <f t="shared" ca="1" si="218"/>
        <v>0</v>
      </c>
      <c r="AA221" s="103">
        <f t="shared" ca="1" si="219"/>
        <v>0</v>
      </c>
      <c r="AB221" s="103">
        <f t="shared" ca="1" si="220"/>
        <v>0</v>
      </c>
      <c r="AC221" s="103">
        <f t="shared" ca="1" si="221"/>
        <v>0</v>
      </c>
      <c r="AD221" s="103">
        <f t="shared" ca="1" si="222"/>
        <v>0</v>
      </c>
      <c r="AE221" s="103">
        <f t="shared" ca="1" si="223"/>
        <v>0</v>
      </c>
      <c r="AF221" s="103">
        <f t="shared" ca="1" si="224"/>
        <v>0</v>
      </c>
      <c r="AG221" s="103">
        <f t="shared" ca="1" si="225"/>
        <v>0</v>
      </c>
      <c r="AH221" s="103">
        <f t="shared" ca="1" si="226"/>
        <v>0</v>
      </c>
      <c r="AI221" s="103">
        <f t="shared" ca="1" si="227"/>
        <v>0</v>
      </c>
      <c r="AJ221" s="98">
        <f t="shared" ca="1" si="194"/>
        <v>0</v>
      </c>
      <c r="AK221" s="103">
        <f t="shared" ca="1" si="194"/>
        <v>0</v>
      </c>
      <c r="AL221" s="103">
        <f t="shared" ca="1" si="194"/>
        <v>0</v>
      </c>
      <c r="AM221" s="103">
        <f t="shared" ca="1" si="194"/>
        <v>0</v>
      </c>
      <c r="AN221" s="103">
        <f t="shared" ca="1" si="194"/>
        <v>0</v>
      </c>
      <c r="AO221" s="103">
        <f t="shared" ca="1" si="194"/>
        <v>0</v>
      </c>
      <c r="AP221" s="103">
        <f t="shared" ca="1" si="194"/>
        <v>0</v>
      </c>
      <c r="AQ221" s="103">
        <f t="shared" ca="1" si="194"/>
        <v>0</v>
      </c>
      <c r="AR221" s="104">
        <f ca="1">COUNTIF(AJ221:AQ221,"&lt;"&amp;MAX(AJ221:AQ221))+IF(Calcs[[#This Row],[DL1]]=0,0,1)</f>
        <v>0</v>
      </c>
      <c r="AS221" s="105" t="str">
        <f ca="1">IF(LEN(Calcs[[#This Row],[Line]])&gt;0,IF(RIGHT(Calcs[[#This Row],[Remark]],3)=".  ",LEFT(Calcs[[#This Row],[Remark]],LEN(Calcs[[#This Row],[Remark]])-3),Calcs[[#This Row],[Remark]]),"")</f>
        <v/>
      </c>
      <c r="AT221" s="96">
        <f t="shared" ca="1" si="228"/>
        <v>0</v>
      </c>
      <c r="AU221" s="103">
        <f t="shared" ca="1" si="229"/>
        <v>0</v>
      </c>
      <c r="AV221" s="103">
        <f t="shared" ca="1" si="230"/>
        <v>0</v>
      </c>
      <c r="AW221" s="103">
        <f t="shared" ca="1" si="231"/>
        <v>0</v>
      </c>
      <c r="AX221" s="103">
        <f t="shared" ca="1" si="232"/>
        <v>0</v>
      </c>
      <c r="AY221" s="103">
        <f t="shared" ca="1" si="233"/>
        <v>0</v>
      </c>
      <c r="AZ221" s="103">
        <f t="shared" ca="1" si="234"/>
        <v>0</v>
      </c>
      <c r="BA221" s="103">
        <f t="shared" ca="1" si="235"/>
        <v>0</v>
      </c>
      <c r="BB221" s="103">
        <f t="shared" ca="1" si="236"/>
        <v>0</v>
      </c>
      <c r="BC221" s="103">
        <f t="shared" ca="1" si="237"/>
        <v>0</v>
      </c>
      <c r="BD221" s="103">
        <f t="shared" ca="1" si="238"/>
        <v>0</v>
      </c>
      <c r="BE221" s="103">
        <f t="shared" ca="1" si="239"/>
        <v>0</v>
      </c>
      <c r="BF221" s="103">
        <f t="shared" ca="1" si="240"/>
        <v>0</v>
      </c>
      <c r="BG221" s="103">
        <f t="shared" ca="1" si="241"/>
        <v>0</v>
      </c>
      <c r="BH221" s="103">
        <f t="shared" ca="1" si="242"/>
        <v>0</v>
      </c>
      <c r="BI221" s="103">
        <f t="shared" ca="1" si="243"/>
        <v>0</v>
      </c>
      <c r="BJ221" s="103">
        <f t="shared" ca="1" si="244"/>
        <v>0</v>
      </c>
      <c r="BK221" s="103">
        <f t="shared" ca="1" si="245"/>
        <v>0</v>
      </c>
      <c r="BL221" s="103">
        <f t="shared" ca="1" si="246"/>
        <v>0</v>
      </c>
      <c r="BM221" s="103">
        <f t="shared" ca="1" si="247"/>
        <v>0</v>
      </c>
      <c r="BN221" s="103">
        <f t="shared" ca="1" si="248"/>
        <v>0</v>
      </c>
      <c r="BO221" s="103">
        <f t="shared" ca="1" si="249"/>
        <v>0</v>
      </c>
      <c r="BP221" s="103">
        <f t="shared" ca="1" si="250"/>
        <v>0</v>
      </c>
      <c r="BQ221" s="103">
        <f t="shared" ca="1" si="251"/>
        <v>0</v>
      </c>
      <c r="BR221" s="103">
        <f t="shared" ca="1" si="252"/>
        <v>0</v>
      </c>
      <c r="BS221" s="103">
        <f t="shared" ca="1" si="253"/>
        <v>0</v>
      </c>
      <c r="BT221" s="103">
        <f t="shared" ca="1" si="254"/>
        <v>0</v>
      </c>
      <c r="BU221" s="103">
        <f t="shared" ca="1" si="255"/>
        <v>0</v>
      </c>
      <c r="BV221" s="103">
        <f t="shared" ca="1" si="256"/>
        <v>0</v>
      </c>
      <c r="BW221" s="103">
        <f t="shared" ca="1" si="257"/>
        <v>0</v>
      </c>
      <c r="BX221" s="103">
        <f t="shared" ca="1" si="258"/>
        <v>0</v>
      </c>
      <c r="BY221" s="103">
        <f t="shared" ca="1" si="259"/>
        <v>0</v>
      </c>
      <c r="BZ221" s="98">
        <f t="shared" ca="1" si="195"/>
        <v>0</v>
      </c>
      <c r="CA221" s="103">
        <f t="shared" ca="1" si="195"/>
        <v>0</v>
      </c>
      <c r="CB221" s="103">
        <f t="shared" ca="1" si="195"/>
        <v>0</v>
      </c>
      <c r="CC221" s="103">
        <f t="shared" ca="1" si="195"/>
        <v>0</v>
      </c>
      <c r="CD221" s="103">
        <f t="shared" ca="1" si="195"/>
        <v>0</v>
      </c>
      <c r="CE221" s="103">
        <f t="shared" ca="1" si="195"/>
        <v>0</v>
      </c>
      <c r="CF221" s="103">
        <f t="shared" ca="1" si="195"/>
        <v>0</v>
      </c>
      <c r="CG221" s="103">
        <f t="shared" ca="1" si="195"/>
        <v>0</v>
      </c>
      <c r="CH221" s="106">
        <f ca="1">COUNTIF(BZ221:CG221,"&lt;"&amp;MAX(BZ221:CG221))+IF(Calcs[[#This Row],[RL1]]=0,0,1)</f>
        <v>0</v>
      </c>
      <c r="CI22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1" s="103">
        <f ca="1">IFERROR(OFFSET(CJ221,-1,0)+0,0)+IF(INDEX(INDIRECT(RangeContrQty),MATCH(Calcs[[#This Row],[Line]],OFFSET(Items[Line],0,0,ROW(Proposed[])-ROW(Items[])+ROWS(Proposed[]),1),0)),1,0)</f>
        <v>0</v>
      </c>
    </row>
    <row r="222" spans="1:88" x14ac:dyDescent="0.15">
      <c r="A222" s="64">
        <f ca="1">IFERROR(OFFSET(A222,-1,0)+0,0)+MAX(IF(LEN(Calcs[[#This Row],[Line]])&gt;0,1,0),Calcs[[#This Row],[DL]],Calcs[[#This Row],[RL]])</f>
        <v>10</v>
      </c>
      <c r="B222" s="90" t="str">
        <f ca="1">IFERROR(INDEX(OFFSET(Items[Line],0,0,ROW(Proposed[])-ROW(Items[])+ROWS(Proposed[]),1),MATCH(ROW(B222)-ROW(B$3),INDIRECT(RangeCount),0)),"")</f>
        <v/>
      </c>
      <c r="C222" s="90" t="str">
        <f ca="1">IF(LEN(Calcs[[#This Row],[Line]])&gt;0,TRIM(IFERROR(INDEX(Items[Description],MATCH(Calcs[[#This Row],[Line]],Items[Line],0))&amp;INDEX(Items[Description2],MATCH(Calcs[[#This Row],[Line]],Items[Line],0)),INDEX(Proposed[Description],MATCH(Calcs[[#This Row],[Line]],Proposed[Line],0)))),"")</f>
        <v/>
      </c>
      <c r="D222" s="96">
        <f t="shared" ca="1" si="196"/>
        <v>0</v>
      </c>
      <c r="E222" s="103">
        <f t="shared" ca="1" si="197"/>
        <v>0</v>
      </c>
      <c r="F222" s="103">
        <f t="shared" ca="1" si="198"/>
        <v>0</v>
      </c>
      <c r="G222" s="103">
        <f t="shared" ca="1" si="199"/>
        <v>0</v>
      </c>
      <c r="H222" s="103">
        <f t="shared" ca="1" si="200"/>
        <v>0</v>
      </c>
      <c r="I222" s="103">
        <f t="shared" ca="1" si="201"/>
        <v>0</v>
      </c>
      <c r="J222" s="103">
        <f t="shared" ca="1" si="202"/>
        <v>0</v>
      </c>
      <c r="K222" s="103">
        <f t="shared" ca="1" si="203"/>
        <v>0</v>
      </c>
      <c r="L222" s="103">
        <f t="shared" ca="1" si="204"/>
        <v>0</v>
      </c>
      <c r="M222" s="103">
        <f t="shared" ca="1" si="205"/>
        <v>0</v>
      </c>
      <c r="N222" s="103">
        <f t="shared" ca="1" si="206"/>
        <v>0</v>
      </c>
      <c r="O222" s="103">
        <f t="shared" ca="1" si="207"/>
        <v>0</v>
      </c>
      <c r="P222" s="103">
        <f t="shared" ca="1" si="208"/>
        <v>0</v>
      </c>
      <c r="Q222" s="103">
        <f t="shared" ca="1" si="209"/>
        <v>0</v>
      </c>
      <c r="R222" s="103">
        <f t="shared" ca="1" si="210"/>
        <v>0</v>
      </c>
      <c r="S222" s="103">
        <f t="shared" ca="1" si="211"/>
        <v>0</v>
      </c>
      <c r="T222" s="103">
        <f t="shared" ca="1" si="212"/>
        <v>0</v>
      </c>
      <c r="U222" s="103">
        <f t="shared" ca="1" si="213"/>
        <v>0</v>
      </c>
      <c r="V222" s="103">
        <f t="shared" ca="1" si="214"/>
        <v>0</v>
      </c>
      <c r="W222" s="103">
        <f t="shared" ca="1" si="215"/>
        <v>0</v>
      </c>
      <c r="X222" s="103">
        <f t="shared" ca="1" si="216"/>
        <v>0</v>
      </c>
      <c r="Y222" s="103">
        <f t="shared" ca="1" si="217"/>
        <v>0</v>
      </c>
      <c r="Z222" s="103">
        <f t="shared" ca="1" si="218"/>
        <v>0</v>
      </c>
      <c r="AA222" s="103">
        <f t="shared" ca="1" si="219"/>
        <v>0</v>
      </c>
      <c r="AB222" s="103">
        <f t="shared" ca="1" si="220"/>
        <v>0</v>
      </c>
      <c r="AC222" s="103">
        <f t="shared" ca="1" si="221"/>
        <v>0</v>
      </c>
      <c r="AD222" s="103">
        <f t="shared" ca="1" si="222"/>
        <v>0</v>
      </c>
      <c r="AE222" s="103">
        <f t="shared" ca="1" si="223"/>
        <v>0</v>
      </c>
      <c r="AF222" s="103">
        <f t="shared" ca="1" si="224"/>
        <v>0</v>
      </c>
      <c r="AG222" s="103">
        <f t="shared" ca="1" si="225"/>
        <v>0</v>
      </c>
      <c r="AH222" s="103">
        <f t="shared" ca="1" si="226"/>
        <v>0</v>
      </c>
      <c r="AI222" s="103">
        <f t="shared" ca="1" si="227"/>
        <v>0</v>
      </c>
      <c r="AJ222" s="98">
        <f t="shared" ref="AJ222:AQ231" ca="1" si="260">HLOOKUP(IF(COLUMN(AJ222)-COLUMN($AJ$3)=0,0,OFFSET(AJ222,0,-1))+widthPayItem,$D222:$AI222,1)</f>
        <v>0</v>
      </c>
      <c r="AK222" s="103">
        <f t="shared" ca="1" si="260"/>
        <v>0</v>
      </c>
      <c r="AL222" s="103">
        <f t="shared" ca="1" si="260"/>
        <v>0</v>
      </c>
      <c r="AM222" s="103">
        <f t="shared" ca="1" si="260"/>
        <v>0</v>
      </c>
      <c r="AN222" s="103">
        <f t="shared" ca="1" si="260"/>
        <v>0</v>
      </c>
      <c r="AO222" s="103">
        <f t="shared" ca="1" si="260"/>
        <v>0</v>
      </c>
      <c r="AP222" s="103">
        <f t="shared" ca="1" si="260"/>
        <v>0</v>
      </c>
      <c r="AQ222" s="103">
        <f t="shared" ca="1" si="260"/>
        <v>0</v>
      </c>
      <c r="AR222" s="104">
        <f ca="1">COUNTIF(AJ222:AQ222,"&lt;"&amp;MAX(AJ222:AQ222))+IF(Calcs[[#This Row],[DL1]]=0,0,1)</f>
        <v>0</v>
      </c>
      <c r="AS222" s="105" t="str">
        <f ca="1">IF(LEN(Calcs[[#This Row],[Line]])&gt;0,IF(RIGHT(Calcs[[#This Row],[Remark]],3)=".  ",LEFT(Calcs[[#This Row],[Remark]],LEN(Calcs[[#This Row],[Remark]])-3),Calcs[[#This Row],[Remark]]),"")</f>
        <v/>
      </c>
      <c r="AT222" s="96">
        <f t="shared" ca="1" si="228"/>
        <v>0</v>
      </c>
      <c r="AU222" s="103">
        <f t="shared" ca="1" si="229"/>
        <v>0</v>
      </c>
      <c r="AV222" s="103">
        <f t="shared" ca="1" si="230"/>
        <v>0</v>
      </c>
      <c r="AW222" s="103">
        <f t="shared" ca="1" si="231"/>
        <v>0</v>
      </c>
      <c r="AX222" s="103">
        <f t="shared" ca="1" si="232"/>
        <v>0</v>
      </c>
      <c r="AY222" s="103">
        <f t="shared" ca="1" si="233"/>
        <v>0</v>
      </c>
      <c r="AZ222" s="103">
        <f t="shared" ca="1" si="234"/>
        <v>0</v>
      </c>
      <c r="BA222" s="103">
        <f t="shared" ca="1" si="235"/>
        <v>0</v>
      </c>
      <c r="BB222" s="103">
        <f t="shared" ca="1" si="236"/>
        <v>0</v>
      </c>
      <c r="BC222" s="103">
        <f t="shared" ca="1" si="237"/>
        <v>0</v>
      </c>
      <c r="BD222" s="103">
        <f t="shared" ca="1" si="238"/>
        <v>0</v>
      </c>
      <c r="BE222" s="103">
        <f t="shared" ca="1" si="239"/>
        <v>0</v>
      </c>
      <c r="BF222" s="103">
        <f t="shared" ca="1" si="240"/>
        <v>0</v>
      </c>
      <c r="BG222" s="103">
        <f t="shared" ca="1" si="241"/>
        <v>0</v>
      </c>
      <c r="BH222" s="103">
        <f t="shared" ca="1" si="242"/>
        <v>0</v>
      </c>
      <c r="BI222" s="103">
        <f t="shared" ca="1" si="243"/>
        <v>0</v>
      </c>
      <c r="BJ222" s="103">
        <f t="shared" ca="1" si="244"/>
        <v>0</v>
      </c>
      <c r="BK222" s="103">
        <f t="shared" ca="1" si="245"/>
        <v>0</v>
      </c>
      <c r="BL222" s="103">
        <f t="shared" ca="1" si="246"/>
        <v>0</v>
      </c>
      <c r="BM222" s="103">
        <f t="shared" ca="1" si="247"/>
        <v>0</v>
      </c>
      <c r="BN222" s="103">
        <f t="shared" ca="1" si="248"/>
        <v>0</v>
      </c>
      <c r="BO222" s="103">
        <f t="shared" ca="1" si="249"/>
        <v>0</v>
      </c>
      <c r="BP222" s="103">
        <f t="shared" ca="1" si="250"/>
        <v>0</v>
      </c>
      <c r="BQ222" s="103">
        <f t="shared" ca="1" si="251"/>
        <v>0</v>
      </c>
      <c r="BR222" s="103">
        <f t="shared" ca="1" si="252"/>
        <v>0</v>
      </c>
      <c r="BS222" s="103">
        <f t="shared" ca="1" si="253"/>
        <v>0</v>
      </c>
      <c r="BT222" s="103">
        <f t="shared" ca="1" si="254"/>
        <v>0</v>
      </c>
      <c r="BU222" s="103">
        <f t="shared" ca="1" si="255"/>
        <v>0</v>
      </c>
      <c r="BV222" s="103">
        <f t="shared" ca="1" si="256"/>
        <v>0</v>
      </c>
      <c r="BW222" s="103">
        <f t="shared" ca="1" si="257"/>
        <v>0</v>
      </c>
      <c r="BX222" s="103">
        <f t="shared" ca="1" si="258"/>
        <v>0</v>
      </c>
      <c r="BY222" s="103">
        <f t="shared" ca="1" si="259"/>
        <v>0</v>
      </c>
      <c r="BZ222" s="98">
        <f t="shared" ref="BZ222:CG231" ca="1" si="261">HLOOKUP(IF(COLUMN(BZ222)-COLUMN($BZ$3)=0,0,OFFSET(BZ222,0,-1))+widthRemarks,$AT222:$BY222,1)</f>
        <v>0</v>
      </c>
      <c r="CA222" s="103">
        <f t="shared" ca="1" si="261"/>
        <v>0</v>
      </c>
      <c r="CB222" s="103">
        <f t="shared" ca="1" si="261"/>
        <v>0</v>
      </c>
      <c r="CC222" s="103">
        <f t="shared" ca="1" si="261"/>
        <v>0</v>
      </c>
      <c r="CD222" s="103">
        <f t="shared" ca="1" si="261"/>
        <v>0</v>
      </c>
      <c r="CE222" s="103">
        <f t="shared" ca="1" si="261"/>
        <v>0</v>
      </c>
      <c r="CF222" s="103">
        <f t="shared" ca="1" si="261"/>
        <v>0</v>
      </c>
      <c r="CG222" s="103">
        <f t="shared" ca="1" si="261"/>
        <v>0</v>
      </c>
      <c r="CH222" s="106">
        <f ca="1">COUNTIF(BZ222:CG222,"&lt;"&amp;MAX(BZ222:CG222))+IF(Calcs[[#This Row],[RL1]]=0,0,1)</f>
        <v>0</v>
      </c>
      <c r="CI22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2" s="103">
        <f ca="1">IFERROR(OFFSET(CJ222,-1,0)+0,0)+IF(INDEX(INDIRECT(RangeContrQty),MATCH(Calcs[[#This Row],[Line]],OFFSET(Items[Line],0,0,ROW(Proposed[])-ROW(Items[])+ROWS(Proposed[]),1),0)),1,0)</f>
        <v>0</v>
      </c>
    </row>
    <row r="223" spans="1:88" x14ac:dyDescent="0.15">
      <c r="A223" s="64">
        <f ca="1">IFERROR(OFFSET(A223,-1,0)+0,0)+MAX(IF(LEN(Calcs[[#This Row],[Line]])&gt;0,1,0),Calcs[[#This Row],[DL]],Calcs[[#This Row],[RL]])</f>
        <v>10</v>
      </c>
      <c r="B223" s="90" t="str">
        <f ca="1">IFERROR(INDEX(OFFSET(Items[Line],0,0,ROW(Proposed[])-ROW(Items[])+ROWS(Proposed[]),1),MATCH(ROW(B223)-ROW(B$3),INDIRECT(RangeCount),0)),"")</f>
        <v/>
      </c>
      <c r="C223" s="90" t="str">
        <f ca="1">IF(LEN(Calcs[[#This Row],[Line]])&gt;0,TRIM(IFERROR(INDEX(Items[Description],MATCH(Calcs[[#This Row],[Line]],Items[Line],0))&amp;INDEX(Items[Description2],MATCH(Calcs[[#This Row],[Line]],Items[Line],0)),INDEX(Proposed[Description],MATCH(Calcs[[#This Row],[Line]],Proposed[Line],0)))),"")</f>
        <v/>
      </c>
      <c r="D223" s="96">
        <f t="shared" ca="1" si="196"/>
        <v>0</v>
      </c>
      <c r="E223" s="103">
        <f t="shared" ca="1" si="197"/>
        <v>0</v>
      </c>
      <c r="F223" s="103">
        <f t="shared" ca="1" si="198"/>
        <v>0</v>
      </c>
      <c r="G223" s="103">
        <f t="shared" ca="1" si="199"/>
        <v>0</v>
      </c>
      <c r="H223" s="103">
        <f t="shared" ca="1" si="200"/>
        <v>0</v>
      </c>
      <c r="I223" s="103">
        <f t="shared" ca="1" si="201"/>
        <v>0</v>
      </c>
      <c r="J223" s="103">
        <f t="shared" ca="1" si="202"/>
        <v>0</v>
      </c>
      <c r="K223" s="103">
        <f t="shared" ca="1" si="203"/>
        <v>0</v>
      </c>
      <c r="L223" s="103">
        <f t="shared" ca="1" si="204"/>
        <v>0</v>
      </c>
      <c r="M223" s="103">
        <f t="shared" ca="1" si="205"/>
        <v>0</v>
      </c>
      <c r="N223" s="103">
        <f t="shared" ca="1" si="206"/>
        <v>0</v>
      </c>
      <c r="O223" s="103">
        <f t="shared" ca="1" si="207"/>
        <v>0</v>
      </c>
      <c r="P223" s="103">
        <f t="shared" ca="1" si="208"/>
        <v>0</v>
      </c>
      <c r="Q223" s="103">
        <f t="shared" ca="1" si="209"/>
        <v>0</v>
      </c>
      <c r="R223" s="103">
        <f t="shared" ca="1" si="210"/>
        <v>0</v>
      </c>
      <c r="S223" s="103">
        <f t="shared" ca="1" si="211"/>
        <v>0</v>
      </c>
      <c r="T223" s="103">
        <f t="shared" ca="1" si="212"/>
        <v>0</v>
      </c>
      <c r="U223" s="103">
        <f t="shared" ca="1" si="213"/>
        <v>0</v>
      </c>
      <c r="V223" s="103">
        <f t="shared" ca="1" si="214"/>
        <v>0</v>
      </c>
      <c r="W223" s="103">
        <f t="shared" ca="1" si="215"/>
        <v>0</v>
      </c>
      <c r="X223" s="103">
        <f t="shared" ca="1" si="216"/>
        <v>0</v>
      </c>
      <c r="Y223" s="103">
        <f t="shared" ca="1" si="217"/>
        <v>0</v>
      </c>
      <c r="Z223" s="103">
        <f t="shared" ca="1" si="218"/>
        <v>0</v>
      </c>
      <c r="AA223" s="103">
        <f t="shared" ca="1" si="219"/>
        <v>0</v>
      </c>
      <c r="AB223" s="103">
        <f t="shared" ca="1" si="220"/>
        <v>0</v>
      </c>
      <c r="AC223" s="103">
        <f t="shared" ca="1" si="221"/>
        <v>0</v>
      </c>
      <c r="AD223" s="103">
        <f t="shared" ca="1" si="222"/>
        <v>0</v>
      </c>
      <c r="AE223" s="103">
        <f t="shared" ca="1" si="223"/>
        <v>0</v>
      </c>
      <c r="AF223" s="103">
        <f t="shared" ca="1" si="224"/>
        <v>0</v>
      </c>
      <c r="AG223" s="103">
        <f t="shared" ca="1" si="225"/>
        <v>0</v>
      </c>
      <c r="AH223" s="103">
        <f t="shared" ca="1" si="226"/>
        <v>0</v>
      </c>
      <c r="AI223" s="103">
        <f t="shared" ca="1" si="227"/>
        <v>0</v>
      </c>
      <c r="AJ223" s="98">
        <f t="shared" ca="1" si="260"/>
        <v>0</v>
      </c>
      <c r="AK223" s="103">
        <f t="shared" ca="1" si="260"/>
        <v>0</v>
      </c>
      <c r="AL223" s="103">
        <f t="shared" ca="1" si="260"/>
        <v>0</v>
      </c>
      <c r="AM223" s="103">
        <f t="shared" ca="1" si="260"/>
        <v>0</v>
      </c>
      <c r="AN223" s="103">
        <f t="shared" ca="1" si="260"/>
        <v>0</v>
      </c>
      <c r="AO223" s="103">
        <f t="shared" ca="1" si="260"/>
        <v>0</v>
      </c>
      <c r="AP223" s="103">
        <f t="shared" ca="1" si="260"/>
        <v>0</v>
      </c>
      <c r="AQ223" s="103">
        <f t="shared" ca="1" si="260"/>
        <v>0</v>
      </c>
      <c r="AR223" s="104">
        <f ca="1">COUNTIF(AJ223:AQ223,"&lt;"&amp;MAX(AJ223:AQ223))+IF(Calcs[[#This Row],[DL1]]=0,0,1)</f>
        <v>0</v>
      </c>
      <c r="AS223" s="105" t="str">
        <f ca="1">IF(LEN(Calcs[[#This Row],[Line]])&gt;0,IF(RIGHT(Calcs[[#This Row],[Remark]],3)=".  ",LEFT(Calcs[[#This Row],[Remark]],LEN(Calcs[[#This Row],[Remark]])-3),Calcs[[#This Row],[Remark]]),"")</f>
        <v/>
      </c>
      <c r="AT223" s="96">
        <f t="shared" ca="1" si="228"/>
        <v>0</v>
      </c>
      <c r="AU223" s="103">
        <f t="shared" ca="1" si="229"/>
        <v>0</v>
      </c>
      <c r="AV223" s="103">
        <f t="shared" ca="1" si="230"/>
        <v>0</v>
      </c>
      <c r="AW223" s="103">
        <f t="shared" ca="1" si="231"/>
        <v>0</v>
      </c>
      <c r="AX223" s="103">
        <f t="shared" ca="1" si="232"/>
        <v>0</v>
      </c>
      <c r="AY223" s="103">
        <f t="shared" ca="1" si="233"/>
        <v>0</v>
      </c>
      <c r="AZ223" s="103">
        <f t="shared" ca="1" si="234"/>
        <v>0</v>
      </c>
      <c r="BA223" s="103">
        <f t="shared" ca="1" si="235"/>
        <v>0</v>
      </c>
      <c r="BB223" s="103">
        <f t="shared" ca="1" si="236"/>
        <v>0</v>
      </c>
      <c r="BC223" s="103">
        <f t="shared" ca="1" si="237"/>
        <v>0</v>
      </c>
      <c r="BD223" s="103">
        <f t="shared" ca="1" si="238"/>
        <v>0</v>
      </c>
      <c r="BE223" s="103">
        <f t="shared" ca="1" si="239"/>
        <v>0</v>
      </c>
      <c r="BF223" s="103">
        <f t="shared" ca="1" si="240"/>
        <v>0</v>
      </c>
      <c r="BG223" s="103">
        <f t="shared" ca="1" si="241"/>
        <v>0</v>
      </c>
      <c r="BH223" s="103">
        <f t="shared" ca="1" si="242"/>
        <v>0</v>
      </c>
      <c r="BI223" s="103">
        <f t="shared" ca="1" si="243"/>
        <v>0</v>
      </c>
      <c r="BJ223" s="103">
        <f t="shared" ca="1" si="244"/>
        <v>0</v>
      </c>
      <c r="BK223" s="103">
        <f t="shared" ca="1" si="245"/>
        <v>0</v>
      </c>
      <c r="BL223" s="103">
        <f t="shared" ca="1" si="246"/>
        <v>0</v>
      </c>
      <c r="BM223" s="103">
        <f t="shared" ca="1" si="247"/>
        <v>0</v>
      </c>
      <c r="BN223" s="103">
        <f t="shared" ca="1" si="248"/>
        <v>0</v>
      </c>
      <c r="BO223" s="103">
        <f t="shared" ca="1" si="249"/>
        <v>0</v>
      </c>
      <c r="BP223" s="103">
        <f t="shared" ca="1" si="250"/>
        <v>0</v>
      </c>
      <c r="BQ223" s="103">
        <f t="shared" ca="1" si="251"/>
        <v>0</v>
      </c>
      <c r="BR223" s="103">
        <f t="shared" ca="1" si="252"/>
        <v>0</v>
      </c>
      <c r="BS223" s="103">
        <f t="shared" ca="1" si="253"/>
        <v>0</v>
      </c>
      <c r="BT223" s="103">
        <f t="shared" ca="1" si="254"/>
        <v>0</v>
      </c>
      <c r="BU223" s="103">
        <f t="shared" ca="1" si="255"/>
        <v>0</v>
      </c>
      <c r="BV223" s="103">
        <f t="shared" ca="1" si="256"/>
        <v>0</v>
      </c>
      <c r="BW223" s="103">
        <f t="shared" ca="1" si="257"/>
        <v>0</v>
      </c>
      <c r="BX223" s="103">
        <f t="shared" ca="1" si="258"/>
        <v>0</v>
      </c>
      <c r="BY223" s="103">
        <f t="shared" ca="1" si="259"/>
        <v>0</v>
      </c>
      <c r="BZ223" s="98">
        <f t="shared" ca="1" si="261"/>
        <v>0</v>
      </c>
      <c r="CA223" s="103">
        <f t="shared" ca="1" si="261"/>
        <v>0</v>
      </c>
      <c r="CB223" s="103">
        <f t="shared" ca="1" si="261"/>
        <v>0</v>
      </c>
      <c r="CC223" s="103">
        <f t="shared" ca="1" si="261"/>
        <v>0</v>
      </c>
      <c r="CD223" s="103">
        <f t="shared" ca="1" si="261"/>
        <v>0</v>
      </c>
      <c r="CE223" s="103">
        <f t="shared" ca="1" si="261"/>
        <v>0</v>
      </c>
      <c r="CF223" s="103">
        <f t="shared" ca="1" si="261"/>
        <v>0</v>
      </c>
      <c r="CG223" s="103">
        <f t="shared" ca="1" si="261"/>
        <v>0</v>
      </c>
      <c r="CH223" s="106">
        <f ca="1">COUNTIF(BZ223:CG223,"&lt;"&amp;MAX(BZ223:CG223))+IF(Calcs[[#This Row],[RL1]]=0,0,1)</f>
        <v>0</v>
      </c>
      <c r="CI22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3" s="103">
        <f ca="1">IFERROR(OFFSET(CJ223,-1,0)+0,0)+IF(INDEX(INDIRECT(RangeContrQty),MATCH(Calcs[[#This Row],[Line]],OFFSET(Items[Line],0,0,ROW(Proposed[])-ROW(Items[])+ROWS(Proposed[]),1),0)),1,0)</f>
        <v>0</v>
      </c>
    </row>
    <row r="224" spans="1:88" x14ac:dyDescent="0.15">
      <c r="A224" s="64">
        <f ca="1">IFERROR(OFFSET(A224,-1,0)+0,0)+MAX(IF(LEN(Calcs[[#This Row],[Line]])&gt;0,1,0),Calcs[[#This Row],[DL]],Calcs[[#This Row],[RL]])</f>
        <v>10</v>
      </c>
      <c r="B224" s="90" t="str">
        <f ca="1">IFERROR(INDEX(OFFSET(Items[Line],0,0,ROW(Proposed[])-ROW(Items[])+ROWS(Proposed[]),1),MATCH(ROW(B224)-ROW(B$3),INDIRECT(RangeCount),0)),"")</f>
        <v/>
      </c>
      <c r="C224" s="90" t="str">
        <f ca="1">IF(LEN(Calcs[[#This Row],[Line]])&gt;0,TRIM(IFERROR(INDEX(Items[Description],MATCH(Calcs[[#This Row],[Line]],Items[Line],0))&amp;INDEX(Items[Description2],MATCH(Calcs[[#This Row],[Line]],Items[Line],0)),INDEX(Proposed[Description],MATCH(Calcs[[#This Row],[Line]],Proposed[Line],0)))),"")</f>
        <v/>
      </c>
      <c r="D224" s="96">
        <f t="shared" ca="1" si="196"/>
        <v>0</v>
      </c>
      <c r="E224" s="103">
        <f t="shared" ca="1" si="197"/>
        <v>0</v>
      </c>
      <c r="F224" s="103">
        <f t="shared" ca="1" si="198"/>
        <v>0</v>
      </c>
      <c r="G224" s="103">
        <f t="shared" ca="1" si="199"/>
        <v>0</v>
      </c>
      <c r="H224" s="103">
        <f t="shared" ca="1" si="200"/>
        <v>0</v>
      </c>
      <c r="I224" s="103">
        <f t="shared" ca="1" si="201"/>
        <v>0</v>
      </c>
      <c r="J224" s="103">
        <f t="shared" ca="1" si="202"/>
        <v>0</v>
      </c>
      <c r="K224" s="103">
        <f t="shared" ca="1" si="203"/>
        <v>0</v>
      </c>
      <c r="L224" s="103">
        <f t="shared" ca="1" si="204"/>
        <v>0</v>
      </c>
      <c r="M224" s="103">
        <f t="shared" ca="1" si="205"/>
        <v>0</v>
      </c>
      <c r="N224" s="103">
        <f t="shared" ca="1" si="206"/>
        <v>0</v>
      </c>
      <c r="O224" s="103">
        <f t="shared" ca="1" si="207"/>
        <v>0</v>
      </c>
      <c r="P224" s="103">
        <f t="shared" ca="1" si="208"/>
        <v>0</v>
      </c>
      <c r="Q224" s="103">
        <f t="shared" ca="1" si="209"/>
        <v>0</v>
      </c>
      <c r="R224" s="103">
        <f t="shared" ca="1" si="210"/>
        <v>0</v>
      </c>
      <c r="S224" s="103">
        <f t="shared" ca="1" si="211"/>
        <v>0</v>
      </c>
      <c r="T224" s="103">
        <f t="shared" ca="1" si="212"/>
        <v>0</v>
      </c>
      <c r="U224" s="103">
        <f t="shared" ca="1" si="213"/>
        <v>0</v>
      </c>
      <c r="V224" s="103">
        <f t="shared" ca="1" si="214"/>
        <v>0</v>
      </c>
      <c r="W224" s="103">
        <f t="shared" ca="1" si="215"/>
        <v>0</v>
      </c>
      <c r="X224" s="103">
        <f t="shared" ca="1" si="216"/>
        <v>0</v>
      </c>
      <c r="Y224" s="103">
        <f t="shared" ca="1" si="217"/>
        <v>0</v>
      </c>
      <c r="Z224" s="103">
        <f t="shared" ca="1" si="218"/>
        <v>0</v>
      </c>
      <c r="AA224" s="103">
        <f t="shared" ca="1" si="219"/>
        <v>0</v>
      </c>
      <c r="AB224" s="103">
        <f t="shared" ca="1" si="220"/>
        <v>0</v>
      </c>
      <c r="AC224" s="103">
        <f t="shared" ca="1" si="221"/>
        <v>0</v>
      </c>
      <c r="AD224" s="103">
        <f t="shared" ca="1" si="222"/>
        <v>0</v>
      </c>
      <c r="AE224" s="103">
        <f t="shared" ca="1" si="223"/>
        <v>0</v>
      </c>
      <c r="AF224" s="103">
        <f t="shared" ca="1" si="224"/>
        <v>0</v>
      </c>
      <c r="AG224" s="103">
        <f t="shared" ca="1" si="225"/>
        <v>0</v>
      </c>
      <c r="AH224" s="103">
        <f t="shared" ca="1" si="226"/>
        <v>0</v>
      </c>
      <c r="AI224" s="103">
        <f t="shared" ca="1" si="227"/>
        <v>0</v>
      </c>
      <c r="AJ224" s="98">
        <f t="shared" ca="1" si="260"/>
        <v>0</v>
      </c>
      <c r="AK224" s="103">
        <f t="shared" ca="1" si="260"/>
        <v>0</v>
      </c>
      <c r="AL224" s="103">
        <f t="shared" ca="1" si="260"/>
        <v>0</v>
      </c>
      <c r="AM224" s="103">
        <f t="shared" ca="1" si="260"/>
        <v>0</v>
      </c>
      <c r="AN224" s="103">
        <f t="shared" ca="1" si="260"/>
        <v>0</v>
      </c>
      <c r="AO224" s="103">
        <f t="shared" ca="1" si="260"/>
        <v>0</v>
      </c>
      <c r="AP224" s="103">
        <f t="shared" ca="1" si="260"/>
        <v>0</v>
      </c>
      <c r="AQ224" s="103">
        <f t="shared" ca="1" si="260"/>
        <v>0</v>
      </c>
      <c r="AR224" s="104">
        <f ca="1">COUNTIF(AJ224:AQ224,"&lt;"&amp;MAX(AJ224:AQ224))+IF(Calcs[[#This Row],[DL1]]=0,0,1)</f>
        <v>0</v>
      </c>
      <c r="AS224" s="105" t="str">
        <f ca="1">IF(LEN(Calcs[[#This Row],[Line]])&gt;0,IF(RIGHT(Calcs[[#This Row],[Remark]],3)=".  ",LEFT(Calcs[[#This Row],[Remark]],LEN(Calcs[[#This Row],[Remark]])-3),Calcs[[#This Row],[Remark]]),"")</f>
        <v/>
      </c>
      <c r="AT224" s="96">
        <f t="shared" ca="1" si="228"/>
        <v>0</v>
      </c>
      <c r="AU224" s="103">
        <f t="shared" ca="1" si="229"/>
        <v>0</v>
      </c>
      <c r="AV224" s="103">
        <f t="shared" ca="1" si="230"/>
        <v>0</v>
      </c>
      <c r="AW224" s="103">
        <f t="shared" ca="1" si="231"/>
        <v>0</v>
      </c>
      <c r="AX224" s="103">
        <f t="shared" ca="1" si="232"/>
        <v>0</v>
      </c>
      <c r="AY224" s="103">
        <f t="shared" ca="1" si="233"/>
        <v>0</v>
      </c>
      <c r="AZ224" s="103">
        <f t="shared" ca="1" si="234"/>
        <v>0</v>
      </c>
      <c r="BA224" s="103">
        <f t="shared" ca="1" si="235"/>
        <v>0</v>
      </c>
      <c r="BB224" s="103">
        <f t="shared" ca="1" si="236"/>
        <v>0</v>
      </c>
      <c r="BC224" s="103">
        <f t="shared" ca="1" si="237"/>
        <v>0</v>
      </c>
      <c r="BD224" s="103">
        <f t="shared" ca="1" si="238"/>
        <v>0</v>
      </c>
      <c r="BE224" s="103">
        <f t="shared" ca="1" si="239"/>
        <v>0</v>
      </c>
      <c r="BF224" s="103">
        <f t="shared" ca="1" si="240"/>
        <v>0</v>
      </c>
      <c r="BG224" s="103">
        <f t="shared" ca="1" si="241"/>
        <v>0</v>
      </c>
      <c r="BH224" s="103">
        <f t="shared" ca="1" si="242"/>
        <v>0</v>
      </c>
      <c r="BI224" s="103">
        <f t="shared" ca="1" si="243"/>
        <v>0</v>
      </c>
      <c r="BJ224" s="103">
        <f t="shared" ca="1" si="244"/>
        <v>0</v>
      </c>
      <c r="BK224" s="103">
        <f t="shared" ca="1" si="245"/>
        <v>0</v>
      </c>
      <c r="BL224" s="103">
        <f t="shared" ca="1" si="246"/>
        <v>0</v>
      </c>
      <c r="BM224" s="103">
        <f t="shared" ca="1" si="247"/>
        <v>0</v>
      </c>
      <c r="BN224" s="103">
        <f t="shared" ca="1" si="248"/>
        <v>0</v>
      </c>
      <c r="BO224" s="103">
        <f t="shared" ca="1" si="249"/>
        <v>0</v>
      </c>
      <c r="BP224" s="103">
        <f t="shared" ca="1" si="250"/>
        <v>0</v>
      </c>
      <c r="BQ224" s="103">
        <f t="shared" ca="1" si="251"/>
        <v>0</v>
      </c>
      <c r="BR224" s="103">
        <f t="shared" ca="1" si="252"/>
        <v>0</v>
      </c>
      <c r="BS224" s="103">
        <f t="shared" ca="1" si="253"/>
        <v>0</v>
      </c>
      <c r="BT224" s="103">
        <f t="shared" ca="1" si="254"/>
        <v>0</v>
      </c>
      <c r="BU224" s="103">
        <f t="shared" ca="1" si="255"/>
        <v>0</v>
      </c>
      <c r="BV224" s="103">
        <f t="shared" ca="1" si="256"/>
        <v>0</v>
      </c>
      <c r="BW224" s="103">
        <f t="shared" ca="1" si="257"/>
        <v>0</v>
      </c>
      <c r="BX224" s="103">
        <f t="shared" ca="1" si="258"/>
        <v>0</v>
      </c>
      <c r="BY224" s="103">
        <f t="shared" ca="1" si="259"/>
        <v>0</v>
      </c>
      <c r="BZ224" s="98">
        <f t="shared" ca="1" si="261"/>
        <v>0</v>
      </c>
      <c r="CA224" s="103">
        <f t="shared" ca="1" si="261"/>
        <v>0</v>
      </c>
      <c r="CB224" s="103">
        <f t="shared" ca="1" si="261"/>
        <v>0</v>
      </c>
      <c r="CC224" s="103">
        <f t="shared" ca="1" si="261"/>
        <v>0</v>
      </c>
      <c r="CD224" s="103">
        <f t="shared" ca="1" si="261"/>
        <v>0</v>
      </c>
      <c r="CE224" s="103">
        <f t="shared" ca="1" si="261"/>
        <v>0</v>
      </c>
      <c r="CF224" s="103">
        <f t="shared" ca="1" si="261"/>
        <v>0</v>
      </c>
      <c r="CG224" s="103">
        <f t="shared" ca="1" si="261"/>
        <v>0</v>
      </c>
      <c r="CH224" s="106">
        <f ca="1">COUNTIF(BZ224:CG224,"&lt;"&amp;MAX(BZ224:CG224))+IF(Calcs[[#This Row],[RL1]]=0,0,1)</f>
        <v>0</v>
      </c>
      <c r="CI22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4" s="103">
        <f ca="1">IFERROR(OFFSET(CJ224,-1,0)+0,0)+IF(INDEX(INDIRECT(RangeContrQty),MATCH(Calcs[[#This Row],[Line]],OFFSET(Items[Line],0,0,ROW(Proposed[])-ROW(Items[])+ROWS(Proposed[]),1),0)),1,0)</f>
        <v>0</v>
      </c>
    </row>
    <row r="225" spans="1:88" x14ac:dyDescent="0.15">
      <c r="A225" s="64">
        <f ca="1">IFERROR(OFFSET(A225,-1,0)+0,0)+MAX(IF(LEN(Calcs[[#This Row],[Line]])&gt;0,1,0),Calcs[[#This Row],[DL]],Calcs[[#This Row],[RL]])</f>
        <v>10</v>
      </c>
      <c r="B225" s="90" t="str">
        <f ca="1">IFERROR(INDEX(OFFSET(Items[Line],0,0,ROW(Proposed[])-ROW(Items[])+ROWS(Proposed[]),1),MATCH(ROW(B225)-ROW(B$3),INDIRECT(RangeCount),0)),"")</f>
        <v/>
      </c>
      <c r="C225" s="90" t="str">
        <f ca="1">IF(LEN(Calcs[[#This Row],[Line]])&gt;0,TRIM(IFERROR(INDEX(Items[Description],MATCH(Calcs[[#This Row],[Line]],Items[Line],0))&amp;INDEX(Items[Description2],MATCH(Calcs[[#This Row],[Line]],Items[Line],0)),INDEX(Proposed[Description],MATCH(Calcs[[#This Row],[Line]],Proposed[Line],0)))),"")</f>
        <v/>
      </c>
      <c r="D225" s="96">
        <f t="shared" ca="1" si="196"/>
        <v>0</v>
      </c>
      <c r="E225" s="103">
        <f t="shared" ca="1" si="197"/>
        <v>0</v>
      </c>
      <c r="F225" s="103">
        <f t="shared" ca="1" si="198"/>
        <v>0</v>
      </c>
      <c r="G225" s="103">
        <f t="shared" ca="1" si="199"/>
        <v>0</v>
      </c>
      <c r="H225" s="103">
        <f t="shared" ca="1" si="200"/>
        <v>0</v>
      </c>
      <c r="I225" s="103">
        <f t="shared" ca="1" si="201"/>
        <v>0</v>
      </c>
      <c r="J225" s="103">
        <f t="shared" ca="1" si="202"/>
        <v>0</v>
      </c>
      <c r="K225" s="103">
        <f t="shared" ca="1" si="203"/>
        <v>0</v>
      </c>
      <c r="L225" s="103">
        <f t="shared" ca="1" si="204"/>
        <v>0</v>
      </c>
      <c r="M225" s="103">
        <f t="shared" ca="1" si="205"/>
        <v>0</v>
      </c>
      <c r="N225" s="103">
        <f t="shared" ca="1" si="206"/>
        <v>0</v>
      </c>
      <c r="O225" s="103">
        <f t="shared" ca="1" si="207"/>
        <v>0</v>
      </c>
      <c r="P225" s="103">
        <f t="shared" ca="1" si="208"/>
        <v>0</v>
      </c>
      <c r="Q225" s="103">
        <f t="shared" ca="1" si="209"/>
        <v>0</v>
      </c>
      <c r="R225" s="103">
        <f t="shared" ca="1" si="210"/>
        <v>0</v>
      </c>
      <c r="S225" s="103">
        <f t="shared" ca="1" si="211"/>
        <v>0</v>
      </c>
      <c r="T225" s="103">
        <f t="shared" ca="1" si="212"/>
        <v>0</v>
      </c>
      <c r="U225" s="103">
        <f t="shared" ca="1" si="213"/>
        <v>0</v>
      </c>
      <c r="V225" s="103">
        <f t="shared" ca="1" si="214"/>
        <v>0</v>
      </c>
      <c r="W225" s="103">
        <f t="shared" ca="1" si="215"/>
        <v>0</v>
      </c>
      <c r="X225" s="103">
        <f t="shared" ca="1" si="216"/>
        <v>0</v>
      </c>
      <c r="Y225" s="103">
        <f t="shared" ca="1" si="217"/>
        <v>0</v>
      </c>
      <c r="Z225" s="103">
        <f t="shared" ca="1" si="218"/>
        <v>0</v>
      </c>
      <c r="AA225" s="103">
        <f t="shared" ca="1" si="219"/>
        <v>0</v>
      </c>
      <c r="AB225" s="103">
        <f t="shared" ca="1" si="220"/>
        <v>0</v>
      </c>
      <c r="AC225" s="103">
        <f t="shared" ca="1" si="221"/>
        <v>0</v>
      </c>
      <c r="AD225" s="103">
        <f t="shared" ca="1" si="222"/>
        <v>0</v>
      </c>
      <c r="AE225" s="103">
        <f t="shared" ca="1" si="223"/>
        <v>0</v>
      </c>
      <c r="AF225" s="103">
        <f t="shared" ca="1" si="224"/>
        <v>0</v>
      </c>
      <c r="AG225" s="103">
        <f t="shared" ca="1" si="225"/>
        <v>0</v>
      </c>
      <c r="AH225" s="103">
        <f t="shared" ca="1" si="226"/>
        <v>0</v>
      </c>
      <c r="AI225" s="103">
        <f t="shared" ca="1" si="227"/>
        <v>0</v>
      </c>
      <c r="AJ225" s="98">
        <f t="shared" ca="1" si="260"/>
        <v>0</v>
      </c>
      <c r="AK225" s="103">
        <f t="shared" ca="1" si="260"/>
        <v>0</v>
      </c>
      <c r="AL225" s="103">
        <f t="shared" ca="1" si="260"/>
        <v>0</v>
      </c>
      <c r="AM225" s="103">
        <f t="shared" ca="1" si="260"/>
        <v>0</v>
      </c>
      <c r="AN225" s="103">
        <f t="shared" ca="1" si="260"/>
        <v>0</v>
      </c>
      <c r="AO225" s="103">
        <f t="shared" ca="1" si="260"/>
        <v>0</v>
      </c>
      <c r="AP225" s="103">
        <f t="shared" ca="1" si="260"/>
        <v>0</v>
      </c>
      <c r="AQ225" s="103">
        <f t="shared" ca="1" si="260"/>
        <v>0</v>
      </c>
      <c r="AR225" s="104">
        <f ca="1">COUNTIF(AJ225:AQ225,"&lt;"&amp;MAX(AJ225:AQ225))+IF(Calcs[[#This Row],[DL1]]=0,0,1)</f>
        <v>0</v>
      </c>
      <c r="AS225" s="105" t="str">
        <f ca="1">IF(LEN(Calcs[[#This Row],[Line]])&gt;0,IF(RIGHT(Calcs[[#This Row],[Remark]],3)=".  ",LEFT(Calcs[[#This Row],[Remark]],LEN(Calcs[[#This Row],[Remark]])-3),Calcs[[#This Row],[Remark]]),"")</f>
        <v/>
      </c>
      <c r="AT225" s="96">
        <f t="shared" ca="1" si="228"/>
        <v>0</v>
      </c>
      <c r="AU225" s="103">
        <f t="shared" ca="1" si="229"/>
        <v>0</v>
      </c>
      <c r="AV225" s="103">
        <f t="shared" ca="1" si="230"/>
        <v>0</v>
      </c>
      <c r="AW225" s="103">
        <f t="shared" ca="1" si="231"/>
        <v>0</v>
      </c>
      <c r="AX225" s="103">
        <f t="shared" ca="1" si="232"/>
        <v>0</v>
      </c>
      <c r="AY225" s="103">
        <f t="shared" ca="1" si="233"/>
        <v>0</v>
      </c>
      <c r="AZ225" s="103">
        <f t="shared" ca="1" si="234"/>
        <v>0</v>
      </c>
      <c r="BA225" s="103">
        <f t="shared" ca="1" si="235"/>
        <v>0</v>
      </c>
      <c r="BB225" s="103">
        <f t="shared" ca="1" si="236"/>
        <v>0</v>
      </c>
      <c r="BC225" s="103">
        <f t="shared" ca="1" si="237"/>
        <v>0</v>
      </c>
      <c r="BD225" s="103">
        <f t="shared" ca="1" si="238"/>
        <v>0</v>
      </c>
      <c r="BE225" s="103">
        <f t="shared" ca="1" si="239"/>
        <v>0</v>
      </c>
      <c r="BF225" s="103">
        <f t="shared" ca="1" si="240"/>
        <v>0</v>
      </c>
      <c r="BG225" s="103">
        <f t="shared" ca="1" si="241"/>
        <v>0</v>
      </c>
      <c r="BH225" s="103">
        <f t="shared" ca="1" si="242"/>
        <v>0</v>
      </c>
      <c r="BI225" s="103">
        <f t="shared" ca="1" si="243"/>
        <v>0</v>
      </c>
      <c r="BJ225" s="103">
        <f t="shared" ca="1" si="244"/>
        <v>0</v>
      </c>
      <c r="BK225" s="103">
        <f t="shared" ca="1" si="245"/>
        <v>0</v>
      </c>
      <c r="BL225" s="103">
        <f t="shared" ca="1" si="246"/>
        <v>0</v>
      </c>
      <c r="BM225" s="103">
        <f t="shared" ca="1" si="247"/>
        <v>0</v>
      </c>
      <c r="BN225" s="103">
        <f t="shared" ca="1" si="248"/>
        <v>0</v>
      </c>
      <c r="BO225" s="103">
        <f t="shared" ca="1" si="249"/>
        <v>0</v>
      </c>
      <c r="BP225" s="103">
        <f t="shared" ca="1" si="250"/>
        <v>0</v>
      </c>
      <c r="BQ225" s="103">
        <f t="shared" ca="1" si="251"/>
        <v>0</v>
      </c>
      <c r="BR225" s="103">
        <f t="shared" ca="1" si="252"/>
        <v>0</v>
      </c>
      <c r="BS225" s="103">
        <f t="shared" ca="1" si="253"/>
        <v>0</v>
      </c>
      <c r="BT225" s="103">
        <f t="shared" ca="1" si="254"/>
        <v>0</v>
      </c>
      <c r="BU225" s="103">
        <f t="shared" ca="1" si="255"/>
        <v>0</v>
      </c>
      <c r="BV225" s="103">
        <f t="shared" ca="1" si="256"/>
        <v>0</v>
      </c>
      <c r="BW225" s="103">
        <f t="shared" ca="1" si="257"/>
        <v>0</v>
      </c>
      <c r="BX225" s="103">
        <f t="shared" ca="1" si="258"/>
        <v>0</v>
      </c>
      <c r="BY225" s="103">
        <f t="shared" ca="1" si="259"/>
        <v>0</v>
      </c>
      <c r="BZ225" s="98">
        <f t="shared" ca="1" si="261"/>
        <v>0</v>
      </c>
      <c r="CA225" s="103">
        <f t="shared" ca="1" si="261"/>
        <v>0</v>
      </c>
      <c r="CB225" s="103">
        <f t="shared" ca="1" si="261"/>
        <v>0</v>
      </c>
      <c r="CC225" s="103">
        <f t="shared" ca="1" si="261"/>
        <v>0</v>
      </c>
      <c r="CD225" s="103">
        <f t="shared" ca="1" si="261"/>
        <v>0</v>
      </c>
      <c r="CE225" s="103">
        <f t="shared" ca="1" si="261"/>
        <v>0</v>
      </c>
      <c r="CF225" s="103">
        <f t="shared" ca="1" si="261"/>
        <v>0</v>
      </c>
      <c r="CG225" s="103">
        <f t="shared" ca="1" si="261"/>
        <v>0</v>
      </c>
      <c r="CH225" s="106">
        <f ca="1">COUNTIF(BZ225:CG225,"&lt;"&amp;MAX(BZ225:CG225))+IF(Calcs[[#This Row],[RL1]]=0,0,1)</f>
        <v>0</v>
      </c>
      <c r="CI22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5" s="103">
        <f ca="1">IFERROR(OFFSET(CJ225,-1,0)+0,0)+IF(INDEX(INDIRECT(RangeContrQty),MATCH(Calcs[[#This Row],[Line]],OFFSET(Items[Line],0,0,ROW(Proposed[])-ROW(Items[])+ROWS(Proposed[]),1),0)),1,0)</f>
        <v>0</v>
      </c>
    </row>
    <row r="226" spans="1:88" x14ac:dyDescent="0.15">
      <c r="A226" s="64">
        <f ca="1">IFERROR(OFFSET(A226,-1,0)+0,0)+MAX(IF(LEN(Calcs[[#This Row],[Line]])&gt;0,1,0),Calcs[[#This Row],[DL]],Calcs[[#This Row],[RL]])</f>
        <v>10</v>
      </c>
      <c r="B226" s="90" t="str">
        <f ca="1">IFERROR(INDEX(OFFSET(Items[Line],0,0,ROW(Proposed[])-ROW(Items[])+ROWS(Proposed[]),1),MATCH(ROW(B226)-ROW(B$3),INDIRECT(RangeCount),0)),"")</f>
        <v/>
      </c>
      <c r="C226" s="90" t="str">
        <f ca="1">IF(LEN(Calcs[[#This Row],[Line]])&gt;0,TRIM(IFERROR(INDEX(Items[Description],MATCH(Calcs[[#This Row],[Line]],Items[Line],0))&amp;INDEX(Items[Description2],MATCH(Calcs[[#This Row],[Line]],Items[Line],0)),INDEX(Proposed[Description],MATCH(Calcs[[#This Row],[Line]],Proposed[Line],0)))),"")</f>
        <v/>
      </c>
      <c r="D226" s="96">
        <f t="shared" ca="1" si="196"/>
        <v>0</v>
      </c>
      <c r="E226" s="103">
        <f t="shared" ca="1" si="197"/>
        <v>0</v>
      </c>
      <c r="F226" s="103">
        <f t="shared" ca="1" si="198"/>
        <v>0</v>
      </c>
      <c r="G226" s="103">
        <f t="shared" ca="1" si="199"/>
        <v>0</v>
      </c>
      <c r="H226" s="103">
        <f t="shared" ca="1" si="200"/>
        <v>0</v>
      </c>
      <c r="I226" s="103">
        <f t="shared" ca="1" si="201"/>
        <v>0</v>
      </c>
      <c r="J226" s="103">
        <f t="shared" ca="1" si="202"/>
        <v>0</v>
      </c>
      <c r="K226" s="103">
        <f t="shared" ca="1" si="203"/>
        <v>0</v>
      </c>
      <c r="L226" s="103">
        <f t="shared" ca="1" si="204"/>
        <v>0</v>
      </c>
      <c r="M226" s="103">
        <f t="shared" ca="1" si="205"/>
        <v>0</v>
      </c>
      <c r="N226" s="103">
        <f t="shared" ca="1" si="206"/>
        <v>0</v>
      </c>
      <c r="O226" s="103">
        <f t="shared" ca="1" si="207"/>
        <v>0</v>
      </c>
      <c r="P226" s="103">
        <f t="shared" ca="1" si="208"/>
        <v>0</v>
      </c>
      <c r="Q226" s="103">
        <f t="shared" ca="1" si="209"/>
        <v>0</v>
      </c>
      <c r="R226" s="103">
        <f t="shared" ca="1" si="210"/>
        <v>0</v>
      </c>
      <c r="S226" s="103">
        <f t="shared" ca="1" si="211"/>
        <v>0</v>
      </c>
      <c r="T226" s="103">
        <f t="shared" ca="1" si="212"/>
        <v>0</v>
      </c>
      <c r="U226" s="103">
        <f t="shared" ca="1" si="213"/>
        <v>0</v>
      </c>
      <c r="V226" s="103">
        <f t="shared" ca="1" si="214"/>
        <v>0</v>
      </c>
      <c r="W226" s="103">
        <f t="shared" ca="1" si="215"/>
        <v>0</v>
      </c>
      <c r="X226" s="103">
        <f t="shared" ca="1" si="216"/>
        <v>0</v>
      </c>
      <c r="Y226" s="103">
        <f t="shared" ca="1" si="217"/>
        <v>0</v>
      </c>
      <c r="Z226" s="103">
        <f t="shared" ca="1" si="218"/>
        <v>0</v>
      </c>
      <c r="AA226" s="103">
        <f t="shared" ca="1" si="219"/>
        <v>0</v>
      </c>
      <c r="AB226" s="103">
        <f t="shared" ca="1" si="220"/>
        <v>0</v>
      </c>
      <c r="AC226" s="103">
        <f t="shared" ca="1" si="221"/>
        <v>0</v>
      </c>
      <c r="AD226" s="103">
        <f t="shared" ca="1" si="222"/>
        <v>0</v>
      </c>
      <c r="AE226" s="103">
        <f t="shared" ca="1" si="223"/>
        <v>0</v>
      </c>
      <c r="AF226" s="103">
        <f t="shared" ca="1" si="224"/>
        <v>0</v>
      </c>
      <c r="AG226" s="103">
        <f t="shared" ca="1" si="225"/>
        <v>0</v>
      </c>
      <c r="AH226" s="103">
        <f t="shared" ca="1" si="226"/>
        <v>0</v>
      </c>
      <c r="AI226" s="103">
        <f t="shared" ca="1" si="227"/>
        <v>0</v>
      </c>
      <c r="AJ226" s="98">
        <f t="shared" ca="1" si="260"/>
        <v>0</v>
      </c>
      <c r="AK226" s="103">
        <f t="shared" ca="1" si="260"/>
        <v>0</v>
      </c>
      <c r="AL226" s="103">
        <f t="shared" ca="1" si="260"/>
        <v>0</v>
      </c>
      <c r="AM226" s="103">
        <f t="shared" ca="1" si="260"/>
        <v>0</v>
      </c>
      <c r="AN226" s="103">
        <f t="shared" ca="1" si="260"/>
        <v>0</v>
      </c>
      <c r="AO226" s="103">
        <f t="shared" ca="1" si="260"/>
        <v>0</v>
      </c>
      <c r="AP226" s="103">
        <f t="shared" ca="1" si="260"/>
        <v>0</v>
      </c>
      <c r="AQ226" s="103">
        <f t="shared" ca="1" si="260"/>
        <v>0</v>
      </c>
      <c r="AR226" s="104">
        <f ca="1">COUNTIF(AJ226:AQ226,"&lt;"&amp;MAX(AJ226:AQ226))+IF(Calcs[[#This Row],[DL1]]=0,0,1)</f>
        <v>0</v>
      </c>
      <c r="AS226" s="105" t="str">
        <f ca="1">IF(LEN(Calcs[[#This Row],[Line]])&gt;0,IF(RIGHT(Calcs[[#This Row],[Remark]],3)=".  ",LEFT(Calcs[[#This Row],[Remark]],LEN(Calcs[[#This Row],[Remark]])-3),Calcs[[#This Row],[Remark]]),"")</f>
        <v/>
      </c>
      <c r="AT226" s="96">
        <f t="shared" ca="1" si="228"/>
        <v>0</v>
      </c>
      <c r="AU226" s="103">
        <f t="shared" ca="1" si="229"/>
        <v>0</v>
      </c>
      <c r="AV226" s="103">
        <f t="shared" ca="1" si="230"/>
        <v>0</v>
      </c>
      <c r="AW226" s="103">
        <f t="shared" ca="1" si="231"/>
        <v>0</v>
      </c>
      <c r="AX226" s="103">
        <f t="shared" ca="1" si="232"/>
        <v>0</v>
      </c>
      <c r="AY226" s="103">
        <f t="shared" ca="1" si="233"/>
        <v>0</v>
      </c>
      <c r="AZ226" s="103">
        <f t="shared" ca="1" si="234"/>
        <v>0</v>
      </c>
      <c r="BA226" s="103">
        <f t="shared" ca="1" si="235"/>
        <v>0</v>
      </c>
      <c r="BB226" s="103">
        <f t="shared" ca="1" si="236"/>
        <v>0</v>
      </c>
      <c r="BC226" s="103">
        <f t="shared" ca="1" si="237"/>
        <v>0</v>
      </c>
      <c r="BD226" s="103">
        <f t="shared" ca="1" si="238"/>
        <v>0</v>
      </c>
      <c r="BE226" s="103">
        <f t="shared" ca="1" si="239"/>
        <v>0</v>
      </c>
      <c r="BF226" s="103">
        <f t="shared" ca="1" si="240"/>
        <v>0</v>
      </c>
      <c r="BG226" s="103">
        <f t="shared" ca="1" si="241"/>
        <v>0</v>
      </c>
      <c r="BH226" s="103">
        <f t="shared" ca="1" si="242"/>
        <v>0</v>
      </c>
      <c r="BI226" s="103">
        <f t="shared" ca="1" si="243"/>
        <v>0</v>
      </c>
      <c r="BJ226" s="103">
        <f t="shared" ca="1" si="244"/>
        <v>0</v>
      </c>
      <c r="BK226" s="103">
        <f t="shared" ca="1" si="245"/>
        <v>0</v>
      </c>
      <c r="BL226" s="103">
        <f t="shared" ca="1" si="246"/>
        <v>0</v>
      </c>
      <c r="BM226" s="103">
        <f t="shared" ca="1" si="247"/>
        <v>0</v>
      </c>
      <c r="BN226" s="103">
        <f t="shared" ca="1" si="248"/>
        <v>0</v>
      </c>
      <c r="BO226" s="103">
        <f t="shared" ca="1" si="249"/>
        <v>0</v>
      </c>
      <c r="BP226" s="103">
        <f t="shared" ca="1" si="250"/>
        <v>0</v>
      </c>
      <c r="BQ226" s="103">
        <f t="shared" ca="1" si="251"/>
        <v>0</v>
      </c>
      <c r="BR226" s="103">
        <f t="shared" ca="1" si="252"/>
        <v>0</v>
      </c>
      <c r="BS226" s="103">
        <f t="shared" ca="1" si="253"/>
        <v>0</v>
      </c>
      <c r="BT226" s="103">
        <f t="shared" ca="1" si="254"/>
        <v>0</v>
      </c>
      <c r="BU226" s="103">
        <f t="shared" ca="1" si="255"/>
        <v>0</v>
      </c>
      <c r="BV226" s="103">
        <f t="shared" ca="1" si="256"/>
        <v>0</v>
      </c>
      <c r="BW226" s="103">
        <f t="shared" ca="1" si="257"/>
        <v>0</v>
      </c>
      <c r="BX226" s="103">
        <f t="shared" ca="1" si="258"/>
        <v>0</v>
      </c>
      <c r="BY226" s="103">
        <f t="shared" ca="1" si="259"/>
        <v>0</v>
      </c>
      <c r="BZ226" s="98">
        <f t="shared" ca="1" si="261"/>
        <v>0</v>
      </c>
      <c r="CA226" s="103">
        <f t="shared" ca="1" si="261"/>
        <v>0</v>
      </c>
      <c r="CB226" s="103">
        <f t="shared" ca="1" si="261"/>
        <v>0</v>
      </c>
      <c r="CC226" s="103">
        <f t="shared" ca="1" si="261"/>
        <v>0</v>
      </c>
      <c r="CD226" s="103">
        <f t="shared" ca="1" si="261"/>
        <v>0</v>
      </c>
      <c r="CE226" s="103">
        <f t="shared" ca="1" si="261"/>
        <v>0</v>
      </c>
      <c r="CF226" s="103">
        <f t="shared" ca="1" si="261"/>
        <v>0</v>
      </c>
      <c r="CG226" s="103">
        <f t="shared" ca="1" si="261"/>
        <v>0</v>
      </c>
      <c r="CH226" s="106">
        <f ca="1">COUNTIF(BZ226:CG226,"&lt;"&amp;MAX(BZ226:CG226))+IF(Calcs[[#This Row],[RL1]]=0,0,1)</f>
        <v>0</v>
      </c>
      <c r="CI22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6" s="103">
        <f ca="1">IFERROR(OFFSET(CJ226,-1,0)+0,0)+IF(INDEX(INDIRECT(RangeContrQty),MATCH(Calcs[[#This Row],[Line]],OFFSET(Items[Line],0,0,ROW(Proposed[])-ROW(Items[])+ROWS(Proposed[]),1),0)),1,0)</f>
        <v>0</v>
      </c>
    </row>
    <row r="227" spans="1:88" x14ac:dyDescent="0.15">
      <c r="A227" s="64">
        <f ca="1">IFERROR(OFFSET(A227,-1,0)+0,0)+MAX(IF(LEN(Calcs[[#This Row],[Line]])&gt;0,1,0),Calcs[[#This Row],[DL]],Calcs[[#This Row],[RL]])</f>
        <v>10</v>
      </c>
      <c r="B227" s="90" t="str">
        <f ca="1">IFERROR(INDEX(OFFSET(Items[Line],0,0,ROW(Proposed[])-ROW(Items[])+ROWS(Proposed[]),1),MATCH(ROW(B227)-ROW(B$3),INDIRECT(RangeCount),0)),"")</f>
        <v/>
      </c>
      <c r="C227" s="90" t="str">
        <f ca="1">IF(LEN(Calcs[[#This Row],[Line]])&gt;0,TRIM(IFERROR(INDEX(Items[Description],MATCH(Calcs[[#This Row],[Line]],Items[Line],0))&amp;INDEX(Items[Description2],MATCH(Calcs[[#This Row],[Line]],Items[Line],0)),INDEX(Proposed[Description],MATCH(Calcs[[#This Row],[Line]],Proposed[Line],0)))),"")</f>
        <v/>
      </c>
      <c r="D227" s="96">
        <f t="shared" ca="1" si="196"/>
        <v>0</v>
      </c>
      <c r="E227" s="103">
        <f t="shared" ca="1" si="197"/>
        <v>0</v>
      </c>
      <c r="F227" s="103">
        <f t="shared" ca="1" si="198"/>
        <v>0</v>
      </c>
      <c r="G227" s="103">
        <f t="shared" ca="1" si="199"/>
        <v>0</v>
      </c>
      <c r="H227" s="103">
        <f t="shared" ca="1" si="200"/>
        <v>0</v>
      </c>
      <c r="I227" s="103">
        <f t="shared" ca="1" si="201"/>
        <v>0</v>
      </c>
      <c r="J227" s="103">
        <f t="shared" ca="1" si="202"/>
        <v>0</v>
      </c>
      <c r="K227" s="103">
        <f t="shared" ca="1" si="203"/>
        <v>0</v>
      </c>
      <c r="L227" s="103">
        <f t="shared" ca="1" si="204"/>
        <v>0</v>
      </c>
      <c r="M227" s="103">
        <f t="shared" ca="1" si="205"/>
        <v>0</v>
      </c>
      <c r="N227" s="103">
        <f t="shared" ca="1" si="206"/>
        <v>0</v>
      </c>
      <c r="O227" s="103">
        <f t="shared" ca="1" si="207"/>
        <v>0</v>
      </c>
      <c r="P227" s="103">
        <f t="shared" ca="1" si="208"/>
        <v>0</v>
      </c>
      <c r="Q227" s="103">
        <f t="shared" ca="1" si="209"/>
        <v>0</v>
      </c>
      <c r="R227" s="103">
        <f t="shared" ca="1" si="210"/>
        <v>0</v>
      </c>
      <c r="S227" s="103">
        <f t="shared" ca="1" si="211"/>
        <v>0</v>
      </c>
      <c r="T227" s="103">
        <f t="shared" ca="1" si="212"/>
        <v>0</v>
      </c>
      <c r="U227" s="103">
        <f t="shared" ca="1" si="213"/>
        <v>0</v>
      </c>
      <c r="V227" s="103">
        <f t="shared" ca="1" si="214"/>
        <v>0</v>
      </c>
      <c r="W227" s="103">
        <f t="shared" ca="1" si="215"/>
        <v>0</v>
      </c>
      <c r="X227" s="103">
        <f t="shared" ca="1" si="216"/>
        <v>0</v>
      </c>
      <c r="Y227" s="103">
        <f t="shared" ca="1" si="217"/>
        <v>0</v>
      </c>
      <c r="Z227" s="103">
        <f t="shared" ca="1" si="218"/>
        <v>0</v>
      </c>
      <c r="AA227" s="103">
        <f t="shared" ca="1" si="219"/>
        <v>0</v>
      </c>
      <c r="AB227" s="103">
        <f t="shared" ca="1" si="220"/>
        <v>0</v>
      </c>
      <c r="AC227" s="103">
        <f t="shared" ca="1" si="221"/>
        <v>0</v>
      </c>
      <c r="AD227" s="103">
        <f t="shared" ca="1" si="222"/>
        <v>0</v>
      </c>
      <c r="AE227" s="103">
        <f t="shared" ca="1" si="223"/>
        <v>0</v>
      </c>
      <c r="AF227" s="103">
        <f t="shared" ca="1" si="224"/>
        <v>0</v>
      </c>
      <c r="AG227" s="103">
        <f t="shared" ca="1" si="225"/>
        <v>0</v>
      </c>
      <c r="AH227" s="103">
        <f t="shared" ca="1" si="226"/>
        <v>0</v>
      </c>
      <c r="AI227" s="103">
        <f t="shared" ca="1" si="227"/>
        <v>0</v>
      </c>
      <c r="AJ227" s="98">
        <f t="shared" ca="1" si="260"/>
        <v>0</v>
      </c>
      <c r="AK227" s="103">
        <f t="shared" ca="1" si="260"/>
        <v>0</v>
      </c>
      <c r="AL227" s="103">
        <f t="shared" ca="1" si="260"/>
        <v>0</v>
      </c>
      <c r="AM227" s="103">
        <f t="shared" ca="1" si="260"/>
        <v>0</v>
      </c>
      <c r="AN227" s="103">
        <f t="shared" ca="1" si="260"/>
        <v>0</v>
      </c>
      <c r="AO227" s="103">
        <f t="shared" ca="1" si="260"/>
        <v>0</v>
      </c>
      <c r="AP227" s="103">
        <f t="shared" ca="1" si="260"/>
        <v>0</v>
      </c>
      <c r="AQ227" s="103">
        <f t="shared" ca="1" si="260"/>
        <v>0</v>
      </c>
      <c r="AR227" s="104">
        <f ca="1">COUNTIF(AJ227:AQ227,"&lt;"&amp;MAX(AJ227:AQ227))+IF(Calcs[[#This Row],[DL1]]=0,0,1)</f>
        <v>0</v>
      </c>
      <c r="AS227" s="105" t="str">
        <f ca="1">IF(LEN(Calcs[[#This Row],[Line]])&gt;0,IF(RIGHT(Calcs[[#This Row],[Remark]],3)=".  ",LEFT(Calcs[[#This Row],[Remark]],LEN(Calcs[[#This Row],[Remark]])-3),Calcs[[#This Row],[Remark]]),"")</f>
        <v/>
      </c>
      <c r="AT227" s="96">
        <f t="shared" ca="1" si="228"/>
        <v>0</v>
      </c>
      <c r="AU227" s="103">
        <f t="shared" ca="1" si="229"/>
        <v>0</v>
      </c>
      <c r="AV227" s="103">
        <f t="shared" ca="1" si="230"/>
        <v>0</v>
      </c>
      <c r="AW227" s="103">
        <f t="shared" ca="1" si="231"/>
        <v>0</v>
      </c>
      <c r="AX227" s="103">
        <f t="shared" ca="1" si="232"/>
        <v>0</v>
      </c>
      <c r="AY227" s="103">
        <f t="shared" ca="1" si="233"/>
        <v>0</v>
      </c>
      <c r="AZ227" s="103">
        <f t="shared" ca="1" si="234"/>
        <v>0</v>
      </c>
      <c r="BA227" s="103">
        <f t="shared" ca="1" si="235"/>
        <v>0</v>
      </c>
      <c r="BB227" s="103">
        <f t="shared" ca="1" si="236"/>
        <v>0</v>
      </c>
      <c r="BC227" s="103">
        <f t="shared" ca="1" si="237"/>
        <v>0</v>
      </c>
      <c r="BD227" s="103">
        <f t="shared" ca="1" si="238"/>
        <v>0</v>
      </c>
      <c r="BE227" s="103">
        <f t="shared" ca="1" si="239"/>
        <v>0</v>
      </c>
      <c r="BF227" s="103">
        <f t="shared" ca="1" si="240"/>
        <v>0</v>
      </c>
      <c r="BG227" s="103">
        <f t="shared" ca="1" si="241"/>
        <v>0</v>
      </c>
      <c r="BH227" s="103">
        <f t="shared" ca="1" si="242"/>
        <v>0</v>
      </c>
      <c r="BI227" s="103">
        <f t="shared" ca="1" si="243"/>
        <v>0</v>
      </c>
      <c r="BJ227" s="103">
        <f t="shared" ca="1" si="244"/>
        <v>0</v>
      </c>
      <c r="BK227" s="103">
        <f t="shared" ca="1" si="245"/>
        <v>0</v>
      </c>
      <c r="BL227" s="103">
        <f t="shared" ca="1" si="246"/>
        <v>0</v>
      </c>
      <c r="BM227" s="103">
        <f t="shared" ca="1" si="247"/>
        <v>0</v>
      </c>
      <c r="BN227" s="103">
        <f t="shared" ca="1" si="248"/>
        <v>0</v>
      </c>
      <c r="BO227" s="103">
        <f t="shared" ca="1" si="249"/>
        <v>0</v>
      </c>
      <c r="BP227" s="103">
        <f t="shared" ca="1" si="250"/>
        <v>0</v>
      </c>
      <c r="BQ227" s="103">
        <f t="shared" ca="1" si="251"/>
        <v>0</v>
      </c>
      <c r="BR227" s="103">
        <f t="shared" ca="1" si="252"/>
        <v>0</v>
      </c>
      <c r="BS227" s="103">
        <f t="shared" ca="1" si="253"/>
        <v>0</v>
      </c>
      <c r="BT227" s="103">
        <f t="shared" ca="1" si="254"/>
        <v>0</v>
      </c>
      <c r="BU227" s="103">
        <f t="shared" ca="1" si="255"/>
        <v>0</v>
      </c>
      <c r="BV227" s="103">
        <f t="shared" ca="1" si="256"/>
        <v>0</v>
      </c>
      <c r="BW227" s="103">
        <f t="shared" ca="1" si="257"/>
        <v>0</v>
      </c>
      <c r="BX227" s="103">
        <f t="shared" ca="1" si="258"/>
        <v>0</v>
      </c>
      <c r="BY227" s="103">
        <f t="shared" ca="1" si="259"/>
        <v>0</v>
      </c>
      <c r="BZ227" s="98">
        <f t="shared" ca="1" si="261"/>
        <v>0</v>
      </c>
      <c r="CA227" s="103">
        <f t="shared" ca="1" si="261"/>
        <v>0</v>
      </c>
      <c r="CB227" s="103">
        <f t="shared" ca="1" si="261"/>
        <v>0</v>
      </c>
      <c r="CC227" s="103">
        <f t="shared" ca="1" si="261"/>
        <v>0</v>
      </c>
      <c r="CD227" s="103">
        <f t="shared" ca="1" si="261"/>
        <v>0</v>
      </c>
      <c r="CE227" s="103">
        <f t="shared" ca="1" si="261"/>
        <v>0</v>
      </c>
      <c r="CF227" s="103">
        <f t="shared" ca="1" si="261"/>
        <v>0</v>
      </c>
      <c r="CG227" s="103">
        <f t="shared" ca="1" si="261"/>
        <v>0</v>
      </c>
      <c r="CH227" s="106">
        <f ca="1">COUNTIF(BZ227:CG227,"&lt;"&amp;MAX(BZ227:CG227))+IF(Calcs[[#This Row],[RL1]]=0,0,1)</f>
        <v>0</v>
      </c>
      <c r="CI22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7" s="103">
        <f ca="1">IFERROR(OFFSET(CJ227,-1,0)+0,0)+IF(INDEX(INDIRECT(RangeContrQty),MATCH(Calcs[[#This Row],[Line]],OFFSET(Items[Line],0,0,ROW(Proposed[])-ROW(Items[])+ROWS(Proposed[]),1),0)),1,0)</f>
        <v>0</v>
      </c>
    </row>
    <row r="228" spans="1:88" x14ac:dyDescent="0.15">
      <c r="A228" s="64">
        <f ca="1">IFERROR(OFFSET(A228,-1,0)+0,0)+MAX(IF(LEN(Calcs[[#This Row],[Line]])&gt;0,1,0),Calcs[[#This Row],[DL]],Calcs[[#This Row],[RL]])</f>
        <v>10</v>
      </c>
      <c r="B228" s="90" t="str">
        <f ca="1">IFERROR(INDEX(OFFSET(Items[Line],0,0,ROW(Proposed[])-ROW(Items[])+ROWS(Proposed[]),1),MATCH(ROW(B228)-ROW(B$3),INDIRECT(RangeCount),0)),"")</f>
        <v/>
      </c>
      <c r="C228" s="90" t="str">
        <f ca="1">IF(LEN(Calcs[[#This Row],[Line]])&gt;0,TRIM(IFERROR(INDEX(Items[Description],MATCH(Calcs[[#This Row],[Line]],Items[Line],0))&amp;INDEX(Items[Description2],MATCH(Calcs[[#This Row],[Line]],Items[Line],0)),INDEX(Proposed[Description],MATCH(Calcs[[#This Row],[Line]],Proposed[Line],0)))),"")</f>
        <v/>
      </c>
      <c r="D228" s="96">
        <f t="shared" ca="1" si="196"/>
        <v>0</v>
      </c>
      <c r="E228" s="103">
        <f t="shared" ca="1" si="197"/>
        <v>0</v>
      </c>
      <c r="F228" s="103">
        <f t="shared" ca="1" si="198"/>
        <v>0</v>
      </c>
      <c r="G228" s="103">
        <f t="shared" ca="1" si="199"/>
        <v>0</v>
      </c>
      <c r="H228" s="103">
        <f t="shared" ca="1" si="200"/>
        <v>0</v>
      </c>
      <c r="I228" s="103">
        <f t="shared" ca="1" si="201"/>
        <v>0</v>
      </c>
      <c r="J228" s="103">
        <f t="shared" ca="1" si="202"/>
        <v>0</v>
      </c>
      <c r="K228" s="103">
        <f t="shared" ca="1" si="203"/>
        <v>0</v>
      </c>
      <c r="L228" s="103">
        <f t="shared" ca="1" si="204"/>
        <v>0</v>
      </c>
      <c r="M228" s="103">
        <f t="shared" ca="1" si="205"/>
        <v>0</v>
      </c>
      <c r="N228" s="103">
        <f t="shared" ca="1" si="206"/>
        <v>0</v>
      </c>
      <c r="O228" s="103">
        <f t="shared" ca="1" si="207"/>
        <v>0</v>
      </c>
      <c r="P228" s="103">
        <f t="shared" ca="1" si="208"/>
        <v>0</v>
      </c>
      <c r="Q228" s="103">
        <f t="shared" ca="1" si="209"/>
        <v>0</v>
      </c>
      <c r="R228" s="103">
        <f t="shared" ca="1" si="210"/>
        <v>0</v>
      </c>
      <c r="S228" s="103">
        <f t="shared" ca="1" si="211"/>
        <v>0</v>
      </c>
      <c r="T228" s="103">
        <f t="shared" ca="1" si="212"/>
        <v>0</v>
      </c>
      <c r="U228" s="103">
        <f t="shared" ca="1" si="213"/>
        <v>0</v>
      </c>
      <c r="V228" s="103">
        <f t="shared" ca="1" si="214"/>
        <v>0</v>
      </c>
      <c r="W228" s="103">
        <f t="shared" ca="1" si="215"/>
        <v>0</v>
      </c>
      <c r="X228" s="103">
        <f t="shared" ca="1" si="216"/>
        <v>0</v>
      </c>
      <c r="Y228" s="103">
        <f t="shared" ca="1" si="217"/>
        <v>0</v>
      </c>
      <c r="Z228" s="103">
        <f t="shared" ca="1" si="218"/>
        <v>0</v>
      </c>
      <c r="AA228" s="103">
        <f t="shared" ca="1" si="219"/>
        <v>0</v>
      </c>
      <c r="AB228" s="103">
        <f t="shared" ca="1" si="220"/>
        <v>0</v>
      </c>
      <c r="AC228" s="103">
        <f t="shared" ca="1" si="221"/>
        <v>0</v>
      </c>
      <c r="AD228" s="103">
        <f t="shared" ca="1" si="222"/>
        <v>0</v>
      </c>
      <c r="AE228" s="103">
        <f t="shared" ca="1" si="223"/>
        <v>0</v>
      </c>
      <c r="AF228" s="103">
        <f t="shared" ca="1" si="224"/>
        <v>0</v>
      </c>
      <c r="AG228" s="103">
        <f t="shared" ca="1" si="225"/>
        <v>0</v>
      </c>
      <c r="AH228" s="103">
        <f t="shared" ca="1" si="226"/>
        <v>0</v>
      </c>
      <c r="AI228" s="103">
        <f t="shared" ca="1" si="227"/>
        <v>0</v>
      </c>
      <c r="AJ228" s="98">
        <f t="shared" ca="1" si="260"/>
        <v>0</v>
      </c>
      <c r="AK228" s="103">
        <f t="shared" ca="1" si="260"/>
        <v>0</v>
      </c>
      <c r="AL228" s="103">
        <f t="shared" ca="1" si="260"/>
        <v>0</v>
      </c>
      <c r="AM228" s="103">
        <f t="shared" ca="1" si="260"/>
        <v>0</v>
      </c>
      <c r="AN228" s="103">
        <f t="shared" ca="1" si="260"/>
        <v>0</v>
      </c>
      <c r="AO228" s="103">
        <f t="shared" ca="1" si="260"/>
        <v>0</v>
      </c>
      <c r="AP228" s="103">
        <f t="shared" ca="1" si="260"/>
        <v>0</v>
      </c>
      <c r="AQ228" s="103">
        <f t="shared" ca="1" si="260"/>
        <v>0</v>
      </c>
      <c r="AR228" s="104">
        <f ca="1">COUNTIF(AJ228:AQ228,"&lt;"&amp;MAX(AJ228:AQ228))+IF(Calcs[[#This Row],[DL1]]=0,0,1)</f>
        <v>0</v>
      </c>
      <c r="AS228" s="105" t="str">
        <f ca="1">IF(LEN(Calcs[[#This Row],[Line]])&gt;0,IF(RIGHT(Calcs[[#This Row],[Remark]],3)=".  ",LEFT(Calcs[[#This Row],[Remark]],LEN(Calcs[[#This Row],[Remark]])-3),Calcs[[#This Row],[Remark]]),"")</f>
        <v/>
      </c>
      <c r="AT228" s="96">
        <f t="shared" ca="1" si="228"/>
        <v>0</v>
      </c>
      <c r="AU228" s="103">
        <f t="shared" ca="1" si="229"/>
        <v>0</v>
      </c>
      <c r="AV228" s="103">
        <f t="shared" ca="1" si="230"/>
        <v>0</v>
      </c>
      <c r="AW228" s="103">
        <f t="shared" ca="1" si="231"/>
        <v>0</v>
      </c>
      <c r="AX228" s="103">
        <f t="shared" ca="1" si="232"/>
        <v>0</v>
      </c>
      <c r="AY228" s="103">
        <f t="shared" ca="1" si="233"/>
        <v>0</v>
      </c>
      <c r="AZ228" s="103">
        <f t="shared" ca="1" si="234"/>
        <v>0</v>
      </c>
      <c r="BA228" s="103">
        <f t="shared" ca="1" si="235"/>
        <v>0</v>
      </c>
      <c r="BB228" s="103">
        <f t="shared" ca="1" si="236"/>
        <v>0</v>
      </c>
      <c r="BC228" s="103">
        <f t="shared" ca="1" si="237"/>
        <v>0</v>
      </c>
      <c r="BD228" s="103">
        <f t="shared" ca="1" si="238"/>
        <v>0</v>
      </c>
      <c r="BE228" s="103">
        <f t="shared" ca="1" si="239"/>
        <v>0</v>
      </c>
      <c r="BF228" s="103">
        <f t="shared" ca="1" si="240"/>
        <v>0</v>
      </c>
      <c r="BG228" s="103">
        <f t="shared" ca="1" si="241"/>
        <v>0</v>
      </c>
      <c r="BH228" s="103">
        <f t="shared" ca="1" si="242"/>
        <v>0</v>
      </c>
      <c r="BI228" s="103">
        <f t="shared" ca="1" si="243"/>
        <v>0</v>
      </c>
      <c r="BJ228" s="103">
        <f t="shared" ca="1" si="244"/>
        <v>0</v>
      </c>
      <c r="BK228" s="103">
        <f t="shared" ca="1" si="245"/>
        <v>0</v>
      </c>
      <c r="BL228" s="103">
        <f t="shared" ca="1" si="246"/>
        <v>0</v>
      </c>
      <c r="BM228" s="103">
        <f t="shared" ca="1" si="247"/>
        <v>0</v>
      </c>
      <c r="BN228" s="103">
        <f t="shared" ca="1" si="248"/>
        <v>0</v>
      </c>
      <c r="BO228" s="103">
        <f t="shared" ca="1" si="249"/>
        <v>0</v>
      </c>
      <c r="BP228" s="103">
        <f t="shared" ca="1" si="250"/>
        <v>0</v>
      </c>
      <c r="BQ228" s="103">
        <f t="shared" ca="1" si="251"/>
        <v>0</v>
      </c>
      <c r="BR228" s="103">
        <f t="shared" ca="1" si="252"/>
        <v>0</v>
      </c>
      <c r="BS228" s="103">
        <f t="shared" ca="1" si="253"/>
        <v>0</v>
      </c>
      <c r="BT228" s="103">
        <f t="shared" ca="1" si="254"/>
        <v>0</v>
      </c>
      <c r="BU228" s="103">
        <f t="shared" ca="1" si="255"/>
        <v>0</v>
      </c>
      <c r="BV228" s="103">
        <f t="shared" ca="1" si="256"/>
        <v>0</v>
      </c>
      <c r="BW228" s="103">
        <f t="shared" ca="1" si="257"/>
        <v>0</v>
      </c>
      <c r="BX228" s="103">
        <f t="shared" ca="1" si="258"/>
        <v>0</v>
      </c>
      <c r="BY228" s="103">
        <f t="shared" ca="1" si="259"/>
        <v>0</v>
      </c>
      <c r="BZ228" s="98">
        <f t="shared" ca="1" si="261"/>
        <v>0</v>
      </c>
      <c r="CA228" s="103">
        <f t="shared" ca="1" si="261"/>
        <v>0</v>
      </c>
      <c r="CB228" s="103">
        <f t="shared" ca="1" si="261"/>
        <v>0</v>
      </c>
      <c r="CC228" s="103">
        <f t="shared" ca="1" si="261"/>
        <v>0</v>
      </c>
      <c r="CD228" s="103">
        <f t="shared" ca="1" si="261"/>
        <v>0</v>
      </c>
      <c r="CE228" s="103">
        <f t="shared" ca="1" si="261"/>
        <v>0</v>
      </c>
      <c r="CF228" s="103">
        <f t="shared" ca="1" si="261"/>
        <v>0</v>
      </c>
      <c r="CG228" s="103">
        <f t="shared" ca="1" si="261"/>
        <v>0</v>
      </c>
      <c r="CH228" s="106">
        <f ca="1">COUNTIF(BZ228:CG228,"&lt;"&amp;MAX(BZ228:CG228))+IF(Calcs[[#This Row],[RL1]]=0,0,1)</f>
        <v>0</v>
      </c>
      <c r="CI22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8" s="103">
        <f ca="1">IFERROR(OFFSET(CJ228,-1,0)+0,0)+IF(INDEX(INDIRECT(RangeContrQty),MATCH(Calcs[[#This Row],[Line]],OFFSET(Items[Line],0,0,ROW(Proposed[])-ROW(Items[])+ROWS(Proposed[]),1),0)),1,0)</f>
        <v>0</v>
      </c>
    </row>
    <row r="229" spans="1:88" x14ac:dyDescent="0.15">
      <c r="A229" s="64">
        <f ca="1">IFERROR(OFFSET(A229,-1,0)+0,0)+MAX(IF(LEN(Calcs[[#This Row],[Line]])&gt;0,1,0),Calcs[[#This Row],[DL]],Calcs[[#This Row],[RL]])</f>
        <v>10</v>
      </c>
      <c r="B229" s="90" t="str">
        <f ca="1">IFERROR(INDEX(OFFSET(Items[Line],0,0,ROW(Proposed[])-ROW(Items[])+ROWS(Proposed[]),1),MATCH(ROW(B229)-ROW(B$3),INDIRECT(RangeCount),0)),"")</f>
        <v/>
      </c>
      <c r="C229" s="90" t="str">
        <f ca="1">IF(LEN(Calcs[[#This Row],[Line]])&gt;0,TRIM(IFERROR(INDEX(Items[Description],MATCH(Calcs[[#This Row],[Line]],Items[Line],0))&amp;INDEX(Items[Description2],MATCH(Calcs[[#This Row],[Line]],Items[Line],0)),INDEX(Proposed[Description],MATCH(Calcs[[#This Row],[Line]],Proposed[Line],0)))),"")</f>
        <v/>
      </c>
      <c r="D229" s="96">
        <f t="shared" ca="1" si="196"/>
        <v>0</v>
      </c>
      <c r="E229" s="103">
        <f t="shared" ca="1" si="197"/>
        <v>0</v>
      </c>
      <c r="F229" s="103">
        <f t="shared" ca="1" si="198"/>
        <v>0</v>
      </c>
      <c r="G229" s="103">
        <f t="shared" ca="1" si="199"/>
        <v>0</v>
      </c>
      <c r="H229" s="103">
        <f t="shared" ca="1" si="200"/>
        <v>0</v>
      </c>
      <c r="I229" s="103">
        <f t="shared" ca="1" si="201"/>
        <v>0</v>
      </c>
      <c r="J229" s="103">
        <f t="shared" ca="1" si="202"/>
        <v>0</v>
      </c>
      <c r="K229" s="103">
        <f t="shared" ca="1" si="203"/>
        <v>0</v>
      </c>
      <c r="L229" s="103">
        <f t="shared" ca="1" si="204"/>
        <v>0</v>
      </c>
      <c r="M229" s="103">
        <f t="shared" ca="1" si="205"/>
        <v>0</v>
      </c>
      <c r="N229" s="103">
        <f t="shared" ca="1" si="206"/>
        <v>0</v>
      </c>
      <c r="O229" s="103">
        <f t="shared" ca="1" si="207"/>
        <v>0</v>
      </c>
      <c r="P229" s="103">
        <f t="shared" ca="1" si="208"/>
        <v>0</v>
      </c>
      <c r="Q229" s="103">
        <f t="shared" ca="1" si="209"/>
        <v>0</v>
      </c>
      <c r="R229" s="103">
        <f t="shared" ca="1" si="210"/>
        <v>0</v>
      </c>
      <c r="S229" s="103">
        <f t="shared" ca="1" si="211"/>
        <v>0</v>
      </c>
      <c r="T229" s="103">
        <f t="shared" ca="1" si="212"/>
        <v>0</v>
      </c>
      <c r="U229" s="103">
        <f t="shared" ca="1" si="213"/>
        <v>0</v>
      </c>
      <c r="V229" s="103">
        <f t="shared" ca="1" si="214"/>
        <v>0</v>
      </c>
      <c r="W229" s="103">
        <f t="shared" ca="1" si="215"/>
        <v>0</v>
      </c>
      <c r="X229" s="103">
        <f t="shared" ca="1" si="216"/>
        <v>0</v>
      </c>
      <c r="Y229" s="103">
        <f t="shared" ca="1" si="217"/>
        <v>0</v>
      </c>
      <c r="Z229" s="103">
        <f t="shared" ca="1" si="218"/>
        <v>0</v>
      </c>
      <c r="AA229" s="103">
        <f t="shared" ca="1" si="219"/>
        <v>0</v>
      </c>
      <c r="AB229" s="103">
        <f t="shared" ca="1" si="220"/>
        <v>0</v>
      </c>
      <c r="AC229" s="103">
        <f t="shared" ca="1" si="221"/>
        <v>0</v>
      </c>
      <c r="AD229" s="103">
        <f t="shared" ca="1" si="222"/>
        <v>0</v>
      </c>
      <c r="AE229" s="103">
        <f t="shared" ca="1" si="223"/>
        <v>0</v>
      </c>
      <c r="AF229" s="103">
        <f t="shared" ca="1" si="224"/>
        <v>0</v>
      </c>
      <c r="AG229" s="103">
        <f t="shared" ca="1" si="225"/>
        <v>0</v>
      </c>
      <c r="AH229" s="103">
        <f t="shared" ca="1" si="226"/>
        <v>0</v>
      </c>
      <c r="AI229" s="103">
        <f t="shared" ca="1" si="227"/>
        <v>0</v>
      </c>
      <c r="AJ229" s="98">
        <f t="shared" ca="1" si="260"/>
        <v>0</v>
      </c>
      <c r="AK229" s="103">
        <f t="shared" ca="1" si="260"/>
        <v>0</v>
      </c>
      <c r="AL229" s="103">
        <f t="shared" ca="1" si="260"/>
        <v>0</v>
      </c>
      <c r="AM229" s="103">
        <f t="shared" ca="1" si="260"/>
        <v>0</v>
      </c>
      <c r="AN229" s="103">
        <f t="shared" ca="1" si="260"/>
        <v>0</v>
      </c>
      <c r="AO229" s="103">
        <f t="shared" ca="1" si="260"/>
        <v>0</v>
      </c>
      <c r="AP229" s="103">
        <f t="shared" ca="1" si="260"/>
        <v>0</v>
      </c>
      <c r="AQ229" s="103">
        <f t="shared" ca="1" si="260"/>
        <v>0</v>
      </c>
      <c r="AR229" s="104">
        <f ca="1">COUNTIF(AJ229:AQ229,"&lt;"&amp;MAX(AJ229:AQ229))+IF(Calcs[[#This Row],[DL1]]=0,0,1)</f>
        <v>0</v>
      </c>
      <c r="AS229" s="105" t="str">
        <f ca="1">IF(LEN(Calcs[[#This Row],[Line]])&gt;0,IF(RIGHT(Calcs[[#This Row],[Remark]],3)=".  ",LEFT(Calcs[[#This Row],[Remark]],LEN(Calcs[[#This Row],[Remark]])-3),Calcs[[#This Row],[Remark]]),"")</f>
        <v/>
      </c>
      <c r="AT229" s="96">
        <f t="shared" ca="1" si="228"/>
        <v>0</v>
      </c>
      <c r="AU229" s="103">
        <f t="shared" ca="1" si="229"/>
        <v>0</v>
      </c>
      <c r="AV229" s="103">
        <f t="shared" ca="1" si="230"/>
        <v>0</v>
      </c>
      <c r="AW229" s="103">
        <f t="shared" ca="1" si="231"/>
        <v>0</v>
      </c>
      <c r="AX229" s="103">
        <f t="shared" ca="1" si="232"/>
        <v>0</v>
      </c>
      <c r="AY229" s="103">
        <f t="shared" ca="1" si="233"/>
        <v>0</v>
      </c>
      <c r="AZ229" s="103">
        <f t="shared" ca="1" si="234"/>
        <v>0</v>
      </c>
      <c r="BA229" s="103">
        <f t="shared" ca="1" si="235"/>
        <v>0</v>
      </c>
      <c r="BB229" s="103">
        <f t="shared" ca="1" si="236"/>
        <v>0</v>
      </c>
      <c r="BC229" s="103">
        <f t="shared" ca="1" si="237"/>
        <v>0</v>
      </c>
      <c r="BD229" s="103">
        <f t="shared" ca="1" si="238"/>
        <v>0</v>
      </c>
      <c r="BE229" s="103">
        <f t="shared" ca="1" si="239"/>
        <v>0</v>
      </c>
      <c r="BF229" s="103">
        <f t="shared" ca="1" si="240"/>
        <v>0</v>
      </c>
      <c r="BG229" s="103">
        <f t="shared" ca="1" si="241"/>
        <v>0</v>
      </c>
      <c r="BH229" s="103">
        <f t="shared" ca="1" si="242"/>
        <v>0</v>
      </c>
      <c r="BI229" s="103">
        <f t="shared" ca="1" si="243"/>
        <v>0</v>
      </c>
      <c r="BJ229" s="103">
        <f t="shared" ca="1" si="244"/>
        <v>0</v>
      </c>
      <c r="BK229" s="103">
        <f t="shared" ca="1" si="245"/>
        <v>0</v>
      </c>
      <c r="BL229" s="103">
        <f t="shared" ca="1" si="246"/>
        <v>0</v>
      </c>
      <c r="BM229" s="103">
        <f t="shared" ca="1" si="247"/>
        <v>0</v>
      </c>
      <c r="BN229" s="103">
        <f t="shared" ca="1" si="248"/>
        <v>0</v>
      </c>
      <c r="BO229" s="103">
        <f t="shared" ca="1" si="249"/>
        <v>0</v>
      </c>
      <c r="BP229" s="103">
        <f t="shared" ca="1" si="250"/>
        <v>0</v>
      </c>
      <c r="BQ229" s="103">
        <f t="shared" ca="1" si="251"/>
        <v>0</v>
      </c>
      <c r="BR229" s="103">
        <f t="shared" ca="1" si="252"/>
        <v>0</v>
      </c>
      <c r="BS229" s="103">
        <f t="shared" ca="1" si="253"/>
        <v>0</v>
      </c>
      <c r="BT229" s="103">
        <f t="shared" ca="1" si="254"/>
        <v>0</v>
      </c>
      <c r="BU229" s="103">
        <f t="shared" ca="1" si="255"/>
        <v>0</v>
      </c>
      <c r="BV229" s="103">
        <f t="shared" ca="1" si="256"/>
        <v>0</v>
      </c>
      <c r="BW229" s="103">
        <f t="shared" ca="1" si="257"/>
        <v>0</v>
      </c>
      <c r="BX229" s="103">
        <f t="shared" ca="1" si="258"/>
        <v>0</v>
      </c>
      <c r="BY229" s="103">
        <f t="shared" ca="1" si="259"/>
        <v>0</v>
      </c>
      <c r="BZ229" s="98">
        <f t="shared" ca="1" si="261"/>
        <v>0</v>
      </c>
      <c r="CA229" s="103">
        <f t="shared" ca="1" si="261"/>
        <v>0</v>
      </c>
      <c r="CB229" s="103">
        <f t="shared" ca="1" si="261"/>
        <v>0</v>
      </c>
      <c r="CC229" s="103">
        <f t="shared" ca="1" si="261"/>
        <v>0</v>
      </c>
      <c r="CD229" s="103">
        <f t="shared" ca="1" si="261"/>
        <v>0</v>
      </c>
      <c r="CE229" s="103">
        <f t="shared" ca="1" si="261"/>
        <v>0</v>
      </c>
      <c r="CF229" s="103">
        <f t="shared" ca="1" si="261"/>
        <v>0</v>
      </c>
      <c r="CG229" s="103">
        <f t="shared" ca="1" si="261"/>
        <v>0</v>
      </c>
      <c r="CH229" s="106">
        <f ca="1">COUNTIF(BZ229:CG229,"&lt;"&amp;MAX(BZ229:CG229))+IF(Calcs[[#This Row],[RL1]]=0,0,1)</f>
        <v>0</v>
      </c>
      <c r="CI22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9" s="103">
        <f ca="1">IFERROR(OFFSET(CJ229,-1,0)+0,0)+IF(INDEX(INDIRECT(RangeContrQty),MATCH(Calcs[[#This Row],[Line]],OFFSET(Items[Line],0,0,ROW(Proposed[])-ROW(Items[])+ROWS(Proposed[]),1),0)),1,0)</f>
        <v>0</v>
      </c>
    </row>
    <row r="230" spans="1:88" x14ac:dyDescent="0.15">
      <c r="A230" s="64">
        <f ca="1">IFERROR(OFFSET(A230,-1,0)+0,0)+MAX(IF(LEN(Calcs[[#This Row],[Line]])&gt;0,1,0),Calcs[[#This Row],[DL]],Calcs[[#This Row],[RL]])</f>
        <v>10</v>
      </c>
      <c r="B230" s="90" t="str">
        <f ca="1">IFERROR(INDEX(OFFSET(Items[Line],0,0,ROW(Proposed[])-ROW(Items[])+ROWS(Proposed[]),1),MATCH(ROW(B230)-ROW(B$3),INDIRECT(RangeCount),0)),"")</f>
        <v/>
      </c>
      <c r="C230" s="90" t="str">
        <f ca="1">IF(LEN(Calcs[[#This Row],[Line]])&gt;0,TRIM(IFERROR(INDEX(Items[Description],MATCH(Calcs[[#This Row],[Line]],Items[Line],0))&amp;INDEX(Items[Description2],MATCH(Calcs[[#This Row],[Line]],Items[Line],0)),INDEX(Proposed[Description],MATCH(Calcs[[#This Row],[Line]],Proposed[Line],0)))),"")</f>
        <v/>
      </c>
      <c r="D230" s="96">
        <f t="shared" ca="1" si="196"/>
        <v>0</v>
      </c>
      <c r="E230" s="103">
        <f t="shared" ca="1" si="197"/>
        <v>0</v>
      </c>
      <c r="F230" s="103">
        <f t="shared" ca="1" si="198"/>
        <v>0</v>
      </c>
      <c r="G230" s="103">
        <f t="shared" ca="1" si="199"/>
        <v>0</v>
      </c>
      <c r="H230" s="103">
        <f t="shared" ca="1" si="200"/>
        <v>0</v>
      </c>
      <c r="I230" s="103">
        <f t="shared" ca="1" si="201"/>
        <v>0</v>
      </c>
      <c r="J230" s="103">
        <f t="shared" ca="1" si="202"/>
        <v>0</v>
      </c>
      <c r="K230" s="103">
        <f t="shared" ca="1" si="203"/>
        <v>0</v>
      </c>
      <c r="L230" s="103">
        <f t="shared" ca="1" si="204"/>
        <v>0</v>
      </c>
      <c r="M230" s="103">
        <f t="shared" ca="1" si="205"/>
        <v>0</v>
      </c>
      <c r="N230" s="103">
        <f t="shared" ca="1" si="206"/>
        <v>0</v>
      </c>
      <c r="O230" s="103">
        <f t="shared" ca="1" si="207"/>
        <v>0</v>
      </c>
      <c r="P230" s="103">
        <f t="shared" ca="1" si="208"/>
        <v>0</v>
      </c>
      <c r="Q230" s="103">
        <f t="shared" ca="1" si="209"/>
        <v>0</v>
      </c>
      <c r="R230" s="103">
        <f t="shared" ca="1" si="210"/>
        <v>0</v>
      </c>
      <c r="S230" s="103">
        <f t="shared" ca="1" si="211"/>
        <v>0</v>
      </c>
      <c r="T230" s="103">
        <f t="shared" ca="1" si="212"/>
        <v>0</v>
      </c>
      <c r="U230" s="103">
        <f t="shared" ca="1" si="213"/>
        <v>0</v>
      </c>
      <c r="V230" s="103">
        <f t="shared" ca="1" si="214"/>
        <v>0</v>
      </c>
      <c r="W230" s="103">
        <f t="shared" ca="1" si="215"/>
        <v>0</v>
      </c>
      <c r="X230" s="103">
        <f t="shared" ca="1" si="216"/>
        <v>0</v>
      </c>
      <c r="Y230" s="103">
        <f t="shared" ca="1" si="217"/>
        <v>0</v>
      </c>
      <c r="Z230" s="103">
        <f t="shared" ca="1" si="218"/>
        <v>0</v>
      </c>
      <c r="AA230" s="103">
        <f t="shared" ca="1" si="219"/>
        <v>0</v>
      </c>
      <c r="AB230" s="103">
        <f t="shared" ca="1" si="220"/>
        <v>0</v>
      </c>
      <c r="AC230" s="103">
        <f t="shared" ca="1" si="221"/>
        <v>0</v>
      </c>
      <c r="AD230" s="103">
        <f t="shared" ca="1" si="222"/>
        <v>0</v>
      </c>
      <c r="AE230" s="103">
        <f t="shared" ca="1" si="223"/>
        <v>0</v>
      </c>
      <c r="AF230" s="103">
        <f t="shared" ca="1" si="224"/>
        <v>0</v>
      </c>
      <c r="AG230" s="103">
        <f t="shared" ca="1" si="225"/>
        <v>0</v>
      </c>
      <c r="AH230" s="103">
        <f t="shared" ca="1" si="226"/>
        <v>0</v>
      </c>
      <c r="AI230" s="103">
        <f t="shared" ca="1" si="227"/>
        <v>0</v>
      </c>
      <c r="AJ230" s="98">
        <f t="shared" ca="1" si="260"/>
        <v>0</v>
      </c>
      <c r="AK230" s="103">
        <f t="shared" ca="1" si="260"/>
        <v>0</v>
      </c>
      <c r="AL230" s="103">
        <f t="shared" ca="1" si="260"/>
        <v>0</v>
      </c>
      <c r="AM230" s="103">
        <f t="shared" ca="1" si="260"/>
        <v>0</v>
      </c>
      <c r="AN230" s="103">
        <f t="shared" ca="1" si="260"/>
        <v>0</v>
      </c>
      <c r="AO230" s="103">
        <f t="shared" ca="1" si="260"/>
        <v>0</v>
      </c>
      <c r="AP230" s="103">
        <f t="shared" ca="1" si="260"/>
        <v>0</v>
      </c>
      <c r="AQ230" s="103">
        <f t="shared" ca="1" si="260"/>
        <v>0</v>
      </c>
      <c r="AR230" s="104">
        <f ca="1">COUNTIF(AJ230:AQ230,"&lt;"&amp;MAX(AJ230:AQ230))+IF(Calcs[[#This Row],[DL1]]=0,0,1)</f>
        <v>0</v>
      </c>
      <c r="AS230" s="105" t="str">
        <f ca="1">IF(LEN(Calcs[[#This Row],[Line]])&gt;0,IF(RIGHT(Calcs[[#This Row],[Remark]],3)=".  ",LEFT(Calcs[[#This Row],[Remark]],LEN(Calcs[[#This Row],[Remark]])-3),Calcs[[#This Row],[Remark]]),"")</f>
        <v/>
      </c>
      <c r="AT230" s="96">
        <f t="shared" ca="1" si="228"/>
        <v>0</v>
      </c>
      <c r="AU230" s="103">
        <f t="shared" ca="1" si="229"/>
        <v>0</v>
      </c>
      <c r="AV230" s="103">
        <f t="shared" ca="1" si="230"/>
        <v>0</v>
      </c>
      <c r="AW230" s="103">
        <f t="shared" ca="1" si="231"/>
        <v>0</v>
      </c>
      <c r="AX230" s="103">
        <f t="shared" ca="1" si="232"/>
        <v>0</v>
      </c>
      <c r="AY230" s="103">
        <f t="shared" ca="1" si="233"/>
        <v>0</v>
      </c>
      <c r="AZ230" s="103">
        <f t="shared" ca="1" si="234"/>
        <v>0</v>
      </c>
      <c r="BA230" s="103">
        <f t="shared" ca="1" si="235"/>
        <v>0</v>
      </c>
      <c r="BB230" s="103">
        <f t="shared" ca="1" si="236"/>
        <v>0</v>
      </c>
      <c r="BC230" s="103">
        <f t="shared" ca="1" si="237"/>
        <v>0</v>
      </c>
      <c r="BD230" s="103">
        <f t="shared" ca="1" si="238"/>
        <v>0</v>
      </c>
      <c r="BE230" s="103">
        <f t="shared" ca="1" si="239"/>
        <v>0</v>
      </c>
      <c r="BF230" s="103">
        <f t="shared" ca="1" si="240"/>
        <v>0</v>
      </c>
      <c r="BG230" s="103">
        <f t="shared" ca="1" si="241"/>
        <v>0</v>
      </c>
      <c r="BH230" s="103">
        <f t="shared" ca="1" si="242"/>
        <v>0</v>
      </c>
      <c r="BI230" s="103">
        <f t="shared" ca="1" si="243"/>
        <v>0</v>
      </c>
      <c r="BJ230" s="103">
        <f t="shared" ca="1" si="244"/>
        <v>0</v>
      </c>
      <c r="BK230" s="103">
        <f t="shared" ca="1" si="245"/>
        <v>0</v>
      </c>
      <c r="BL230" s="103">
        <f t="shared" ca="1" si="246"/>
        <v>0</v>
      </c>
      <c r="BM230" s="103">
        <f t="shared" ca="1" si="247"/>
        <v>0</v>
      </c>
      <c r="BN230" s="103">
        <f t="shared" ca="1" si="248"/>
        <v>0</v>
      </c>
      <c r="BO230" s="103">
        <f t="shared" ca="1" si="249"/>
        <v>0</v>
      </c>
      <c r="BP230" s="103">
        <f t="shared" ca="1" si="250"/>
        <v>0</v>
      </c>
      <c r="BQ230" s="103">
        <f t="shared" ca="1" si="251"/>
        <v>0</v>
      </c>
      <c r="BR230" s="103">
        <f t="shared" ca="1" si="252"/>
        <v>0</v>
      </c>
      <c r="BS230" s="103">
        <f t="shared" ca="1" si="253"/>
        <v>0</v>
      </c>
      <c r="BT230" s="103">
        <f t="shared" ca="1" si="254"/>
        <v>0</v>
      </c>
      <c r="BU230" s="103">
        <f t="shared" ca="1" si="255"/>
        <v>0</v>
      </c>
      <c r="BV230" s="103">
        <f t="shared" ca="1" si="256"/>
        <v>0</v>
      </c>
      <c r="BW230" s="103">
        <f t="shared" ca="1" si="257"/>
        <v>0</v>
      </c>
      <c r="BX230" s="103">
        <f t="shared" ca="1" si="258"/>
        <v>0</v>
      </c>
      <c r="BY230" s="103">
        <f t="shared" ca="1" si="259"/>
        <v>0</v>
      </c>
      <c r="BZ230" s="98">
        <f t="shared" ca="1" si="261"/>
        <v>0</v>
      </c>
      <c r="CA230" s="103">
        <f t="shared" ca="1" si="261"/>
        <v>0</v>
      </c>
      <c r="CB230" s="103">
        <f t="shared" ca="1" si="261"/>
        <v>0</v>
      </c>
      <c r="CC230" s="103">
        <f t="shared" ca="1" si="261"/>
        <v>0</v>
      </c>
      <c r="CD230" s="103">
        <f t="shared" ca="1" si="261"/>
        <v>0</v>
      </c>
      <c r="CE230" s="103">
        <f t="shared" ca="1" si="261"/>
        <v>0</v>
      </c>
      <c r="CF230" s="103">
        <f t="shared" ca="1" si="261"/>
        <v>0</v>
      </c>
      <c r="CG230" s="103">
        <f t="shared" ca="1" si="261"/>
        <v>0</v>
      </c>
      <c r="CH230" s="106">
        <f ca="1">COUNTIF(BZ230:CG230,"&lt;"&amp;MAX(BZ230:CG230))+IF(Calcs[[#This Row],[RL1]]=0,0,1)</f>
        <v>0</v>
      </c>
      <c r="CI23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0" s="103">
        <f ca="1">IFERROR(OFFSET(CJ230,-1,0)+0,0)+IF(INDEX(INDIRECT(RangeContrQty),MATCH(Calcs[[#This Row],[Line]],OFFSET(Items[Line],0,0,ROW(Proposed[])-ROW(Items[])+ROWS(Proposed[]),1),0)),1,0)</f>
        <v>0</v>
      </c>
    </row>
    <row r="231" spans="1:88" x14ac:dyDescent="0.15">
      <c r="A231" s="64">
        <f ca="1">IFERROR(OFFSET(A231,-1,0)+0,0)+MAX(IF(LEN(Calcs[[#This Row],[Line]])&gt;0,1,0),Calcs[[#This Row],[DL]],Calcs[[#This Row],[RL]])</f>
        <v>10</v>
      </c>
      <c r="B231" s="90" t="str">
        <f ca="1">IFERROR(INDEX(OFFSET(Items[Line],0,0,ROW(Proposed[])-ROW(Items[])+ROWS(Proposed[]),1),MATCH(ROW(B231)-ROW(B$3),INDIRECT(RangeCount),0)),"")</f>
        <v/>
      </c>
      <c r="C231" s="90" t="str">
        <f ca="1">IF(LEN(Calcs[[#This Row],[Line]])&gt;0,TRIM(IFERROR(INDEX(Items[Description],MATCH(Calcs[[#This Row],[Line]],Items[Line],0))&amp;INDEX(Items[Description2],MATCH(Calcs[[#This Row],[Line]],Items[Line],0)),INDEX(Proposed[Description],MATCH(Calcs[[#This Row],[Line]],Proposed[Line],0)))),"")</f>
        <v/>
      </c>
      <c r="D231" s="96">
        <f t="shared" ca="1" si="196"/>
        <v>0</v>
      </c>
      <c r="E231" s="103">
        <f t="shared" ca="1" si="197"/>
        <v>0</v>
      </c>
      <c r="F231" s="103">
        <f t="shared" ca="1" si="198"/>
        <v>0</v>
      </c>
      <c r="G231" s="103">
        <f t="shared" ca="1" si="199"/>
        <v>0</v>
      </c>
      <c r="H231" s="103">
        <f t="shared" ca="1" si="200"/>
        <v>0</v>
      </c>
      <c r="I231" s="103">
        <f t="shared" ca="1" si="201"/>
        <v>0</v>
      </c>
      <c r="J231" s="103">
        <f t="shared" ca="1" si="202"/>
        <v>0</v>
      </c>
      <c r="K231" s="103">
        <f t="shared" ca="1" si="203"/>
        <v>0</v>
      </c>
      <c r="L231" s="103">
        <f t="shared" ca="1" si="204"/>
        <v>0</v>
      </c>
      <c r="M231" s="103">
        <f t="shared" ca="1" si="205"/>
        <v>0</v>
      </c>
      <c r="N231" s="103">
        <f t="shared" ca="1" si="206"/>
        <v>0</v>
      </c>
      <c r="O231" s="103">
        <f t="shared" ca="1" si="207"/>
        <v>0</v>
      </c>
      <c r="P231" s="103">
        <f t="shared" ca="1" si="208"/>
        <v>0</v>
      </c>
      <c r="Q231" s="103">
        <f t="shared" ca="1" si="209"/>
        <v>0</v>
      </c>
      <c r="R231" s="103">
        <f t="shared" ca="1" si="210"/>
        <v>0</v>
      </c>
      <c r="S231" s="103">
        <f t="shared" ca="1" si="211"/>
        <v>0</v>
      </c>
      <c r="T231" s="103">
        <f t="shared" ca="1" si="212"/>
        <v>0</v>
      </c>
      <c r="U231" s="103">
        <f t="shared" ca="1" si="213"/>
        <v>0</v>
      </c>
      <c r="V231" s="103">
        <f t="shared" ca="1" si="214"/>
        <v>0</v>
      </c>
      <c r="W231" s="103">
        <f t="shared" ca="1" si="215"/>
        <v>0</v>
      </c>
      <c r="X231" s="103">
        <f t="shared" ca="1" si="216"/>
        <v>0</v>
      </c>
      <c r="Y231" s="103">
        <f t="shared" ca="1" si="217"/>
        <v>0</v>
      </c>
      <c r="Z231" s="103">
        <f t="shared" ca="1" si="218"/>
        <v>0</v>
      </c>
      <c r="AA231" s="103">
        <f t="shared" ca="1" si="219"/>
        <v>0</v>
      </c>
      <c r="AB231" s="103">
        <f t="shared" ca="1" si="220"/>
        <v>0</v>
      </c>
      <c r="AC231" s="103">
        <f t="shared" ca="1" si="221"/>
        <v>0</v>
      </c>
      <c r="AD231" s="103">
        <f t="shared" ca="1" si="222"/>
        <v>0</v>
      </c>
      <c r="AE231" s="103">
        <f t="shared" ca="1" si="223"/>
        <v>0</v>
      </c>
      <c r="AF231" s="103">
        <f t="shared" ca="1" si="224"/>
        <v>0</v>
      </c>
      <c r="AG231" s="103">
        <f t="shared" ca="1" si="225"/>
        <v>0</v>
      </c>
      <c r="AH231" s="103">
        <f t="shared" ca="1" si="226"/>
        <v>0</v>
      </c>
      <c r="AI231" s="103">
        <f t="shared" ca="1" si="227"/>
        <v>0</v>
      </c>
      <c r="AJ231" s="98">
        <f t="shared" ca="1" si="260"/>
        <v>0</v>
      </c>
      <c r="AK231" s="103">
        <f t="shared" ca="1" si="260"/>
        <v>0</v>
      </c>
      <c r="AL231" s="103">
        <f t="shared" ca="1" si="260"/>
        <v>0</v>
      </c>
      <c r="AM231" s="103">
        <f t="shared" ca="1" si="260"/>
        <v>0</v>
      </c>
      <c r="AN231" s="103">
        <f t="shared" ca="1" si="260"/>
        <v>0</v>
      </c>
      <c r="AO231" s="103">
        <f t="shared" ca="1" si="260"/>
        <v>0</v>
      </c>
      <c r="AP231" s="103">
        <f t="shared" ca="1" si="260"/>
        <v>0</v>
      </c>
      <c r="AQ231" s="103">
        <f t="shared" ca="1" si="260"/>
        <v>0</v>
      </c>
      <c r="AR231" s="104">
        <f ca="1">COUNTIF(AJ231:AQ231,"&lt;"&amp;MAX(AJ231:AQ231))+IF(Calcs[[#This Row],[DL1]]=0,0,1)</f>
        <v>0</v>
      </c>
      <c r="AS231" s="105" t="str">
        <f ca="1">IF(LEN(Calcs[[#This Row],[Line]])&gt;0,IF(RIGHT(Calcs[[#This Row],[Remark]],3)=".  ",LEFT(Calcs[[#This Row],[Remark]],LEN(Calcs[[#This Row],[Remark]])-3),Calcs[[#This Row],[Remark]]),"")</f>
        <v/>
      </c>
      <c r="AT231" s="96">
        <f t="shared" ca="1" si="228"/>
        <v>0</v>
      </c>
      <c r="AU231" s="103">
        <f t="shared" ca="1" si="229"/>
        <v>0</v>
      </c>
      <c r="AV231" s="103">
        <f t="shared" ca="1" si="230"/>
        <v>0</v>
      </c>
      <c r="AW231" s="103">
        <f t="shared" ca="1" si="231"/>
        <v>0</v>
      </c>
      <c r="AX231" s="103">
        <f t="shared" ca="1" si="232"/>
        <v>0</v>
      </c>
      <c r="AY231" s="103">
        <f t="shared" ca="1" si="233"/>
        <v>0</v>
      </c>
      <c r="AZ231" s="103">
        <f t="shared" ca="1" si="234"/>
        <v>0</v>
      </c>
      <c r="BA231" s="103">
        <f t="shared" ca="1" si="235"/>
        <v>0</v>
      </c>
      <c r="BB231" s="103">
        <f t="shared" ca="1" si="236"/>
        <v>0</v>
      </c>
      <c r="BC231" s="103">
        <f t="shared" ca="1" si="237"/>
        <v>0</v>
      </c>
      <c r="BD231" s="103">
        <f t="shared" ca="1" si="238"/>
        <v>0</v>
      </c>
      <c r="BE231" s="103">
        <f t="shared" ca="1" si="239"/>
        <v>0</v>
      </c>
      <c r="BF231" s="103">
        <f t="shared" ca="1" si="240"/>
        <v>0</v>
      </c>
      <c r="BG231" s="103">
        <f t="shared" ca="1" si="241"/>
        <v>0</v>
      </c>
      <c r="BH231" s="103">
        <f t="shared" ca="1" si="242"/>
        <v>0</v>
      </c>
      <c r="BI231" s="103">
        <f t="shared" ca="1" si="243"/>
        <v>0</v>
      </c>
      <c r="BJ231" s="103">
        <f t="shared" ca="1" si="244"/>
        <v>0</v>
      </c>
      <c r="BK231" s="103">
        <f t="shared" ca="1" si="245"/>
        <v>0</v>
      </c>
      <c r="BL231" s="103">
        <f t="shared" ca="1" si="246"/>
        <v>0</v>
      </c>
      <c r="BM231" s="103">
        <f t="shared" ca="1" si="247"/>
        <v>0</v>
      </c>
      <c r="BN231" s="103">
        <f t="shared" ca="1" si="248"/>
        <v>0</v>
      </c>
      <c r="BO231" s="103">
        <f t="shared" ca="1" si="249"/>
        <v>0</v>
      </c>
      <c r="BP231" s="103">
        <f t="shared" ca="1" si="250"/>
        <v>0</v>
      </c>
      <c r="BQ231" s="103">
        <f t="shared" ca="1" si="251"/>
        <v>0</v>
      </c>
      <c r="BR231" s="103">
        <f t="shared" ca="1" si="252"/>
        <v>0</v>
      </c>
      <c r="BS231" s="103">
        <f t="shared" ca="1" si="253"/>
        <v>0</v>
      </c>
      <c r="BT231" s="103">
        <f t="shared" ca="1" si="254"/>
        <v>0</v>
      </c>
      <c r="BU231" s="103">
        <f t="shared" ca="1" si="255"/>
        <v>0</v>
      </c>
      <c r="BV231" s="103">
        <f t="shared" ca="1" si="256"/>
        <v>0</v>
      </c>
      <c r="BW231" s="103">
        <f t="shared" ca="1" si="257"/>
        <v>0</v>
      </c>
      <c r="BX231" s="103">
        <f t="shared" ca="1" si="258"/>
        <v>0</v>
      </c>
      <c r="BY231" s="103">
        <f t="shared" ca="1" si="259"/>
        <v>0</v>
      </c>
      <c r="BZ231" s="98">
        <f t="shared" ca="1" si="261"/>
        <v>0</v>
      </c>
      <c r="CA231" s="103">
        <f t="shared" ca="1" si="261"/>
        <v>0</v>
      </c>
      <c r="CB231" s="103">
        <f t="shared" ca="1" si="261"/>
        <v>0</v>
      </c>
      <c r="CC231" s="103">
        <f t="shared" ca="1" si="261"/>
        <v>0</v>
      </c>
      <c r="CD231" s="103">
        <f t="shared" ca="1" si="261"/>
        <v>0</v>
      </c>
      <c r="CE231" s="103">
        <f t="shared" ca="1" si="261"/>
        <v>0</v>
      </c>
      <c r="CF231" s="103">
        <f t="shared" ca="1" si="261"/>
        <v>0</v>
      </c>
      <c r="CG231" s="103">
        <f t="shared" ca="1" si="261"/>
        <v>0</v>
      </c>
      <c r="CH231" s="106">
        <f ca="1">COUNTIF(BZ231:CG231,"&lt;"&amp;MAX(BZ231:CG231))+IF(Calcs[[#This Row],[RL1]]=0,0,1)</f>
        <v>0</v>
      </c>
      <c r="CI23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1" s="103">
        <f ca="1">IFERROR(OFFSET(CJ231,-1,0)+0,0)+IF(INDEX(INDIRECT(RangeContrQty),MATCH(Calcs[[#This Row],[Line]],OFFSET(Items[Line],0,0,ROW(Proposed[])-ROW(Items[])+ROWS(Proposed[]),1),0)),1,0)</f>
        <v>0</v>
      </c>
    </row>
    <row r="232" spans="1:88" x14ac:dyDescent="0.15">
      <c r="A232" s="64">
        <f ca="1">IFERROR(OFFSET(A232,-1,0)+0,0)+MAX(IF(LEN(Calcs[[#This Row],[Line]])&gt;0,1,0),Calcs[[#This Row],[DL]],Calcs[[#This Row],[RL]])</f>
        <v>10</v>
      </c>
      <c r="B232" s="90" t="str">
        <f ca="1">IFERROR(INDEX(OFFSET(Items[Line],0,0,ROW(Proposed[])-ROW(Items[])+ROWS(Proposed[]),1),MATCH(ROW(B232)-ROW(B$3),INDIRECT(RangeCount),0)),"")</f>
        <v/>
      </c>
      <c r="C232" s="90" t="str">
        <f ca="1">IF(LEN(Calcs[[#This Row],[Line]])&gt;0,TRIM(IFERROR(INDEX(Items[Description],MATCH(Calcs[[#This Row],[Line]],Items[Line],0))&amp;INDEX(Items[Description2],MATCH(Calcs[[#This Row],[Line]],Items[Line],0)),INDEX(Proposed[Description],MATCH(Calcs[[#This Row],[Line]],Proposed[Line],0)))),"")</f>
        <v/>
      </c>
      <c r="D232" s="96">
        <f t="shared" ca="1" si="196"/>
        <v>0</v>
      </c>
      <c r="E232" s="103">
        <f t="shared" ca="1" si="197"/>
        <v>0</v>
      </c>
      <c r="F232" s="103">
        <f t="shared" ca="1" si="198"/>
        <v>0</v>
      </c>
      <c r="G232" s="103">
        <f t="shared" ca="1" si="199"/>
        <v>0</v>
      </c>
      <c r="H232" s="103">
        <f t="shared" ca="1" si="200"/>
        <v>0</v>
      </c>
      <c r="I232" s="103">
        <f t="shared" ca="1" si="201"/>
        <v>0</v>
      </c>
      <c r="J232" s="103">
        <f t="shared" ca="1" si="202"/>
        <v>0</v>
      </c>
      <c r="K232" s="103">
        <f t="shared" ca="1" si="203"/>
        <v>0</v>
      </c>
      <c r="L232" s="103">
        <f t="shared" ca="1" si="204"/>
        <v>0</v>
      </c>
      <c r="M232" s="103">
        <f t="shared" ca="1" si="205"/>
        <v>0</v>
      </c>
      <c r="N232" s="103">
        <f t="shared" ca="1" si="206"/>
        <v>0</v>
      </c>
      <c r="O232" s="103">
        <f t="shared" ca="1" si="207"/>
        <v>0</v>
      </c>
      <c r="P232" s="103">
        <f t="shared" ca="1" si="208"/>
        <v>0</v>
      </c>
      <c r="Q232" s="103">
        <f t="shared" ca="1" si="209"/>
        <v>0</v>
      </c>
      <c r="R232" s="103">
        <f t="shared" ca="1" si="210"/>
        <v>0</v>
      </c>
      <c r="S232" s="103">
        <f t="shared" ca="1" si="211"/>
        <v>0</v>
      </c>
      <c r="T232" s="103">
        <f t="shared" ca="1" si="212"/>
        <v>0</v>
      </c>
      <c r="U232" s="103">
        <f t="shared" ca="1" si="213"/>
        <v>0</v>
      </c>
      <c r="V232" s="103">
        <f t="shared" ca="1" si="214"/>
        <v>0</v>
      </c>
      <c r="W232" s="103">
        <f t="shared" ca="1" si="215"/>
        <v>0</v>
      </c>
      <c r="X232" s="103">
        <f t="shared" ca="1" si="216"/>
        <v>0</v>
      </c>
      <c r="Y232" s="103">
        <f t="shared" ca="1" si="217"/>
        <v>0</v>
      </c>
      <c r="Z232" s="103">
        <f t="shared" ca="1" si="218"/>
        <v>0</v>
      </c>
      <c r="AA232" s="103">
        <f t="shared" ca="1" si="219"/>
        <v>0</v>
      </c>
      <c r="AB232" s="103">
        <f t="shared" ca="1" si="220"/>
        <v>0</v>
      </c>
      <c r="AC232" s="103">
        <f t="shared" ca="1" si="221"/>
        <v>0</v>
      </c>
      <c r="AD232" s="103">
        <f t="shared" ca="1" si="222"/>
        <v>0</v>
      </c>
      <c r="AE232" s="103">
        <f t="shared" ca="1" si="223"/>
        <v>0</v>
      </c>
      <c r="AF232" s="103">
        <f t="shared" ca="1" si="224"/>
        <v>0</v>
      </c>
      <c r="AG232" s="103">
        <f t="shared" ca="1" si="225"/>
        <v>0</v>
      </c>
      <c r="AH232" s="103">
        <f t="shared" ca="1" si="226"/>
        <v>0</v>
      </c>
      <c r="AI232" s="103">
        <f t="shared" ca="1" si="227"/>
        <v>0</v>
      </c>
      <c r="AJ232" s="98">
        <f t="shared" ref="AJ232:AQ241" ca="1" si="262">HLOOKUP(IF(COLUMN(AJ232)-COLUMN($AJ$3)=0,0,OFFSET(AJ232,0,-1))+widthPayItem,$D232:$AI232,1)</f>
        <v>0</v>
      </c>
      <c r="AK232" s="103">
        <f t="shared" ca="1" si="262"/>
        <v>0</v>
      </c>
      <c r="AL232" s="103">
        <f t="shared" ca="1" si="262"/>
        <v>0</v>
      </c>
      <c r="AM232" s="103">
        <f t="shared" ca="1" si="262"/>
        <v>0</v>
      </c>
      <c r="AN232" s="103">
        <f t="shared" ca="1" si="262"/>
        <v>0</v>
      </c>
      <c r="AO232" s="103">
        <f t="shared" ca="1" si="262"/>
        <v>0</v>
      </c>
      <c r="AP232" s="103">
        <f t="shared" ca="1" si="262"/>
        <v>0</v>
      </c>
      <c r="AQ232" s="103">
        <f t="shared" ca="1" si="262"/>
        <v>0</v>
      </c>
      <c r="AR232" s="104">
        <f ca="1">COUNTIF(AJ232:AQ232,"&lt;"&amp;MAX(AJ232:AQ232))+IF(Calcs[[#This Row],[DL1]]=0,0,1)</f>
        <v>0</v>
      </c>
      <c r="AS232" s="105" t="str">
        <f ca="1">IF(LEN(Calcs[[#This Row],[Line]])&gt;0,IF(RIGHT(Calcs[[#This Row],[Remark]],3)=".  ",LEFT(Calcs[[#This Row],[Remark]],LEN(Calcs[[#This Row],[Remark]])-3),Calcs[[#This Row],[Remark]]),"")</f>
        <v/>
      </c>
      <c r="AT232" s="96">
        <f t="shared" ca="1" si="228"/>
        <v>0</v>
      </c>
      <c r="AU232" s="103">
        <f t="shared" ca="1" si="229"/>
        <v>0</v>
      </c>
      <c r="AV232" s="103">
        <f t="shared" ca="1" si="230"/>
        <v>0</v>
      </c>
      <c r="AW232" s="103">
        <f t="shared" ca="1" si="231"/>
        <v>0</v>
      </c>
      <c r="AX232" s="103">
        <f t="shared" ca="1" si="232"/>
        <v>0</v>
      </c>
      <c r="AY232" s="103">
        <f t="shared" ca="1" si="233"/>
        <v>0</v>
      </c>
      <c r="AZ232" s="103">
        <f t="shared" ca="1" si="234"/>
        <v>0</v>
      </c>
      <c r="BA232" s="103">
        <f t="shared" ca="1" si="235"/>
        <v>0</v>
      </c>
      <c r="BB232" s="103">
        <f t="shared" ca="1" si="236"/>
        <v>0</v>
      </c>
      <c r="BC232" s="103">
        <f t="shared" ca="1" si="237"/>
        <v>0</v>
      </c>
      <c r="BD232" s="103">
        <f t="shared" ca="1" si="238"/>
        <v>0</v>
      </c>
      <c r="BE232" s="103">
        <f t="shared" ca="1" si="239"/>
        <v>0</v>
      </c>
      <c r="BF232" s="103">
        <f t="shared" ca="1" si="240"/>
        <v>0</v>
      </c>
      <c r="BG232" s="103">
        <f t="shared" ca="1" si="241"/>
        <v>0</v>
      </c>
      <c r="BH232" s="103">
        <f t="shared" ca="1" si="242"/>
        <v>0</v>
      </c>
      <c r="BI232" s="103">
        <f t="shared" ca="1" si="243"/>
        <v>0</v>
      </c>
      <c r="BJ232" s="103">
        <f t="shared" ca="1" si="244"/>
        <v>0</v>
      </c>
      <c r="BK232" s="103">
        <f t="shared" ca="1" si="245"/>
        <v>0</v>
      </c>
      <c r="BL232" s="103">
        <f t="shared" ca="1" si="246"/>
        <v>0</v>
      </c>
      <c r="BM232" s="103">
        <f t="shared" ca="1" si="247"/>
        <v>0</v>
      </c>
      <c r="BN232" s="103">
        <f t="shared" ca="1" si="248"/>
        <v>0</v>
      </c>
      <c r="BO232" s="103">
        <f t="shared" ca="1" si="249"/>
        <v>0</v>
      </c>
      <c r="BP232" s="103">
        <f t="shared" ca="1" si="250"/>
        <v>0</v>
      </c>
      <c r="BQ232" s="103">
        <f t="shared" ca="1" si="251"/>
        <v>0</v>
      </c>
      <c r="BR232" s="103">
        <f t="shared" ca="1" si="252"/>
        <v>0</v>
      </c>
      <c r="BS232" s="103">
        <f t="shared" ca="1" si="253"/>
        <v>0</v>
      </c>
      <c r="BT232" s="103">
        <f t="shared" ca="1" si="254"/>
        <v>0</v>
      </c>
      <c r="BU232" s="103">
        <f t="shared" ca="1" si="255"/>
        <v>0</v>
      </c>
      <c r="BV232" s="103">
        <f t="shared" ca="1" si="256"/>
        <v>0</v>
      </c>
      <c r="BW232" s="103">
        <f t="shared" ca="1" si="257"/>
        <v>0</v>
      </c>
      <c r="BX232" s="103">
        <f t="shared" ca="1" si="258"/>
        <v>0</v>
      </c>
      <c r="BY232" s="103">
        <f t="shared" ca="1" si="259"/>
        <v>0</v>
      </c>
      <c r="BZ232" s="98">
        <f t="shared" ref="BZ232:CG241" ca="1" si="263">HLOOKUP(IF(COLUMN(BZ232)-COLUMN($BZ$3)=0,0,OFFSET(BZ232,0,-1))+widthRemarks,$AT232:$BY232,1)</f>
        <v>0</v>
      </c>
      <c r="CA232" s="103">
        <f t="shared" ca="1" si="263"/>
        <v>0</v>
      </c>
      <c r="CB232" s="103">
        <f t="shared" ca="1" si="263"/>
        <v>0</v>
      </c>
      <c r="CC232" s="103">
        <f t="shared" ca="1" si="263"/>
        <v>0</v>
      </c>
      <c r="CD232" s="103">
        <f t="shared" ca="1" si="263"/>
        <v>0</v>
      </c>
      <c r="CE232" s="103">
        <f t="shared" ca="1" si="263"/>
        <v>0</v>
      </c>
      <c r="CF232" s="103">
        <f t="shared" ca="1" si="263"/>
        <v>0</v>
      </c>
      <c r="CG232" s="103">
        <f t="shared" ca="1" si="263"/>
        <v>0</v>
      </c>
      <c r="CH232" s="106">
        <f ca="1">COUNTIF(BZ232:CG232,"&lt;"&amp;MAX(BZ232:CG232))+IF(Calcs[[#This Row],[RL1]]=0,0,1)</f>
        <v>0</v>
      </c>
      <c r="CI23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2" s="103">
        <f ca="1">IFERROR(OFFSET(CJ232,-1,0)+0,0)+IF(INDEX(INDIRECT(RangeContrQty),MATCH(Calcs[[#This Row],[Line]],OFFSET(Items[Line],0,0,ROW(Proposed[])-ROW(Items[])+ROWS(Proposed[]),1),0)),1,0)</f>
        <v>0</v>
      </c>
    </row>
    <row r="233" spans="1:88" x14ac:dyDescent="0.15">
      <c r="A233" s="64">
        <f ca="1">IFERROR(OFFSET(A233,-1,0)+0,0)+MAX(IF(LEN(Calcs[[#This Row],[Line]])&gt;0,1,0),Calcs[[#This Row],[DL]],Calcs[[#This Row],[RL]])</f>
        <v>10</v>
      </c>
      <c r="B233" s="90" t="str">
        <f ca="1">IFERROR(INDEX(OFFSET(Items[Line],0,0,ROW(Proposed[])-ROW(Items[])+ROWS(Proposed[]),1),MATCH(ROW(B233)-ROW(B$3),INDIRECT(RangeCount),0)),"")</f>
        <v/>
      </c>
      <c r="C233" s="90" t="str">
        <f ca="1">IF(LEN(Calcs[[#This Row],[Line]])&gt;0,TRIM(IFERROR(INDEX(Items[Description],MATCH(Calcs[[#This Row],[Line]],Items[Line],0))&amp;INDEX(Items[Description2],MATCH(Calcs[[#This Row],[Line]],Items[Line],0)),INDEX(Proposed[Description],MATCH(Calcs[[#This Row],[Line]],Proposed[Line],0)))),"")</f>
        <v/>
      </c>
      <c r="D233" s="96">
        <f t="shared" ca="1" si="196"/>
        <v>0</v>
      </c>
      <c r="E233" s="103">
        <f t="shared" ca="1" si="197"/>
        <v>0</v>
      </c>
      <c r="F233" s="103">
        <f t="shared" ca="1" si="198"/>
        <v>0</v>
      </c>
      <c r="G233" s="103">
        <f t="shared" ca="1" si="199"/>
        <v>0</v>
      </c>
      <c r="H233" s="103">
        <f t="shared" ca="1" si="200"/>
        <v>0</v>
      </c>
      <c r="I233" s="103">
        <f t="shared" ca="1" si="201"/>
        <v>0</v>
      </c>
      <c r="J233" s="103">
        <f t="shared" ca="1" si="202"/>
        <v>0</v>
      </c>
      <c r="K233" s="103">
        <f t="shared" ca="1" si="203"/>
        <v>0</v>
      </c>
      <c r="L233" s="103">
        <f t="shared" ca="1" si="204"/>
        <v>0</v>
      </c>
      <c r="M233" s="103">
        <f t="shared" ca="1" si="205"/>
        <v>0</v>
      </c>
      <c r="N233" s="103">
        <f t="shared" ca="1" si="206"/>
        <v>0</v>
      </c>
      <c r="O233" s="103">
        <f t="shared" ca="1" si="207"/>
        <v>0</v>
      </c>
      <c r="P233" s="103">
        <f t="shared" ca="1" si="208"/>
        <v>0</v>
      </c>
      <c r="Q233" s="103">
        <f t="shared" ca="1" si="209"/>
        <v>0</v>
      </c>
      <c r="R233" s="103">
        <f t="shared" ca="1" si="210"/>
        <v>0</v>
      </c>
      <c r="S233" s="103">
        <f t="shared" ca="1" si="211"/>
        <v>0</v>
      </c>
      <c r="T233" s="103">
        <f t="shared" ca="1" si="212"/>
        <v>0</v>
      </c>
      <c r="U233" s="103">
        <f t="shared" ca="1" si="213"/>
        <v>0</v>
      </c>
      <c r="V233" s="103">
        <f t="shared" ca="1" si="214"/>
        <v>0</v>
      </c>
      <c r="W233" s="103">
        <f t="shared" ca="1" si="215"/>
        <v>0</v>
      </c>
      <c r="X233" s="103">
        <f t="shared" ca="1" si="216"/>
        <v>0</v>
      </c>
      <c r="Y233" s="103">
        <f t="shared" ca="1" si="217"/>
        <v>0</v>
      </c>
      <c r="Z233" s="103">
        <f t="shared" ca="1" si="218"/>
        <v>0</v>
      </c>
      <c r="AA233" s="103">
        <f t="shared" ca="1" si="219"/>
        <v>0</v>
      </c>
      <c r="AB233" s="103">
        <f t="shared" ca="1" si="220"/>
        <v>0</v>
      </c>
      <c r="AC233" s="103">
        <f t="shared" ca="1" si="221"/>
        <v>0</v>
      </c>
      <c r="AD233" s="103">
        <f t="shared" ca="1" si="222"/>
        <v>0</v>
      </c>
      <c r="AE233" s="103">
        <f t="shared" ca="1" si="223"/>
        <v>0</v>
      </c>
      <c r="AF233" s="103">
        <f t="shared" ca="1" si="224"/>
        <v>0</v>
      </c>
      <c r="AG233" s="103">
        <f t="shared" ca="1" si="225"/>
        <v>0</v>
      </c>
      <c r="AH233" s="103">
        <f t="shared" ca="1" si="226"/>
        <v>0</v>
      </c>
      <c r="AI233" s="103">
        <f t="shared" ca="1" si="227"/>
        <v>0</v>
      </c>
      <c r="AJ233" s="98">
        <f t="shared" ca="1" si="262"/>
        <v>0</v>
      </c>
      <c r="AK233" s="103">
        <f t="shared" ca="1" si="262"/>
        <v>0</v>
      </c>
      <c r="AL233" s="103">
        <f t="shared" ca="1" si="262"/>
        <v>0</v>
      </c>
      <c r="AM233" s="103">
        <f t="shared" ca="1" si="262"/>
        <v>0</v>
      </c>
      <c r="AN233" s="103">
        <f t="shared" ca="1" si="262"/>
        <v>0</v>
      </c>
      <c r="AO233" s="103">
        <f t="shared" ca="1" si="262"/>
        <v>0</v>
      </c>
      <c r="AP233" s="103">
        <f t="shared" ca="1" si="262"/>
        <v>0</v>
      </c>
      <c r="AQ233" s="103">
        <f t="shared" ca="1" si="262"/>
        <v>0</v>
      </c>
      <c r="AR233" s="104">
        <f ca="1">COUNTIF(AJ233:AQ233,"&lt;"&amp;MAX(AJ233:AQ233))+IF(Calcs[[#This Row],[DL1]]=0,0,1)</f>
        <v>0</v>
      </c>
      <c r="AS233" s="105" t="str">
        <f ca="1">IF(LEN(Calcs[[#This Row],[Line]])&gt;0,IF(RIGHT(Calcs[[#This Row],[Remark]],3)=".  ",LEFT(Calcs[[#This Row],[Remark]],LEN(Calcs[[#This Row],[Remark]])-3),Calcs[[#This Row],[Remark]]),"")</f>
        <v/>
      </c>
      <c r="AT233" s="96">
        <f t="shared" ca="1" si="228"/>
        <v>0</v>
      </c>
      <c r="AU233" s="103">
        <f t="shared" ca="1" si="229"/>
        <v>0</v>
      </c>
      <c r="AV233" s="103">
        <f t="shared" ca="1" si="230"/>
        <v>0</v>
      </c>
      <c r="AW233" s="103">
        <f t="shared" ca="1" si="231"/>
        <v>0</v>
      </c>
      <c r="AX233" s="103">
        <f t="shared" ca="1" si="232"/>
        <v>0</v>
      </c>
      <c r="AY233" s="103">
        <f t="shared" ca="1" si="233"/>
        <v>0</v>
      </c>
      <c r="AZ233" s="103">
        <f t="shared" ca="1" si="234"/>
        <v>0</v>
      </c>
      <c r="BA233" s="103">
        <f t="shared" ca="1" si="235"/>
        <v>0</v>
      </c>
      <c r="BB233" s="103">
        <f t="shared" ca="1" si="236"/>
        <v>0</v>
      </c>
      <c r="BC233" s="103">
        <f t="shared" ca="1" si="237"/>
        <v>0</v>
      </c>
      <c r="BD233" s="103">
        <f t="shared" ca="1" si="238"/>
        <v>0</v>
      </c>
      <c r="BE233" s="103">
        <f t="shared" ca="1" si="239"/>
        <v>0</v>
      </c>
      <c r="BF233" s="103">
        <f t="shared" ca="1" si="240"/>
        <v>0</v>
      </c>
      <c r="BG233" s="103">
        <f t="shared" ca="1" si="241"/>
        <v>0</v>
      </c>
      <c r="BH233" s="103">
        <f t="shared" ca="1" si="242"/>
        <v>0</v>
      </c>
      <c r="BI233" s="103">
        <f t="shared" ca="1" si="243"/>
        <v>0</v>
      </c>
      <c r="BJ233" s="103">
        <f t="shared" ca="1" si="244"/>
        <v>0</v>
      </c>
      <c r="BK233" s="103">
        <f t="shared" ca="1" si="245"/>
        <v>0</v>
      </c>
      <c r="BL233" s="103">
        <f t="shared" ca="1" si="246"/>
        <v>0</v>
      </c>
      <c r="BM233" s="103">
        <f t="shared" ca="1" si="247"/>
        <v>0</v>
      </c>
      <c r="BN233" s="103">
        <f t="shared" ca="1" si="248"/>
        <v>0</v>
      </c>
      <c r="BO233" s="103">
        <f t="shared" ca="1" si="249"/>
        <v>0</v>
      </c>
      <c r="BP233" s="103">
        <f t="shared" ca="1" si="250"/>
        <v>0</v>
      </c>
      <c r="BQ233" s="103">
        <f t="shared" ca="1" si="251"/>
        <v>0</v>
      </c>
      <c r="BR233" s="103">
        <f t="shared" ca="1" si="252"/>
        <v>0</v>
      </c>
      <c r="BS233" s="103">
        <f t="shared" ca="1" si="253"/>
        <v>0</v>
      </c>
      <c r="BT233" s="103">
        <f t="shared" ca="1" si="254"/>
        <v>0</v>
      </c>
      <c r="BU233" s="103">
        <f t="shared" ca="1" si="255"/>
        <v>0</v>
      </c>
      <c r="BV233" s="103">
        <f t="shared" ca="1" si="256"/>
        <v>0</v>
      </c>
      <c r="BW233" s="103">
        <f t="shared" ca="1" si="257"/>
        <v>0</v>
      </c>
      <c r="BX233" s="103">
        <f t="shared" ca="1" si="258"/>
        <v>0</v>
      </c>
      <c r="BY233" s="103">
        <f t="shared" ca="1" si="259"/>
        <v>0</v>
      </c>
      <c r="BZ233" s="98">
        <f t="shared" ca="1" si="263"/>
        <v>0</v>
      </c>
      <c r="CA233" s="103">
        <f t="shared" ca="1" si="263"/>
        <v>0</v>
      </c>
      <c r="CB233" s="103">
        <f t="shared" ca="1" si="263"/>
        <v>0</v>
      </c>
      <c r="CC233" s="103">
        <f t="shared" ca="1" si="263"/>
        <v>0</v>
      </c>
      <c r="CD233" s="103">
        <f t="shared" ca="1" si="263"/>
        <v>0</v>
      </c>
      <c r="CE233" s="103">
        <f t="shared" ca="1" si="263"/>
        <v>0</v>
      </c>
      <c r="CF233" s="103">
        <f t="shared" ca="1" si="263"/>
        <v>0</v>
      </c>
      <c r="CG233" s="103">
        <f t="shared" ca="1" si="263"/>
        <v>0</v>
      </c>
      <c r="CH233" s="106">
        <f ca="1">COUNTIF(BZ233:CG233,"&lt;"&amp;MAX(BZ233:CG233))+IF(Calcs[[#This Row],[RL1]]=0,0,1)</f>
        <v>0</v>
      </c>
      <c r="CI23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3" s="103">
        <f ca="1">IFERROR(OFFSET(CJ233,-1,0)+0,0)+IF(INDEX(INDIRECT(RangeContrQty),MATCH(Calcs[[#This Row],[Line]],OFFSET(Items[Line],0,0,ROW(Proposed[])-ROW(Items[])+ROWS(Proposed[]),1),0)),1,0)</f>
        <v>0</v>
      </c>
    </row>
    <row r="234" spans="1:88" x14ac:dyDescent="0.15">
      <c r="A234" s="64">
        <f ca="1">IFERROR(OFFSET(A234,-1,0)+0,0)+MAX(IF(LEN(Calcs[[#This Row],[Line]])&gt;0,1,0),Calcs[[#This Row],[DL]],Calcs[[#This Row],[RL]])</f>
        <v>10</v>
      </c>
      <c r="B234" s="90" t="str">
        <f ca="1">IFERROR(INDEX(OFFSET(Items[Line],0,0,ROW(Proposed[])-ROW(Items[])+ROWS(Proposed[]),1),MATCH(ROW(B234)-ROW(B$3),INDIRECT(RangeCount),0)),"")</f>
        <v/>
      </c>
      <c r="C234" s="90" t="str">
        <f ca="1">IF(LEN(Calcs[[#This Row],[Line]])&gt;0,TRIM(IFERROR(INDEX(Items[Description],MATCH(Calcs[[#This Row],[Line]],Items[Line],0))&amp;INDEX(Items[Description2],MATCH(Calcs[[#This Row],[Line]],Items[Line],0)),INDEX(Proposed[Description],MATCH(Calcs[[#This Row],[Line]],Proposed[Line],0)))),"")</f>
        <v/>
      </c>
      <c r="D234" s="96">
        <f t="shared" ca="1" si="196"/>
        <v>0</v>
      </c>
      <c r="E234" s="103">
        <f t="shared" ca="1" si="197"/>
        <v>0</v>
      </c>
      <c r="F234" s="103">
        <f t="shared" ca="1" si="198"/>
        <v>0</v>
      </c>
      <c r="G234" s="103">
        <f t="shared" ca="1" si="199"/>
        <v>0</v>
      </c>
      <c r="H234" s="103">
        <f t="shared" ca="1" si="200"/>
        <v>0</v>
      </c>
      <c r="I234" s="103">
        <f t="shared" ca="1" si="201"/>
        <v>0</v>
      </c>
      <c r="J234" s="103">
        <f t="shared" ca="1" si="202"/>
        <v>0</v>
      </c>
      <c r="K234" s="103">
        <f t="shared" ca="1" si="203"/>
        <v>0</v>
      </c>
      <c r="L234" s="103">
        <f t="shared" ca="1" si="204"/>
        <v>0</v>
      </c>
      <c r="M234" s="103">
        <f t="shared" ca="1" si="205"/>
        <v>0</v>
      </c>
      <c r="N234" s="103">
        <f t="shared" ca="1" si="206"/>
        <v>0</v>
      </c>
      <c r="O234" s="103">
        <f t="shared" ca="1" si="207"/>
        <v>0</v>
      </c>
      <c r="P234" s="103">
        <f t="shared" ca="1" si="208"/>
        <v>0</v>
      </c>
      <c r="Q234" s="103">
        <f t="shared" ca="1" si="209"/>
        <v>0</v>
      </c>
      <c r="R234" s="103">
        <f t="shared" ca="1" si="210"/>
        <v>0</v>
      </c>
      <c r="S234" s="103">
        <f t="shared" ca="1" si="211"/>
        <v>0</v>
      </c>
      <c r="T234" s="103">
        <f t="shared" ca="1" si="212"/>
        <v>0</v>
      </c>
      <c r="U234" s="103">
        <f t="shared" ca="1" si="213"/>
        <v>0</v>
      </c>
      <c r="V234" s="103">
        <f t="shared" ca="1" si="214"/>
        <v>0</v>
      </c>
      <c r="W234" s="103">
        <f t="shared" ca="1" si="215"/>
        <v>0</v>
      </c>
      <c r="X234" s="103">
        <f t="shared" ca="1" si="216"/>
        <v>0</v>
      </c>
      <c r="Y234" s="103">
        <f t="shared" ca="1" si="217"/>
        <v>0</v>
      </c>
      <c r="Z234" s="103">
        <f t="shared" ca="1" si="218"/>
        <v>0</v>
      </c>
      <c r="AA234" s="103">
        <f t="shared" ca="1" si="219"/>
        <v>0</v>
      </c>
      <c r="AB234" s="103">
        <f t="shared" ca="1" si="220"/>
        <v>0</v>
      </c>
      <c r="AC234" s="103">
        <f t="shared" ca="1" si="221"/>
        <v>0</v>
      </c>
      <c r="AD234" s="103">
        <f t="shared" ca="1" si="222"/>
        <v>0</v>
      </c>
      <c r="AE234" s="103">
        <f t="shared" ca="1" si="223"/>
        <v>0</v>
      </c>
      <c r="AF234" s="103">
        <f t="shared" ca="1" si="224"/>
        <v>0</v>
      </c>
      <c r="AG234" s="103">
        <f t="shared" ca="1" si="225"/>
        <v>0</v>
      </c>
      <c r="AH234" s="103">
        <f t="shared" ca="1" si="226"/>
        <v>0</v>
      </c>
      <c r="AI234" s="103">
        <f t="shared" ca="1" si="227"/>
        <v>0</v>
      </c>
      <c r="AJ234" s="98">
        <f t="shared" ca="1" si="262"/>
        <v>0</v>
      </c>
      <c r="AK234" s="103">
        <f t="shared" ca="1" si="262"/>
        <v>0</v>
      </c>
      <c r="AL234" s="103">
        <f t="shared" ca="1" si="262"/>
        <v>0</v>
      </c>
      <c r="AM234" s="103">
        <f t="shared" ca="1" si="262"/>
        <v>0</v>
      </c>
      <c r="AN234" s="103">
        <f t="shared" ca="1" si="262"/>
        <v>0</v>
      </c>
      <c r="AO234" s="103">
        <f t="shared" ca="1" si="262"/>
        <v>0</v>
      </c>
      <c r="AP234" s="103">
        <f t="shared" ca="1" si="262"/>
        <v>0</v>
      </c>
      <c r="AQ234" s="103">
        <f t="shared" ca="1" si="262"/>
        <v>0</v>
      </c>
      <c r="AR234" s="104">
        <f ca="1">COUNTIF(AJ234:AQ234,"&lt;"&amp;MAX(AJ234:AQ234))+IF(Calcs[[#This Row],[DL1]]=0,0,1)</f>
        <v>0</v>
      </c>
      <c r="AS234" s="105" t="str">
        <f ca="1">IF(LEN(Calcs[[#This Row],[Line]])&gt;0,IF(RIGHT(Calcs[[#This Row],[Remark]],3)=".  ",LEFT(Calcs[[#This Row],[Remark]],LEN(Calcs[[#This Row],[Remark]])-3),Calcs[[#This Row],[Remark]]),"")</f>
        <v/>
      </c>
      <c r="AT234" s="96">
        <f t="shared" ca="1" si="228"/>
        <v>0</v>
      </c>
      <c r="AU234" s="103">
        <f t="shared" ca="1" si="229"/>
        <v>0</v>
      </c>
      <c r="AV234" s="103">
        <f t="shared" ca="1" si="230"/>
        <v>0</v>
      </c>
      <c r="AW234" s="103">
        <f t="shared" ca="1" si="231"/>
        <v>0</v>
      </c>
      <c r="AX234" s="103">
        <f t="shared" ca="1" si="232"/>
        <v>0</v>
      </c>
      <c r="AY234" s="103">
        <f t="shared" ca="1" si="233"/>
        <v>0</v>
      </c>
      <c r="AZ234" s="103">
        <f t="shared" ca="1" si="234"/>
        <v>0</v>
      </c>
      <c r="BA234" s="103">
        <f t="shared" ca="1" si="235"/>
        <v>0</v>
      </c>
      <c r="BB234" s="103">
        <f t="shared" ca="1" si="236"/>
        <v>0</v>
      </c>
      <c r="BC234" s="103">
        <f t="shared" ca="1" si="237"/>
        <v>0</v>
      </c>
      <c r="BD234" s="103">
        <f t="shared" ca="1" si="238"/>
        <v>0</v>
      </c>
      <c r="BE234" s="103">
        <f t="shared" ca="1" si="239"/>
        <v>0</v>
      </c>
      <c r="BF234" s="103">
        <f t="shared" ca="1" si="240"/>
        <v>0</v>
      </c>
      <c r="BG234" s="103">
        <f t="shared" ca="1" si="241"/>
        <v>0</v>
      </c>
      <c r="BH234" s="103">
        <f t="shared" ca="1" si="242"/>
        <v>0</v>
      </c>
      <c r="BI234" s="103">
        <f t="shared" ca="1" si="243"/>
        <v>0</v>
      </c>
      <c r="BJ234" s="103">
        <f t="shared" ca="1" si="244"/>
        <v>0</v>
      </c>
      <c r="BK234" s="103">
        <f t="shared" ca="1" si="245"/>
        <v>0</v>
      </c>
      <c r="BL234" s="103">
        <f t="shared" ca="1" si="246"/>
        <v>0</v>
      </c>
      <c r="BM234" s="103">
        <f t="shared" ca="1" si="247"/>
        <v>0</v>
      </c>
      <c r="BN234" s="103">
        <f t="shared" ca="1" si="248"/>
        <v>0</v>
      </c>
      <c r="BO234" s="103">
        <f t="shared" ca="1" si="249"/>
        <v>0</v>
      </c>
      <c r="BP234" s="103">
        <f t="shared" ca="1" si="250"/>
        <v>0</v>
      </c>
      <c r="BQ234" s="103">
        <f t="shared" ca="1" si="251"/>
        <v>0</v>
      </c>
      <c r="BR234" s="103">
        <f t="shared" ca="1" si="252"/>
        <v>0</v>
      </c>
      <c r="BS234" s="103">
        <f t="shared" ca="1" si="253"/>
        <v>0</v>
      </c>
      <c r="BT234" s="103">
        <f t="shared" ca="1" si="254"/>
        <v>0</v>
      </c>
      <c r="BU234" s="103">
        <f t="shared" ca="1" si="255"/>
        <v>0</v>
      </c>
      <c r="BV234" s="103">
        <f t="shared" ca="1" si="256"/>
        <v>0</v>
      </c>
      <c r="BW234" s="103">
        <f t="shared" ca="1" si="257"/>
        <v>0</v>
      </c>
      <c r="BX234" s="103">
        <f t="shared" ca="1" si="258"/>
        <v>0</v>
      </c>
      <c r="BY234" s="103">
        <f t="shared" ca="1" si="259"/>
        <v>0</v>
      </c>
      <c r="BZ234" s="98">
        <f t="shared" ca="1" si="263"/>
        <v>0</v>
      </c>
      <c r="CA234" s="103">
        <f t="shared" ca="1" si="263"/>
        <v>0</v>
      </c>
      <c r="CB234" s="103">
        <f t="shared" ca="1" si="263"/>
        <v>0</v>
      </c>
      <c r="CC234" s="103">
        <f t="shared" ca="1" si="263"/>
        <v>0</v>
      </c>
      <c r="CD234" s="103">
        <f t="shared" ca="1" si="263"/>
        <v>0</v>
      </c>
      <c r="CE234" s="103">
        <f t="shared" ca="1" si="263"/>
        <v>0</v>
      </c>
      <c r="CF234" s="103">
        <f t="shared" ca="1" si="263"/>
        <v>0</v>
      </c>
      <c r="CG234" s="103">
        <f t="shared" ca="1" si="263"/>
        <v>0</v>
      </c>
      <c r="CH234" s="106">
        <f ca="1">COUNTIF(BZ234:CG234,"&lt;"&amp;MAX(BZ234:CG234))+IF(Calcs[[#This Row],[RL1]]=0,0,1)</f>
        <v>0</v>
      </c>
      <c r="CI23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4" s="103">
        <f ca="1">IFERROR(OFFSET(CJ234,-1,0)+0,0)+IF(INDEX(INDIRECT(RangeContrQty),MATCH(Calcs[[#This Row],[Line]],OFFSET(Items[Line],0,0,ROW(Proposed[])-ROW(Items[])+ROWS(Proposed[]),1),0)),1,0)</f>
        <v>0</v>
      </c>
    </row>
    <row r="235" spans="1:88" x14ac:dyDescent="0.15">
      <c r="A235" s="64">
        <f ca="1">IFERROR(OFFSET(A235,-1,0)+0,0)+MAX(IF(LEN(Calcs[[#This Row],[Line]])&gt;0,1,0),Calcs[[#This Row],[DL]],Calcs[[#This Row],[RL]])</f>
        <v>10</v>
      </c>
      <c r="B235" s="90" t="str">
        <f ca="1">IFERROR(INDEX(OFFSET(Items[Line],0,0,ROW(Proposed[])-ROW(Items[])+ROWS(Proposed[]),1),MATCH(ROW(B235)-ROW(B$3),INDIRECT(RangeCount),0)),"")</f>
        <v/>
      </c>
      <c r="C235" s="90" t="str">
        <f ca="1">IF(LEN(Calcs[[#This Row],[Line]])&gt;0,TRIM(IFERROR(INDEX(Items[Description],MATCH(Calcs[[#This Row],[Line]],Items[Line],0))&amp;INDEX(Items[Description2],MATCH(Calcs[[#This Row],[Line]],Items[Line],0)),INDEX(Proposed[Description],MATCH(Calcs[[#This Row],[Line]],Proposed[Line],0)))),"")</f>
        <v/>
      </c>
      <c r="D235" s="96">
        <f t="shared" ca="1" si="196"/>
        <v>0</v>
      </c>
      <c r="E235" s="103">
        <f t="shared" ca="1" si="197"/>
        <v>0</v>
      </c>
      <c r="F235" s="103">
        <f t="shared" ca="1" si="198"/>
        <v>0</v>
      </c>
      <c r="G235" s="103">
        <f t="shared" ca="1" si="199"/>
        <v>0</v>
      </c>
      <c r="H235" s="103">
        <f t="shared" ca="1" si="200"/>
        <v>0</v>
      </c>
      <c r="I235" s="103">
        <f t="shared" ca="1" si="201"/>
        <v>0</v>
      </c>
      <c r="J235" s="103">
        <f t="shared" ca="1" si="202"/>
        <v>0</v>
      </c>
      <c r="K235" s="103">
        <f t="shared" ca="1" si="203"/>
        <v>0</v>
      </c>
      <c r="L235" s="103">
        <f t="shared" ca="1" si="204"/>
        <v>0</v>
      </c>
      <c r="M235" s="103">
        <f t="shared" ca="1" si="205"/>
        <v>0</v>
      </c>
      <c r="N235" s="103">
        <f t="shared" ca="1" si="206"/>
        <v>0</v>
      </c>
      <c r="O235" s="103">
        <f t="shared" ca="1" si="207"/>
        <v>0</v>
      </c>
      <c r="P235" s="103">
        <f t="shared" ca="1" si="208"/>
        <v>0</v>
      </c>
      <c r="Q235" s="103">
        <f t="shared" ca="1" si="209"/>
        <v>0</v>
      </c>
      <c r="R235" s="103">
        <f t="shared" ca="1" si="210"/>
        <v>0</v>
      </c>
      <c r="S235" s="103">
        <f t="shared" ca="1" si="211"/>
        <v>0</v>
      </c>
      <c r="T235" s="103">
        <f t="shared" ca="1" si="212"/>
        <v>0</v>
      </c>
      <c r="U235" s="103">
        <f t="shared" ca="1" si="213"/>
        <v>0</v>
      </c>
      <c r="V235" s="103">
        <f t="shared" ca="1" si="214"/>
        <v>0</v>
      </c>
      <c r="W235" s="103">
        <f t="shared" ca="1" si="215"/>
        <v>0</v>
      </c>
      <c r="X235" s="103">
        <f t="shared" ca="1" si="216"/>
        <v>0</v>
      </c>
      <c r="Y235" s="103">
        <f t="shared" ca="1" si="217"/>
        <v>0</v>
      </c>
      <c r="Z235" s="103">
        <f t="shared" ca="1" si="218"/>
        <v>0</v>
      </c>
      <c r="AA235" s="103">
        <f t="shared" ca="1" si="219"/>
        <v>0</v>
      </c>
      <c r="AB235" s="103">
        <f t="shared" ca="1" si="220"/>
        <v>0</v>
      </c>
      <c r="AC235" s="103">
        <f t="shared" ca="1" si="221"/>
        <v>0</v>
      </c>
      <c r="AD235" s="103">
        <f t="shared" ca="1" si="222"/>
        <v>0</v>
      </c>
      <c r="AE235" s="103">
        <f t="shared" ca="1" si="223"/>
        <v>0</v>
      </c>
      <c r="AF235" s="103">
        <f t="shared" ca="1" si="224"/>
        <v>0</v>
      </c>
      <c r="AG235" s="103">
        <f t="shared" ca="1" si="225"/>
        <v>0</v>
      </c>
      <c r="AH235" s="103">
        <f t="shared" ca="1" si="226"/>
        <v>0</v>
      </c>
      <c r="AI235" s="103">
        <f t="shared" ca="1" si="227"/>
        <v>0</v>
      </c>
      <c r="AJ235" s="98">
        <f t="shared" ca="1" si="262"/>
        <v>0</v>
      </c>
      <c r="AK235" s="103">
        <f t="shared" ca="1" si="262"/>
        <v>0</v>
      </c>
      <c r="AL235" s="103">
        <f t="shared" ca="1" si="262"/>
        <v>0</v>
      </c>
      <c r="AM235" s="103">
        <f t="shared" ca="1" si="262"/>
        <v>0</v>
      </c>
      <c r="AN235" s="103">
        <f t="shared" ca="1" si="262"/>
        <v>0</v>
      </c>
      <c r="AO235" s="103">
        <f t="shared" ca="1" si="262"/>
        <v>0</v>
      </c>
      <c r="AP235" s="103">
        <f t="shared" ca="1" si="262"/>
        <v>0</v>
      </c>
      <c r="AQ235" s="103">
        <f t="shared" ca="1" si="262"/>
        <v>0</v>
      </c>
      <c r="AR235" s="104">
        <f ca="1">COUNTIF(AJ235:AQ235,"&lt;"&amp;MAX(AJ235:AQ235))+IF(Calcs[[#This Row],[DL1]]=0,0,1)</f>
        <v>0</v>
      </c>
      <c r="AS235" s="105" t="str">
        <f ca="1">IF(LEN(Calcs[[#This Row],[Line]])&gt;0,IF(RIGHT(Calcs[[#This Row],[Remark]],3)=".  ",LEFT(Calcs[[#This Row],[Remark]],LEN(Calcs[[#This Row],[Remark]])-3),Calcs[[#This Row],[Remark]]),"")</f>
        <v/>
      </c>
      <c r="AT235" s="96">
        <f t="shared" ca="1" si="228"/>
        <v>0</v>
      </c>
      <c r="AU235" s="103">
        <f t="shared" ca="1" si="229"/>
        <v>0</v>
      </c>
      <c r="AV235" s="103">
        <f t="shared" ca="1" si="230"/>
        <v>0</v>
      </c>
      <c r="AW235" s="103">
        <f t="shared" ca="1" si="231"/>
        <v>0</v>
      </c>
      <c r="AX235" s="103">
        <f t="shared" ca="1" si="232"/>
        <v>0</v>
      </c>
      <c r="AY235" s="103">
        <f t="shared" ca="1" si="233"/>
        <v>0</v>
      </c>
      <c r="AZ235" s="103">
        <f t="shared" ca="1" si="234"/>
        <v>0</v>
      </c>
      <c r="BA235" s="103">
        <f t="shared" ca="1" si="235"/>
        <v>0</v>
      </c>
      <c r="BB235" s="103">
        <f t="shared" ca="1" si="236"/>
        <v>0</v>
      </c>
      <c r="BC235" s="103">
        <f t="shared" ca="1" si="237"/>
        <v>0</v>
      </c>
      <c r="BD235" s="103">
        <f t="shared" ca="1" si="238"/>
        <v>0</v>
      </c>
      <c r="BE235" s="103">
        <f t="shared" ca="1" si="239"/>
        <v>0</v>
      </c>
      <c r="BF235" s="103">
        <f t="shared" ca="1" si="240"/>
        <v>0</v>
      </c>
      <c r="BG235" s="103">
        <f t="shared" ca="1" si="241"/>
        <v>0</v>
      </c>
      <c r="BH235" s="103">
        <f t="shared" ca="1" si="242"/>
        <v>0</v>
      </c>
      <c r="BI235" s="103">
        <f t="shared" ca="1" si="243"/>
        <v>0</v>
      </c>
      <c r="BJ235" s="103">
        <f t="shared" ca="1" si="244"/>
        <v>0</v>
      </c>
      <c r="BK235" s="103">
        <f t="shared" ca="1" si="245"/>
        <v>0</v>
      </c>
      <c r="BL235" s="103">
        <f t="shared" ca="1" si="246"/>
        <v>0</v>
      </c>
      <c r="BM235" s="103">
        <f t="shared" ca="1" si="247"/>
        <v>0</v>
      </c>
      <c r="BN235" s="103">
        <f t="shared" ca="1" si="248"/>
        <v>0</v>
      </c>
      <c r="BO235" s="103">
        <f t="shared" ca="1" si="249"/>
        <v>0</v>
      </c>
      <c r="BP235" s="103">
        <f t="shared" ca="1" si="250"/>
        <v>0</v>
      </c>
      <c r="BQ235" s="103">
        <f t="shared" ca="1" si="251"/>
        <v>0</v>
      </c>
      <c r="BR235" s="103">
        <f t="shared" ca="1" si="252"/>
        <v>0</v>
      </c>
      <c r="BS235" s="103">
        <f t="shared" ca="1" si="253"/>
        <v>0</v>
      </c>
      <c r="BT235" s="103">
        <f t="shared" ca="1" si="254"/>
        <v>0</v>
      </c>
      <c r="BU235" s="103">
        <f t="shared" ca="1" si="255"/>
        <v>0</v>
      </c>
      <c r="BV235" s="103">
        <f t="shared" ca="1" si="256"/>
        <v>0</v>
      </c>
      <c r="BW235" s="103">
        <f t="shared" ca="1" si="257"/>
        <v>0</v>
      </c>
      <c r="BX235" s="103">
        <f t="shared" ca="1" si="258"/>
        <v>0</v>
      </c>
      <c r="BY235" s="103">
        <f t="shared" ca="1" si="259"/>
        <v>0</v>
      </c>
      <c r="BZ235" s="98">
        <f t="shared" ca="1" si="263"/>
        <v>0</v>
      </c>
      <c r="CA235" s="103">
        <f t="shared" ca="1" si="263"/>
        <v>0</v>
      </c>
      <c r="CB235" s="103">
        <f t="shared" ca="1" si="263"/>
        <v>0</v>
      </c>
      <c r="CC235" s="103">
        <f t="shared" ca="1" si="263"/>
        <v>0</v>
      </c>
      <c r="CD235" s="103">
        <f t="shared" ca="1" si="263"/>
        <v>0</v>
      </c>
      <c r="CE235" s="103">
        <f t="shared" ca="1" si="263"/>
        <v>0</v>
      </c>
      <c r="CF235" s="103">
        <f t="shared" ca="1" si="263"/>
        <v>0</v>
      </c>
      <c r="CG235" s="103">
        <f t="shared" ca="1" si="263"/>
        <v>0</v>
      </c>
      <c r="CH235" s="106">
        <f ca="1">COUNTIF(BZ235:CG235,"&lt;"&amp;MAX(BZ235:CG235))+IF(Calcs[[#This Row],[RL1]]=0,0,1)</f>
        <v>0</v>
      </c>
      <c r="CI23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5" s="103">
        <f ca="1">IFERROR(OFFSET(CJ235,-1,0)+0,0)+IF(INDEX(INDIRECT(RangeContrQty),MATCH(Calcs[[#This Row],[Line]],OFFSET(Items[Line],0,0,ROW(Proposed[])-ROW(Items[])+ROWS(Proposed[]),1),0)),1,0)</f>
        <v>0</v>
      </c>
    </row>
    <row r="236" spans="1:88" x14ac:dyDescent="0.15">
      <c r="A236" s="64">
        <f ca="1">IFERROR(OFFSET(A236,-1,0)+0,0)+MAX(IF(LEN(Calcs[[#This Row],[Line]])&gt;0,1,0),Calcs[[#This Row],[DL]],Calcs[[#This Row],[RL]])</f>
        <v>10</v>
      </c>
      <c r="B236" s="90" t="str">
        <f ca="1">IFERROR(INDEX(OFFSET(Items[Line],0,0,ROW(Proposed[])-ROW(Items[])+ROWS(Proposed[]),1),MATCH(ROW(B236)-ROW(B$3),INDIRECT(RangeCount),0)),"")</f>
        <v/>
      </c>
      <c r="C236" s="90" t="str">
        <f ca="1">IF(LEN(Calcs[[#This Row],[Line]])&gt;0,TRIM(IFERROR(INDEX(Items[Description],MATCH(Calcs[[#This Row],[Line]],Items[Line],0))&amp;INDEX(Items[Description2],MATCH(Calcs[[#This Row],[Line]],Items[Line],0)),INDEX(Proposed[Description],MATCH(Calcs[[#This Row],[Line]],Proposed[Line],0)))),"")</f>
        <v/>
      </c>
      <c r="D236" s="96">
        <f t="shared" ca="1" si="196"/>
        <v>0</v>
      </c>
      <c r="E236" s="103">
        <f t="shared" ca="1" si="197"/>
        <v>0</v>
      </c>
      <c r="F236" s="103">
        <f t="shared" ca="1" si="198"/>
        <v>0</v>
      </c>
      <c r="G236" s="103">
        <f t="shared" ca="1" si="199"/>
        <v>0</v>
      </c>
      <c r="H236" s="103">
        <f t="shared" ca="1" si="200"/>
        <v>0</v>
      </c>
      <c r="I236" s="103">
        <f t="shared" ca="1" si="201"/>
        <v>0</v>
      </c>
      <c r="J236" s="103">
        <f t="shared" ca="1" si="202"/>
        <v>0</v>
      </c>
      <c r="K236" s="103">
        <f t="shared" ca="1" si="203"/>
        <v>0</v>
      </c>
      <c r="L236" s="103">
        <f t="shared" ca="1" si="204"/>
        <v>0</v>
      </c>
      <c r="M236" s="103">
        <f t="shared" ca="1" si="205"/>
        <v>0</v>
      </c>
      <c r="N236" s="103">
        <f t="shared" ca="1" si="206"/>
        <v>0</v>
      </c>
      <c r="O236" s="103">
        <f t="shared" ca="1" si="207"/>
        <v>0</v>
      </c>
      <c r="P236" s="103">
        <f t="shared" ca="1" si="208"/>
        <v>0</v>
      </c>
      <c r="Q236" s="103">
        <f t="shared" ca="1" si="209"/>
        <v>0</v>
      </c>
      <c r="R236" s="103">
        <f t="shared" ca="1" si="210"/>
        <v>0</v>
      </c>
      <c r="S236" s="103">
        <f t="shared" ca="1" si="211"/>
        <v>0</v>
      </c>
      <c r="T236" s="103">
        <f t="shared" ca="1" si="212"/>
        <v>0</v>
      </c>
      <c r="U236" s="103">
        <f t="shared" ca="1" si="213"/>
        <v>0</v>
      </c>
      <c r="V236" s="103">
        <f t="shared" ca="1" si="214"/>
        <v>0</v>
      </c>
      <c r="W236" s="103">
        <f t="shared" ca="1" si="215"/>
        <v>0</v>
      </c>
      <c r="X236" s="103">
        <f t="shared" ca="1" si="216"/>
        <v>0</v>
      </c>
      <c r="Y236" s="103">
        <f t="shared" ca="1" si="217"/>
        <v>0</v>
      </c>
      <c r="Z236" s="103">
        <f t="shared" ca="1" si="218"/>
        <v>0</v>
      </c>
      <c r="AA236" s="103">
        <f t="shared" ca="1" si="219"/>
        <v>0</v>
      </c>
      <c r="AB236" s="103">
        <f t="shared" ca="1" si="220"/>
        <v>0</v>
      </c>
      <c r="AC236" s="103">
        <f t="shared" ca="1" si="221"/>
        <v>0</v>
      </c>
      <c r="AD236" s="103">
        <f t="shared" ca="1" si="222"/>
        <v>0</v>
      </c>
      <c r="AE236" s="103">
        <f t="shared" ca="1" si="223"/>
        <v>0</v>
      </c>
      <c r="AF236" s="103">
        <f t="shared" ca="1" si="224"/>
        <v>0</v>
      </c>
      <c r="AG236" s="103">
        <f t="shared" ca="1" si="225"/>
        <v>0</v>
      </c>
      <c r="AH236" s="103">
        <f t="shared" ca="1" si="226"/>
        <v>0</v>
      </c>
      <c r="AI236" s="103">
        <f t="shared" ca="1" si="227"/>
        <v>0</v>
      </c>
      <c r="AJ236" s="98">
        <f t="shared" ca="1" si="262"/>
        <v>0</v>
      </c>
      <c r="AK236" s="103">
        <f t="shared" ca="1" si="262"/>
        <v>0</v>
      </c>
      <c r="AL236" s="103">
        <f t="shared" ca="1" si="262"/>
        <v>0</v>
      </c>
      <c r="AM236" s="103">
        <f t="shared" ca="1" si="262"/>
        <v>0</v>
      </c>
      <c r="AN236" s="103">
        <f t="shared" ca="1" si="262"/>
        <v>0</v>
      </c>
      <c r="AO236" s="103">
        <f t="shared" ca="1" si="262"/>
        <v>0</v>
      </c>
      <c r="AP236" s="103">
        <f t="shared" ca="1" si="262"/>
        <v>0</v>
      </c>
      <c r="AQ236" s="103">
        <f t="shared" ca="1" si="262"/>
        <v>0</v>
      </c>
      <c r="AR236" s="104">
        <f ca="1">COUNTIF(AJ236:AQ236,"&lt;"&amp;MAX(AJ236:AQ236))+IF(Calcs[[#This Row],[DL1]]=0,0,1)</f>
        <v>0</v>
      </c>
      <c r="AS236" s="105" t="str">
        <f ca="1">IF(LEN(Calcs[[#This Row],[Line]])&gt;0,IF(RIGHT(Calcs[[#This Row],[Remark]],3)=".  ",LEFT(Calcs[[#This Row],[Remark]],LEN(Calcs[[#This Row],[Remark]])-3),Calcs[[#This Row],[Remark]]),"")</f>
        <v/>
      </c>
      <c r="AT236" s="96">
        <f t="shared" ca="1" si="228"/>
        <v>0</v>
      </c>
      <c r="AU236" s="103">
        <f t="shared" ca="1" si="229"/>
        <v>0</v>
      </c>
      <c r="AV236" s="103">
        <f t="shared" ca="1" si="230"/>
        <v>0</v>
      </c>
      <c r="AW236" s="103">
        <f t="shared" ca="1" si="231"/>
        <v>0</v>
      </c>
      <c r="AX236" s="103">
        <f t="shared" ca="1" si="232"/>
        <v>0</v>
      </c>
      <c r="AY236" s="103">
        <f t="shared" ca="1" si="233"/>
        <v>0</v>
      </c>
      <c r="AZ236" s="103">
        <f t="shared" ca="1" si="234"/>
        <v>0</v>
      </c>
      <c r="BA236" s="103">
        <f t="shared" ca="1" si="235"/>
        <v>0</v>
      </c>
      <c r="BB236" s="103">
        <f t="shared" ca="1" si="236"/>
        <v>0</v>
      </c>
      <c r="BC236" s="103">
        <f t="shared" ca="1" si="237"/>
        <v>0</v>
      </c>
      <c r="BD236" s="103">
        <f t="shared" ca="1" si="238"/>
        <v>0</v>
      </c>
      <c r="BE236" s="103">
        <f t="shared" ca="1" si="239"/>
        <v>0</v>
      </c>
      <c r="BF236" s="103">
        <f t="shared" ca="1" si="240"/>
        <v>0</v>
      </c>
      <c r="BG236" s="103">
        <f t="shared" ca="1" si="241"/>
        <v>0</v>
      </c>
      <c r="BH236" s="103">
        <f t="shared" ca="1" si="242"/>
        <v>0</v>
      </c>
      <c r="BI236" s="103">
        <f t="shared" ca="1" si="243"/>
        <v>0</v>
      </c>
      <c r="BJ236" s="103">
        <f t="shared" ca="1" si="244"/>
        <v>0</v>
      </c>
      <c r="BK236" s="103">
        <f t="shared" ca="1" si="245"/>
        <v>0</v>
      </c>
      <c r="BL236" s="103">
        <f t="shared" ca="1" si="246"/>
        <v>0</v>
      </c>
      <c r="BM236" s="103">
        <f t="shared" ca="1" si="247"/>
        <v>0</v>
      </c>
      <c r="BN236" s="103">
        <f t="shared" ca="1" si="248"/>
        <v>0</v>
      </c>
      <c r="BO236" s="103">
        <f t="shared" ca="1" si="249"/>
        <v>0</v>
      </c>
      <c r="BP236" s="103">
        <f t="shared" ca="1" si="250"/>
        <v>0</v>
      </c>
      <c r="BQ236" s="103">
        <f t="shared" ca="1" si="251"/>
        <v>0</v>
      </c>
      <c r="BR236" s="103">
        <f t="shared" ca="1" si="252"/>
        <v>0</v>
      </c>
      <c r="BS236" s="103">
        <f t="shared" ca="1" si="253"/>
        <v>0</v>
      </c>
      <c r="BT236" s="103">
        <f t="shared" ca="1" si="254"/>
        <v>0</v>
      </c>
      <c r="BU236" s="103">
        <f t="shared" ca="1" si="255"/>
        <v>0</v>
      </c>
      <c r="BV236" s="103">
        <f t="shared" ca="1" si="256"/>
        <v>0</v>
      </c>
      <c r="BW236" s="103">
        <f t="shared" ca="1" si="257"/>
        <v>0</v>
      </c>
      <c r="BX236" s="103">
        <f t="shared" ca="1" si="258"/>
        <v>0</v>
      </c>
      <c r="BY236" s="103">
        <f t="shared" ca="1" si="259"/>
        <v>0</v>
      </c>
      <c r="BZ236" s="98">
        <f t="shared" ca="1" si="263"/>
        <v>0</v>
      </c>
      <c r="CA236" s="103">
        <f t="shared" ca="1" si="263"/>
        <v>0</v>
      </c>
      <c r="CB236" s="103">
        <f t="shared" ca="1" si="263"/>
        <v>0</v>
      </c>
      <c r="CC236" s="103">
        <f t="shared" ca="1" si="263"/>
        <v>0</v>
      </c>
      <c r="CD236" s="103">
        <f t="shared" ca="1" si="263"/>
        <v>0</v>
      </c>
      <c r="CE236" s="103">
        <f t="shared" ca="1" si="263"/>
        <v>0</v>
      </c>
      <c r="CF236" s="103">
        <f t="shared" ca="1" si="263"/>
        <v>0</v>
      </c>
      <c r="CG236" s="103">
        <f t="shared" ca="1" si="263"/>
        <v>0</v>
      </c>
      <c r="CH236" s="106">
        <f ca="1">COUNTIF(BZ236:CG236,"&lt;"&amp;MAX(BZ236:CG236))+IF(Calcs[[#This Row],[RL1]]=0,0,1)</f>
        <v>0</v>
      </c>
      <c r="CI23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6" s="103">
        <f ca="1">IFERROR(OFFSET(CJ236,-1,0)+0,0)+IF(INDEX(INDIRECT(RangeContrQty),MATCH(Calcs[[#This Row],[Line]],OFFSET(Items[Line],0,0,ROW(Proposed[])-ROW(Items[])+ROWS(Proposed[]),1),0)),1,0)</f>
        <v>0</v>
      </c>
    </row>
    <row r="237" spans="1:88" x14ac:dyDescent="0.15">
      <c r="A237" s="64">
        <f ca="1">IFERROR(OFFSET(A237,-1,0)+0,0)+MAX(IF(LEN(Calcs[[#This Row],[Line]])&gt;0,1,0),Calcs[[#This Row],[DL]],Calcs[[#This Row],[RL]])</f>
        <v>10</v>
      </c>
      <c r="B237" s="90" t="str">
        <f ca="1">IFERROR(INDEX(OFFSET(Items[Line],0,0,ROW(Proposed[])-ROW(Items[])+ROWS(Proposed[]),1),MATCH(ROW(B237)-ROW(B$3),INDIRECT(RangeCount),0)),"")</f>
        <v/>
      </c>
      <c r="C237" s="90" t="str">
        <f ca="1">IF(LEN(Calcs[[#This Row],[Line]])&gt;0,TRIM(IFERROR(INDEX(Items[Description],MATCH(Calcs[[#This Row],[Line]],Items[Line],0))&amp;INDEX(Items[Description2],MATCH(Calcs[[#This Row],[Line]],Items[Line],0)),INDEX(Proposed[Description],MATCH(Calcs[[#This Row],[Line]],Proposed[Line],0)))),"")</f>
        <v/>
      </c>
      <c r="D237" s="96">
        <f t="shared" ca="1" si="196"/>
        <v>0</v>
      </c>
      <c r="E237" s="103">
        <f t="shared" ca="1" si="197"/>
        <v>0</v>
      </c>
      <c r="F237" s="103">
        <f t="shared" ca="1" si="198"/>
        <v>0</v>
      </c>
      <c r="G237" s="103">
        <f t="shared" ca="1" si="199"/>
        <v>0</v>
      </c>
      <c r="H237" s="103">
        <f t="shared" ca="1" si="200"/>
        <v>0</v>
      </c>
      <c r="I237" s="103">
        <f t="shared" ca="1" si="201"/>
        <v>0</v>
      </c>
      <c r="J237" s="103">
        <f t="shared" ca="1" si="202"/>
        <v>0</v>
      </c>
      <c r="K237" s="103">
        <f t="shared" ca="1" si="203"/>
        <v>0</v>
      </c>
      <c r="L237" s="103">
        <f t="shared" ca="1" si="204"/>
        <v>0</v>
      </c>
      <c r="M237" s="103">
        <f t="shared" ca="1" si="205"/>
        <v>0</v>
      </c>
      <c r="N237" s="103">
        <f t="shared" ca="1" si="206"/>
        <v>0</v>
      </c>
      <c r="O237" s="103">
        <f t="shared" ca="1" si="207"/>
        <v>0</v>
      </c>
      <c r="P237" s="103">
        <f t="shared" ca="1" si="208"/>
        <v>0</v>
      </c>
      <c r="Q237" s="103">
        <f t="shared" ca="1" si="209"/>
        <v>0</v>
      </c>
      <c r="R237" s="103">
        <f t="shared" ca="1" si="210"/>
        <v>0</v>
      </c>
      <c r="S237" s="103">
        <f t="shared" ca="1" si="211"/>
        <v>0</v>
      </c>
      <c r="T237" s="103">
        <f t="shared" ca="1" si="212"/>
        <v>0</v>
      </c>
      <c r="U237" s="103">
        <f t="shared" ca="1" si="213"/>
        <v>0</v>
      </c>
      <c r="V237" s="103">
        <f t="shared" ca="1" si="214"/>
        <v>0</v>
      </c>
      <c r="W237" s="103">
        <f t="shared" ca="1" si="215"/>
        <v>0</v>
      </c>
      <c r="X237" s="103">
        <f t="shared" ca="1" si="216"/>
        <v>0</v>
      </c>
      <c r="Y237" s="103">
        <f t="shared" ca="1" si="217"/>
        <v>0</v>
      </c>
      <c r="Z237" s="103">
        <f t="shared" ca="1" si="218"/>
        <v>0</v>
      </c>
      <c r="AA237" s="103">
        <f t="shared" ca="1" si="219"/>
        <v>0</v>
      </c>
      <c r="AB237" s="103">
        <f t="shared" ca="1" si="220"/>
        <v>0</v>
      </c>
      <c r="AC237" s="103">
        <f t="shared" ca="1" si="221"/>
        <v>0</v>
      </c>
      <c r="AD237" s="103">
        <f t="shared" ca="1" si="222"/>
        <v>0</v>
      </c>
      <c r="AE237" s="103">
        <f t="shared" ca="1" si="223"/>
        <v>0</v>
      </c>
      <c r="AF237" s="103">
        <f t="shared" ca="1" si="224"/>
        <v>0</v>
      </c>
      <c r="AG237" s="103">
        <f t="shared" ca="1" si="225"/>
        <v>0</v>
      </c>
      <c r="AH237" s="103">
        <f t="shared" ca="1" si="226"/>
        <v>0</v>
      </c>
      <c r="AI237" s="103">
        <f t="shared" ca="1" si="227"/>
        <v>0</v>
      </c>
      <c r="AJ237" s="98">
        <f t="shared" ca="1" si="262"/>
        <v>0</v>
      </c>
      <c r="AK237" s="103">
        <f t="shared" ca="1" si="262"/>
        <v>0</v>
      </c>
      <c r="AL237" s="103">
        <f t="shared" ca="1" si="262"/>
        <v>0</v>
      </c>
      <c r="AM237" s="103">
        <f t="shared" ca="1" si="262"/>
        <v>0</v>
      </c>
      <c r="AN237" s="103">
        <f t="shared" ca="1" si="262"/>
        <v>0</v>
      </c>
      <c r="AO237" s="103">
        <f t="shared" ca="1" si="262"/>
        <v>0</v>
      </c>
      <c r="AP237" s="103">
        <f t="shared" ca="1" si="262"/>
        <v>0</v>
      </c>
      <c r="AQ237" s="103">
        <f t="shared" ca="1" si="262"/>
        <v>0</v>
      </c>
      <c r="AR237" s="104">
        <f ca="1">COUNTIF(AJ237:AQ237,"&lt;"&amp;MAX(AJ237:AQ237))+IF(Calcs[[#This Row],[DL1]]=0,0,1)</f>
        <v>0</v>
      </c>
      <c r="AS237" s="105" t="str">
        <f ca="1">IF(LEN(Calcs[[#This Row],[Line]])&gt;0,IF(RIGHT(Calcs[[#This Row],[Remark]],3)=".  ",LEFT(Calcs[[#This Row],[Remark]],LEN(Calcs[[#This Row],[Remark]])-3),Calcs[[#This Row],[Remark]]),"")</f>
        <v/>
      </c>
      <c r="AT237" s="96">
        <f t="shared" ca="1" si="228"/>
        <v>0</v>
      </c>
      <c r="AU237" s="103">
        <f t="shared" ca="1" si="229"/>
        <v>0</v>
      </c>
      <c r="AV237" s="103">
        <f t="shared" ca="1" si="230"/>
        <v>0</v>
      </c>
      <c r="AW237" s="103">
        <f t="shared" ca="1" si="231"/>
        <v>0</v>
      </c>
      <c r="AX237" s="103">
        <f t="shared" ca="1" si="232"/>
        <v>0</v>
      </c>
      <c r="AY237" s="103">
        <f t="shared" ca="1" si="233"/>
        <v>0</v>
      </c>
      <c r="AZ237" s="103">
        <f t="shared" ca="1" si="234"/>
        <v>0</v>
      </c>
      <c r="BA237" s="103">
        <f t="shared" ca="1" si="235"/>
        <v>0</v>
      </c>
      <c r="BB237" s="103">
        <f t="shared" ca="1" si="236"/>
        <v>0</v>
      </c>
      <c r="BC237" s="103">
        <f t="shared" ca="1" si="237"/>
        <v>0</v>
      </c>
      <c r="BD237" s="103">
        <f t="shared" ca="1" si="238"/>
        <v>0</v>
      </c>
      <c r="BE237" s="103">
        <f t="shared" ca="1" si="239"/>
        <v>0</v>
      </c>
      <c r="BF237" s="103">
        <f t="shared" ca="1" si="240"/>
        <v>0</v>
      </c>
      <c r="BG237" s="103">
        <f t="shared" ca="1" si="241"/>
        <v>0</v>
      </c>
      <c r="BH237" s="103">
        <f t="shared" ca="1" si="242"/>
        <v>0</v>
      </c>
      <c r="BI237" s="103">
        <f t="shared" ca="1" si="243"/>
        <v>0</v>
      </c>
      <c r="BJ237" s="103">
        <f t="shared" ca="1" si="244"/>
        <v>0</v>
      </c>
      <c r="BK237" s="103">
        <f t="shared" ca="1" si="245"/>
        <v>0</v>
      </c>
      <c r="BL237" s="103">
        <f t="shared" ca="1" si="246"/>
        <v>0</v>
      </c>
      <c r="BM237" s="103">
        <f t="shared" ca="1" si="247"/>
        <v>0</v>
      </c>
      <c r="BN237" s="103">
        <f t="shared" ca="1" si="248"/>
        <v>0</v>
      </c>
      <c r="BO237" s="103">
        <f t="shared" ca="1" si="249"/>
        <v>0</v>
      </c>
      <c r="BP237" s="103">
        <f t="shared" ca="1" si="250"/>
        <v>0</v>
      </c>
      <c r="BQ237" s="103">
        <f t="shared" ca="1" si="251"/>
        <v>0</v>
      </c>
      <c r="BR237" s="103">
        <f t="shared" ca="1" si="252"/>
        <v>0</v>
      </c>
      <c r="BS237" s="103">
        <f t="shared" ca="1" si="253"/>
        <v>0</v>
      </c>
      <c r="BT237" s="103">
        <f t="shared" ca="1" si="254"/>
        <v>0</v>
      </c>
      <c r="BU237" s="103">
        <f t="shared" ca="1" si="255"/>
        <v>0</v>
      </c>
      <c r="BV237" s="103">
        <f t="shared" ca="1" si="256"/>
        <v>0</v>
      </c>
      <c r="BW237" s="103">
        <f t="shared" ca="1" si="257"/>
        <v>0</v>
      </c>
      <c r="BX237" s="103">
        <f t="shared" ca="1" si="258"/>
        <v>0</v>
      </c>
      <c r="BY237" s="103">
        <f t="shared" ca="1" si="259"/>
        <v>0</v>
      </c>
      <c r="BZ237" s="98">
        <f t="shared" ca="1" si="263"/>
        <v>0</v>
      </c>
      <c r="CA237" s="103">
        <f t="shared" ca="1" si="263"/>
        <v>0</v>
      </c>
      <c r="CB237" s="103">
        <f t="shared" ca="1" si="263"/>
        <v>0</v>
      </c>
      <c r="CC237" s="103">
        <f t="shared" ca="1" si="263"/>
        <v>0</v>
      </c>
      <c r="CD237" s="103">
        <f t="shared" ca="1" si="263"/>
        <v>0</v>
      </c>
      <c r="CE237" s="103">
        <f t="shared" ca="1" si="263"/>
        <v>0</v>
      </c>
      <c r="CF237" s="103">
        <f t="shared" ca="1" si="263"/>
        <v>0</v>
      </c>
      <c r="CG237" s="103">
        <f t="shared" ca="1" si="263"/>
        <v>0</v>
      </c>
      <c r="CH237" s="106">
        <f ca="1">COUNTIF(BZ237:CG237,"&lt;"&amp;MAX(BZ237:CG237))+IF(Calcs[[#This Row],[RL1]]=0,0,1)</f>
        <v>0</v>
      </c>
      <c r="CI23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7" s="103">
        <f ca="1">IFERROR(OFFSET(CJ237,-1,0)+0,0)+IF(INDEX(INDIRECT(RangeContrQty),MATCH(Calcs[[#This Row],[Line]],OFFSET(Items[Line],0,0,ROW(Proposed[])-ROW(Items[])+ROWS(Proposed[]),1),0)),1,0)</f>
        <v>0</v>
      </c>
    </row>
    <row r="238" spans="1:88" x14ac:dyDescent="0.15">
      <c r="A238" s="64">
        <f ca="1">IFERROR(OFFSET(A238,-1,0)+0,0)+MAX(IF(LEN(Calcs[[#This Row],[Line]])&gt;0,1,0),Calcs[[#This Row],[DL]],Calcs[[#This Row],[RL]])</f>
        <v>10</v>
      </c>
      <c r="B238" s="90" t="str">
        <f ca="1">IFERROR(INDEX(OFFSET(Items[Line],0,0,ROW(Proposed[])-ROW(Items[])+ROWS(Proposed[]),1),MATCH(ROW(B238)-ROW(B$3),INDIRECT(RangeCount),0)),"")</f>
        <v/>
      </c>
      <c r="C238" s="90" t="str">
        <f ca="1">IF(LEN(Calcs[[#This Row],[Line]])&gt;0,TRIM(IFERROR(INDEX(Items[Description],MATCH(Calcs[[#This Row],[Line]],Items[Line],0))&amp;INDEX(Items[Description2],MATCH(Calcs[[#This Row],[Line]],Items[Line],0)),INDEX(Proposed[Description],MATCH(Calcs[[#This Row],[Line]],Proposed[Line],0)))),"")</f>
        <v/>
      </c>
      <c r="D238" s="96">
        <f t="shared" ca="1" si="196"/>
        <v>0</v>
      </c>
      <c r="E238" s="103">
        <f t="shared" ca="1" si="197"/>
        <v>0</v>
      </c>
      <c r="F238" s="103">
        <f t="shared" ca="1" si="198"/>
        <v>0</v>
      </c>
      <c r="G238" s="103">
        <f t="shared" ca="1" si="199"/>
        <v>0</v>
      </c>
      <c r="H238" s="103">
        <f t="shared" ca="1" si="200"/>
        <v>0</v>
      </c>
      <c r="I238" s="103">
        <f t="shared" ca="1" si="201"/>
        <v>0</v>
      </c>
      <c r="J238" s="103">
        <f t="shared" ca="1" si="202"/>
        <v>0</v>
      </c>
      <c r="K238" s="103">
        <f t="shared" ca="1" si="203"/>
        <v>0</v>
      </c>
      <c r="L238" s="103">
        <f t="shared" ca="1" si="204"/>
        <v>0</v>
      </c>
      <c r="M238" s="103">
        <f t="shared" ca="1" si="205"/>
        <v>0</v>
      </c>
      <c r="N238" s="103">
        <f t="shared" ca="1" si="206"/>
        <v>0</v>
      </c>
      <c r="O238" s="103">
        <f t="shared" ca="1" si="207"/>
        <v>0</v>
      </c>
      <c r="P238" s="103">
        <f t="shared" ca="1" si="208"/>
        <v>0</v>
      </c>
      <c r="Q238" s="103">
        <f t="shared" ca="1" si="209"/>
        <v>0</v>
      </c>
      <c r="R238" s="103">
        <f t="shared" ca="1" si="210"/>
        <v>0</v>
      </c>
      <c r="S238" s="103">
        <f t="shared" ca="1" si="211"/>
        <v>0</v>
      </c>
      <c r="T238" s="103">
        <f t="shared" ca="1" si="212"/>
        <v>0</v>
      </c>
      <c r="U238" s="103">
        <f t="shared" ca="1" si="213"/>
        <v>0</v>
      </c>
      <c r="V238" s="103">
        <f t="shared" ca="1" si="214"/>
        <v>0</v>
      </c>
      <c r="W238" s="103">
        <f t="shared" ca="1" si="215"/>
        <v>0</v>
      </c>
      <c r="X238" s="103">
        <f t="shared" ca="1" si="216"/>
        <v>0</v>
      </c>
      <c r="Y238" s="103">
        <f t="shared" ca="1" si="217"/>
        <v>0</v>
      </c>
      <c r="Z238" s="103">
        <f t="shared" ca="1" si="218"/>
        <v>0</v>
      </c>
      <c r="AA238" s="103">
        <f t="shared" ca="1" si="219"/>
        <v>0</v>
      </c>
      <c r="AB238" s="103">
        <f t="shared" ca="1" si="220"/>
        <v>0</v>
      </c>
      <c r="AC238" s="103">
        <f t="shared" ca="1" si="221"/>
        <v>0</v>
      </c>
      <c r="AD238" s="103">
        <f t="shared" ca="1" si="222"/>
        <v>0</v>
      </c>
      <c r="AE238" s="103">
        <f t="shared" ca="1" si="223"/>
        <v>0</v>
      </c>
      <c r="AF238" s="103">
        <f t="shared" ca="1" si="224"/>
        <v>0</v>
      </c>
      <c r="AG238" s="103">
        <f t="shared" ca="1" si="225"/>
        <v>0</v>
      </c>
      <c r="AH238" s="103">
        <f t="shared" ca="1" si="226"/>
        <v>0</v>
      </c>
      <c r="AI238" s="103">
        <f t="shared" ca="1" si="227"/>
        <v>0</v>
      </c>
      <c r="AJ238" s="98">
        <f t="shared" ca="1" si="262"/>
        <v>0</v>
      </c>
      <c r="AK238" s="103">
        <f t="shared" ca="1" si="262"/>
        <v>0</v>
      </c>
      <c r="AL238" s="103">
        <f t="shared" ca="1" si="262"/>
        <v>0</v>
      </c>
      <c r="AM238" s="103">
        <f t="shared" ca="1" si="262"/>
        <v>0</v>
      </c>
      <c r="AN238" s="103">
        <f t="shared" ca="1" si="262"/>
        <v>0</v>
      </c>
      <c r="AO238" s="103">
        <f t="shared" ca="1" si="262"/>
        <v>0</v>
      </c>
      <c r="AP238" s="103">
        <f t="shared" ca="1" si="262"/>
        <v>0</v>
      </c>
      <c r="AQ238" s="103">
        <f t="shared" ca="1" si="262"/>
        <v>0</v>
      </c>
      <c r="AR238" s="104">
        <f ca="1">COUNTIF(AJ238:AQ238,"&lt;"&amp;MAX(AJ238:AQ238))+IF(Calcs[[#This Row],[DL1]]=0,0,1)</f>
        <v>0</v>
      </c>
      <c r="AS238" s="105" t="str">
        <f ca="1">IF(LEN(Calcs[[#This Row],[Line]])&gt;0,IF(RIGHT(Calcs[[#This Row],[Remark]],3)=".  ",LEFT(Calcs[[#This Row],[Remark]],LEN(Calcs[[#This Row],[Remark]])-3),Calcs[[#This Row],[Remark]]),"")</f>
        <v/>
      </c>
      <c r="AT238" s="96">
        <f t="shared" ca="1" si="228"/>
        <v>0</v>
      </c>
      <c r="AU238" s="103">
        <f t="shared" ca="1" si="229"/>
        <v>0</v>
      </c>
      <c r="AV238" s="103">
        <f t="shared" ca="1" si="230"/>
        <v>0</v>
      </c>
      <c r="AW238" s="103">
        <f t="shared" ca="1" si="231"/>
        <v>0</v>
      </c>
      <c r="AX238" s="103">
        <f t="shared" ca="1" si="232"/>
        <v>0</v>
      </c>
      <c r="AY238" s="103">
        <f t="shared" ca="1" si="233"/>
        <v>0</v>
      </c>
      <c r="AZ238" s="103">
        <f t="shared" ca="1" si="234"/>
        <v>0</v>
      </c>
      <c r="BA238" s="103">
        <f t="shared" ca="1" si="235"/>
        <v>0</v>
      </c>
      <c r="BB238" s="103">
        <f t="shared" ca="1" si="236"/>
        <v>0</v>
      </c>
      <c r="BC238" s="103">
        <f t="shared" ca="1" si="237"/>
        <v>0</v>
      </c>
      <c r="BD238" s="103">
        <f t="shared" ca="1" si="238"/>
        <v>0</v>
      </c>
      <c r="BE238" s="103">
        <f t="shared" ca="1" si="239"/>
        <v>0</v>
      </c>
      <c r="BF238" s="103">
        <f t="shared" ca="1" si="240"/>
        <v>0</v>
      </c>
      <c r="BG238" s="103">
        <f t="shared" ca="1" si="241"/>
        <v>0</v>
      </c>
      <c r="BH238" s="103">
        <f t="shared" ca="1" si="242"/>
        <v>0</v>
      </c>
      <c r="BI238" s="103">
        <f t="shared" ca="1" si="243"/>
        <v>0</v>
      </c>
      <c r="BJ238" s="103">
        <f t="shared" ca="1" si="244"/>
        <v>0</v>
      </c>
      <c r="BK238" s="103">
        <f t="shared" ca="1" si="245"/>
        <v>0</v>
      </c>
      <c r="BL238" s="103">
        <f t="shared" ca="1" si="246"/>
        <v>0</v>
      </c>
      <c r="BM238" s="103">
        <f t="shared" ca="1" si="247"/>
        <v>0</v>
      </c>
      <c r="BN238" s="103">
        <f t="shared" ca="1" si="248"/>
        <v>0</v>
      </c>
      <c r="BO238" s="103">
        <f t="shared" ca="1" si="249"/>
        <v>0</v>
      </c>
      <c r="BP238" s="103">
        <f t="shared" ca="1" si="250"/>
        <v>0</v>
      </c>
      <c r="BQ238" s="103">
        <f t="shared" ca="1" si="251"/>
        <v>0</v>
      </c>
      <c r="BR238" s="103">
        <f t="shared" ca="1" si="252"/>
        <v>0</v>
      </c>
      <c r="BS238" s="103">
        <f t="shared" ca="1" si="253"/>
        <v>0</v>
      </c>
      <c r="BT238" s="103">
        <f t="shared" ca="1" si="254"/>
        <v>0</v>
      </c>
      <c r="BU238" s="103">
        <f t="shared" ca="1" si="255"/>
        <v>0</v>
      </c>
      <c r="BV238" s="103">
        <f t="shared" ca="1" si="256"/>
        <v>0</v>
      </c>
      <c r="BW238" s="103">
        <f t="shared" ca="1" si="257"/>
        <v>0</v>
      </c>
      <c r="BX238" s="103">
        <f t="shared" ca="1" si="258"/>
        <v>0</v>
      </c>
      <c r="BY238" s="103">
        <f t="shared" ca="1" si="259"/>
        <v>0</v>
      </c>
      <c r="BZ238" s="98">
        <f t="shared" ca="1" si="263"/>
        <v>0</v>
      </c>
      <c r="CA238" s="103">
        <f t="shared" ca="1" si="263"/>
        <v>0</v>
      </c>
      <c r="CB238" s="103">
        <f t="shared" ca="1" si="263"/>
        <v>0</v>
      </c>
      <c r="CC238" s="103">
        <f t="shared" ca="1" si="263"/>
        <v>0</v>
      </c>
      <c r="CD238" s="103">
        <f t="shared" ca="1" si="263"/>
        <v>0</v>
      </c>
      <c r="CE238" s="103">
        <f t="shared" ca="1" si="263"/>
        <v>0</v>
      </c>
      <c r="CF238" s="103">
        <f t="shared" ca="1" si="263"/>
        <v>0</v>
      </c>
      <c r="CG238" s="103">
        <f t="shared" ca="1" si="263"/>
        <v>0</v>
      </c>
      <c r="CH238" s="106">
        <f ca="1">COUNTIF(BZ238:CG238,"&lt;"&amp;MAX(BZ238:CG238))+IF(Calcs[[#This Row],[RL1]]=0,0,1)</f>
        <v>0</v>
      </c>
      <c r="CI23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8" s="103">
        <f ca="1">IFERROR(OFFSET(CJ238,-1,0)+0,0)+IF(INDEX(INDIRECT(RangeContrQty),MATCH(Calcs[[#This Row],[Line]],OFFSET(Items[Line],0,0,ROW(Proposed[])-ROW(Items[])+ROWS(Proposed[]),1),0)),1,0)</f>
        <v>0</v>
      </c>
    </row>
    <row r="239" spans="1:88" x14ac:dyDescent="0.15">
      <c r="A239" s="64">
        <f ca="1">IFERROR(OFFSET(A239,-1,0)+0,0)+MAX(IF(LEN(Calcs[[#This Row],[Line]])&gt;0,1,0),Calcs[[#This Row],[DL]],Calcs[[#This Row],[RL]])</f>
        <v>10</v>
      </c>
      <c r="B239" s="90" t="str">
        <f ca="1">IFERROR(INDEX(OFFSET(Items[Line],0,0,ROW(Proposed[])-ROW(Items[])+ROWS(Proposed[]),1),MATCH(ROW(B239)-ROW(B$3),INDIRECT(RangeCount),0)),"")</f>
        <v/>
      </c>
      <c r="C239" s="90" t="str">
        <f ca="1">IF(LEN(Calcs[[#This Row],[Line]])&gt;0,TRIM(IFERROR(INDEX(Items[Description],MATCH(Calcs[[#This Row],[Line]],Items[Line],0))&amp;INDEX(Items[Description2],MATCH(Calcs[[#This Row],[Line]],Items[Line],0)),INDEX(Proposed[Description],MATCH(Calcs[[#This Row],[Line]],Proposed[Line],0)))),"")</f>
        <v/>
      </c>
      <c r="D239" s="96">
        <f t="shared" ca="1" si="196"/>
        <v>0</v>
      </c>
      <c r="E239" s="103">
        <f t="shared" ca="1" si="197"/>
        <v>0</v>
      </c>
      <c r="F239" s="103">
        <f t="shared" ca="1" si="198"/>
        <v>0</v>
      </c>
      <c r="G239" s="103">
        <f t="shared" ca="1" si="199"/>
        <v>0</v>
      </c>
      <c r="H239" s="103">
        <f t="shared" ca="1" si="200"/>
        <v>0</v>
      </c>
      <c r="I239" s="103">
        <f t="shared" ca="1" si="201"/>
        <v>0</v>
      </c>
      <c r="J239" s="103">
        <f t="shared" ca="1" si="202"/>
        <v>0</v>
      </c>
      <c r="K239" s="103">
        <f t="shared" ca="1" si="203"/>
        <v>0</v>
      </c>
      <c r="L239" s="103">
        <f t="shared" ca="1" si="204"/>
        <v>0</v>
      </c>
      <c r="M239" s="103">
        <f t="shared" ca="1" si="205"/>
        <v>0</v>
      </c>
      <c r="N239" s="103">
        <f t="shared" ca="1" si="206"/>
        <v>0</v>
      </c>
      <c r="O239" s="103">
        <f t="shared" ca="1" si="207"/>
        <v>0</v>
      </c>
      <c r="P239" s="103">
        <f t="shared" ca="1" si="208"/>
        <v>0</v>
      </c>
      <c r="Q239" s="103">
        <f t="shared" ca="1" si="209"/>
        <v>0</v>
      </c>
      <c r="R239" s="103">
        <f t="shared" ca="1" si="210"/>
        <v>0</v>
      </c>
      <c r="S239" s="103">
        <f t="shared" ca="1" si="211"/>
        <v>0</v>
      </c>
      <c r="T239" s="103">
        <f t="shared" ca="1" si="212"/>
        <v>0</v>
      </c>
      <c r="U239" s="103">
        <f t="shared" ca="1" si="213"/>
        <v>0</v>
      </c>
      <c r="V239" s="103">
        <f t="shared" ca="1" si="214"/>
        <v>0</v>
      </c>
      <c r="W239" s="103">
        <f t="shared" ca="1" si="215"/>
        <v>0</v>
      </c>
      <c r="X239" s="103">
        <f t="shared" ca="1" si="216"/>
        <v>0</v>
      </c>
      <c r="Y239" s="103">
        <f t="shared" ca="1" si="217"/>
        <v>0</v>
      </c>
      <c r="Z239" s="103">
        <f t="shared" ca="1" si="218"/>
        <v>0</v>
      </c>
      <c r="AA239" s="103">
        <f t="shared" ca="1" si="219"/>
        <v>0</v>
      </c>
      <c r="AB239" s="103">
        <f t="shared" ca="1" si="220"/>
        <v>0</v>
      </c>
      <c r="AC239" s="103">
        <f t="shared" ca="1" si="221"/>
        <v>0</v>
      </c>
      <c r="AD239" s="103">
        <f t="shared" ca="1" si="222"/>
        <v>0</v>
      </c>
      <c r="AE239" s="103">
        <f t="shared" ca="1" si="223"/>
        <v>0</v>
      </c>
      <c r="AF239" s="103">
        <f t="shared" ca="1" si="224"/>
        <v>0</v>
      </c>
      <c r="AG239" s="103">
        <f t="shared" ca="1" si="225"/>
        <v>0</v>
      </c>
      <c r="AH239" s="103">
        <f t="shared" ca="1" si="226"/>
        <v>0</v>
      </c>
      <c r="AI239" s="103">
        <f t="shared" ca="1" si="227"/>
        <v>0</v>
      </c>
      <c r="AJ239" s="98">
        <f t="shared" ca="1" si="262"/>
        <v>0</v>
      </c>
      <c r="AK239" s="103">
        <f t="shared" ca="1" si="262"/>
        <v>0</v>
      </c>
      <c r="AL239" s="103">
        <f t="shared" ca="1" si="262"/>
        <v>0</v>
      </c>
      <c r="AM239" s="103">
        <f t="shared" ca="1" si="262"/>
        <v>0</v>
      </c>
      <c r="AN239" s="103">
        <f t="shared" ca="1" si="262"/>
        <v>0</v>
      </c>
      <c r="AO239" s="103">
        <f t="shared" ca="1" si="262"/>
        <v>0</v>
      </c>
      <c r="AP239" s="103">
        <f t="shared" ca="1" si="262"/>
        <v>0</v>
      </c>
      <c r="AQ239" s="103">
        <f t="shared" ca="1" si="262"/>
        <v>0</v>
      </c>
      <c r="AR239" s="104">
        <f ca="1">COUNTIF(AJ239:AQ239,"&lt;"&amp;MAX(AJ239:AQ239))+IF(Calcs[[#This Row],[DL1]]=0,0,1)</f>
        <v>0</v>
      </c>
      <c r="AS239" s="105" t="str">
        <f ca="1">IF(LEN(Calcs[[#This Row],[Line]])&gt;0,IF(RIGHT(Calcs[[#This Row],[Remark]],3)=".  ",LEFT(Calcs[[#This Row],[Remark]],LEN(Calcs[[#This Row],[Remark]])-3),Calcs[[#This Row],[Remark]]),"")</f>
        <v/>
      </c>
      <c r="AT239" s="96">
        <f t="shared" ca="1" si="228"/>
        <v>0</v>
      </c>
      <c r="AU239" s="103">
        <f t="shared" ca="1" si="229"/>
        <v>0</v>
      </c>
      <c r="AV239" s="103">
        <f t="shared" ca="1" si="230"/>
        <v>0</v>
      </c>
      <c r="AW239" s="103">
        <f t="shared" ca="1" si="231"/>
        <v>0</v>
      </c>
      <c r="AX239" s="103">
        <f t="shared" ca="1" si="232"/>
        <v>0</v>
      </c>
      <c r="AY239" s="103">
        <f t="shared" ca="1" si="233"/>
        <v>0</v>
      </c>
      <c r="AZ239" s="103">
        <f t="shared" ca="1" si="234"/>
        <v>0</v>
      </c>
      <c r="BA239" s="103">
        <f t="shared" ca="1" si="235"/>
        <v>0</v>
      </c>
      <c r="BB239" s="103">
        <f t="shared" ca="1" si="236"/>
        <v>0</v>
      </c>
      <c r="BC239" s="103">
        <f t="shared" ca="1" si="237"/>
        <v>0</v>
      </c>
      <c r="BD239" s="103">
        <f t="shared" ca="1" si="238"/>
        <v>0</v>
      </c>
      <c r="BE239" s="103">
        <f t="shared" ca="1" si="239"/>
        <v>0</v>
      </c>
      <c r="BF239" s="103">
        <f t="shared" ca="1" si="240"/>
        <v>0</v>
      </c>
      <c r="BG239" s="103">
        <f t="shared" ca="1" si="241"/>
        <v>0</v>
      </c>
      <c r="BH239" s="103">
        <f t="shared" ca="1" si="242"/>
        <v>0</v>
      </c>
      <c r="BI239" s="103">
        <f t="shared" ca="1" si="243"/>
        <v>0</v>
      </c>
      <c r="BJ239" s="103">
        <f t="shared" ca="1" si="244"/>
        <v>0</v>
      </c>
      <c r="BK239" s="103">
        <f t="shared" ca="1" si="245"/>
        <v>0</v>
      </c>
      <c r="BL239" s="103">
        <f t="shared" ca="1" si="246"/>
        <v>0</v>
      </c>
      <c r="BM239" s="103">
        <f t="shared" ca="1" si="247"/>
        <v>0</v>
      </c>
      <c r="BN239" s="103">
        <f t="shared" ca="1" si="248"/>
        <v>0</v>
      </c>
      <c r="BO239" s="103">
        <f t="shared" ca="1" si="249"/>
        <v>0</v>
      </c>
      <c r="BP239" s="103">
        <f t="shared" ca="1" si="250"/>
        <v>0</v>
      </c>
      <c r="BQ239" s="103">
        <f t="shared" ca="1" si="251"/>
        <v>0</v>
      </c>
      <c r="BR239" s="103">
        <f t="shared" ca="1" si="252"/>
        <v>0</v>
      </c>
      <c r="BS239" s="103">
        <f t="shared" ca="1" si="253"/>
        <v>0</v>
      </c>
      <c r="BT239" s="103">
        <f t="shared" ca="1" si="254"/>
        <v>0</v>
      </c>
      <c r="BU239" s="103">
        <f t="shared" ca="1" si="255"/>
        <v>0</v>
      </c>
      <c r="BV239" s="103">
        <f t="shared" ca="1" si="256"/>
        <v>0</v>
      </c>
      <c r="BW239" s="103">
        <f t="shared" ca="1" si="257"/>
        <v>0</v>
      </c>
      <c r="BX239" s="103">
        <f t="shared" ca="1" si="258"/>
        <v>0</v>
      </c>
      <c r="BY239" s="103">
        <f t="shared" ca="1" si="259"/>
        <v>0</v>
      </c>
      <c r="BZ239" s="98">
        <f t="shared" ca="1" si="263"/>
        <v>0</v>
      </c>
      <c r="CA239" s="103">
        <f t="shared" ca="1" si="263"/>
        <v>0</v>
      </c>
      <c r="CB239" s="103">
        <f t="shared" ca="1" si="263"/>
        <v>0</v>
      </c>
      <c r="CC239" s="103">
        <f t="shared" ca="1" si="263"/>
        <v>0</v>
      </c>
      <c r="CD239" s="103">
        <f t="shared" ca="1" si="263"/>
        <v>0</v>
      </c>
      <c r="CE239" s="103">
        <f t="shared" ca="1" si="263"/>
        <v>0</v>
      </c>
      <c r="CF239" s="103">
        <f t="shared" ca="1" si="263"/>
        <v>0</v>
      </c>
      <c r="CG239" s="103">
        <f t="shared" ca="1" si="263"/>
        <v>0</v>
      </c>
      <c r="CH239" s="106">
        <f ca="1">COUNTIF(BZ239:CG239,"&lt;"&amp;MAX(BZ239:CG239))+IF(Calcs[[#This Row],[RL1]]=0,0,1)</f>
        <v>0</v>
      </c>
      <c r="CI23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9" s="103">
        <f ca="1">IFERROR(OFFSET(CJ239,-1,0)+0,0)+IF(INDEX(INDIRECT(RangeContrQty),MATCH(Calcs[[#This Row],[Line]],OFFSET(Items[Line],0,0,ROW(Proposed[])-ROW(Items[])+ROWS(Proposed[]),1),0)),1,0)</f>
        <v>0</v>
      </c>
    </row>
    <row r="240" spans="1:88" x14ac:dyDescent="0.15">
      <c r="A240" s="64">
        <f ca="1">IFERROR(OFFSET(A240,-1,0)+0,0)+MAX(IF(LEN(Calcs[[#This Row],[Line]])&gt;0,1,0),Calcs[[#This Row],[DL]],Calcs[[#This Row],[RL]])</f>
        <v>10</v>
      </c>
      <c r="B240" s="90" t="str">
        <f ca="1">IFERROR(INDEX(OFFSET(Items[Line],0,0,ROW(Proposed[])-ROW(Items[])+ROWS(Proposed[]),1),MATCH(ROW(B240)-ROW(B$3),INDIRECT(RangeCount),0)),"")</f>
        <v/>
      </c>
      <c r="C240" s="90" t="str">
        <f ca="1">IF(LEN(Calcs[[#This Row],[Line]])&gt;0,TRIM(IFERROR(INDEX(Items[Description],MATCH(Calcs[[#This Row],[Line]],Items[Line],0))&amp;INDEX(Items[Description2],MATCH(Calcs[[#This Row],[Line]],Items[Line],0)),INDEX(Proposed[Description],MATCH(Calcs[[#This Row],[Line]],Proposed[Line],0)))),"")</f>
        <v/>
      </c>
      <c r="D240" s="96">
        <f t="shared" ca="1" si="196"/>
        <v>0</v>
      </c>
      <c r="E240" s="103">
        <f t="shared" ca="1" si="197"/>
        <v>0</v>
      </c>
      <c r="F240" s="103">
        <f t="shared" ca="1" si="198"/>
        <v>0</v>
      </c>
      <c r="G240" s="103">
        <f t="shared" ca="1" si="199"/>
        <v>0</v>
      </c>
      <c r="H240" s="103">
        <f t="shared" ca="1" si="200"/>
        <v>0</v>
      </c>
      <c r="I240" s="103">
        <f t="shared" ca="1" si="201"/>
        <v>0</v>
      </c>
      <c r="J240" s="103">
        <f t="shared" ca="1" si="202"/>
        <v>0</v>
      </c>
      <c r="K240" s="103">
        <f t="shared" ca="1" si="203"/>
        <v>0</v>
      </c>
      <c r="L240" s="103">
        <f t="shared" ca="1" si="204"/>
        <v>0</v>
      </c>
      <c r="M240" s="103">
        <f t="shared" ca="1" si="205"/>
        <v>0</v>
      </c>
      <c r="N240" s="103">
        <f t="shared" ca="1" si="206"/>
        <v>0</v>
      </c>
      <c r="O240" s="103">
        <f t="shared" ca="1" si="207"/>
        <v>0</v>
      </c>
      <c r="P240" s="103">
        <f t="shared" ca="1" si="208"/>
        <v>0</v>
      </c>
      <c r="Q240" s="103">
        <f t="shared" ca="1" si="209"/>
        <v>0</v>
      </c>
      <c r="R240" s="103">
        <f t="shared" ca="1" si="210"/>
        <v>0</v>
      </c>
      <c r="S240" s="103">
        <f t="shared" ca="1" si="211"/>
        <v>0</v>
      </c>
      <c r="T240" s="103">
        <f t="shared" ca="1" si="212"/>
        <v>0</v>
      </c>
      <c r="U240" s="103">
        <f t="shared" ca="1" si="213"/>
        <v>0</v>
      </c>
      <c r="V240" s="103">
        <f t="shared" ca="1" si="214"/>
        <v>0</v>
      </c>
      <c r="W240" s="103">
        <f t="shared" ca="1" si="215"/>
        <v>0</v>
      </c>
      <c r="X240" s="103">
        <f t="shared" ca="1" si="216"/>
        <v>0</v>
      </c>
      <c r="Y240" s="103">
        <f t="shared" ca="1" si="217"/>
        <v>0</v>
      </c>
      <c r="Z240" s="103">
        <f t="shared" ca="1" si="218"/>
        <v>0</v>
      </c>
      <c r="AA240" s="103">
        <f t="shared" ca="1" si="219"/>
        <v>0</v>
      </c>
      <c r="AB240" s="103">
        <f t="shared" ca="1" si="220"/>
        <v>0</v>
      </c>
      <c r="AC240" s="103">
        <f t="shared" ca="1" si="221"/>
        <v>0</v>
      </c>
      <c r="AD240" s="103">
        <f t="shared" ca="1" si="222"/>
        <v>0</v>
      </c>
      <c r="AE240" s="103">
        <f t="shared" ca="1" si="223"/>
        <v>0</v>
      </c>
      <c r="AF240" s="103">
        <f t="shared" ca="1" si="224"/>
        <v>0</v>
      </c>
      <c r="AG240" s="103">
        <f t="shared" ca="1" si="225"/>
        <v>0</v>
      </c>
      <c r="AH240" s="103">
        <f t="shared" ca="1" si="226"/>
        <v>0</v>
      </c>
      <c r="AI240" s="103">
        <f t="shared" ca="1" si="227"/>
        <v>0</v>
      </c>
      <c r="AJ240" s="98">
        <f t="shared" ca="1" si="262"/>
        <v>0</v>
      </c>
      <c r="AK240" s="103">
        <f t="shared" ca="1" si="262"/>
        <v>0</v>
      </c>
      <c r="AL240" s="103">
        <f t="shared" ca="1" si="262"/>
        <v>0</v>
      </c>
      <c r="AM240" s="103">
        <f t="shared" ca="1" si="262"/>
        <v>0</v>
      </c>
      <c r="AN240" s="103">
        <f t="shared" ca="1" si="262"/>
        <v>0</v>
      </c>
      <c r="AO240" s="103">
        <f t="shared" ca="1" si="262"/>
        <v>0</v>
      </c>
      <c r="AP240" s="103">
        <f t="shared" ca="1" si="262"/>
        <v>0</v>
      </c>
      <c r="AQ240" s="103">
        <f t="shared" ca="1" si="262"/>
        <v>0</v>
      </c>
      <c r="AR240" s="104">
        <f ca="1">COUNTIF(AJ240:AQ240,"&lt;"&amp;MAX(AJ240:AQ240))+IF(Calcs[[#This Row],[DL1]]=0,0,1)</f>
        <v>0</v>
      </c>
      <c r="AS240" s="105" t="str">
        <f ca="1">IF(LEN(Calcs[[#This Row],[Line]])&gt;0,IF(RIGHT(Calcs[[#This Row],[Remark]],3)=".  ",LEFT(Calcs[[#This Row],[Remark]],LEN(Calcs[[#This Row],[Remark]])-3),Calcs[[#This Row],[Remark]]),"")</f>
        <v/>
      </c>
      <c r="AT240" s="96">
        <f t="shared" ca="1" si="228"/>
        <v>0</v>
      </c>
      <c r="AU240" s="103">
        <f t="shared" ca="1" si="229"/>
        <v>0</v>
      </c>
      <c r="AV240" s="103">
        <f t="shared" ca="1" si="230"/>
        <v>0</v>
      </c>
      <c r="AW240" s="103">
        <f t="shared" ca="1" si="231"/>
        <v>0</v>
      </c>
      <c r="AX240" s="103">
        <f t="shared" ca="1" si="232"/>
        <v>0</v>
      </c>
      <c r="AY240" s="103">
        <f t="shared" ca="1" si="233"/>
        <v>0</v>
      </c>
      <c r="AZ240" s="103">
        <f t="shared" ca="1" si="234"/>
        <v>0</v>
      </c>
      <c r="BA240" s="103">
        <f t="shared" ca="1" si="235"/>
        <v>0</v>
      </c>
      <c r="BB240" s="103">
        <f t="shared" ca="1" si="236"/>
        <v>0</v>
      </c>
      <c r="BC240" s="103">
        <f t="shared" ca="1" si="237"/>
        <v>0</v>
      </c>
      <c r="BD240" s="103">
        <f t="shared" ca="1" si="238"/>
        <v>0</v>
      </c>
      <c r="BE240" s="103">
        <f t="shared" ca="1" si="239"/>
        <v>0</v>
      </c>
      <c r="BF240" s="103">
        <f t="shared" ca="1" si="240"/>
        <v>0</v>
      </c>
      <c r="BG240" s="103">
        <f t="shared" ca="1" si="241"/>
        <v>0</v>
      </c>
      <c r="BH240" s="103">
        <f t="shared" ca="1" si="242"/>
        <v>0</v>
      </c>
      <c r="BI240" s="103">
        <f t="shared" ca="1" si="243"/>
        <v>0</v>
      </c>
      <c r="BJ240" s="103">
        <f t="shared" ca="1" si="244"/>
        <v>0</v>
      </c>
      <c r="BK240" s="103">
        <f t="shared" ca="1" si="245"/>
        <v>0</v>
      </c>
      <c r="BL240" s="103">
        <f t="shared" ca="1" si="246"/>
        <v>0</v>
      </c>
      <c r="BM240" s="103">
        <f t="shared" ca="1" si="247"/>
        <v>0</v>
      </c>
      <c r="BN240" s="103">
        <f t="shared" ca="1" si="248"/>
        <v>0</v>
      </c>
      <c r="BO240" s="103">
        <f t="shared" ca="1" si="249"/>
        <v>0</v>
      </c>
      <c r="BP240" s="103">
        <f t="shared" ca="1" si="250"/>
        <v>0</v>
      </c>
      <c r="BQ240" s="103">
        <f t="shared" ca="1" si="251"/>
        <v>0</v>
      </c>
      <c r="BR240" s="103">
        <f t="shared" ca="1" si="252"/>
        <v>0</v>
      </c>
      <c r="BS240" s="103">
        <f t="shared" ca="1" si="253"/>
        <v>0</v>
      </c>
      <c r="BT240" s="103">
        <f t="shared" ca="1" si="254"/>
        <v>0</v>
      </c>
      <c r="BU240" s="103">
        <f t="shared" ca="1" si="255"/>
        <v>0</v>
      </c>
      <c r="BV240" s="103">
        <f t="shared" ca="1" si="256"/>
        <v>0</v>
      </c>
      <c r="BW240" s="103">
        <f t="shared" ca="1" si="257"/>
        <v>0</v>
      </c>
      <c r="BX240" s="103">
        <f t="shared" ca="1" si="258"/>
        <v>0</v>
      </c>
      <c r="BY240" s="103">
        <f t="shared" ca="1" si="259"/>
        <v>0</v>
      </c>
      <c r="BZ240" s="98">
        <f t="shared" ca="1" si="263"/>
        <v>0</v>
      </c>
      <c r="CA240" s="103">
        <f t="shared" ca="1" si="263"/>
        <v>0</v>
      </c>
      <c r="CB240" s="103">
        <f t="shared" ca="1" si="263"/>
        <v>0</v>
      </c>
      <c r="CC240" s="103">
        <f t="shared" ca="1" si="263"/>
        <v>0</v>
      </c>
      <c r="CD240" s="103">
        <f t="shared" ca="1" si="263"/>
        <v>0</v>
      </c>
      <c r="CE240" s="103">
        <f t="shared" ca="1" si="263"/>
        <v>0</v>
      </c>
      <c r="CF240" s="103">
        <f t="shared" ca="1" si="263"/>
        <v>0</v>
      </c>
      <c r="CG240" s="103">
        <f t="shared" ca="1" si="263"/>
        <v>0</v>
      </c>
      <c r="CH240" s="106">
        <f ca="1">COUNTIF(BZ240:CG240,"&lt;"&amp;MAX(BZ240:CG240))+IF(Calcs[[#This Row],[RL1]]=0,0,1)</f>
        <v>0</v>
      </c>
      <c r="CI24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0" s="103">
        <f ca="1">IFERROR(OFFSET(CJ240,-1,0)+0,0)+IF(INDEX(INDIRECT(RangeContrQty),MATCH(Calcs[[#This Row],[Line]],OFFSET(Items[Line],0,0,ROW(Proposed[])-ROW(Items[])+ROWS(Proposed[]),1),0)),1,0)</f>
        <v>0</v>
      </c>
    </row>
    <row r="241" spans="1:88" x14ac:dyDescent="0.15">
      <c r="A241" s="64">
        <f ca="1">IFERROR(OFFSET(A241,-1,0)+0,0)+MAX(IF(LEN(Calcs[[#This Row],[Line]])&gt;0,1,0),Calcs[[#This Row],[DL]],Calcs[[#This Row],[RL]])</f>
        <v>10</v>
      </c>
      <c r="B241" s="90" t="str">
        <f ca="1">IFERROR(INDEX(OFFSET(Items[Line],0,0,ROW(Proposed[])-ROW(Items[])+ROWS(Proposed[]),1),MATCH(ROW(B241)-ROW(B$3),INDIRECT(RangeCount),0)),"")</f>
        <v/>
      </c>
      <c r="C241" s="90" t="str">
        <f ca="1">IF(LEN(Calcs[[#This Row],[Line]])&gt;0,TRIM(IFERROR(INDEX(Items[Description],MATCH(Calcs[[#This Row],[Line]],Items[Line],0))&amp;INDEX(Items[Description2],MATCH(Calcs[[#This Row],[Line]],Items[Line],0)),INDEX(Proposed[Description],MATCH(Calcs[[#This Row],[Line]],Proposed[Line],0)))),"")</f>
        <v/>
      </c>
      <c r="D241" s="96">
        <f t="shared" ca="1" si="196"/>
        <v>0</v>
      </c>
      <c r="E241" s="103">
        <f t="shared" ca="1" si="197"/>
        <v>0</v>
      </c>
      <c r="F241" s="103">
        <f t="shared" ca="1" si="198"/>
        <v>0</v>
      </c>
      <c r="G241" s="103">
        <f t="shared" ca="1" si="199"/>
        <v>0</v>
      </c>
      <c r="H241" s="103">
        <f t="shared" ca="1" si="200"/>
        <v>0</v>
      </c>
      <c r="I241" s="103">
        <f t="shared" ca="1" si="201"/>
        <v>0</v>
      </c>
      <c r="J241" s="103">
        <f t="shared" ca="1" si="202"/>
        <v>0</v>
      </c>
      <c r="K241" s="103">
        <f t="shared" ca="1" si="203"/>
        <v>0</v>
      </c>
      <c r="L241" s="103">
        <f t="shared" ca="1" si="204"/>
        <v>0</v>
      </c>
      <c r="M241" s="103">
        <f t="shared" ca="1" si="205"/>
        <v>0</v>
      </c>
      <c r="N241" s="103">
        <f t="shared" ca="1" si="206"/>
        <v>0</v>
      </c>
      <c r="O241" s="103">
        <f t="shared" ca="1" si="207"/>
        <v>0</v>
      </c>
      <c r="P241" s="103">
        <f t="shared" ca="1" si="208"/>
        <v>0</v>
      </c>
      <c r="Q241" s="103">
        <f t="shared" ca="1" si="209"/>
        <v>0</v>
      </c>
      <c r="R241" s="103">
        <f t="shared" ca="1" si="210"/>
        <v>0</v>
      </c>
      <c r="S241" s="103">
        <f t="shared" ca="1" si="211"/>
        <v>0</v>
      </c>
      <c r="T241" s="103">
        <f t="shared" ca="1" si="212"/>
        <v>0</v>
      </c>
      <c r="U241" s="103">
        <f t="shared" ca="1" si="213"/>
        <v>0</v>
      </c>
      <c r="V241" s="103">
        <f t="shared" ca="1" si="214"/>
        <v>0</v>
      </c>
      <c r="W241" s="103">
        <f t="shared" ca="1" si="215"/>
        <v>0</v>
      </c>
      <c r="X241" s="103">
        <f t="shared" ca="1" si="216"/>
        <v>0</v>
      </c>
      <c r="Y241" s="103">
        <f t="shared" ca="1" si="217"/>
        <v>0</v>
      </c>
      <c r="Z241" s="103">
        <f t="shared" ca="1" si="218"/>
        <v>0</v>
      </c>
      <c r="AA241" s="103">
        <f t="shared" ca="1" si="219"/>
        <v>0</v>
      </c>
      <c r="AB241" s="103">
        <f t="shared" ca="1" si="220"/>
        <v>0</v>
      </c>
      <c r="AC241" s="103">
        <f t="shared" ca="1" si="221"/>
        <v>0</v>
      </c>
      <c r="AD241" s="103">
        <f t="shared" ca="1" si="222"/>
        <v>0</v>
      </c>
      <c r="AE241" s="103">
        <f t="shared" ca="1" si="223"/>
        <v>0</v>
      </c>
      <c r="AF241" s="103">
        <f t="shared" ca="1" si="224"/>
        <v>0</v>
      </c>
      <c r="AG241" s="103">
        <f t="shared" ca="1" si="225"/>
        <v>0</v>
      </c>
      <c r="AH241" s="103">
        <f t="shared" ca="1" si="226"/>
        <v>0</v>
      </c>
      <c r="AI241" s="103">
        <f t="shared" ca="1" si="227"/>
        <v>0</v>
      </c>
      <c r="AJ241" s="98">
        <f t="shared" ca="1" si="262"/>
        <v>0</v>
      </c>
      <c r="AK241" s="103">
        <f t="shared" ca="1" si="262"/>
        <v>0</v>
      </c>
      <c r="AL241" s="103">
        <f t="shared" ca="1" si="262"/>
        <v>0</v>
      </c>
      <c r="AM241" s="103">
        <f t="shared" ca="1" si="262"/>
        <v>0</v>
      </c>
      <c r="AN241" s="103">
        <f t="shared" ca="1" si="262"/>
        <v>0</v>
      </c>
      <c r="AO241" s="103">
        <f t="shared" ca="1" si="262"/>
        <v>0</v>
      </c>
      <c r="AP241" s="103">
        <f t="shared" ca="1" si="262"/>
        <v>0</v>
      </c>
      <c r="AQ241" s="103">
        <f t="shared" ca="1" si="262"/>
        <v>0</v>
      </c>
      <c r="AR241" s="104">
        <f ca="1">COUNTIF(AJ241:AQ241,"&lt;"&amp;MAX(AJ241:AQ241))+IF(Calcs[[#This Row],[DL1]]=0,0,1)</f>
        <v>0</v>
      </c>
      <c r="AS241" s="105" t="str">
        <f ca="1">IF(LEN(Calcs[[#This Row],[Line]])&gt;0,IF(RIGHT(Calcs[[#This Row],[Remark]],3)=".  ",LEFT(Calcs[[#This Row],[Remark]],LEN(Calcs[[#This Row],[Remark]])-3),Calcs[[#This Row],[Remark]]),"")</f>
        <v/>
      </c>
      <c r="AT241" s="96">
        <f t="shared" ca="1" si="228"/>
        <v>0</v>
      </c>
      <c r="AU241" s="103">
        <f t="shared" ca="1" si="229"/>
        <v>0</v>
      </c>
      <c r="AV241" s="103">
        <f t="shared" ca="1" si="230"/>
        <v>0</v>
      </c>
      <c r="AW241" s="103">
        <f t="shared" ca="1" si="231"/>
        <v>0</v>
      </c>
      <c r="AX241" s="103">
        <f t="shared" ca="1" si="232"/>
        <v>0</v>
      </c>
      <c r="AY241" s="103">
        <f t="shared" ca="1" si="233"/>
        <v>0</v>
      </c>
      <c r="AZ241" s="103">
        <f t="shared" ca="1" si="234"/>
        <v>0</v>
      </c>
      <c r="BA241" s="103">
        <f t="shared" ca="1" si="235"/>
        <v>0</v>
      </c>
      <c r="BB241" s="103">
        <f t="shared" ca="1" si="236"/>
        <v>0</v>
      </c>
      <c r="BC241" s="103">
        <f t="shared" ca="1" si="237"/>
        <v>0</v>
      </c>
      <c r="BD241" s="103">
        <f t="shared" ca="1" si="238"/>
        <v>0</v>
      </c>
      <c r="BE241" s="103">
        <f t="shared" ca="1" si="239"/>
        <v>0</v>
      </c>
      <c r="BF241" s="103">
        <f t="shared" ca="1" si="240"/>
        <v>0</v>
      </c>
      <c r="BG241" s="103">
        <f t="shared" ca="1" si="241"/>
        <v>0</v>
      </c>
      <c r="BH241" s="103">
        <f t="shared" ca="1" si="242"/>
        <v>0</v>
      </c>
      <c r="BI241" s="103">
        <f t="shared" ca="1" si="243"/>
        <v>0</v>
      </c>
      <c r="BJ241" s="103">
        <f t="shared" ca="1" si="244"/>
        <v>0</v>
      </c>
      <c r="BK241" s="103">
        <f t="shared" ca="1" si="245"/>
        <v>0</v>
      </c>
      <c r="BL241" s="103">
        <f t="shared" ca="1" si="246"/>
        <v>0</v>
      </c>
      <c r="BM241" s="103">
        <f t="shared" ca="1" si="247"/>
        <v>0</v>
      </c>
      <c r="BN241" s="103">
        <f t="shared" ca="1" si="248"/>
        <v>0</v>
      </c>
      <c r="BO241" s="103">
        <f t="shared" ca="1" si="249"/>
        <v>0</v>
      </c>
      <c r="BP241" s="103">
        <f t="shared" ca="1" si="250"/>
        <v>0</v>
      </c>
      <c r="BQ241" s="103">
        <f t="shared" ca="1" si="251"/>
        <v>0</v>
      </c>
      <c r="BR241" s="103">
        <f t="shared" ca="1" si="252"/>
        <v>0</v>
      </c>
      <c r="BS241" s="103">
        <f t="shared" ca="1" si="253"/>
        <v>0</v>
      </c>
      <c r="BT241" s="103">
        <f t="shared" ca="1" si="254"/>
        <v>0</v>
      </c>
      <c r="BU241" s="103">
        <f t="shared" ca="1" si="255"/>
        <v>0</v>
      </c>
      <c r="BV241" s="103">
        <f t="shared" ca="1" si="256"/>
        <v>0</v>
      </c>
      <c r="BW241" s="103">
        <f t="shared" ca="1" si="257"/>
        <v>0</v>
      </c>
      <c r="BX241" s="103">
        <f t="shared" ca="1" si="258"/>
        <v>0</v>
      </c>
      <c r="BY241" s="103">
        <f t="shared" ca="1" si="259"/>
        <v>0</v>
      </c>
      <c r="BZ241" s="98">
        <f t="shared" ca="1" si="263"/>
        <v>0</v>
      </c>
      <c r="CA241" s="103">
        <f t="shared" ca="1" si="263"/>
        <v>0</v>
      </c>
      <c r="CB241" s="103">
        <f t="shared" ca="1" si="263"/>
        <v>0</v>
      </c>
      <c r="CC241" s="103">
        <f t="shared" ca="1" si="263"/>
        <v>0</v>
      </c>
      <c r="CD241" s="103">
        <f t="shared" ca="1" si="263"/>
        <v>0</v>
      </c>
      <c r="CE241" s="103">
        <f t="shared" ca="1" si="263"/>
        <v>0</v>
      </c>
      <c r="CF241" s="103">
        <f t="shared" ca="1" si="263"/>
        <v>0</v>
      </c>
      <c r="CG241" s="103">
        <f t="shared" ca="1" si="263"/>
        <v>0</v>
      </c>
      <c r="CH241" s="106">
        <f ca="1">COUNTIF(BZ241:CG241,"&lt;"&amp;MAX(BZ241:CG241))+IF(Calcs[[#This Row],[RL1]]=0,0,1)</f>
        <v>0</v>
      </c>
      <c r="CI24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1" s="103">
        <f ca="1">IFERROR(OFFSET(CJ241,-1,0)+0,0)+IF(INDEX(INDIRECT(RangeContrQty),MATCH(Calcs[[#This Row],[Line]],OFFSET(Items[Line],0,0,ROW(Proposed[])-ROW(Items[])+ROWS(Proposed[]),1),0)),1,0)</f>
        <v>0</v>
      </c>
    </row>
    <row r="242" spans="1:88" x14ac:dyDescent="0.15">
      <c r="A242" s="64">
        <f ca="1">IFERROR(OFFSET(A242,-1,0)+0,0)+MAX(IF(LEN(Calcs[[#This Row],[Line]])&gt;0,1,0),Calcs[[#This Row],[DL]],Calcs[[#This Row],[RL]])</f>
        <v>10</v>
      </c>
      <c r="B242" s="90" t="str">
        <f ca="1">IFERROR(INDEX(OFFSET(Items[Line],0,0,ROW(Proposed[])-ROW(Items[])+ROWS(Proposed[]),1),MATCH(ROW(B242)-ROW(B$3),INDIRECT(RangeCount),0)),"")</f>
        <v/>
      </c>
      <c r="C242" s="90" t="str">
        <f ca="1">IF(LEN(Calcs[[#This Row],[Line]])&gt;0,TRIM(IFERROR(INDEX(Items[Description],MATCH(Calcs[[#This Row],[Line]],Items[Line],0))&amp;INDEX(Items[Description2],MATCH(Calcs[[#This Row],[Line]],Items[Line],0)),INDEX(Proposed[Description],MATCH(Calcs[[#This Row],[Line]],Proposed[Line],0)))),"")</f>
        <v/>
      </c>
      <c r="D242" s="96">
        <f t="shared" ca="1" si="196"/>
        <v>0</v>
      </c>
      <c r="E242" s="103">
        <f t="shared" ca="1" si="197"/>
        <v>0</v>
      </c>
      <c r="F242" s="103">
        <f t="shared" ca="1" si="198"/>
        <v>0</v>
      </c>
      <c r="G242" s="103">
        <f t="shared" ca="1" si="199"/>
        <v>0</v>
      </c>
      <c r="H242" s="103">
        <f t="shared" ca="1" si="200"/>
        <v>0</v>
      </c>
      <c r="I242" s="103">
        <f t="shared" ca="1" si="201"/>
        <v>0</v>
      </c>
      <c r="J242" s="103">
        <f t="shared" ca="1" si="202"/>
        <v>0</v>
      </c>
      <c r="K242" s="103">
        <f t="shared" ca="1" si="203"/>
        <v>0</v>
      </c>
      <c r="L242" s="103">
        <f t="shared" ca="1" si="204"/>
        <v>0</v>
      </c>
      <c r="M242" s="103">
        <f t="shared" ca="1" si="205"/>
        <v>0</v>
      </c>
      <c r="N242" s="103">
        <f t="shared" ca="1" si="206"/>
        <v>0</v>
      </c>
      <c r="O242" s="103">
        <f t="shared" ca="1" si="207"/>
        <v>0</v>
      </c>
      <c r="P242" s="103">
        <f t="shared" ca="1" si="208"/>
        <v>0</v>
      </c>
      <c r="Q242" s="103">
        <f t="shared" ca="1" si="209"/>
        <v>0</v>
      </c>
      <c r="R242" s="103">
        <f t="shared" ca="1" si="210"/>
        <v>0</v>
      </c>
      <c r="S242" s="103">
        <f t="shared" ca="1" si="211"/>
        <v>0</v>
      </c>
      <c r="T242" s="103">
        <f t="shared" ca="1" si="212"/>
        <v>0</v>
      </c>
      <c r="U242" s="103">
        <f t="shared" ca="1" si="213"/>
        <v>0</v>
      </c>
      <c r="V242" s="103">
        <f t="shared" ca="1" si="214"/>
        <v>0</v>
      </c>
      <c r="W242" s="103">
        <f t="shared" ca="1" si="215"/>
        <v>0</v>
      </c>
      <c r="X242" s="103">
        <f t="shared" ca="1" si="216"/>
        <v>0</v>
      </c>
      <c r="Y242" s="103">
        <f t="shared" ca="1" si="217"/>
        <v>0</v>
      </c>
      <c r="Z242" s="103">
        <f t="shared" ca="1" si="218"/>
        <v>0</v>
      </c>
      <c r="AA242" s="103">
        <f t="shared" ca="1" si="219"/>
        <v>0</v>
      </c>
      <c r="AB242" s="103">
        <f t="shared" ca="1" si="220"/>
        <v>0</v>
      </c>
      <c r="AC242" s="103">
        <f t="shared" ca="1" si="221"/>
        <v>0</v>
      </c>
      <c r="AD242" s="103">
        <f t="shared" ca="1" si="222"/>
        <v>0</v>
      </c>
      <c r="AE242" s="103">
        <f t="shared" ca="1" si="223"/>
        <v>0</v>
      </c>
      <c r="AF242" s="103">
        <f t="shared" ca="1" si="224"/>
        <v>0</v>
      </c>
      <c r="AG242" s="103">
        <f t="shared" ca="1" si="225"/>
        <v>0</v>
      </c>
      <c r="AH242" s="103">
        <f t="shared" ca="1" si="226"/>
        <v>0</v>
      </c>
      <c r="AI242" s="103">
        <f t="shared" ca="1" si="227"/>
        <v>0</v>
      </c>
      <c r="AJ242" s="98">
        <f t="shared" ref="AJ242:AQ251" ca="1" si="264">HLOOKUP(IF(COLUMN(AJ242)-COLUMN($AJ$3)=0,0,OFFSET(AJ242,0,-1))+widthPayItem,$D242:$AI242,1)</f>
        <v>0</v>
      </c>
      <c r="AK242" s="103">
        <f t="shared" ca="1" si="264"/>
        <v>0</v>
      </c>
      <c r="AL242" s="103">
        <f t="shared" ca="1" si="264"/>
        <v>0</v>
      </c>
      <c r="AM242" s="103">
        <f t="shared" ca="1" si="264"/>
        <v>0</v>
      </c>
      <c r="AN242" s="103">
        <f t="shared" ca="1" si="264"/>
        <v>0</v>
      </c>
      <c r="AO242" s="103">
        <f t="shared" ca="1" si="264"/>
        <v>0</v>
      </c>
      <c r="AP242" s="103">
        <f t="shared" ca="1" si="264"/>
        <v>0</v>
      </c>
      <c r="AQ242" s="103">
        <f t="shared" ca="1" si="264"/>
        <v>0</v>
      </c>
      <c r="AR242" s="104">
        <f ca="1">COUNTIF(AJ242:AQ242,"&lt;"&amp;MAX(AJ242:AQ242))+IF(Calcs[[#This Row],[DL1]]=0,0,1)</f>
        <v>0</v>
      </c>
      <c r="AS242" s="105" t="str">
        <f ca="1">IF(LEN(Calcs[[#This Row],[Line]])&gt;0,IF(RIGHT(Calcs[[#This Row],[Remark]],3)=".  ",LEFT(Calcs[[#This Row],[Remark]],LEN(Calcs[[#This Row],[Remark]])-3),Calcs[[#This Row],[Remark]]),"")</f>
        <v/>
      </c>
      <c r="AT242" s="96">
        <f t="shared" ca="1" si="228"/>
        <v>0</v>
      </c>
      <c r="AU242" s="103">
        <f t="shared" ca="1" si="229"/>
        <v>0</v>
      </c>
      <c r="AV242" s="103">
        <f t="shared" ca="1" si="230"/>
        <v>0</v>
      </c>
      <c r="AW242" s="103">
        <f t="shared" ca="1" si="231"/>
        <v>0</v>
      </c>
      <c r="AX242" s="103">
        <f t="shared" ca="1" si="232"/>
        <v>0</v>
      </c>
      <c r="AY242" s="103">
        <f t="shared" ca="1" si="233"/>
        <v>0</v>
      </c>
      <c r="AZ242" s="103">
        <f t="shared" ca="1" si="234"/>
        <v>0</v>
      </c>
      <c r="BA242" s="103">
        <f t="shared" ca="1" si="235"/>
        <v>0</v>
      </c>
      <c r="BB242" s="103">
        <f t="shared" ca="1" si="236"/>
        <v>0</v>
      </c>
      <c r="BC242" s="103">
        <f t="shared" ca="1" si="237"/>
        <v>0</v>
      </c>
      <c r="BD242" s="103">
        <f t="shared" ca="1" si="238"/>
        <v>0</v>
      </c>
      <c r="BE242" s="103">
        <f t="shared" ca="1" si="239"/>
        <v>0</v>
      </c>
      <c r="BF242" s="103">
        <f t="shared" ca="1" si="240"/>
        <v>0</v>
      </c>
      <c r="BG242" s="103">
        <f t="shared" ca="1" si="241"/>
        <v>0</v>
      </c>
      <c r="BH242" s="103">
        <f t="shared" ca="1" si="242"/>
        <v>0</v>
      </c>
      <c r="BI242" s="103">
        <f t="shared" ca="1" si="243"/>
        <v>0</v>
      </c>
      <c r="BJ242" s="103">
        <f t="shared" ca="1" si="244"/>
        <v>0</v>
      </c>
      <c r="BK242" s="103">
        <f t="shared" ca="1" si="245"/>
        <v>0</v>
      </c>
      <c r="BL242" s="103">
        <f t="shared" ca="1" si="246"/>
        <v>0</v>
      </c>
      <c r="BM242" s="103">
        <f t="shared" ca="1" si="247"/>
        <v>0</v>
      </c>
      <c r="BN242" s="103">
        <f t="shared" ca="1" si="248"/>
        <v>0</v>
      </c>
      <c r="BO242" s="103">
        <f t="shared" ca="1" si="249"/>
        <v>0</v>
      </c>
      <c r="BP242" s="103">
        <f t="shared" ca="1" si="250"/>
        <v>0</v>
      </c>
      <c r="BQ242" s="103">
        <f t="shared" ca="1" si="251"/>
        <v>0</v>
      </c>
      <c r="BR242" s="103">
        <f t="shared" ca="1" si="252"/>
        <v>0</v>
      </c>
      <c r="BS242" s="103">
        <f t="shared" ca="1" si="253"/>
        <v>0</v>
      </c>
      <c r="BT242" s="103">
        <f t="shared" ca="1" si="254"/>
        <v>0</v>
      </c>
      <c r="BU242" s="103">
        <f t="shared" ca="1" si="255"/>
        <v>0</v>
      </c>
      <c r="BV242" s="103">
        <f t="shared" ca="1" si="256"/>
        <v>0</v>
      </c>
      <c r="BW242" s="103">
        <f t="shared" ca="1" si="257"/>
        <v>0</v>
      </c>
      <c r="BX242" s="103">
        <f t="shared" ca="1" si="258"/>
        <v>0</v>
      </c>
      <c r="BY242" s="103">
        <f t="shared" ca="1" si="259"/>
        <v>0</v>
      </c>
      <c r="BZ242" s="98">
        <f t="shared" ref="BZ242:CG251" ca="1" si="265">HLOOKUP(IF(COLUMN(BZ242)-COLUMN($BZ$3)=0,0,OFFSET(BZ242,0,-1))+widthRemarks,$AT242:$BY242,1)</f>
        <v>0</v>
      </c>
      <c r="CA242" s="103">
        <f t="shared" ca="1" si="265"/>
        <v>0</v>
      </c>
      <c r="CB242" s="103">
        <f t="shared" ca="1" si="265"/>
        <v>0</v>
      </c>
      <c r="CC242" s="103">
        <f t="shared" ca="1" si="265"/>
        <v>0</v>
      </c>
      <c r="CD242" s="103">
        <f t="shared" ca="1" si="265"/>
        <v>0</v>
      </c>
      <c r="CE242" s="103">
        <f t="shared" ca="1" si="265"/>
        <v>0</v>
      </c>
      <c r="CF242" s="103">
        <f t="shared" ca="1" si="265"/>
        <v>0</v>
      </c>
      <c r="CG242" s="103">
        <f t="shared" ca="1" si="265"/>
        <v>0</v>
      </c>
      <c r="CH242" s="106">
        <f ca="1">COUNTIF(BZ242:CG242,"&lt;"&amp;MAX(BZ242:CG242))+IF(Calcs[[#This Row],[RL1]]=0,0,1)</f>
        <v>0</v>
      </c>
      <c r="CI24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2" s="103">
        <f ca="1">IFERROR(OFFSET(CJ242,-1,0)+0,0)+IF(INDEX(INDIRECT(RangeContrQty),MATCH(Calcs[[#This Row],[Line]],OFFSET(Items[Line],0,0,ROW(Proposed[])-ROW(Items[])+ROWS(Proposed[]),1),0)),1,0)</f>
        <v>0</v>
      </c>
    </row>
    <row r="243" spans="1:88" x14ac:dyDescent="0.15">
      <c r="A243" s="64">
        <f ca="1">IFERROR(OFFSET(A243,-1,0)+0,0)+MAX(IF(LEN(Calcs[[#This Row],[Line]])&gt;0,1,0),Calcs[[#This Row],[DL]],Calcs[[#This Row],[RL]])</f>
        <v>10</v>
      </c>
      <c r="B243" s="90" t="str">
        <f ca="1">IFERROR(INDEX(OFFSET(Items[Line],0,0,ROW(Proposed[])-ROW(Items[])+ROWS(Proposed[]),1),MATCH(ROW(B243)-ROW(B$3),INDIRECT(RangeCount),0)),"")</f>
        <v/>
      </c>
      <c r="C243" s="90" t="str">
        <f ca="1">IF(LEN(Calcs[[#This Row],[Line]])&gt;0,TRIM(IFERROR(INDEX(Items[Description],MATCH(Calcs[[#This Row],[Line]],Items[Line],0))&amp;INDEX(Items[Description2],MATCH(Calcs[[#This Row],[Line]],Items[Line],0)),INDEX(Proposed[Description],MATCH(Calcs[[#This Row],[Line]],Proposed[Line],0)))),"")</f>
        <v/>
      </c>
      <c r="D243" s="96">
        <f t="shared" ca="1" si="196"/>
        <v>0</v>
      </c>
      <c r="E243" s="103">
        <f t="shared" ca="1" si="197"/>
        <v>0</v>
      </c>
      <c r="F243" s="103">
        <f t="shared" ca="1" si="198"/>
        <v>0</v>
      </c>
      <c r="G243" s="103">
        <f t="shared" ca="1" si="199"/>
        <v>0</v>
      </c>
      <c r="H243" s="103">
        <f t="shared" ca="1" si="200"/>
        <v>0</v>
      </c>
      <c r="I243" s="103">
        <f t="shared" ca="1" si="201"/>
        <v>0</v>
      </c>
      <c r="J243" s="103">
        <f t="shared" ca="1" si="202"/>
        <v>0</v>
      </c>
      <c r="K243" s="103">
        <f t="shared" ca="1" si="203"/>
        <v>0</v>
      </c>
      <c r="L243" s="103">
        <f t="shared" ca="1" si="204"/>
        <v>0</v>
      </c>
      <c r="M243" s="103">
        <f t="shared" ca="1" si="205"/>
        <v>0</v>
      </c>
      <c r="N243" s="103">
        <f t="shared" ca="1" si="206"/>
        <v>0</v>
      </c>
      <c r="O243" s="103">
        <f t="shared" ca="1" si="207"/>
        <v>0</v>
      </c>
      <c r="P243" s="103">
        <f t="shared" ca="1" si="208"/>
        <v>0</v>
      </c>
      <c r="Q243" s="103">
        <f t="shared" ca="1" si="209"/>
        <v>0</v>
      </c>
      <c r="R243" s="103">
        <f t="shared" ca="1" si="210"/>
        <v>0</v>
      </c>
      <c r="S243" s="103">
        <f t="shared" ca="1" si="211"/>
        <v>0</v>
      </c>
      <c r="T243" s="103">
        <f t="shared" ca="1" si="212"/>
        <v>0</v>
      </c>
      <c r="U243" s="103">
        <f t="shared" ca="1" si="213"/>
        <v>0</v>
      </c>
      <c r="V243" s="103">
        <f t="shared" ca="1" si="214"/>
        <v>0</v>
      </c>
      <c r="W243" s="103">
        <f t="shared" ca="1" si="215"/>
        <v>0</v>
      </c>
      <c r="X243" s="103">
        <f t="shared" ca="1" si="216"/>
        <v>0</v>
      </c>
      <c r="Y243" s="103">
        <f t="shared" ca="1" si="217"/>
        <v>0</v>
      </c>
      <c r="Z243" s="103">
        <f t="shared" ca="1" si="218"/>
        <v>0</v>
      </c>
      <c r="AA243" s="103">
        <f t="shared" ca="1" si="219"/>
        <v>0</v>
      </c>
      <c r="AB243" s="103">
        <f t="shared" ca="1" si="220"/>
        <v>0</v>
      </c>
      <c r="AC243" s="103">
        <f t="shared" ca="1" si="221"/>
        <v>0</v>
      </c>
      <c r="AD243" s="103">
        <f t="shared" ca="1" si="222"/>
        <v>0</v>
      </c>
      <c r="AE243" s="103">
        <f t="shared" ca="1" si="223"/>
        <v>0</v>
      </c>
      <c r="AF243" s="103">
        <f t="shared" ca="1" si="224"/>
        <v>0</v>
      </c>
      <c r="AG243" s="103">
        <f t="shared" ca="1" si="225"/>
        <v>0</v>
      </c>
      <c r="AH243" s="103">
        <f t="shared" ca="1" si="226"/>
        <v>0</v>
      </c>
      <c r="AI243" s="103">
        <f t="shared" ca="1" si="227"/>
        <v>0</v>
      </c>
      <c r="AJ243" s="98">
        <f t="shared" ca="1" si="264"/>
        <v>0</v>
      </c>
      <c r="AK243" s="103">
        <f t="shared" ca="1" si="264"/>
        <v>0</v>
      </c>
      <c r="AL243" s="103">
        <f t="shared" ca="1" si="264"/>
        <v>0</v>
      </c>
      <c r="AM243" s="103">
        <f t="shared" ca="1" si="264"/>
        <v>0</v>
      </c>
      <c r="AN243" s="103">
        <f t="shared" ca="1" si="264"/>
        <v>0</v>
      </c>
      <c r="AO243" s="103">
        <f t="shared" ca="1" si="264"/>
        <v>0</v>
      </c>
      <c r="AP243" s="103">
        <f t="shared" ca="1" si="264"/>
        <v>0</v>
      </c>
      <c r="AQ243" s="103">
        <f t="shared" ca="1" si="264"/>
        <v>0</v>
      </c>
      <c r="AR243" s="104">
        <f ca="1">COUNTIF(AJ243:AQ243,"&lt;"&amp;MAX(AJ243:AQ243))+IF(Calcs[[#This Row],[DL1]]=0,0,1)</f>
        <v>0</v>
      </c>
      <c r="AS243" s="105" t="str">
        <f ca="1">IF(LEN(Calcs[[#This Row],[Line]])&gt;0,IF(RIGHT(Calcs[[#This Row],[Remark]],3)=".  ",LEFT(Calcs[[#This Row],[Remark]],LEN(Calcs[[#This Row],[Remark]])-3),Calcs[[#This Row],[Remark]]),"")</f>
        <v/>
      </c>
      <c r="AT243" s="96">
        <f t="shared" ca="1" si="228"/>
        <v>0</v>
      </c>
      <c r="AU243" s="103">
        <f t="shared" ca="1" si="229"/>
        <v>0</v>
      </c>
      <c r="AV243" s="103">
        <f t="shared" ca="1" si="230"/>
        <v>0</v>
      </c>
      <c r="AW243" s="103">
        <f t="shared" ca="1" si="231"/>
        <v>0</v>
      </c>
      <c r="AX243" s="103">
        <f t="shared" ca="1" si="232"/>
        <v>0</v>
      </c>
      <c r="AY243" s="103">
        <f t="shared" ca="1" si="233"/>
        <v>0</v>
      </c>
      <c r="AZ243" s="103">
        <f t="shared" ca="1" si="234"/>
        <v>0</v>
      </c>
      <c r="BA243" s="103">
        <f t="shared" ca="1" si="235"/>
        <v>0</v>
      </c>
      <c r="BB243" s="103">
        <f t="shared" ca="1" si="236"/>
        <v>0</v>
      </c>
      <c r="BC243" s="103">
        <f t="shared" ca="1" si="237"/>
        <v>0</v>
      </c>
      <c r="BD243" s="103">
        <f t="shared" ca="1" si="238"/>
        <v>0</v>
      </c>
      <c r="BE243" s="103">
        <f t="shared" ca="1" si="239"/>
        <v>0</v>
      </c>
      <c r="BF243" s="103">
        <f t="shared" ca="1" si="240"/>
        <v>0</v>
      </c>
      <c r="BG243" s="103">
        <f t="shared" ca="1" si="241"/>
        <v>0</v>
      </c>
      <c r="BH243" s="103">
        <f t="shared" ca="1" si="242"/>
        <v>0</v>
      </c>
      <c r="BI243" s="103">
        <f t="shared" ca="1" si="243"/>
        <v>0</v>
      </c>
      <c r="BJ243" s="103">
        <f t="shared" ca="1" si="244"/>
        <v>0</v>
      </c>
      <c r="BK243" s="103">
        <f t="shared" ca="1" si="245"/>
        <v>0</v>
      </c>
      <c r="BL243" s="103">
        <f t="shared" ca="1" si="246"/>
        <v>0</v>
      </c>
      <c r="BM243" s="103">
        <f t="shared" ca="1" si="247"/>
        <v>0</v>
      </c>
      <c r="BN243" s="103">
        <f t="shared" ca="1" si="248"/>
        <v>0</v>
      </c>
      <c r="BO243" s="103">
        <f t="shared" ca="1" si="249"/>
        <v>0</v>
      </c>
      <c r="BP243" s="103">
        <f t="shared" ca="1" si="250"/>
        <v>0</v>
      </c>
      <c r="BQ243" s="103">
        <f t="shared" ca="1" si="251"/>
        <v>0</v>
      </c>
      <c r="BR243" s="103">
        <f t="shared" ca="1" si="252"/>
        <v>0</v>
      </c>
      <c r="BS243" s="103">
        <f t="shared" ca="1" si="253"/>
        <v>0</v>
      </c>
      <c r="BT243" s="103">
        <f t="shared" ca="1" si="254"/>
        <v>0</v>
      </c>
      <c r="BU243" s="103">
        <f t="shared" ca="1" si="255"/>
        <v>0</v>
      </c>
      <c r="BV243" s="103">
        <f t="shared" ca="1" si="256"/>
        <v>0</v>
      </c>
      <c r="BW243" s="103">
        <f t="shared" ca="1" si="257"/>
        <v>0</v>
      </c>
      <c r="BX243" s="103">
        <f t="shared" ca="1" si="258"/>
        <v>0</v>
      </c>
      <c r="BY243" s="103">
        <f t="shared" ca="1" si="259"/>
        <v>0</v>
      </c>
      <c r="BZ243" s="98">
        <f t="shared" ca="1" si="265"/>
        <v>0</v>
      </c>
      <c r="CA243" s="103">
        <f t="shared" ca="1" si="265"/>
        <v>0</v>
      </c>
      <c r="CB243" s="103">
        <f t="shared" ca="1" si="265"/>
        <v>0</v>
      </c>
      <c r="CC243" s="103">
        <f t="shared" ca="1" si="265"/>
        <v>0</v>
      </c>
      <c r="CD243" s="103">
        <f t="shared" ca="1" si="265"/>
        <v>0</v>
      </c>
      <c r="CE243" s="103">
        <f t="shared" ca="1" si="265"/>
        <v>0</v>
      </c>
      <c r="CF243" s="103">
        <f t="shared" ca="1" si="265"/>
        <v>0</v>
      </c>
      <c r="CG243" s="103">
        <f t="shared" ca="1" si="265"/>
        <v>0</v>
      </c>
      <c r="CH243" s="106">
        <f ca="1">COUNTIF(BZ243:CG243,"&lt;"&amp;MAX(BZ243:CG243))+IF(Calcs[[#This Row],[RL1]]=0,0,1)</f>
        <v>0</v>
      </c>
      <c r="CI24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3" s="103">
        <f ca="1">IFERROR(OFFSET(CJ243,-1,0)+0,0)+IF(INDEX(INDIRECT(RangeContrQty),MATCH(Calcs[[#This Row],[Line]],OFFSET(Items[Line],0,0,ROW(Proposed[])-ROW(Items[])+ROWS(Proposed[]),1),0)),1,0)</f>
        <v>0</v>
      </c>
    </row>
    <row r="244" spans="1:88" x14ac:dyDescent="0.15">
      <c r="A244" s="64">
        <f ca="1">IFERROR(OFFSET(A244,-1,0)+0,0)+MAX(IF(LEN(Calcs[[#This Row],[Line]])&gt;0,1,0),Calcs[[#This Row],[DL]],Calcs[[#This Row],[RL]])</f>
        <v>10</v>
      </c>
      <c r="B244" s="90" t="str">
        <f ca="1">IFERROR(INDEX(OFFSET(Items[Line],0,0,ROW(Proposed[])-ROW(Items[])+ROWS(Proposed[]),1),MATCH(ROW(B244)-ROW(B$3),INDIRECT(RangeCount),0)),"")</f>
        <v/>
      </c>
      <c r="C244" s="90" t="str">
        <f ca="1">IF(LEN(Calcs[[#This Row],[Line]])&gt;0,TRIM(IFERROR(INDEX(Items[Description],MATCH(Calcs[[#This Row],[Line]],Items[Line],0))&amp;INDEX(Items[Description2],MATCH(Calcs[[#This Row],[Line]],Items[Line],0)),INDEX(Proposed[Description],MATCH(Calcs[[#This Row],[Line]],Proposed[Line],0)))),"")</f>
        <v/>
      </c>
      <c r="D244" s="96">
        <f t="shared" ca="1" si="196"/>
        <v>0</v>
      </c>
      <c r="E244" s="103">
        <f t="shared" ca="1" si="197"/>
        <v>0</v>
      </c>
      <c r="F244" s="103">
        <f t="shared" ca="1" si="198"/>
        <v>0</v>
      </c>
      <c r="G244" s="103">
        <f t="shared" ca="1" si="199"/>
        <v>0</v>
      </c>
      <c r="H244" s="103">
        <f t="shared" ca="1" si="200"/>
        <v>0</v>
      </c>
      <c r="I244" s="103">
        <f t="shared" ca="1" si="201"/>
        <v>0</v>
      </c>
      <c r="J244" s="103">
        <f t="shared" ca="1" si="202"/>
        <v>0</v>
      </c>
      <c r="K244" s="103">
        <f t="shared" ca="1" si="203"/>
        <v>0</v>
      </c>
      <c r="L244" s="103">
        <f t="shared" ca="1" si="204"/>
        <v>0</v>
      </c>
      <c r="M244" s="103">
        <f t="shared" ca="1" si="205"/>
        <v>0</v>
      </c>
      <c r="N244" s="103">
        <f t="shared" ca="1" si="206"/>
        <v>0</v>
      </c>
      <c r="O244" s="103">
        <f t="shared" ca="1" si="207"/>
        <v>0</v>
      </c>
      <c r="P244" s="103">
        <f t="shared" ca="1" si="208"/>
        <v>0</v>
      </c>
      <c r="Q244" s="103">
        <f t="shared" ca="1" si="209"/>
        <v>0</v>
      </c>
      <c r="R244" s="103">
        <f t="shared" ca="1" si="210"/>
        <v>0</v>
      </c>
      <c r="S244" s="103">
        <f t="shared" ca="1" si="211"/>
        <v>0</v>
      </c>
      <c r="T244" s="103">
        <f t="shared" ca="1" si="212"/>
        <v>0</v>
      </c>
      <c r="U244" s="103">
        <f t="shared" ca="1" si="213"/>
        <v>0</v>
      </c>
      <c r="V244" s="103">
        <f t="shared" ca="1" si="214"/>
        <v>0</v>
      </c>
      <c r="W244" s="103">
        <f t="shared" ca="1" si="215"/>
        <v>0</v>
      </c>
      <c r="X244" s="103">
        <f t="shared" ca="1" si="216"/>
        <v>0</v>
      </c>
      <c r="Y244" s="103">
        <f t="shared" ca="1" si="217"/>
        <v>0</v>
      </c>
      <c r="Z244" s="103">
        <f t="shared" ca="1" si="218"/>
        <v>0</v>
      </c>
      <c r="AA244" s="103">
        <f t="shared" ca="1" si="219"/>
        <v>0</v>
      </c>
      <c r="AB244" s="103">
        <f t="shared" ca="1" si="220"/>
        <v>0</v>
      </c>
      <c r="AC244" s="103">
        <f t="shared" ca="1" si="221"/>
        <v>0</v>
      </c>
      <c r="AD244" s="103">
        <f t="shared" ca="1" si="222"/>
        <v>0</v>
      </c>
      <c r="AE244" s="103">
        <f t="shared" ca="1" si="223"/>
        <v>0</v>
      </c>
      <c r="AF244" s="103">
        <f t="shared" ca="1" si="224"/>
        <v>0</v>
      </c>
      <c r="AG244" s="103">
        <f t="shared" ca="1" si="225"/>
        <v>0</v>
      </c>
      <c r="AH244" s="103">
        <f t="shared" ca="1" si="226"/>
        <v>0</v>
      </c>
      <c r="AI244" s="103">
        <f t="shared" ca="1" si="227"/>
        <v>0</v>
      </c>
      <c r="AJ244" s="98">
        <f t="shared" ca="1" si="264"/>
        <v>0</v>
      </c>
      <c r="AK244" s="103">
        <f t="shared" ca="1" si="264"/>
        <v>0</v>
      </c>
      <c r="AL244" s="103">
        <f t="shared" ca="1" si="264"/>
        <v>0</v>
      </c>
      <c r="AM244" s="103">
        <f t="shared" ca="1" si="264"/>
        <v>0</v>
      </c>
      <c r="AN244" s="103">
        <f t="shared" ca="1" si="264"/>
        <v>0</v>
      </c>
      <c r="AO244" s="103">
        <f t="shared" ca="1" si="264"/>
        <v>0</v>
      </c>
      <c r="AP244" s="103">
        <f t="shared" ca="1" si="264"/>
        <v>0</v>
      </c>
      <c r="AQ244" s="103">
        <f t="shared" ca="1" si="264"/>
        <v>0</v>
      </c>
      <c r="AR244" s="104">
        <f ca="1">COUNTIF(AJ244:AQ244,"&lt;"&amp;MAX(AJ244:AQ244))+IF(Calcs[[#This Row],[DL1]]=0,0,1)</f>
        <v>0</v>
      </c>
      <c r="AS244" s="105" t="str">
        <f ca="1">IF(LEN(Calcs[[#This Row],[Line]])&gt;0,IF(RIGHT(Calcs[[#This Row],[Remark]],3)=".  ",LEFT(Calcs[[#This Row],[Remark]],LEN(Calcs[[#This Row],[Remark]])-3),Calcs[[#This Row],[Remark]]),"")</f>
        <v/>
      </c>
      <c r="AT244" s="96">
        <f t="shared" ca="1" si="228"/>
        <v>0</v>
      </c>
      <c r="AU244" s="103">
        <f t="shared" ca="1" si="229"/>
        <v>0</v>
      </c>
      <c r="AV244" s="103">
        <f t="shared" ca="1" si="230"/>
        <v>0</v>
      </c>
      <c r="AW244" s="103">
        <f t="shared" ca="1" si="231"/>
        <v>0</v>
      </c>
      <c r="AX244" s="103">
        <f t="shared" ca="1" si="232"/>
        <v>0</v>
      </c>
      <c r="AY244" s="103">
        <f t="shared" ca="1" si="233"/>
        <v>0</v>
      </c>
      <c r="AZ244" s="103">
        <f t="shared" ca="1" si="234"/>
        <v>0</v>
      </c>
      <c r="BA244" s="103">
        <f t="shared" ca="1" si="235"/>
        <v>0</v>
      </c>
      <c r="BB244" s="103">
        <f t="shared" ca="1" si="236"/>
        <v>0</v>
      </c>
      <c r="BC244" s="103">
        <f t="shared" ca="1" si="237"/>
        <v>0</v>
      </c>
      <c r="BD244" s="103">
        <f t="shared" ca="1" si="238"/>
        <v>0</v>
      </c>
      <c r="BE244" s="103">
        <f t="shared" ca="1" si="239"/>
        <v>0</v>
      </c>
      <c r="BF244" s="103">
        <f t="shared" ca="1" si="240"/>
        <v>0</v>
      </c>
      <c r="BG244" s="103">
        <f t="shared" ca="1" si="241"/>
        <v>0</v>
      </c>
      <c r="BH244" s="103">
        <f t="shared" ca="1" si="242"/>
        <v>0</v>
      </c>
      <c r="BI244" s="103">
        <f t="shared" ca="1" si="243"/>
        <v>0</v>
      </c>
      <c r="BJ244" s="103">
        <f t="shared" ca="1" si="244"/>
        <v>0</v>
      </c>
      <c r="BK244" s="103">
        <f t="shared" ca="1" si="245"/>
        <v>0</v>
      </c>
      <c r="BL244" s="103">
        <f t="shared" ca="1" si="246"/>
        <v>0</v>
      </c>
      <c r="BM244" s="103">
        <f t="shared" ca="1" si="247"/>
        <v>0</v>
      </c>
      <c r="BN244" s="103">
        <f t="shared" ca="1" si="248"/>
        <v>0</v>
      </c>
      <c r="BO244" s="103">
        <f t="shared" ca="1" si="249"/>
        <v>0</v>
      </c>
      <c r="BP244" s="103">
        <f t="shared" ca="1" si="250"/>
        <v>0</v>
      </c>
      <c r="BQ244" s="103">
        <f t="shared" ca="1" si="251"/>
        <v>0</v>
      </c>
      <c r="BR244" s="103">
        <f t="shared" ca="1" si="252"/>
        <v>0</v>
      </c>
      <c r="BS244" s="103">
        <f t="shared" ca="1" si="253"/>
        <v>0</v>
      </c>
      <c r="BT244" s="103">
        <f t="shared" ca="1" si="254"/>
        <v>0</v>
      </c>
      <c r="BU244" s="103">
        <f t="shared" ca="1" si="255"/>
        <v>0</v>
      </c>
      <c r="BV244" s="103">
        <f t="shared" ca="1" si="256"/>
        <v>0</v>
      </c>
      <c r="BW244" s="103">
        <f t="shared" ca="1" si="257"/>
        <v>0</v>
      </c>
      <c r="BX244" s="103">
        <f t="shared" ca="1" si="258"/>
        <v>0</v>
      </c>
      <c r="BY244" s="103">
        <f t="shared" ca="1" si="259"/>
        <v>0</v>
      </c>
      <c r="BZ244" s="98">
        <f t="shared" ca="1" si="265"/>
        <v>0</v>
      </c>
      <c r="CA244" s="103">
        <f t="shared" ca="1" si="265"/>
        <v>0</v>
      </c>
      <c r="CB244" s="103">
        <f t="shared" ca="1" si="265"/>
        <v>0</v>
      </c>
      <c r="CC244" s="103">
        <f t="shared" ca="1" si="265"/>
        <v>0</v>
      </c>
      <c r="CD244" s="103">
        <f t="shared" ca="1" si="265"/>
        <v>0</v>
      </c>
      <c r="CE244" s="103">
        <f t="shared" ca="1" si="265"/>
        <v>0</v>
      </c>
      <c r="CF244" s="103">
        <f t="shared" ca="1" si="265"/>
        <v>0</v>
      </c>
      <c r="CG244" s="103">
        <f t="shared" ca="1" si="265"/>
        <v>0</v>
      </c>
      <c r="CH244" s="106">
        <f ca="1">COUNTIF(BZ244:CG244,"&lt;"&amp;MAX(BZ244:CG244))+IF(Calcs[[#This Row],[RL1]]=0,0,1)</f>
        <v>0</v>
      </c>
      <c r="CI24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4" s="103">
        <f ca="1">IFERROR(OFFSET(CJ244,-1,0)+0,0)+IF(INDEX(INDIRECT(RangeContrQty),MATCH(Calcs[[#This Row],[Line]],OFFSET(Items[Line],0,0,ROW(Proposed[])-ROW(Items[])+ROWS(Proposed[]),1),0)),1,0)</f>
        <v>0</v>
      </c>
    </row>
    <row r="245" spans="1:88" x14ac:dyDescent="0.15">
      <c r="A245" s="64">
        <f ca="1">IFERROR(OFFSET(A245,-1,0)+0,0)+MAX(IF(LEN(Calcs[[#This Row],[Line]])&gt;0,1,0),Calcs[[#This Row],[DL]],Calcs[[#This Row],[RL]])</f>
        <v>10</v>
      </c>
      <c r="B245" s="90" t="str">
        <f ca="1">IFERROR(INDEX(OFFSET(Items[Line],0,0,ROW(Proposed[])-ROW(Items[])+ROWS(Proposed[]),1),MATCH(ROW(B245)-ROW(B$3),INDIRECT(RangeCount),0)),"")</f>
        <v/>
      </c>
      <c r="C245" s="90" t="str">
        <f ca="1">IF(LEN(Calcs[[#This Row],[Line]])&gt;0,TRIM(IFERROR(INDEX(Items[Description],MATCH(Calcs[[#This Row],[Line]],Items[Line],0))&amp;INDEX(Items[Description2],MATCH(Calcs[[#This Row],[Line]],Items[Line],0)),INDEX(Proposed[Description],MATCH(Calcs[[#This Row],[Line]],Proposed[Line],0)))),"")</f>
        <v/>
      </c>
      <c r="D245" s="96">
        <f t="shared" ca="1" si="196"/>
        <v>0</v>
      </c>
      <c r="E245" s="103">
        <f t="shared" ca="1" si="197"/>
        <v>0</v>
      </c>
      <c r="F245" s="103">
        <f t="shared" ca="1" si="198"/>
        <v>0</v>
      </c>
      <c r="G245" s="103">
        <f t="shared" ca="1" si="199"/>
        <v>0</v>
      </c>
      <c r="H245" s="103">
        <f t="shared" ca="1" si="200"/>
        <v>0</v>
      </c>
      <c r="I245" s="103">
        <f t="shared" ca="1" si="201"/>
        <v>0</v>
      </c>
      <c r="J245" s="103">
        <f t="shared" ca="1" si="202"/>
        <v>0</v>
      </c>
      <c r="K245" s="103">
        <f t="shared" ca="1" si="203"/>
        <v>0</v>
      </c>
      <c r="L245" s="103">
        <f t="shared" ca="1" si="204"/>
        <v>0</v>
      </c>
      <c r="M245" s="103">
        <f t="shared" ca="1" si="205"/>
        <v>0</v>
      </c>
      <c r="N245" s="103">
        <f t="shared" ca="1" si="206"/>
        <v>0</v>
      </c>
      <c r="O245" s="103">
        <f t="shared" ca="1" si="207"/>
        <v>0</v>
      </c>
      <c r="P245" s="103">
        <f t="shared" ca="1" si="208"/>
        <v>0</v>
      </c>
      <c r="Q245" s="103">
        <f t="shared" ca="1" si="209"/>
        <v>0</v>
      </c>
      <c r="R245" s="103">
        <f t="shared" ca="1" si="210"/>
        <v>0</v>
      </c>
      <c r="S245" s="103">
        <f t="shared" ca="1" si="211"/>
        <v>0</v>
      </c>
      <c r="T245" s="103">
        <f t="shared" ca="1" si="212"/>
        <v>0</v>
      </c>
      <c r="U245" s="103">
        <f t="shared" ca="1" si="213"/>
        <v>0</v>
      </c>
      <c r="V245" s="103">
        <f t="shared" ca="1" si="214"/>
        <v>0</v>
      </c>
      <c r="W245" s="103">
        <f t="shared" ca="1" si="215"/>
        <v>0</v>
      </c>
      <c r="X245" s="103">
        <f t="shared" ca="1" si="216"/>
        <v>0</v>
      </c>
      <c r="Y245" s="103">
        <f t="shared" ca="1" si="217"/>
        <v>0</v>
      </c>
      <c r="Z245" s="103">
        <f t="shared" ca="1" si="218"/>
        <v>0</v>
      </c>
      <c r="AA245" s="103">
        <f t="shared" ca="1" si="219"/>
        <v>0</v>
      </c>
      <c r="AB245" s="103">
        <f t="shared" ca="1" si="220"/>
        <v>0</v>
      </c>
      <c r="AC245" s="103">
        <f t="shared" ca="1" si="221"/>
        <v>0</v>
      </c>
      <c r="AD245" s="103">
        <f t="shared" ca="1" si="222"/>
        <v>0</v>
      </c>
      <c r="AE245" s="103">
        <f t="shared" ca="1" si="223"/>
        <v>0</v>
      </c>
      <c r="AF245" s="103">
        <f t="shared" ca="1" si="224"/>
        <v>0</v>
      </c>
      <c r="AG245" s="103">
        <f t="shared" ca="1" si="225"/>
        <v>0</v>
      </c>
      <c r="AH245" s="103">
        <f t="shared" ca="1" si="226"/>
        <v>0</v>
      </c>
      <c r="AI245" s="103">
        <f t="shared" ca="1" si="227"/>
        <v>0</v>
      </c>
      <c r="AJ245" s="98">
        <f t="shared" ca="1" si="264"/>
        <v>0</v>
      </c>
      <c r="AK245" s="103">
        <f t="shared" ca="1" si="264"/>
        <v>0</v>
      </c>
      <c r="AL245" s="103">
        <f t="shared" ca="1" si="264"/>
        <v>0</v>
      </c>
      <c r="AM245" s="103">
        <f t="shared" ca="1" si="264"/>
        <v>0</v>
      </c>
      <c r="AN245" s="103">
        <f t="shared" ca="1" si="264"/>
        <v>0</v>
      </c>
      <c r="AO245" s="103">
        <f t="shared" ca="1" si="264"/>
        <v>0</v>
      </c>
      <c r="AP245" s="103">
        <f t="shared" ca="1" si="264"/>
        <v>0</v>
      </c>
      <c r="AQ245" s="103">
        <f t="shared" ca="1" si="264"/>
        <v>0</v>
      </c>
      <c r="AR245" s="104">
        <f ca="1">COUNTIF(AJ245:AQ245,"&lt;"&amp;MAX(AJ245:AQ245))+IF(Calcs[[#This Row],[DL1]]=0,0,1)</f>
        <v>0</v>
      </c>
      <c r="AS245" s="105" t="str">
        <f ca="1">IF(LEN(Calcs[[#This Row],[Line]])&gt;0,IF(RIGHT(Calcs[[#This Row],[Remark]],3)=".  ",LEFT(Calcs[[#This Row],[Remark]],LEN(Calcs[[#This Row],[Remark]])-3),Calcs[[#This Row],[Remark]]),"")</f>
        <v/>
      </c>
      <c r="AT245" s="96">
        <f t="shared" ca="1" si="228"/>
        <v>0</v>
      </c>
      <c r="AU245" s="103">
        <f t="shared" ca="1" si="229"/>
        <v>0</v>
      </c>
      <c r="AV245" s="103">
        <f t="shared" ca="1" si="230"/>
        <v>0</v>
      </c>
      <c r="AW245" s="103">
        <f t="shared" ca="1" si="231"/>
        <v>0</v>
      </c>
      <c r="AX245" s="103">
        <f t="shared" ca="1" si="232"/>
        <v>0</v>
      </c>
      <c r="AY245" s="103">
        <f t="shared" ca="1" si="233"/>
        <v>0</v>
      </c>
      <c r="AZ245" s="103">
        <f t="shared" ca="1" si="234"/>
        <v>0</v>
      </c>
      <c r="BA245" s="103">
        <f t="shared" ca="1" si="235"/>
        <v>0</v>
      </c>
      <c r="BB245" s="103">
        <f t="shared" ca="1" si="236"/>
        <v>0</v>
      </c>
      <c r="BC245" s="103">
        <f t="shared" ca="1" si="237"/>
        <v>0</v>
      </c>
      <c r="BD245" s="103">
        <f t="shared" ca="1" si="238"/>
        <v>0</v>
      </c>
      <c r="BE245" s="103">
        <f t="shared" ca="1" si="239"/>
        <v>0</v>
      </c>
      <c r="BF245" s="103">
        <f t="shared" ca="1" si="240"/>
        <v>0</v>
      </c>
      <c r="BG245" s="103">
        <f t="shared" ca="1" si="241"/>
        <v>0</v>
      </c>
      <c r="BH245" s="103">
        <f t="shared" ca="1" si="242"/>
        <v>0</v>
      </c>
      <c r="BI245" s="103">
        <f t="shared" ca="1" si="243"/>
        <v>0</v>
      </c>
      <c r="BJ245" s="103">
        <f t="shared" ca="1" si="244"/>
        <v>0</v>
      </c>
      <c r="BK245" s="103">
        <f t="shared" ca="1" si="245"/>
        <v>0</v>
      </c>
      <c r="BL245" s="103">
        <f t="shared" ca="1" si="246"/>
        <v>0</v>
      </c>
      <c r="BM245" s="103">
        <f t="shared" ca="1" si="247"/>
        <v>0</v>
      </c>
      <c r="BN245" s="103">
        <f t="shared" ca="1" si="248"/>
        <v>0</v>
      </c>
      <c r="BO245" s="103">
        <f t="shared" ca="1" si="249"/>
        <v>0</v>
      </c>
      <c r="BP245" s="103">
        <f t="shared" ca="1" si="250"/>
        <v>0</v>
      </c>
      <c r="BQ245" s="103">
        <f t="shared" ca="1" si="251"/>
        <v>0</v>
      </c>
      <c r="BR245" s="103">
        <f t="shared" ca="1" si="252"/>
        <v>0</v>
      </c>
      <c r="BS245" s="103">
        <f t="shared" ca="1" si="253"/>
        <v>0</v>
      </c>
      <c r="BT245" s="103">
        <f t="shared" ca="1" si="254"/>
        <v>0</v>
      </c>
      <c r="BU245" s="103">
        <f t="shared" ca="1" si="255"/>
        <v>0</v>
      </c>
      <c r="BV245" s="103">
        <f t="shared" ca="1" si="256"/>
        <v>0</v>
      </c>
      <c r="BW245" s="103">
        <f t="shared" ca="1" si="257"/>
        <v>0</v>
      </c>
      <c r="BX245" s="103">
        <f t="shared" ca="1" si="258"/>
        <v>0</v>
      </c>
      <c r="BY245" s="103">
        <f t="shared" ca="1" si="259"/>
        <v>0</v>
      </c>
      <c r="BZ245" s="98">
        <f t="shared" ca="1" si="265"/>
        <v>0</v>
      </c>
      <c r="CA245" s="103">
        <f t="shared" ca="1" si="265"/>
        <v>0</v>
      </c>
      <c r="CB245" s="103">
        <f t="shared" ca="1" si="265"/>
        <v>0</v>
      </c>
      <c r="CC245" s="103">
        <f t="shared" ca="1" si="265"/>
        <v>0</v>
      </c>
      <c r="CD245" s="103">
        <f t="shared" ca="1" si="265"/>
        <v>0</v>
      </c>
      <c r="CE245" s="103">
        <f t="shared" ca="1" si="265"/>
        <v>0</v>
      </c>
      <c r="CF245" s="103">
        <f t="shared" ca="1" si="265"/>
        <v>0</v>
      </c>
      <c r="CG245" s="103">
        <f t="shared" ca="1" si="265"/>
        <v>0</v>
      </c>
      <c r="CH245" s="106">
        <f ca="1">COUNTIF(BZ245:CG245,"&lt;"&amp;MAX(BZ245:CG245))+IF(Calcs[[#This Row],[RL1]]=0,0,1)</f>
        <v>0</v>
      </c>
      <c r="CI24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5" s="103">
        <f ca="1">IFERROR(OFFSET(CJ245,-1,0)+0,0)+IF(INDEX(INDIRECT(RangeContrQty),MATCH(Calcs[[#This Row],[Line]],OFFSET(Items[Line],0,0,ROW(Proposed[])-ROW(Items[])+ROWS(Proposed[]),1),0)),1,0)</f>
        <v>0</v>
      </c>
    </row>
    <row r="246" spans="1:88" x14ac:dyDescent="0.15">
      <c r="A246" s="64">
        <f ca="1">IFERROR(OFFSET(A246,-1,0)+0,0)+MAX(IF(LEN(Calcs[[#This Row],[Line]])&gt;0,1,0),Calcs[[#This Row],[DL]],Calcs[[#This Row],[RL]])</f>
        <v>10</v>
      </c>
      <c r="B246" s="90" t="str">
        <f ca="1">IFERROR(INDEX(OFFSET(Items[Line],0,0,ROW(Proposed[])-ROW(Items[])+ROWS(Proposed[]),1),MATCH(ROW(B246)-ROW(B$3),INDIRECT(RangeCount),0)),"")</f>
        <v/>
      </c>
      <c r="C246" s="90" t="str">
        <f ca="1">IF(LEN(Calcs[[#This Row],[Line]])&gt;0,TRIM(IFERROR(INDEX(Items[Description],MATCH(Calcs[[#This Row],[Line]],Items[Line],0))&amp;INDEX(Items[Description2],MATCH(Calcs[[#This Row],[Line]],Items[Line],0)),INDEX(Proposed[Description],MATCH(Calcs[[#This Row],[Line]],Proposed[Line],0)))),"")</f>
        <v/>
      </c>
      <c r="D246" s="96">
        <f t="shared" ca="1" si="196"/>
        <v>0</v>
      </c>
      <c r="E246" s="103">
        <f t="shared" ca="1" si="197"/>
        <v>0</v>
      </c>
      <c r="F246" s="103">
        <f t="shared" ca="1" si="198"/>
        <v>0</v>
      </c>
      <c r="G246" s="103">
        <f t="shared" ca="1" si="199"/>
        <v>0</v>
      </c>
      <c r="H246" s="103">
        <f t="shared" ca="1" si="200"/>
        <v>0</v>
      </c>
      <c r="I246" s="103">
        <f t="shared" ca="1" si="201"/>
        <v>0</v>
      </c>
      <c r="J246" s="103">
        <f t="shared" ca="1" si="202"/>
        <v>0</v>
      </c>
      <c r="K246" s="103">
        <f t="shared" ca="1" si="203"/>
        <v>0</v>
      </c>
      <c r="L246" s="103">
        <f t="shared" ca="1" si="204"/>
        <v>0</v>
      </c>
      <c r="M246" s="103">
        <f t="shared" ca="1" si="205"/>
        <v>0</v>
      </c>
      <c r="N246" s="103">
        <f t="shared" ca="1" si="206"/>
        <v>0</v>
      </c>
      <c r="O246" s="103">
        <f t="shared" ca="1" si="207"/>
        <v>0</v>
      </c>
      <c r="P246" s="103">
        <f t="shared" ca="1" si="208"/>
        <v>0</v>
      </c>
      <c r="Q246" s="103">
        <f t="shared" ca="1" si="209"/>
        <v>0</v>
      </c>
      <c r="R246" s="103">
        <f t="shared" ca="1" si="210"/>
        <v>0</v>
      </c>
      <c r="S246" s="103">
        <f t="shared" ca="1" si="211"/>
        <v>0</v>
      </c>
      <c r="T246" s="103">
        <f t="shared" ca="1" si="212"/>
        <v>0</v>
      </c>
      <c r="U246" s="103">
        <f t="shared" ca="1" si="213"/>
        <v>0</v>
      </c>
      <c r="V246" s="103">
        <f t="shared" ca="1" si="214"/>
        <v>0</v>
      </c>
      <c r="W246" s="103">
        <f t="shared" ca="1" si="215"/>
        <v>0</v>
      </c>
      <c r="X246" s="103">
        <f t="shared" ca="1" si="216"/>
        <v>0</v>
      </c>
      <c r="Y246" s="103">
        <f t="shared" ca="1" si="217"/>
        <v>0</v>
      </c>
      <c r="Z246" s="103">
        <f t="shared" ca="1" si="218"/>
        <v>0</v>
      </c>
      <c r="AA246" s="103">
        <f t="shared" ca="1" si="219"/>
        <v>0</v>
      </c>
      <c r="AB246" s="103">
        <f t="shared" ca="1" si="220"/>
        <v>0</v>
      </c>
      <c r="AC246" s="103">
        <f t="shared" ca="1" si="221"/>
        <v>0</v>
      </c>
      <c r="AD246" s="103">
        <f t="shared" ca="1" si="222"/>
        <v>0</v>
      </c>
      <c r="AE246" s="103">
        <f t="shared" ca="1" si="223"/>
        <v>0</v>
      </c>
      <c r="AF246" s="103">
        <f t="shared" ca="1" si="224"/>
        <v>0</v>
      </c>
      <c r="AG246" s="103">
        <f t="shared" ca="1" si="225"/>
        <v>0</v>
      </c>
      <c r="AH246" s="103">
        <f t="shared" ca="1" si="226"/>
        <v>0</v>
      </c>
      <c r="AI246" s="103">
        <f t="shared" ca="1" si="227"/>
        <v>0</v>
      </c>
      <c r="AJ246" s="98">
        <f t="shared" ca="1" si="264"/>
        <v>0</v>
      </c>
      <c r="AK246" s="103">
        <f t="shared" ca="1" si="264"/>
        <v>0</v>
      </c>
      <c r="AL246" s="103">
        <f t="shared" ca="1" si="264"/>
        <v>0</v>
      </c>
      <c r="AM246" s="103">
        <f t="shared" ca="1" si="264"/>
        <v>0</v>
      </c>
      <c r="AN246" s="103">
        <f t="shared" ca="1" si="264"/>
        <v>0</v>
      </c>
      <c r="AO246" s="103">
        <f t="shared" ca="1" si="264"/>
        <v>0</v>
      </c>
      <c r="AP246" s="103">
        <f t="shared" ca="1" si="264"/>
        <v>0</v>
      </c>
      <c r="AQ246" s="103">
        <f t="shared" ca="1" si="264"/>
        <v>0</v>
      </c>
      <c r="AR246" s="104">
        <f ca="1">COUNTIF(AJ246:AQ246,"&lt;"&amp;MAX(AJ246:AQ246))+IF(Calcs[[#This Row],[DL1]]=0,0,1)</f>
        <v>0</v>
      </c>
      <c r="AS246" s="105" t="str">
        <f ca="1">IF(LEN(Calcs[[#This Row],[Line]])&gt;0,IF(RIGHT(Calcs[[#This Row],[Remark]],3)=".  ",LEFT(Calcs[[#This Row],[Remark]],LEN(Calcs[[#This Row],[Remark]])-3),Calcs[[#This Row],[Remark]]),"")</f>
        <v/>
      </c>
      <c r="AT246" s="96">
        <f t="shared" ca="1" si="228"/>
        <v>0</v>
      </c>
      <c r="AU246" s="103">
        <f t="shared" ca="1" si="229"/>
        <v>0</v>
      </c>
      <c r="AV246" s="103">
        <f t="shared" ca="1" si="230"/>
        <v>0</v>
      </c>
      <c r="AW246" s="103">
        <f t="shared" ca="1" si="231"/>
        <v>0</v>
      </c>
      <c r="AX246" s="103">
        <f t="shared" ca="1" si="232"/>
        <v>0</v>
      </c>
      <c r="AY246" s="103">
        <f t="shared" ca="1" si="233"/>
        <v>0</v>
      </c>
      <c r="AZ246" s="103">
        <f t="shared" ca="1" si="234"/>
        <v>0</v>
      </c>
      <c r="BA246" s="103">
        <f t="shared" ca="1" si="235"/>
        <v>0</v>
      </c>
      <c r="BB246" s="103">
        <f t="shared" ca="1" si="236"/>
        <v>0</v>
      </c>
      <c r="BC246" s="103">
        <f t="shared" ca="1" si="237"/>
        <v>0</v>
      </c>
      <c r="BD246" s="103">
        <f t="shared" ca="1" si="238"/>
        <v>0</v>
      </c>
      <c r="BE246" s="103">
        <f t="shared" ca="1" si="239"/>
        <v>0</v>
      </c>
      <c r="BF246" s="103">
        <f t="shared" ca="1" si="240"/>
        <v>0</v>
      </c>
      <c r="BG246" s="103">
        <f t="shared" ca="1" si="241"/>
        <v>0</v>
      </c>
      <c r="BH246" s="103">
        <f t="shared" ca="1" si="242"/>
        <v>0</v>
      </c>
      <c r="BI246" s="103">
        <f t="shared" ca="1" si="243"/>
        <v>0</v>
      </c>
      <c r="BJ246" s="103">
        <f t="shared" ca="1" si="244"/>
        <v>0</v>
      </c>
      <c r="BK246" s="103">
        <f t="shared" ca="1" si="245"/>
        <v>0</v>
      </c>
      <c r="BL246" s="103">
        <f t="shared" ca="1" si="246"/>
        <v>0</v>
      </c>
      <c r="BM246" s="103">
        <f t="shared" ca="1" si="247"/>
        <v>0</v>
      </c>
      <c r="BN246" s="103">
        <f t="shared" ca="1" si="248"/>
        <v>0</v>
      </c>
      <c r="BO246" s="103">
        <f t="shared" ca="1" si="249"/>
        <v>0</v>
      </c>
      <c r="BP246" s="103">
        <f t="shared" ca="1" si="250"/>
        <v>0</v>
      </c>
      <c r="BQ246" s="103">
        <f t="shared" ca="1" si="251"/>
        <v>0</v>
      </c>
      <c r="BR246" s="103">
        <f t="shared" ca="1" si="252"/>
        <v>0</v>
      </c>
      <c r="BS246" s="103">
        <f t="shared" ca="1" si="253"/>
        <v>0</v>
      </c>
      <c r="BT246" s="103">
        <f t="shared" ca="1" si="254"/>
        <v>0</v>
      </c>
      <c r="BU246" s="103">
        <f t="shared" ca="1" si="255"/>
        <v>0</v>
      </c>
      <c r="BV246" s="103">
        <f t="shared" ca="1" si="256"/>
        <v>0</v>
      </c>
      <c r="BW246" s="103">
        <f t="shared" ca="1" si="257"/>
        <v>0</v>
      </c>
      <c r="BX246" s="103">
        <f t="shared" ca="1" si="258"/>
        <v>0</v>
      </c>
      <c r="BY246" s="103">
        <f t="shared" ca="1" si="259"/>
        <v>0</v>
      </c>
      <c r="BZ246" s="98">
        <f t="shared" ca="1" si="265"/>
        <v>0</v>
      </c>
      <c r="CA246" s="103">
        <f t="shared" ca="1" si="265"/>
        <v>0</v>
      </c>
      <c r="CB246" s="103">
        <f t="shared" ca="1" si="265"/>
        <v>0</v>
      </c>
      <c r="CC246" s="103">
        <f t="shared" ca="1" si="265"/>
        <v>0</v>
      </c>
      <c r="CD246" s="103">
        <f t="shared" ca="1" si="265"/>
        <v>0</v>
      </c>
      <c r="CE246" s="103">
        <f t="shared" ca="1" si="265"/>
        <v>0</v>
      </c>
      <c r="CF246" s="103">
        <f t="shared" ca="1" si="265"/>
        <v>0</v>
      </c>
      <c r="CG246" s="103">
        <f t="shared" ca="1" si="265"/>
        <v>0</v>
      </c>
      <c r="CH246" s="106">
        <f ca="1">COUNTIF(BZ246:CG246,"&lt;"&amp;MAX(BZ246:CG246))+IF(Calcs[[#This Row],[RL1]]=0,0,1)</f>
        <v>0</v>
      </c>
      <c r="CI24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6" s="103">
        <f ca="1">IFERROR(OFFSET(CJ246,-1,0)+0,0)+IF(INDEX(INDIRECT(RangeContrQty),MATCH(Calcs[[#This Row],[Line]],OFFSET(Items[Line],0,0,ROW(Proposed[])-ROW(Items[])+ROWS(Proposed[]),1),0)),1,0)</f>
        <v>0</v>
      </c>
    </row>
    <row r="247" spans="1:88" x14ac:dyDescent="0.15">
      <c r="A247" s="64">
        <f ca="1">IFERROR(OFFSET(A247,-1,0)+0,0)+MAX(IF(LEN(Calcs[[#This Row],[Line]])&gt;0,1,0),Calcs[[#This Row],[DL]],Calcs[[#This Row],[RL]])</f>
        <v>10</v>
      </c>
      <c r="B247" s="90" t="str">
        <f ca="1">IFERROR(INDEX(OFFSET(Items[Line],0,0,ROW(Proposed[])-ROW(Items[])+ROWS(Proposed[]),1),MATCH(ROW(B247)-ROW(B$3),INDIRECT(RangeCount),0)),"")</f>
        <v/>
      </c>
      <c r="C247" s="90" t="str">
        <f ca="1">IF(LEN(Calcs[[#This Row],[Line]])&gt;0,TRIM(IFERROR(INDEX(Items[Description],MATCH(Calcs[[#This Row],[Line]],Items[Line],0))&amp;INDEX(Items[Description2],MATCH(Calcs[[#This Row],[Line]],Items[Line],0)),INDEX(Proposed[Description],MATCH(Calcs[[#This Row],[Line]],Proposed[Line],0)))),"")</f>
        <v/>
      </c>
      <c r="D247" s="96">
        <f t="shared" ca="1" si="196"/>
        <v>0</v>
      </c>
      <c r="E247" s="103">
        <f t="shared" ca="1" si="197"/>
        <v>0</v>
      </c>
      <c r="F247" s="103">
        <f t="shared" ca="1" si="198"/>
        <v>0</v>
      </c>
      <c r="G247" s="103">
        <f t="shared" ca="1" si="199"/>
        <v>0</v>
      </c>
      <c r="H247" s="103">
        <f t="shared" ca="1" si="200"/>
        <v>0</v>
      </c>
      <c r="I247" s="103">
        <f t="shared" ca="1" si="201"/>
        <v>0</v>
      </c>
      <c r="J247" s="103">
        <f t="shared" ca="1" si="202"/>
        <v>0</v>
      </c>
      <c r="K247" s="103">
        <f t="shared" ca="1" si="203"/>
        <v>0</v>
      </c>
      <c r="L247" s="103">
        <f t="shared" ca="1" si="204"/>
        <v>0</v>
      </c>
      <c r="M247" s="103">
        <f t="shared" ca="1" si="205"/>
        <v>0</v>
      </c>
      <c r="N247" s="103">
        <f t="shared" ca="1" si="206"/>
        <v>0</v>
      </c>
      <c r="O247" s="103">
        <f t="shared" ca="1" si="207"/>
        <v>0</v>
      </c>
      <c r="P247" s="103">
        <f t="shared" ca="1" si="208"/>
        <v>0</v>
      </c>
      <c r="Q247" s="103">
        <f t="shared" ca="1" si="209"/>
        <v>0</v>
      </c>
      <c r="R247" s="103">
        <f t="shared" ca="1" si="210"/>
        <v>0</v>
      </c>
      <c r="S247" s="103">
        <f t="shared" ca="1" si="211"/>
        <v>0</v>
      </c>
      <c r="T247" s="103">
        <f t="shared" ca="1" si="212"/>
        <v>0</v>
      </c>
      <c r="U247" s="103">
        <f t="shared" ca="1" si="213"/>
        <v>0</v>
      </c>
      <c r="V247" s="103">
        <f t="shared" ca="1" si="214"/>
        <v>0</v>
      </c>
      <c r="W247" s="103">
        <f t="shared" ca="1" si="215"/>
        <v>0</v>
      </c>
      <c r="X247" s="103">
        <f t="shared" ca="1" si="216"/>
        <v>0</v>
      </c>
      <c r="Y247" s="103">
        <f t="shared" ca="1" si="217"/>
        <v>0</v>
      </c>
      <c r="Z247" s="103">
        <f t="shared" ca="1" si="218"/>
        <v>0</v>
      </c>
      <c r="AA247" s="103">
        <f t="shared" ca="1" si="219"/>
        <v>0</v>
      </c>
      <c r="AB247" s="103">
        <f t="shared" ca="1" si="220"/>
        <v>0</v>
      </c>
      <c r="AC247" s="103">
        <f t="shared" ca="1" si="221"/>
        <v>0</v>
      </c>
      <c r="AD247" s="103">
        <f t="shared" ca="1" si="222"/>
        <v>0</v>
      </c>
      <c r="AE247" s="103">
        <f t="shared" ca="1" si="223"/>
        <v>0</v>
      </c>
      <c r="AF247" s="103">
        <f t="shared" ca="1" si="224"/>
        <v>0</v>
      </c>
      <c r="AG247" s="103">
        <f t="shared" ca="1" si="225"/>
        <v>0</v>
      </c>
      <c r="AH247" s="103">
        <f t="shared" ca="1" si="226"/>
        <v>0</v>
      </c>
      <c r="AI247" s="103">
        <f t="shared" ca="1" si="227"/>
        <v>0</v>
      </c>
      <c r="AJ247" s="98">
        <f t="shared" ca="1" si="264"/>
        <v>0</v>
      </c>
      <c r="AK247" s="103">
        <f t="shared" ca="1" si="264"/>
        <v>0</v>
      </c>
      <c r="AL247" s="103">
        <f t="shared" ca="1" si="264"/>
        <v>0</v>
      </c>
      <c r="AM247" s="103">
        <f t="shared" ca="1" si="264"/>
        <v>0</v>
      </c>
      <c r="AN247" s="103">
        <f t="shared" ca="1" si="264"/>
        <v>0</v>
      </c>
      <c r="AO247" s="103">
        <f t="shared" ca="1" si="264"/>
        <v>0</v>
      </c>
      <c r="AP247" s="103">
        <f t="shared" ca="1" si="264"/>
        <v>0</v>
      </c>
      <c r="AQ247" s="103">
        <f t="shared" ca="1" si="264"/>
        <v>0</v>
      </c>
      <c r="AR247" s="104">
        <f ca="1">COUNTIF(AJ247:AQ247,"&lt;"&amp;MAX(AJ247:AQ247))+IF(Calcs[[#This Row],[DL1]]=0,0,1)</f>
        <v>0</v>
      </c>
      <c r="AS247" s="105" t="str">
        <f ca="1">IF(LEN(Calcs[[#This Row],[Line]])&gt;0,IF(RIGHT(Calcs[[#This Row],[Remark]],3)=".  ",LEFT(Calcs[[#This Row],[Remark]],LEN(Calcs[[#This Row],[Remark]])-3),Calcs[[#This Row],[Remark]]),"")</f>
        <v/>
      </c>
      <c r="AT247" s="96">
        <f t="shared" ca="1" si="228"/>
        <v>0</v>
      </c>
      <c r="AU247" s="103">
        <f t="shared" ca="1" si="229"/>
        <v>0</v>
      </c>
      <c r="AV247" s="103">
        <f t="shared" ca="1" si="230"/>
        <v>0</v>
      </c>
      <c r="AW247" s="103">
        <f t="shared" ca="1" si="231"/>
        <v>0</v>
      </c>
      <c r="AX247" s="103">
        <f t="shared" ca="1" si="232"/>
        <v>0</v>
      </c>
      <c r="AY247" s="103">
        <f t="shared" ca="1" si="233"/>
        <v>0</v>
      </c>
      <c r="AZ247" s="103">
        <f t="shared" ca="1" si="234"/>
        <v>0</v>
      </c>
      <c r="BA247" s="103">
        <f t="shared" ca="1" si="235"/>
        <v>0</v>
      </c>
      <c r="BB247" s="103">
        <f t="shared" ca="1" si="236"/>
        <v>0</v>
      </c>
      <c r="BC247" s="103">
        <f t="shared" ca="1" si="237"/>
        <v>0</v>
      </c>
      <c r="BD247" s="103">
        <f t="shared" ca="1" si="238"/>
        <v>0</v>
      </c>
      <c r="BE247" s="103">
        <f t="shared" ca="1" si="239"/>
        <v>0</v>
      </c>
      <c r="BF247" s="103">
        <f t="shared" ca="1" si="240"/>
        <v>0</v>
      </c>
      <c r="BG247" s="103">
        <f t="shared" ca="1" si="241"/>
        <v>0</v>
      </c>
      <c r="BH247" s="103">
        <f t="shared" ca="1" si="242"/>
        <v>0</v>
      </c>
      <c r="BI247" s="103">
        <f t="shared" ca="1" si="243"/>
        <v>0</v>
      </c>
      <c r="BJ247" s="103">
        <f t="shared" ca="1" si="244"/>
        <v>0</v>
      </c>
      <c r="BK247" s="103">
        <f t="shared" ca="1" si="245"/>
        <v>0</v>
      </c>
      <c r="BL247" s="103">
        <f t="shared" ca="1" si="246"/>
        <v>0</v>
      </c>
      <c r="BM247" s="103">
        <f t="shared" ca="1" si="247"/>
        <v>0</v>
      </c>
      <c r="BN247" s="103">
        <f t="shared" ca="1" si="248"/>
        <v>0</v>
      </c>
      <c r="BO247" s="103">
        <f t="shared" ca="1" si="249"/>
        <v>0</v>
      </c>
      <c r="BP247" s="103">
        <f t="shared" ca="1" si="250"/>
        <v>0</v>
      </c>
      <c r="BQ247" s="103">
        <f t="shared" ca="1" si="251"/>
        <v>0</v>
      </c>
      <c r="BR247" s="103">
        <f t="shared" ca="1" si="252"/>
        <v>0</v>
      </c>
      <c r="BS247" s="103">
        <f t="shared" ca="1" si="253"/>
        <v>0</v>
      </c>
      <c r="BT247" s="103">
        <f t="shared" ca="1" si="254"/>
        <v>0</v>
      </c>
      <c r="BU247" s="103">
        <f t="shared" ca="1" si="255"/>
        <v>0</v>
      </c>
      <c r="BV247" s="103">
        <f t="shared" ca="1" si="256"/>
        <v>0</v>
      </c>
      <c r="BW247" s="103">
        <f t="shared" ca="1" si="257"/>
        <v>0</v>
      </c>
      <c r="BX247" s="103">
        <f t="shared" ca="1" si="258"/>
        <v>0</v>
      </c>
      <c r="BY247" s="103">
        <f t="shared" ca="1" si="259"/>
        <v>0</v>
      </c>
      <c r="BZ247" s="98">
        <f t="shared" ca="1" si="265"/>
        <v>0</v>
      </c>
      <c r="CA247" s="103">
        <f t="shared" ca="1" si="265"/>
        <v>0</v>
      </c>
      <c r="CB247" s="103">
        <f t="shared" ca="1" si="265"/>
        <v>0</v>
      </c>
      <c r="CC247" s="103">
        <f t="shared" ca="1" si="265"/>
        <v>0</v>
      </c>
      <c r="CD247" s="103">
        <f t="shared" ca="1" si="265"/>
        <v>0</v>
      </c>
      <c r="CE247" s="103">
        <f t="shared" ca="1" si="265"/>
        <v>0</v>
      </c>
      <c r="CF247" s="103">
        <f t="shared" ca="1" si="265"/>
        <v>0</v>
      </c>
      <c r="CG247" s="103">
        <f t="shared" ca="1" si="265"/>
        <v>0</v>
      </c>
      <c r="CH247" s="106">
        <f ca="1">COUNTIF(BZ247:CG247,"&lt;"&amp;MAX(BZ247:CG247))+IF(Calcs[[#This Row],[RL1]]=0,0,1)</f>
        <v>0</v>
      </c>
      <c r="CI24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7" s="103">
        <f ca="1">IFERROR(OFFSET(CJ247,-1,0)+0,0)+IF(INDEX(INDIRECT(RangeContrQty),MATCH(Calcs[[#This Row],[Line]],OFFSET(Items[Line],0,0,ROW(Proposed[])-ROW(Items[])+ROWS(Proposed[]),1),0)),1,0)</f>
        <v>0</v>
      </c>
    </row>
    <row r="248" spans="1:88" x14ac:dyDescent="0.15">
      <c r="A248" s="64">
        <f ca="1">IFERROR(OFFSET(A248,-1,0)+0,0)+MAX(IF(LEN(Calcs[[#This Row],[Line]])&gt;0,1,0),Calcs[[#This Row],[DL]],Calcs[[#This Row],[RL]])</f>
        <v>10</v>
      </c>
      <c r="B248" s="90" t="str">
        <f ca="1">IFERROR(INDEX(OFFSET(Items[Line],0,0,ROW(Proposed[])-ROW(Items[])+ROWS(Proposed[]),1),MATCH(ROW(B248)-ROW(B$3),INDIRECT(RangeCount),0)),"")</f>
        <v/>
      </c>
      <c r="C248" s="90" t="str">
        <f ca="1">IF(LEN(Calcs[[#This Row],[Line]])&gt;0,TRIM(IFERROR(INDEX(Items[Description],MATCH(Calcs[[#This Row],[Line]],Items[Line],0))&amp;INDEX(Items[Description2],MATCH(Calcs[[#This Row],[Line]],Items[Line],0)),INDEX(Proposed[Description],MATCH(Calcs[[#This Row],[Line]],Proposed[Line],0)))),"")</f>
        <v/>
      </c>
      <c r="D248" s="96">
        <f t="shared" ca="1" si="196"/>
        <v>0</v>
      </c>
      <c r="E248" s="103">
        <f t="shared" ca="1" si="197"/>
        <v>0</v>
      </c>
      <c r="F248" s="103">
        <f t="shared" ca="1" si="198"/>
        <v>0</v>
      </c>
      <c r="G248" s="103">
        <f t="shared" ca="1" si="199"/>
        <v>0</v>
      </c>
      <c r="H248" s="103">
        <f t="shared" ca="1" si="200"/>
        <v>0</v>
      </c>
      <c r="I248" s="103">
        <f t="shared" ca="1" si="201"/>
        <v>0</v>
      </c>
      <c r="J248" s="103">
        <f t="shared" ca="1" si="202"/>
        <v>0</v>
      </c>
      <c r="K248" s="103">
        <f t="shared" ca="1" si="203"/>
        <v>0</v>
      </c>
      <c r="L248" s="103">
        <f t="shared" ca="1" si="204"/>
        <v>0</v>
      </c>
      <c r="M248" s="103">
        <f t="shared" ca="1" si="205"/>
        <v>0</v>
      </c>
      <c r="N248" s="103">
        <f t="shared" ca="1" si="206"/>
        <v>0</v>
      </c>
      <c r="O248" s="103">
        <f t="shared" ca="1" si="207"/>
        <v>0</v>
      </c>
      <c r="P248" s="103">
        <f t="shared" ca="1" si="208"/>
        <v>0</v>
      </c>
      <c r="Q248" s="103">
        <f t="shared" ca="1" si="209"/>
        <v>0</v>
      </c>
      <c r="R248" s="103">
        <f t="shared" ca="1" si="210"/>
        <v>0</v>
      </c>
      <c r="S248" s="103">
        <f t="shared" ca="1" si="211"/>
        <v>0</v>
      </c>
      <c r="T248" s="103">
        <f t="shared" ca="1" si="212"/>
        <v>0</v>
      </c>
      <c r="U248" s="103">
        <f t="shared" ca="1" si="213"/>
        <v>0</v>
      </c>
      <c r="V248" s="103">
        <f t="shared" ca="1" si="214"/>
        <v>0</v>
      </c>
      <c r="W248" s="103">
        <f t="shared" ca="1" si="215"/>
        <v>0</v>
      </c>
      <c r="X248" s="103">
        <f t="shared" ca="1" si="216"/>
        <v>0</v>
      </c>
      <c r="Y248" s="103">
        <f t="shared" ca="1" si="217"/>
        <v>0</v>
      </c>
      <c r="Z248" s="103">
        <f t="shared" ca="1" si="218"/>
        <v>0</v>
      </c>
      <c r="AA248" s="103">
        <f t="shared" ca="1" si="219"/>
        <v>0</v>
      </c>
      <c r="AB248" s="103">
        <f t="shared" ca="1" si="220"/>
        <v>0</v>
      </c>
      <c r="AC248" s="103">
        <f t="shared" ca="1" si="221"/>
        <v>0</v>
      </c>
      <c r="AD248" s="103">
        <f t="shared" ca="1" si="222"/>
        <v>0</v>
      </c>
      <c r="AE248" s="103">
        <f t="shared" ca="1" si="223"/>
        <v>0</v>
      </c>
      <c r="AF248" s="103">
        <f t="shared" ca="1" si="224"/>
        <v>0</v>
      </c>
      <c r="AG248" s="103">
        <f t="shared" ca="1" si="225"/>
        <v>0</v>
      </c>
      <c r="AH248" s="103">
        <f t="shared" ca="1" si="226"/>
        <v>0</v>
      </c>
      <c r="AI248" s="103">
        <f t="shared" ca="1" si="227"/>
        <v>0</v>
      </c>
      <c r="AJ248" s="98">
        <f t="shared" ca="1" si="264"/>
        <v>0</v>
      </c>
      <c r="AK248" s="103">
        <f t="shared" ca="1" si="264"/>
        <v>0</v>
      </c>
      <c r="AL248" s="103">
        <f t="shared" ca="1" si="264"/>
        <v>0</v>
      </c>
      <c r="AM248" s="103">
        <f t="shared" ca="1" si="264"/>
        <v>0</v>
      </c>
      <c r="AN248" s="103">
        <f t="shared" ca="1" si="264"/>
        <v>0</v>
      </c>
      <c r="AO248" s="103">
        <f t="shared" ca="1" si="264"/>
        <v>0</v>
      </c>
      <c r="AP248" s="103">
        <f t="shared" ca="1" si="264"/>
        <v>0</v>
      </c>
      <c r="AQ248" s="103">
        <f t="shared" ca="1" si="264"/>
        <v>0</v>
      </c>
      <c r="AR248" s="104">
        <f ca="1">COUNTIF(AJ248:AQ248,"&lt;"&amp;MAX(AJ248:AQ248))+IF(Calcs[[#This Row],[DL1]]=0,0,1)</f>
        <v>0</v>
      </c>
      <c r="AS248" s="105" t="str">
        <f ca="1">IF(LEN(Calcs[[#This Row],[Line]])&gt;0,IF(RIGHT(Calcs[[#This Row],[Remark]],3)=".  ",LEFT(Calcs[[#This Row],[Remark]],LEN(Calcs[[#This Row],[Remark]])-3),Calcs[[#This Row],[Remark]]),"")</f>
        <v/>
      </c>
      <c r="AT248" s="96">
        <f t="shared" ca="1" si="228"/>
        <v>0</v>
      </c>
      <c r="AU248" s="103">
        <f t="shared" ca="1" si="229"/>
        <v>0</v>
      </c>
      <c r="AV248" s="103">
        <f t="shared" ca="1" si="230"/>
        <v>0</v>
      </c>
      <c r="AW248" s="103">
        <f t="shared" ca="1" si="231"/>
        <v>0</v>
      </c>
      <c r="AX248" s="103">
        <f t="shared" ca="1" si="232"/>
        <v>0</v>
      </c>
      <c r="AY248" s="103">
        <f t="shared" ca="1" si="233"/>
        <v>0</v>
      </c>
      <c r="AZ248" s="103">
        <f t="shared" ca="1" si="234"/>
        <v>0</v>
      </c>
      <c r="BA248" s="103">
        <f t="shared" ca="1" si="235"/>
        <v>0</v>
      </c>
      <c r="BB248" s="103">
        <f t="shared" ca="1" si="236"/>
        <v>0</v>
      </c>
      <c r="BC248" s="103">
        <f t="shared" ca="1" si="237"/>
        <v>0</v>
      </c>
      <c r="BD248" s="103">
        <f t="shared" ca="1" si="238"/>
        <v>0</v>
      </c>
      <c r="BE248" s="103">
        <f t="shared" ca="1" si="239"/>
        <v>0</v>
      </c>
      <c r="BF248" s="103">
        <f t="shared" ca="1" si="240"/>
        <v>0</v>
      </c>
      <c r="BG248" s="103">
        <f t="shared" ca="1" si="241"/>
        <v>0</v>
      </c>
      <c r="BH248" s="103">
        <f t="shared" ca="1" si="242"/>
        <v>0</v>
      </c>
      <c r="BI248" s="103">
        <f t="shared" ca="1" si="243"/>
        <v>0</v>
      </c>
      <c r="BJ248" s="103">
        <f t="shared" ca="1" si="244"/>
        <v>0</v>
      </c>
      <c r="BK248" s="103">
        <f t="shared" ca="1" si="245"/>
        <v>0</v>
      </c>
      <c r="BL248" s="103">
        <f t="shared" ca="1" si="246"/>
        <v>0</v>
      </c>
      <c r="BM248" s="103">
        <f t="shared" ca="1" si="247"/>
        <v>0</v>
      </c>
      <c r="BN248" s="103">
        <f t="shared" ca="1" si="248"/>
        <v>0</v>
      </c>
      <c r="BO248" s="103">
        <f t="shared" ca="1" si="249"/>
        <v>0</v>
      </c>
      <c r="BP248" s="103">
        <f t="shared" ca="1" si="250"/>
        <v>0</v>
      </c>
      <c r="BQ248" s="103">
        <f t="shared" ca="1" si="251"/>
        <v>0</v>
      </c>
      <c r="BR248" s="103">
        <f t="shared" ca="1" si="252"/>
        <v>0</v>
      </c>
      <c r="BS248" s="103">
        <f t="shared" ca="1" si="253"/>
        <v>0</v>
      </c>
      <c r="BT248" s="103">
        <f t="shared" ca="1" si="254"/>
        <v>0</v>
      </c>
      <c r="BU248" s="103">
        <f t="shared" ca="1" si="255"/>
        <v>0</v>
      </c>
      <c r="BV248" s="103">
        <f t="shared" ca="1" si="256"/>
        <v>0</v>
      </c>
      <c r="BW248" s="103">
        <f t="shared" ca="1" si="257"/>
        <v>0</v>
      </c>
      <c r="BX248" s="103">
        <f t="shared" ca="1" si="258"/>
        <v>0</v>
      </c>
      <c r="BY248" s="103">
        <f t="shared" ca="1" si="259"/>
        <v>0</v>
      </c>
      <c r="BZ248" s="98">
        <f t="shared" ca="1" si="265"/>
        <v>0</v>
      </c>
      <c r="CA248" s="103">
        <f t="shared" ca="1" si="265"/>
        <v>0</v>
      </c>
      <c r="CB248" s="103">
        <f t="shared" ca="1" si="265"/>
        <v>0</v>
      </c>
      <c r="CC248" s="103">
        <f t="shared" ca="1" si="265"/>
        <v>0</v>
      </c>
      <c r="CD248" s="103">
        <f t="shared" ca="1" si="265"/>
        <v>0</v>
      </c>
      <c r="CE248" s="103">
        <f t="shared" ca="1" si="265"/>
        <v>0</v>
      </c>
      <c r="CF248" s="103">
        <f t="shared" ca="1" si="265"/>
        <v>0</v>
      </c>
      <c r="CG248" s="103">
        <f t="shared" ca="1" si="265"/>
        <v>0</v>
      </c>
      <c r="CH248" s="106">
        <f ca="1">COUNTIF(BZ248:CG248,"&lt;"&amp;MAX(BZ248:CG248))+IF(Calcs[[#This Row],[RL1]]=0,0,1)</f>
        <v>0</v>
      </c>
      <c r="CI24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8" s="103">
        <f ca="1">IFERROR(OFFSET(CJ248,-1,0)+0,0)+IF(INDEX(INDIRECT(RangeContrQty),MATCH(Calcs[[#This Row],[Line]],OFFSET(Items[Line],0,0,ROW(Proposed[])-ROW(Items[])+ROWS(Proposed[]),1),0)),1,0)</f>
        <v>0</v>
      </c>
    </row>
    <row r="249" spans="1:88" x14ac:dyDescent="0.15">
      <c r="A249" s="64">
        <f ca="1">IFERROR(OFFSET(A249,-1,0)+0,0)+MAX(IF(LEN(Calcs[[#This Row],[Line]])&gt;0,1,0),Calcs[[#This Row],[DL]],Calcs[[#This Row],[RL]])</f>
        <v>10</v>
      </c>
      <c r="B249" s="90" t="str">
        <f ca="1">IFERROR(INDEX(OFFSET(Items[Line],0,0,ROW(Proposed[])-ROW(Items[])+ROWS(Proposed[]),1),MATCH(ROW(B249)-ROW(B$3),INDIRECT(RangeCount),0)),"")</f>
        <v/>
      </c>
      <c r="C249" s="90" t="str">
        <f ca="1">IF(LEN(Calcs[[#This Row],[Line]])&gt;0,TRIM(IFERROR(INDEX(Items[Description],MATCH(Calcs[[#This Row],[Line]],Items[Line],0))&amp;INDEX(Items[Description2],MATCH(Calcs[[#This Row],[Line]],Items[Line],0)),INDEX(Proposed[Description],MATCH(Calcs[[#This Row],[Line]],Proposed[Line],0)))),"")</f>
        <v/>
      </c>
      <c r="D249" s="96">
        <f t="shared" ca="1" si="196"/>
        <v>0</v>
      </c>
      <c r="E249" s="103">
        <f t="shared" ca="1" si="197"/>
        <v>0</v>
      </c>
      <c r="F249" s="103">
        <f t="shared" ca="1" si="198"/>
        <v>0</v>
      </c>
      <c r="G249" s="103">
        <f t="shared" ca="1" si="199"/>
        <v>0</v>
      </c>
      <c r="H249" s="103">
        <f t="shared" ca="1" si="200"/>
        <v>0</v>
      </c>
      <c r="I249" s="103">
        <f t="shared" ca="1" si="201"/>
        <v>0</v>
      </c>
      <c r="J249" s="103">
        <f t="shared" ca="1" si="202"/>
        <v>0</v>
      </c>
      <c r="K249" s="103">
        <f t="shared" ca="1" si="203"/>
        <v>0</v>
      </c>
      <c r="L249" s="103">
        <f t="shared" ca="1" si="204"/>
        <v>0</v>
      </c>
      <c r="M249" s="103">
        <f t="shared" ca="1" si="205"/>
        <v>0</v>
      </c>
      <c r="N249" s="103">
        <f t="shared" ca="1" si="206"/>
        <v>0</v>
      </c>
      <c r="O249" s="103">
        <f t="shared" ca="1" si="207"/>
        <v>0</v>
      </c>
      <c r="P249" s="103">
        <f t="shared" ca="1" si="208"/>
        <v>0</v>
      </c>
      <c r="Q249" s="103">
        <f t="shared" ca="1" si="209"/>
        <v>0</v>
      </c>
      <c r="R249" s="103">
        <f t="shared" ca="1" si="210"/>
        <v>0</v>
      </c>
      <c r="S249" s="103">
        <f t="shared" ca="1" si="211"/>
        <v>0</v>
      </c>
      <c r="T249" s="103">
        <f t="shared" ca="1" si="212"/>
        <v>0</v>
      </c>
      <c r="U249" s="103">
        <f t="shared" ca="1" si="213"/>
        <v>0</v>
      </c>
      <c r="V249" s="103">
        <f t="shared" ca="1" si="214"/>
        <v>0</v>
      </c>
      <c r="W249" s="103">
        <f t="shared" ca="1" si="215"/>
        <v>0</v>
      </c>
      <c r="X249" s="103">
        <f t="shared" ca="1" si="216"/>
        <v>0</v>
      </c>
      <c r="Y249" s="103">
        <f t="shared" ca="1" si="217"/>
        <v>0</v>
      </c>
      <c r="Z249" s="103">
        <f t="shared" ca="1" si="218"/>
        <v>0</v>
      </c>
      <c r="AA249" s="103">
        <f t="shared" ca="1" si="219"/>
        <v>0</v>
      </c>
      <c r="AB249" s="103">
        <f t="shared" ca="1" si="220"/>
        <v>0</v>
      </c>
      <c r="AC249" s="103">
        <f t="shared" ca="1" si="221"/>
        <v>0</v>
      </c>
      <c r="AD249" s="103">
        <f t="shared" ca="1" si="222"/>
        <v>0</v>
      </c>
      <c r="AE249" s="103">
        <f t="shared" ca="1" si="223"/>
        <v>0</v>
      </c>
      <c r="AF249" s="103">
        <f t="shared" ca="1" si="224"/>
        <v>0</v>
      </c>
      <c r="AG249" s="103">
        <f t="shared" ca="1" si="225"/>
        <v>0</v>
      </c>
      <c r="AH249" s="103">
        <f t="shared" ca="1" si="226"/>
        <v>0</v>
      </c>
      <c r="AI249" s="103">
        <f t="shared" ca="1" si="227"/>
        <v>0</v>
      </c>
      <c r="AJ249" s="98">
        <f t="shared" ca="1" si="264"/>
        <v>0</v>
      </c>
      <c r="AK249" s="103">
        <f t="shared" ca="1" si="264"/>
        <v>0</v>
      </c>
      <c r="AL249" s="103">
        <f t="shared" ca="1" si="264"/>
        <v>0</v>
      </c>
      <c r="AM249" s="103">
        <f t="shared" ca="1" si="264"/>
        <v>0</v>
      </c>
      <c r="AN249" s="103">
        <f t="shared" ca="1" si="264"/>
        <v>0</v>
      </c>
      <c r="AO249" s="103">
        <f t="shared" ca="1" si="264"/>
        <v>0</v>
      </c>
      <c r="AP249" s="103">
        <f t="shared" ca="1" si="264"/>
        <v>0</v>
      </c>
      <c r="AQ249" s="103">
        <f t="shared" ca="1" si="264"/>
        <v>0</v>
      </c>
      <c r="AR249" s="104">
        <f ca="1">COUNTIF(AJ249:AQ249,"&lt;"&amp;MAX(AJ249:AQ249))+IF(Calcs[[#This Row],[DL1]]=0,0,1)</f>
        <v>0</v>
      </c>
      <c r="AS249" s="105" t="str">
        <f ca="1">IF(LEN(Calcs[[#This Row],[Line]])&gt;0,IF(RIGHT(Calcs[[#This Row],[Remark]],3)=".  ",LEFT(Calcs[[#This Row],[Remark]],LEN(Calcs[[#This Row],[Remark]])-3),Calcs[[#This Row],[Remark]]),"")</f>
        <v/>
      </c>
      <c r="AT249" s="96">
        <f t="shared" ca="1" si="228"/>
        <v>0</v>
      </c>
      <c r="AU249" s="103">
        <f t="shared" ca="1" si="229"/>
        <v>0</v>
      </c>
      <c r="AV249" s="103">
        <f t="shared" ca="1" si="230"/>
        <v>0</v>
      </c>
      <c r="AW249" s="103">
        <f t="shared" ca="1" si="231"/>
        <v>0</v>
      </c>
      <c r="AX249" s="103">
        <f t="shared" ca="1" si="232"/>
        <v>0</v>
      </c>
      <c r="AY249" s="103">
        <f t="shared" ca="1" si="233"/>
        <v>0</v>
      </c>
      <c r="AZ249" s="103">
        <f t="shared" ca="1" si="234"/>
        <v>0</v>
      </c>
      <c r="BA249" s="103">
        <f t="shared" ca="1" si="235"/>
        <v>0</v>
      </c>
      <c r="BB249" s="103">
        <f t="shared" ca="1" si="236"/>
        <v>0</v>
      </c>
      <c r="BC249" s="103">
        <f t="shared" ca="1" si="237"/>
        <v>0</v>
      </c>
      <c r="BD249" s="103">
        <f t="shared" ca="1" si="238"/>
        <v>0</v>
      </c>
      <c r="BE249" s="103">
        <f t="shared" ca="1" si="239"/>
        <v>0</v>
      </c>
      <c r="BF249" s="103">
        <f t="shared" ca="1" si="240"/>
        <v>0</v>
      </c>
      <c r="BG249" s="103">
        <f t="shared" ca="1" si="241"/>
        <v>0</v>
      </c>
      <c r="BH249" s="103">
        <f t="shared" ca="1" si="242"/>
        <v>0</v>
      </c>
      <c r="BI249" s="103">
        <f t="shared" ca="1" si="243"/>
        <v>0</v>
      </c>
      <c r="BJ249" s="103">
        <f t="shared" ca="1" si="244"/>
        <v>0</v>
      </c>
      <c r="BK249" s="103">
        <f t="shared" ca="1" si="245"/>
        <v>0</v>
      </c>
      <c r="BL249" s="103">
        <f t="shared" ca="1" si="246"/>
        <v>0</v>
      </c>
      <c r="BM249" s="103">
        <f t="shared" ca="1" si="247"/>
        <v>0</v>
      </c>
      <c r="BN249" s="103">
        <f t="shared" ca="1" si="248"/>
        <v>0</v>
      </c>
      <c r="BO249" s="103">
        <f t="shared" ca="1" si="249"/>
        <v>0</v>
      </c>
      <c r="BP249" s="103">
        <f t="shared" ca="1" si="250"/>
        <v>0</v>
      </c>
      <c r="BQ249" s="103">
        <f t="shared" ca="1" si="251"/>
        <v>0</v>
      </c>
      <c r="BR249" s="103">
        <f t="shared" ca="1" si="252"/>
        <v>0</v>
      </c>
      <c r="BS249" s="103">
        <f t="shared" ca="1" si="253"/>
        <v>0</v>
      </c>
      <c r="BT249" s="103">
        <f t="shared" ca="1" si="254"/>
        <v>0</v>
      </c>
      <c r="BU249" s="103">
        <f t="shared" ca="1" si="255"/>
        <v>0</v>
      </c>
      <c r="BV249" s="103">
        <f t="shared" ca="1" si="256"/>
        <v>0</v>
      </c>
      <c r="BW249" s="103">
        <f t="shared" ca="1" si="257"/>
        <v>0</v>
      </c>
      <c r="BX249" s="103">
        <f t="shared" ca="1" si="258"/>
        <v>0</v>
      </c>
      <c r="BY249" s="103">
        <f t="shared" ca="1" si="259"/>
        <v>0</v>
      </c>
      <c r="BZ249" s="98">
        <f t="shared" ca="1" si="265"/>
        <v>0</v>
      </c>
      <c r="CA249" s="103">
        <f t="shared" ca="1" si="265"/>
        <v>0</v>
      </c>
      <c r="CB249" s="103">
        <f t="shared" ca="1" si="265"/>
        <v>0</v>
      </c>
      <c r="CC249" s="103">
        <f t="shared" ca="1" si="265"/>
        <v>0</v>
      </c>
      <c r="CD249" s="103">
        <f t="shared" ca="1" si="265"/>
        <v>0</v>
      </c>
      <c r="CE249" s="103">
        <f t="shared" ca="1" si="265"/>
        <v>0</v>
      </c>
      <c r="CF249" s="103">
        <f t="shared" ca="1" si="265"/>
        <v>0</v>
      </c>
      <c r="CG249" s="103">
        <f t="shared" ca="1" si="265"/>
        <v>0</v>
      </c>
      <c r="CH249" s="106">
        <f ca="1">COUNTIF(BZ249:CG249,"&lt;"&amp;MAX(BZ249:CG249))+IF(Calcs[[#This Row],[RL1]]=0,0,1)</f>
        <v>0</v>
      </c>
      <c r="CI24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9" s="103">
        <f ca="1">IFERROR(OFFSET(CJ249,-1,0)+0,0)+IF(INDEX(INDIRECT(RangeContrQty),MATCH(Calcs[[#This Row],[Line]],OFFSET(Items[Line],0,0,ROW(Proposed[])-ROW(Items[])+ROWS(Proposed[]),1),0)),1,0)</f>
        <v>0</v>
      </c>
    </row>
    <row r="250" spans="1:88" x14ac:dyDescent="0.15">
      <c r="A250" s="64">
        <f ca="1">IFERROR(OFFSET(A250,-1,0)+0,0)+MAX(IF(LEN(Calcs[[#This Row],[Line]])&gt;0,1,0),Calcs[[#This Row],[DL]],Calcs[[#This Row],[RL]])</f>
        <v>10</v>
      </c>
      <c r="B250" s="90" t="str">
        <f ca="1">IFERROR(INDEX(OFFSET(Items[Line],0,0,ROW(Proposed[])-ROW(Items[])+ROWS(Proposed[]),1),MATCH(ROW(B250)-ROW(B$3),INDIRECT(RangeCount),0)),"")</f>
        <v/>
      </c>
      <c r="C250" s="90" t="str">
        <f ca="1">IF(LEN(Calcs[[#This Row],[Line]])&gt;0,TRIM(IFERROR(INDEX(Items[Description],MATCH(Calcs[[#This Row],[Line]],Items[Line],0))&amp;INDEX(Items[Description2],MATCH(Calcs[[#This Row],[Line]],Items[Line],0)),INDEX(Proposed[Description],MATCH(Calcs[[#This Row],[Line]],Proposed[Line],0)))),"")</f>
        <v/>
      </c>
      <c r="D250" s="96">
        <f t="shared" ca="1" si="196"/>
        <v>0</v>
      </c>
      <c r="E250" s="103">
        <f t="shared" ca="1" si="197"/>
        <v>0</v>
      </c>
      <c r="F250" s="103">
        <f t="shared" ca="1" si="198"/>
        <v>0</v>
      </c>
      <c r="G250" s="103">
        <f t="shared" ca="1" si="199"/>
        <v>0</v>
      </c>
      <c r="H250" s="103">
        <f t="shared" ca="1" si="200"/>
        <v>0</v>
      </c>
      <c r="I250" s="103">
        <f t="shared" ca="1" si="201"/>
        <v>0</v>
      </c>
      <c r="J250" s="103">
        <f t="shared" ca="1" si="202"/>
        <v>0</v>
      </c>
      <c r="K250" s="103">
        <f t="shared" ca="1" si="203"/>
        <v>0</v>
      </c>
      <c r="L250" s="103">
        <f t="shared" ca="1" si="204"/>
        <v>0</v>
      </c>
      <c r="M250" s="103">
        <f t="shared" ca="1" si="205"/>
        <v>0</v>
      </c>
      <c r="N250" s="103">
        <f t="shared" ca="1" si="206"/>
        <v>0</v>
      </c>
      <c r="O250" s="103">
        <f t="shared" ca="1" si="207"/>
        <v>0</v>
      </c>
      <c r="P250" s="103">
        <f t="shared" ca="1" si="208"/>
        <v>0</v>
      </c>
      <c r="Q250" s="103">
        <f t="shared" ca="1" si="209"/>
        <v>0</v>
      </c>
      <c r="R250" s="103">
        <f t="shared" ca="1" si="210"/>
        <v>0</v>
      </c>
      <c r="S250" s="103">
        <f t="shared" ca="1" si="211"/>
        <v>0</v>
      </c>
      <c r="T250" s="103">
        <f t="shared" ca="1" si="212"/>
        <v>0</v>
      </c>
      <c r="U250" s="103">
        <f t="shared" ca="1" si="213"/>
        <v>0</v>
      </c>
      <c r="V250" s="103">
        <f t="shared" ca="1" si="214"/>
        <v>0</v>
      </c>
      <c r="W250" s="103">
        <f t="shared" ca="1" si="215"/>
        <v>0</v>
      </c>
      <c r="X250" s="103">
        <f t="shared" ca="1" si="216"/>
        <v>0</v>
      </c>
      <c r="Y250" s="103">
        <f t="shared" ca="1" si="217"/>
        <v>0</v>
      </c>
      <c r="Z250" s="103">
        <f t="shared" ca="1" si="218"/>
        <v>0</v>
      </c>
      <c r="AA250" s="103">
        <f t="shared" ca="1" si="219"/>
        <v>0</v>
      </c>
      <c r="AB250" s="103">
        <f t="shared" ca="1" si="220"/>
        <v>0</v>
      </c>
      <c r="AC250" s="103">
        <f t="shared" ca="1" si="221"/>
        <v>0</v>
      </c>
      <c r="AD250" s="103">
        <f t="shared" ca="1" si="222"/>
        <v>0</v>
      </c>
      <c r="AE250" s="103">
        <f t="shared" ca="1" si="223"/>
        <v>0</v>
      </c>
      <c r="AF250" s="103">
        <f t="shared" ca="1" si="224"/>
        <v>0</v>
      </c>
      <c r="AG250" s="103">
        <f t="shared" ca="1" si="225"/>
        <v>0</v>
      </c>
      <c r="AH250" s="103">
        <f t="shared" ca="1" si="226"/>
        <v>0</v>
      </c>
      <c r="AI250" s="103">
        <f t="shared" ca="1" si="227"/>
        <v>0</v>
      </c>
      <c r="AJ250" s="98">
        <f t="shared" ca="1" si="264"/>
        <v>0</v>
      </c>
      <c r="AK250" s="103">
        <f t="shared" ca="1" si="264"/>
        <v>0</v>
      </c>
      <c r="AL250" s="103">
        <f t="shared" ca="1" si="264"/>
        <v>0</v>
      </c>
      <c r="AM250" s="103">
        <f t="shared" ca="1" si="264"/>
        <v>0</v>
      </c>
      <c r="AN250" s="103">
        <f t="shared" ca="1" si="264"/>
        <v>0</v>
      </c>
      <c r="AO250" s="103">
        <f t="shared" ca="1" si="264"/>
        <v>0</v>
      </c>
      <c r="AP250" s="103">
        <f t="shared" ca="1" si="264"/>
        <v>0</v>
      </c>
      <c r="AQ250" s="103">
        <f t="shared" ca="1" si="264"/>
        <v>0</v>
      </c>
      <c r="AR250" s="104">
        <f ca="1">COUNTIF(AJ250:AQ250,"&lt;"&amp;MAX(AJ250:AQ250))+IF(Calcs[[#This Row],[DL1]]=0,0,1)</f>
        <v>0</v>
      </c>
      <c r="AS250" s="105" t="str">
        <f ca="1">IF(LEN(Calcs[[#This Row],[Line]])&gt;0,IF(RIGHT(Calcs[[#This Row],[Remark]],3)=".  ",LEFT(Calcs[[#This Row],[Remark]],LEN(Calcs[[#This Row],[Remark]])-3),Calcs[[#This Row],[Remark]]),"")</f>
        <v/>
      </c>
      <c r="AT250" s="96">
        <f t="shared" ca="1" si="228"/>
        <v>0</v>
      </c>
      <c r="AU250" s="103">
        <f t="shared" ca="1" si="229"/>
        <v>0</v>
      </c>
      <c r="AV250" s="103">
        <f t="shared" ca="1" si="230"/>
        <v>0</v>
      </c>
      <c r="AW250" s="103">
        <f t="shared" ca="1" si="231"/>
        <v>0</v>
      </c>
      <c r="AX250" s="103">
        <f t="shared" ca="1" si="232"/>
        <v>0</v>
      </c>
      <c r="AY250" s="103">
        <f t="shared" ca="1" si="233"/>
        <v>0</v>
      </c>
      <c r="AZ250" s="103">
        <f t="shared" ca="1" si="234"/>
        <v>0</v>
      </c>
      <c r="BA250" s="103">
        <f t="shared" ca="1" si="235"/>
        <v>0</v>
      </c>
      <c r="BB250" s="103">
        <f t="shared" ca="1" si="236"/>
        <v>0</v>
      </c>
      <c r="BC250" s="103">
        <f t="shared" ca="1" si="237"/>
        <v>0</v>
      </c>
      <c r="BD250" s="103">
        <f t="shared" ca="1" si="238"/>
        <v>0</v>
      </c>
      <c r="BE250" s="103">
        <f t="shared" ca="1" si="239"/>
        <v>0</v>
      </c>
      <c r="BF250" s="103">
        <f t="shared" ca="1" si="240"/>
        <v>0</v>
      </c>
      <c r="BG250" s="103">
        <f t="shared" ca="1" si="241"/>
        <v>0</v>
      </c>
      <c r="BH250" s="103">
        <f t="shared" ca="1" si="242"/>
        <v>0</v>
      </c>
      <c r="BI250" s="103">
        <f t="shared" ca="1" si="243"/>
        <v>0</v>
      </c>
      <c r="BJ250" s="103">
        <f t="shared" ca="1" si="244"/>
        <v>0</v>
      </c>
      <c r="BK250" s="103">
        <f t="shared" ca="1" si="245"/>
        <v>0</v>
      </c>
      <c r="BL250" s="103">
        <f t="shared" ca="1" si="246"/>
        <v>0</v>
      </c>
      <c r="BM250" s="103">
        <f t="shared" ca="1" si="247"/>
        <v>0</v>
      </c>
      <c r="BN250" s="103">
        <f t="shared" ca="1" si="248"/>
        <v>0</v>
      </c>
      <c r="BO250" s="103">
        <f t="shared" ca="1" si="249"/>
        <v>0</v>
      </c>
      <c r="BP250" s="103">
        <f t="shared" ca="1" si="250"/>
        <v>0</v>
      </c>
      <c r="BQ250" s="103">
        <f t="shared" ca="1" si="251"/>
        <v>0</v>
      </c>
      <c r="BR250" s="103">
        <f t="shared" ca="1" si="252"/>
        <v>0</v>
      </c>
      <c r="BS250" s="103">
        <f t="shared" ca="1" si="253"/>
        <v>0</v>
      </c>
      <c r="BT250" s="103">
        <f t="shared" ca="1" si="254"/>
        <v>0</v>
      </c>
      <c r="BU250" s="103">
        <f t="shared" ca="1" si="255"/>
        <v>0</v>
      </c>
      <c r="BV250" s="103">
        <f t="shared" ca="1" si="256"/>
        <v>0</v>
      </c>
      <c r="BW250" s="103">
        <f t="shared" ca="1" si="257"/>
        <v>0</v>
      </c>
      <c r="BX250" s="103">
        <f t="shared" ca="1" si="258"/>
        <v>0</v>
      </c>
      <c r="BY250" s="103">
        <f t="shared" ca="1" si="259"/>
        <v>0</v>
      </c>
      <c r="BZ250" s="98">
        <f t="shared" ca="1" si="265"/>
        <v>0</v>
      </c>
      <c r="CA250" s="103">
        <f t="shared" ca="1" si="265"/>
        <v>0</v>
      </c>
      <c r="CB250" s="103">
        <f t="shared" ca="1" si="265"/>
        <v>0</v>
      </c>
      <c r="CC250" s="103">
        <f t="shared" ca="1" si="265"/>
        <v>0</v>
      </c>
      <c r="CD250" s="103">
        <f t="shared" ca="1" si="265"/>
        <v>0</v>
      </c>
      <c r="CE250" s="103">
        <f t="shared" ca="1" si="265"/>
        <v>0</v>
      </c>
      <c r="CF250" s="103">
        <f t="shared" ca="1" si="265"/>
        <v>0</v>
      </c>
      <c r="CG250" s="103">
        <f t="shared" ca="1" si="265"/>
        <v>0</v>
      </c>
      <c r="CH250" s="106">
        <f ca="1">COUNTIF(BZ250:CG250,"&lt;"&amp;MAX(BZ250:CG250))+IF(Calcs[[#This Row],[RL1]]=0,0,1)</f>
        <v>0</v>
      </c>
      <c r="CI25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50" s="103">
        <f ca="1">IFERROR(OFFSET(CJ250,-1,0)+0,0)+IF(INDEX(INDIRECT(RangeContrQty),MATCH(Calcs[[#This Row],[Line]],OFFSET(Items[Line],0,0,ROW(Proposed[])-ROW(Items[])+ROWS(Proposed[]),1),0)),1,0)</f>
        <v>0</v>
      </c>
    </row>
    <row r="251" spans="1:88" x14ac:dyDescent="0.15">
      <c r="A251" s="64">
        <f ca="1">IFERROR(OFFSET(A251,-1,0)+0,0)+MAX(IF(LEN(Calcs[[#This Row],[Line]])&gt;0,1,0),Calcs[[#This Row],[DL]],Calcs[[#This Row],[RL]])</f>
        <v>10</v>
      </c>
      <c r="B251" s="90" t="str">
        <f ca="1">IFERROR(INDEX(OFFSET(Items[Line],0,0,ROW(Proposed[])-ROW(Items[])+ROWS(Proposed[]),1),MATCH(ROW(B251)-ROW(B$3),INDIRECT(RangeCount),0)),"")</f>
        <v/>
      </c>
      <c r="C251" s="90" t="str">
        <f ca="1">IF(LEN(Calcs[[#This Row],[Line]])&gt;0,TRIM(IFERROR(INDEX(Items[Description],MATCH(Calcs[[#This Row],[Line]],Items[Line],0))&amp;INDEX(Items[Description2],MATCH(Calcs[[#This Row],[Line]],Items[Line],0)),INDEX(Proposed[Description],MATCH(Calcs[[#This Row],[Line]],Proposed[Line],0)))),"")</f>
        <v/>
      </c>
      <c r="D251" s="96">
        <f t="shared" ca="1" si="196"/>
        <v>0</v>
      </c>
      <c r="E251" s="103">
        <f t="shared" ca="1" si="197"/>
        <v>0</v>
      </c>
      <c r="F251" s="103">
        <f t="shared" ca="1" si="198"/>
        <v>0</v>
      </c>
      <c r="G251" s="103">
        <f t="shared" ca="1" si="199"/>
        <v>0</v>
      </c>
      <c r="H251" s="103">
        <f t="shared" ca="1" si="200"/>
        <v>0</v>
      </c>
      <c r="I251" s="103">
        <f t="shared" ca="1" si="201"/>
        <v>0</v>
      </c>
      <c r="J251" s="103">
        <f t="shared" ca="1" si="202"/>
        <v>0</v>
      </c>
      <c r="K251" s="103">
        <f t="shared" ca="1" si="203"/>
        <v>0</v>
      </c>
      <c r="L251" s="103">
        <f t="shared" ca="1" si="204"/>
        <v>0</v>
      </c>
      <c r="M251" s="103">
        <f t="shared" ca="1" si="205"/>
        <v>0</v>
      </c>
      <c r="N251" s="103">
        <f t="shared" ca="1" si="206"/>
        <v>0</v>
      </c>
      <c r="O251" s="103">
        <f t="shared" ca="1" si="207"/>
        <v>0</v>
      </c>
      <c r="P251" s="103">
        <f t="shared" ca="1" si="208"/>
        <v>0</v>
      </c>
      <c r="Q251" s="103">
        <f t="shared" ca="1" si="209"/>
        <v>0</v>
      </c>
      <c r="R251" s="103">
        <f t="shared" ca="1" si="210"/>
        <v>0</v>
      </c>
      <c r="S251" s="103">
        <f t="shared" ca="1" si="211"/>
        <v>0</v>
      </c>
      <c r="T251" s="103">
        <f t="shared" ca="1" si="212"/>
        <v>0</v>
      </c>
      <c r="U251" s="103">
        <f t="shared" ca="1" si="213"/>
        <v>0</v>
      </c>
      <c r="V251" s="103">
        <f t="shared" ca="1" si="214"/>
        <v>0</v>
      </c>
      <c r="W251" s="103">
        <f t="shared" ca="1" si="215"/>
        <v>0</v>
      </c>
      <c r="X251" s="103">
        <f t="shared" ca="1" si="216"/>
        <v>0</v>
      </c>
      <c r="Y251" s="103">
        <f t="shared" ca="1" si="217"/>
        <v>0</v>
      </c>
      <c r="Z251" s="103">
        <f t="shared" ca="1" si="218"/>
        <v>0</v>
      </c>
      <c r="AA251" s="103">
        <f t="shared" ca="1" si="219"/>
        <v>0</v>
      </c>
      <c r="AB251" s="103">
        <f t="shared" ca="1" si="220"/>
        <v>0</v>
      </c>
      <c r="AC251" s="103">
        <f t="shared" ca="1" si="221"/>
        <v>0</v>
      </c>
      <c r="AD251" s="103">
        <f t="shared" ca="1" si="222"/>
        <v>0</v>
      </c>
      <c r="AE251" s="103">
        <f t="shared" ca="1" si="223"/>
        <v>0</v>
      </c>
      <c r="AF251" s="103">
        <f t="shared" ca="1" si="224"/>
        <v>0</v>
      </c>
      <c r="AG251" s="103">
        <f t="shared" ca="1" si="225"/>
        <v>0</v>
      </c>
      <c r="AH251" s="103">
        <f t="shared" ca="1" si="226"/>
        <v>0</v>
      </c>
      <c r="AI251" s="103">
        <f t="shared" ca="1" si="227"/>
        <v>0</v>
      </c>
      <c r="AJ251" s="98">
        <f t="shared" ca="1" si="264"/>
        <v>0</v>
      </c>
      <c r="AK251" s="103">
        <f t="shared" ca="1" si="264"/>
        <v>0</v>
      </c>
      <c r="AL251" s="103">
        <f t="shared" ca="1" si="264"/>
        <v>0</v>
      </c>
      <c r="AM251" s="103">
        <f t="shared" ca="1" si="264"/>
        <v>0</v>
      </c>
      <c r="AN251" s="103">
        <f t="shared" ca="1" si="264"/>
        <v>0</v>
      </c>
      <c r="AO251" s="103">
        <f t="shared" ca="1" si="264"/>
        <v>0</v>
      </c>
      <c r="AP251" s="103">
        <f t="shared" ca="1" si="264"/>
        <v>0</v>
      </c>
      <c r="AQ251" s="103">
        <f t="shared" ca="1" si="264"/>
        <v>0</v>
      </c>
      <c r="AR251" s="104">
        <f ca="1">COUNTIF(AJ251:AQ251,"&lt;"&amp;MAX(AJ251:AQ251))+IF(Calcs[[#This Row],[DL1]]=0,0,1)</f>
        <v>0</v>
      </c>
      <c r="AS251" s="105" t="str">
        <f ca="1">IF(LEN(Calcs[[#This Row],[Line]])&gt;0,IF(RIGHT(Calcs[[#This Row],[Remark]],3)=".  ",LEFT(Calcs[[#This Row],[Remark]],LEN(Calcs[[#This Row],[Remark]])-3),Calcs[[#This Row],[Remark]]),"")</f>
        <v/>
      </c>
      <c r="AT251" s="96">
        <f t="shared" ca="1" si="228"/>
        <v>0</v>
      </c>
      <c r="AU251" s="103">
        <f t="shared" ca="1" si="229"/>
        <v>0</v>
      </c>
      <c r="AV251" s="103">
        <f t="shared" ca="1" si="230"/>
        <v>0</v>
      </c>
      <c r="AW251" s="103">
        <f t="shared" ca="1" si="231"/>
        <v>0</v>
      </c>
      <c r="AX251" s="103">
        <f t="shared" ca="1" si="232"/>
        <v>0</v>
      </c>
      <c r="AY251" s="103">
        <f t="shared" ca="1" si="233"/>
        <v>0</v>
      </c>
      <c r="AZ251" s="103">
        <f t="shared" ca="1" si="234"/>
        <v>0</v>
      </c>
      <c r="BA251" s="103">
        <f t="shared" ca="1" si="235"/>
        <v>0</v>
      </c>
      <c r="BB251" s="103">
        <f t="shared" ca="1" si="236"/>
        <v>0</v>
      </c>
      <c r="BC251" s="103">
        <f t="shared" ca="1" si="237"/>
        <v>0</v>
      </c>
      <c r="BD251" s="103">
        <f t="shared" ca="1" si="238"/>
        <v>0</v>
      </c>
      <c r="BE251" s="103">
        <f t="shared" ca="1" si="239"/>
        <v>0</v>
      </c>
      <c r="BF251" s="103">
        <f t="shared" ca="1" si="240"/>
        <v>0</v>
      </c>
      <c r="BG251" s="103">
        <f t="shared" ca="1" si="241"/>
        <v>0</v>
      </c>
      <c r="BH251" s="103">
        <f t="shared" ca="1" si="242"/>
        <v>0</v>
      </c>
      <c r="BI251" s="103">
        <f t="shared" ca="1" si="243"/>
        <v>0</v>
      </c>
      <c r="BJ251" s="103">
        <f t="shared" ca="1" si="244"/>
        <v>0</v>
      </c>
      <c r="BK251" s="103">
        <f t="shared" ca="1" si="245"/>
        <v>0</v>
      </c>
      <c r="BL251" s="103">
        <f t="shared" ca="1" si="246"/>
        <v>0</v>
      </c>
      <c r="BM251" s="103">
        <f t="shared" ca="1" si="247"/>
        <v>0</v>
      </c>
      <c r="BN251" s="103">
        <f t="shared" ca="1" si="248"/>
        <v>0</v>
      </c>
      <c r="BO251" s="103">
        <f t="shared" ca="1" si="249"/>
        <v>0</v>
      </c>
      <c r="BP251" s="103">
        <f t="shared" ca="1" si="250"/>
        <v>0</v>
      </c>
      <c r="BQ251" s="103">
        <f t="shared" ca="1" si="251"/>
        <v>0</v>
      </c>
      <c r="BR251" s="103">
        <f t="shared" ca="1" si="252"/>
        <v>0</v>
      </c>
      <c r="BS251" s="103">
        <f t="shared" ca="1" si="253"/>
        <v>0</v>
      </c>
      <c r="BT251" s="103">
        <f t="shared" ca="1" si="254"/>
        <v>0</v>
      </c>
      <c r="BU251" s="103">
        <f t="shared" ca="1" si="255"/>
        <v>0</v>
      </c>
      <c r="BV251" s="103">
        <f t="shared" ca="1" si="256"/>
        <v>0</v>
      </c>
      <c r="BW251" s="103">
        <f t="shared" ca="1" si="257"/>
        <v>0</v>
      </c>
      <c r="BX251" s="103">
        <f t="shared" ca="1" si="258"/>
        <v>0</v>
      </c>
      <c r="BY251" s="103">
        <f t="shared" ca="1" si="259"/>
        <v>0</v>
      </c>
      <c r="BZ251" s="98">
        <f t="shared" ca="1" si="265"/>
        <v>0</v>
      </c>
      <c r="CA251" s="103">
        <f t="shared" ca="1" si="265"/>
        <v>0</v>
      </c>
      <c r="CB251" s="103">
        <f t="shared" ca="1" si="265"/>
        <v>0</v>
      </c>
      <c r="CC251" s="103">
        <f t="shared" ca="1" si="265"/>
        <v>0</v>
      </c>
      <c r="CD251" s="103">
        <f t="shared" ca="1" si="265"/>
        <v>0</v>
      </c>
      <c r="CE251" s="103">
        <f t="shared" ca="1" si="265"/>
        <v>0</v>
      </c>
      <c r="CF251" s="103">
        <f t="shared" ca="1" si="265"/>
        <v>0</v>
      </c>
      <c r="CG251" s="103">
        <f t="shared" ca="1" si="265"/>
        <v>0</v>
      </c>
      <c r="CH251" s="106">
        <f ca="1">COUNTIF(BZ251:CG251,"&lt;"&amp;MAX(BZ251:CG251))+IF(Calcs[[#This Row],[RL1]]=0,0,1)</f>
        <v>0</v>
      </c>
      <c r="CI25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51" s="103">
        <f ca="1">IFERROR(OFFSET(CJ251,-1,0)+0,0)+IF(INDEX(INDIRECT(RangeContrQty),MATCH(Calcs[[#This Row],[Line]],OFFSET(Items[Line],0,0,ROW(Proposed[])-ROW(Items[])+ROWS(Proposed[]),1),0)),1,0)</f>
        <v>0</v>
      </c>
    </row>
    <row r="252" spans="1:88" x14ac:dyDescent="0.15">
      <c r="A252" s="64">
        <f ca="1">IFERROR(OFFSET(A252,-1,0)+0,0)+MAX(IF(LEN(Calcs[[#This Row],[Line]])&gt;0,1,0),Calcs[[#This Row],[DL]],Calcs[[#This Row],[RL]])</f>
        <v>10</v>
      </c>
      <c r="B252" s="90" t="str">
        <f ca="1">IFERROR(INDEX(OFFSET(Items[Line],0,0,ROW(Proposed[])-ROW(Items[])+ROWS(Proposed[]),1),MATCH(ROW(B252)-ROW(B$3),INDIRECT(RangeCount),0)),"")</f>
        <v/>
      </c>
      <c r="C252" s="90" t="str">
        <f ca="1">IF(LEN(Calcs[[#This Row],[Line]])&gt;0,TRIM(IFERROR(INDEX(Items[Description],MATCH(Calcs[[#This Row],[Line]],Items[Line],0))&amp;INDEX(Items[Description2],MATCH(Calcs[[#This Row],[Line]],Items[Line],0)),INDEX(Proposed[Description],MATCH(Calcs[[#This Row],[Line]],Proposed[Line],0)))),"")</f>
        <v/>
      </c>
      <c r="D252" s="96">
        <f t="shared" ca="1" si="196"/>
        <v>0</v>
      </c>
      <c r="E252" s="103">
        <f t="shared" ca="1" si="197"/>
        <v>0</v>
      </c>
      <c r="F252" s="103">
        <f t="shared" ca="1" si="198"/>
        <v>0</v>
      </c>
      <c r="G252" s="103">
        <f t="shared" ca="1" si="199"/>
        <v>0</v>
      </c>
      <c r="H252" s="103">
        <f t="shared" ca="1" si="200"/>
        <v>0</v>
      </c>
      <c r="I252" s="103">
        <f t="shared" ca="1" si="201"/>
        <v>0</v>
      </c>
      <c r="J252" s="103">
        <f t="shared" ca="1" si="202"/>
        <v>0</v>
      </c>
      <c r="K252" s="103">
        <f t="shared" ca="1" si="203"/>
        <v>0</v>
      </c>
      <c r="L252" s="103">
        <f t="shared" ca="1" si="204"/>
        <v>0</v>
      </c>
      <c r="M252" s="103">
        <f t="shared" ca="1" si="205"/>
        <v>0</v>
      </c>
      <c r="N252" s="103">
        <f t="shared" ca="1" si="206"/>
        <v>0</v>
      </c>
      <c r="O252" s="103">
        <f t="shared" ca="1" si="207"/>
        <v>0</v>
      </c>
      <c r="P252" s="103">
        <f t="shared" ca="1" si="208"/>
        <v>0</v>
      </c>
      <c r="Q252" s="103">
        <f t="shared" ca="1" si="209"/>
        <v>0</v>
      </c>
      <c r="R252" s="103">
        <f t="shared" ca="1" si="210"/>
        <v>0</v>
      </c>
      <c r="S252" s="103">
        <f t="shared" ca="1" si="211"/>
        <v>0</v>
      </c>
      <c r="T252" s="103">
        <f t="shared" ca="1" si="212"/>
        <v>0</v>
      </c>
      <c r="U252" s="103">
        <f t="shared" ca="1" si="213"/>
        <v>0</v>
      </c>
      <c r="V252" s="103">
        <f t="shared" ca="1" si="214"/>
        <v>0</v>
      </c>
      <c r="W252" s="103">
        <f t="shared" ca="1" si="215"/>
        <v>0</v>
      </c>
      <c r="X252" s="103">
        <f t="shared" ca="1" si="216"/>
        <v>0</v>
      </c>
      <c r="Y252" s="103">
        <f t="shared" ca="1" si="217"/>
        <v>0</v>
      </c>
      <c r="Z252" s="103">
        <f t="shared" ca="1" si="218"/>
        <v>0</v>
      </c>
      <c r="AA252" s="103">
        <f t="shared" ca="1" si="219"/>
        <v>0</v>
      </c>
      <c r="AB252" s="103">
        <f t="shared" ca="1" si="220"/>
        <v>0</v>
      </c>
      <c r="AC252" s="103">
        <f t="shared" ca="1" si="221"/>
        <v>0</v>
      </c>
      <c r="AD252" s="103">
        <f t="shared" ca="1" si="222"/>
        <v>0</v>
      </c>
      <c r="AE252" s="103">
        <f t="shared" ca="1" si="223"/>
        <v>0</v>
      </c>
      <c r="AF252" s="103">
        <f t="shared" ca="1" si="224"/>
        <v>0</v>
      </c>
      <c r="AG252" s="103">
        <f t="shared" ca="1" si="225"/>
        <v>0</v>
      </c>
      <c r="AH252" s="103">
        <f t="shared" ca="1" si="226"/>
        <v>0</v>
      </c>
      <c r="AI252" s="103">
        <f t="shared" ca="1" si="227"/>
        <v>0</v>
      </c>
      <c r="AJ252" s="98">
        <f t="shared" ref="AJ252:AQ253" ca="1" si="266">HLOOKUP(IF(COLUMN(AJ252)-COLUMN($AJ$3)=0,0,OFFSET(AJ252,0,-1))+widthPayItem,$D252:$AI252,1)</f>
        <v>0</v>
      </c>
      <c r="AK252" s="103">
        <f t="shared" ca="1" si="266"/>
        <v>0</v>
      </c>
      <c r="AL252" s="103">
        <f t="shared" ca="1" si="266"/>
        <v>0</v>
      </c>
      <c r="AM252" s="103">
        <f t="shared" ca="1" si="266"/>
        <v>0</v>
      </c>
      <c r="AN252" s="103">
        <f t="shared" ca="1" si="266"/>
        <v>0</v>
      </c>
      <c r="AO252" s="103">
        <f t="shared" ca="1" si="266"/>
        <v>0</v>
      </c>
      <c r="AP252" s="103">
        <f t="shared" ca="1" si="266"/>
        <v>0</v>
      </c>
      <c r="AQ252" s="103">
        <f t="shared" ca="1" si="266"/>
        <v>0</v>
      </c>
      <c r="AR252" s="104">
        <f ca="1">COUNTIF(AJ252:AQ252,"&lt;"&amp;MAX(AJ252:AQ252))+IF(Calcs[[#This Row],[DL1]]=0,0,1)</f>
        <v>0</v>
      </c>
      <c r="AS252" s="105" t="str">
        <f ca="1">IF(LEN(Calcs[[#This Row],[Line]])&gt;0,IF(RIGHT(Calcs[[#This Row],[Remark]],3)=".  ",LEFT(Calcs[[#This Row],[Remark]],LEN(Calcs[[#This Row],[Remark]])-3),Calcs[[#This Row],[Remark]]),"")</f>
        <v/>
      </c>
      <c r="AT252" s="96">
        <f t="shared" ca="1" si="228"/>
        <v>0</v>
      </c>
      <c r="AU252" s="103">
        <f t="shared" ca="1" si="229"/>
        <v>0</v>
      </c>
      <c r="AV252" s="103">
        <f t="shared" ca="1" si="230"/>
        <v>0</v>
      </c>
      <c r="AW252" s="103">
        <f t="shared" ca="1" si="231"/>
        <v>0</v>
      </c>
      <c r="AX252" s="103">
        <f t="shared" ca="1" si="232"/>
        <v>0</v>
      </c>
      <c r="AY252" s="103">
        <f t="shared" ca="1" si="233"/>
        <v>0</v>
      </c>
      <c r="AZ252" s="103">
        <f t="shared" ca="1" si="234"/>
        <v>0</v>
      </c>
      <c r="BA252" s="103">
        <f t="shared" ca="1" si="235"/>
        <v>0</v>
      </c>
      <c r="BB252" s="103">
        <f t="shared" ca="1" si="236"/>
        <v>0</v>
      </c>
      <c r="BC252" s="103">
        <f t="shared" ca="1" si="237"/>
        <v>0</v>
      </c>
      <c r="BD252" s="103">
        <f t="shared" ca="1" si="238"/>
        <v>0</v>
      </c>
      <c r="BE252" s="103">
        <f t="shared" ca="1" si="239"/>
        <v>0</v>
      </c>
      <c r="BF252" s="103">
        <f t="shared" ca="1" si="240"/>
        <v>0</v>
      </c>
      <c r="BG252" s="103">
        <f t="shared" ca="1" si="241"/>
        <v>0</v>
      </c>
      <c r="BH252" s="103">
        <f t="shared" ca="1" si="242"/>
        <v>0</v>
      </c>
      <c r="BI252" s="103">
        <f t="shared" ca="1" si="243"/>
        <v>0</v>
      </c>
      <c r="BJ252" s="103">
        <f t="shared" ca="1" si="244"/>
        <v>0</v>
      </c>
      <c r="BK252" s="103">
        <f t="shared" ca="1" si="245"/>
        <v>0</v>
      </c>
      <c r="BL252" s="103">
        <f t="shared" ca="1" si="246"/>
        <v>0</v>
      </c>
      <c r="BM252" s="103">
        <f t="shared" ca="1" si="247"/>
        <v>0</v>
      </c>
      <c r="BN252" s="103">
        <f t="shared" ca="1" si="248"/>
        <v>0</v>
      </c>
      <c r="BO252" s="103">
        <f t="shared" ca="1" si="249"/>
        <v>0</v>
      </c>
      <c r="BP252" s="103">
        <f t="shared" ca="1" si="250"/>
        <v>0</v>
      </c>
      <c r="BQ252" s="103">
        <f t="shared" ca="1" si="251"/>
        <v>0</v>
      </c>
      <c r="BR252" s="103">
        <f t="shared" ca="1" si="252"/>
        <v>0</v>
      </c>
      <c r="BS252" s="103">
        <f t="shared" ca="1" si="253"/>
        <v>0</v>
      </c>
      <c r="BT252" s="103">
        <f t="shared" ca="1" si="254"/>
        <v>0</v>
      </c>
      <c r="BU252" s="103">
        <f t="shared" ca="1" si="255"/>
        <v>0</v>
      </c>
      <c r="BV252" s="103">
        <f t="shared" ca="1" si="256"/>
        <v>0</v>
      </c>
      <c r="BW252" s="103">
        <f t="shared" ca="1" si="257"/>
        <v>0</v>
      </c>
      <c r="BX252" s="103">
        <f t="shared" ca="1" si="258"/>
        <v>0</v>
      </c>
      <c r="BY252" s="103">
        <f t="shared" ca="1" si="259"/>
        <v>0</v>
      </c>
      <c r="BZ252" s="98">
        <f t="shared" ref="BZ252:CG253" ca="1" si="267">HLOOKUP(IF(COLUMN(BZ252)-COLUMN($BZ$3)=0,0,OFFSET(BZ252,0,-1))+widthRemarks,$AT252:$BY252,1)</f>
        <v>0</v>
      </c>
      <c r="CA252" s="103">
        <f t="shared" ca="1" si="267"/>
        <v>0</v>
      </c>
      <c r="CB252" s="103">
        <f t="shared" ca="1" si="267"/>
        <v>0</v>
      </c>
      <c r="CC252" s="103">
        <f t="shared" ca="1" si="267"/>
        <v>0</v>
      </c>
      <c r="CD252" s="103">
        <f t="shared" ca="1" si="267"/>
        <v>0</v>
      </c>
      <c r="CE252" s="103">
        <f t="shared" ca="1" si="267"/>
        <v>0</v>
      </c>
      <c r="CF252" s="103">
        <f t="shared" ca="1" si="267"/>
        <v>0</v>
      </c>
      <c r="CG252" s="103">
        <f t="shared" ca="1" si="267"/>
        <v>0</v>
      </c>
      <c r="CH252" s="106">
        <f ca="1">COUNTIF(BZ252:CG252,"&lt;"&amp;MAX(BZ252:CG252))+IF(Calcs[[#This Row],[RL1]]=0,0,1)</f>
        <v>0</v>
      </c>
      <c r="CI25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52" s="103">
        <f ca="1">IFERROR(OFFSET(CJ252,-1,0)+0,0)+IF(INDEX(INDIRECT(RangeContrQty),MATCH(Calcs[[#This Row],[Line]],OFFSET(Items[Line],0,0,ROW(Proposed[])-ROW(Items[])+ROWS(Proposed[]),1),0)),1,0)</f>
        <v>0</v>
      </c>
    </row>
    <row r="253" spans="1:88" x14ac:dyDescent="0.15">
      <c r="A253" s="64">
        <f ca="1">IFERROR(OFFSET(A253,-1,0)+0,0)+MAX(IF(LEN(Calcs[[#This Row],[Line]])&gt;0,1,0),Calcs[[#This Row],[DL]],Calcs[[#This Row],[RL]])</f>
        <v>10</v>
      </c>
      <c r="B253" s="90" t="str">
        <f ca="1">IFERROR(INDEX(OFFSET(Items[Line],0,0,ROW(Proposed[])-ROW(Items[])+ROWS(Proposed[]),1),MATCH(ROW(B253)-ROW(B$3),INDIRECT(RangeCount),0)),"")</f>
        <v/>
      </c>
      <c r="C253" s="90" t="str">
        <f ca="1">IF(LEN(Calcs[[#This Row],[Line]])&gt;0,TRIM(IFERROR(INDEX(Items[Description],MATCH(Calcs[[#This Row],[Line]],Items[Line],0))&amp;INDEX(Items[Description2],MATCH(Calcs[[#This Row],[Line]],Items[Line],0)),INDEX(Proposed[Description],MATCH(Calcs[[#This Row],[Line]],Proposed[Line],0)))),"")</f>
        <v/>
      </c>
      <c r="D253" s="96">
        <f t="shared" ca="1" si="196"/>
        <v>0</v>
      </c>
      <c r="E253" s="103">
        <f t="shared" ca="1" si="197"/>
        <v>0</v>
      </c>
      <c r="F253" s="103">
        <f t="shared" ca="1" si="198"/>
        <v>0</v>
      </c>
      <c r="G253" s="103">
        <f t="shared" ca="1" si="199"/>
        <v>0</v>
      </c>
      <c r="H253" s="103">
        <f t="shared" ca="1" si="200"/>
        <v>0</v>
      </c>
      <c r="I253" s="103">
        <f t="shared" ca="1" si="201"/>
        <v>0</v>
      </c>
      <c r="J253" s="103">
        <f t="shared" ca="1" si="202"/>
        <v>0</v>
      </c>
      <c r="K253" s="103">
        <f t="shared" ca="1" si="203"/>
        <v>0</v>
      </c>
      <c r="L253" s="103">
        <f t="shared" ca="1" si="204"/>
        <v>0</v>
      </c>
      <c r="M253" s="103">
        <f t="shared" ca="1" si="205"/>
        <v>0</v>
      </c>
      <c r="N253" s="103">
        <f t="shared" ca="1" si="206"/>
        <v>0</v>
      </c>
      <c r="O253" s="103">
        <f t="shared" ca="1" si="207"/>
        <v>0</v>
      </c>
      <c r="P253" s="103">
        <f t="shared" ca="1" si="208"/>
        <v>0</v>
      </c>
      <c r="Q253" s="103">
        <f t="shared" ca="1" si="209"/>
        <v>0</v>
      </c>
      <c r="R253" s="103">
        <f t="shared" ca="1" si="210"/>
        <v>0</v>
      </c>
      <c r="S253" s="103">
        <f t="shared" ca="1" si="211"/>
        <v>0</v>
      </c>
      <c r="T253" s="103">
        <f t="shared" ca="1" si="212"/>
        <v>0</v>
      </c>
      <c r="U253" s="103">
        <f t="shared" ca="1" si="213"/>
        <v>0</v>
      </c>
      <c r="V253" s="103">
        <f t="shared" ca="1" si="214"/>
        <v>0</v>
      </c>
      <c r="W253" s="103">
        <f t="shared" ca="1" si="215"/>
        <v>0</v>
      </c>
      <c r="X253" s="103">
        <f t="shared" ca="1" si="216"/>
        <v>0</v>
      </c>
      <c r="Y253" s="103">
        <f t="shared" ca="1" si="217"/>
        <v>0</v>
      </c>
      <c r="Z253" s="103">
        <f t="shared" ca="1" si="218"/>
        <v>0</v>
      </c>
      <c r="AA253" s="103">
        <f t="shared" ca="1" si="219"/>
        <v>0</v>
      </c>
      <c r="AB253" s="103">
        <f t="shared" ca="1" si="220"/>
        <v>0</v>
      </c>
      <c r="AC253" s="103">
        <f t="shared" ca="1" si="221"/>
        <v>0</v>
      </c>
      <c r="AD253" s="103">
        <f t="shared" ca="1" si="222"/>
        <v>0</v>
      </c>
      <c r="AE253" s="103">
        <f t="shared" ca="1" si="223"/>
        <v>0</v>
      </c>
      <c r="AF253" s="103">
        <f t="shared" ca="1" si="224"/>
        <v>0</v>
      </c>
      <c r="AG253" s="103">
        <f t="shared" ca="1" si="225"/>
        <v>0</v>
      </c>
      <c r="AH253" s="103">
        <f t="shared" ca="1" si="226"/>
        <v>0</v>
      </c>
      <c r="AI253" s="103">
        <f t="shared" ca="1" si="227"/>
        <v>0</v>
      </c>
      <c r="AJ253" s="98">
        <f t="shared" ca="1" si="266"/>
        <v>0</v>
      </c>
      <c r="AK253" s="103">
        <f t="shared" ca="1" si="266"/>
        <v>0</v>
      </c>
      <c r="AL253" s="103">
        <f t="shared" ca="1" si="266"/>
        <v>0</v>
      </c>
      <c r="AM253" s="103">
        <f t="shared" ca="1" si="266"/>
        <v>0</v>
      </c>
      <c r="AN253" s="103">
        <f t="shared" ca="1" si="266"/>
        <v>0</v>
      </c>
      <c r="AO253" s="103">
        <f t="shared" ca="1" si="266"/>
        <v>0</v>
      </c>
      <c r="AP253" s="103">
        <f t="shared" ca="1" si="266"/>
        <v>0</v>
      </c>
      <c r="AQ253" s="103">
        <f t="shared" ca="1" si="266"/>
        <v>0</v>
      </c>
      <c r="AR253" s="104">
        <f ca="1">COUNTIF(AJ253:AQ253,"&lt;"&amp;MAX(AJ253:AQ253))+IF(Calcs[[#This Row],[DL1]]=0,0,1)</f>
        <v>0</v>
      </c>
      <c r="AS253" s="105" t="str">
        <f ca="1">IF(LEN(Calcs[[#This Row],[Line]])&gt;0,IF(RIGHT(Calcs[[#This Row],[Remark]],3)=".  ",LEFT(Calcs[[#This Row],[Remark]],LEN(Calcs[[#This Row],[Remark]])-3),Calcs[[#This Row],[Remark]]),"")</f>
        <v/>
      </c>
      <c r="AT253" s="96">
        <f t="shared" ca="1" si="228"/>
        <v>0</v>
      </c>
      <c r="AU253" s="103">
        <f t="shared" ca="1" si="229"/>
        <v>0</v>
      </c>
      <c r="AV253" s="103">
        <f t="shared" ca="1" si="230"/>
        <v>0</v>
      </c>
      <c r="AW253" s="103">
        <f t="shared" ca="1" si="231"/>
        <v>0</v>
      </c>
      <c r="AX253" s="103">
        <f t="shared" ca="1" si="232"/>
        <v>0</v>
      </c>
      <c r="AY253" s="103">
        <f t="shared" ca="1" si="233"/>
        <v>0</v>
      </c>
      <c r="AZ253" s="103">
        <f t="shared" ca="1" si="234"/>
        <v>0</v>
      </c>
      <c r="BA253" s="103">
        <f t="shared" ca="1" si="235"/>
        <v>0</v>
      </c>
      <c r="BB253" s="103">
        <f t="shared" ca="1" si="236"/>
        <v>0</v>
      </c>
      <c r="BC253" s="103">
        <f t="shared" ca="1" si="237"/>
        <v>0</v>
      </c>
      <c r="BD253" s="103">
        <f t="shared" ca="1" si="238"/>
        <v>0</v>
      </c>
      <c r="BE253" s="103">
        <f t="shared" ca="1" si="239"/>
        <v>0</v>
      </c>
      <c r="BF253" s="103">
        <f t="shared" ca="1" si="240"/>
        <v>0</v>
      </c>
      <c r="BG253" s="103">
        <f t="shared" ca="1" si="241"/>
        <v>0</v>
      </c>
      <c r="BH253" s="103">
        <f t="shared" ca="1" si="242"/>
        <v>0</v>
      </c>
      <c r="BI253" s="103">
        <f t="shared" ca="1" si="243"/>
        <v>0</v>
      </c>
      <c r="BJ253" s="103">
        <f t="shared" ca="1" si="244"/>
        <v>0</v>
      </c>
      <c r="BK253" s="103">
        <f t="shared" ca="1" si="245"/>
        <v>0</v>
      </c>
      <c r="BL253" s="103">
        <f t="shared" ca="1" si="246"/>
        <v>0</v>
      </c>
      <c r="BM253" s="103">
        <f t="shared" ca="1" si="247"/>
        <v>0</v>
      </c>
      <c r="BN253" s="103">
        <f t="shared" ca="1" si="248"/>
        <v>0</v>
      </c>
      <c r="BO253" s="103">
        <f t="shared" ca="1" si="249"/>
        <v>0</v>
      </c>
      <c r="BP253" s="103">
        <f t="shared" ca="1" si="250"/>
        <v>0</v>
      </c>
      <c r="BQ253" s="103">
        <f t="shared" ca="1" si="251"/>
        <v>0</v>
      </c>
      <c r="BR253" s="103">
        <f t="shared" ca="1" si="252"/>
        <v>0</v>
      </c>
      <c r="BS253" s="103">
        <f t="shared" ca="1" si="253"/>
        <v>0</v>
      </c>
      <c r="BT253" s="103">
        <f t="shared" ca="1" si="254"/>
        <v>0</v>
      </c>
      <c r="BU253" s="103">
        <f t="shared" ca="1" si="255"/>
        <v>0</v>
      </c>
      <c r="BV253" s="103">
        <f t="shared" ca="1" si="256"/>
        <v>0</v>
      </c>
      <c r="BW253" s="103">
        <f t="shared" ca="1" si="257"/>
        <v>0</v>
      </c>
      <c r="BX253" s="103">
        <f t="shared" ca="1" si="258"/>
        <v>0</v>
      </c>
      <c r="BY253" s="103">
        <f t="shared" ca="1" si="259"/>
        <v>0</v>
      </c>
      <c r="BZ253" s="98">
        <f t="shared" ca="1" si="267"/>
        <v>0</v>
      </c>
      <c r="CA253" s="103">
        <f t="shared" ca="1" si="267"/>
        <v>0</v>
      </c>
      <c r="CB253" s="103">
        <f t="shared" ca="1" si="267"/>
        <v>0</v>
      </c>
      <c r="CC253" s="103">
        <f t="shared" ca="1" si="267"/>
        <v>0</v>
      </c>
      <c r="CD253" s="103">
        <f t="shared" ca="1" si="267"/>
        <v>0</v>
      </c>
      <c r="CE253" s="103">
        <f t="shared" ca="1" si="267"/>
        <v>0</v>
      </c>
      <c r="CF253" s="103">
        <f t="shared" ca="1" si="267"/>
        <v>0</v>
      </c>
      <c r="CG253" s="103">
        <f t="shared" ca="1" si="267"/>
        <v>0</v>
      </c>
      <c r="CH253" s="106">
        <f ca="1">COUNTIF(BZ253:CG253,"&lt;"&amp;MAX(BZ253:CG253))+IF(Calcs[[#This Row],[RL1]]=0,0,1)</f>
        <v>0</v>
      </c>
      <c r="CI25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53" s="103">
        <f ca="1">IFERROR(OFFSET(CJ253,-1,0)+0,0)+IF(INDEX(INDIRECT(RangeContrQty),MATCH(Calcs[[#This Row],[Line]],OFFSET(Items[Line],0,0,ROW(Proposed[])-ROW(Items[])+ROWS(Proposed[]),1),0)),1,0)</f>
        <v>0</v>
      </c>
    </row>
  </sheetData>
  <sheetProtection sheet="1" objects="1" scenarios="1"/>
  <mergeCells count="4">
    <mergeCell ref="D1:AI1"/>
    <mergeCell ref="AJ1:AQ1"/>
    <mergeCell ref="AT1:BY1"/>
    <mergeCell ref="BZ1:CG1"/>
  </mergeCells>
  <conditionalFormatting sqref="A4:CH253">
    <cfRule type="expression" dxfId="105" priority="4" stopIfTrue="1">
      <formula>ISBLANK(A4)</formula>
    </cfRule>
  </conditionalFormatting>
  <conditionalFormatting sqref="AR4:AR253 CH4:CH253">
    <cfRule type="expression" dxfId="104" priority="6" stopIfTrue="1">
      <formula>ISBLANK(AR4)</formula>
    </cfRule>
  </conditionalFormatting>
  <conditionalFormatting sqref="AS4:AS253 A4:C253">
    <cfRule type="expression" dxfId="103" priority="5" stopIfTrue="1">
      <formula>OR(OFFSET($A4,-1,0)=0,#REF!&lt;&gt;OFFSET(#REF!,-1,0))</formula>
    </cfRule>
  </conditionalFormatting>
  <conditionalFormatting sqref="A4:CH253">
    <cfRule type="expression" dxfId="102" priority="3">
      <formula>ISBLANK(OFFSET(#REF!,1,0))</formula>
    </cfRule>
  </conditionalFormatting>
  <conditionalFormatting sqref="AT4:BY253">
    <cfRule type="expression" dxfId="101" priority="7" stopIfTrue="1">
      <formula>OR(AT4=0,OFFSET(AT4,0,-1)=MAX($AT4:$BY4))</formula>
    </cfRule>
  </conditionalFormatting>
  <conditionalFormatting sqref="AT4:BY4 D4:AI253">
    <cfRule type="expression" dxfId="100" priority="8" stopIfTrue="1">
      <formula>OR(D4=0,OFFSET(D4,0,-1)=MAX($D4:$AI4))</formula>
    </cfRule>
  </conditionalFormatting>
  <conditionalFormatting sqref="BZ4:CG253">
    <cfRule type="expression" dxfId="99" priority="9" stopIfTrue="1">
      <formula>OR(AND(BZ$3&lt;&gt;"RL1",OFFSET(BZ4,0,-1)=MAX($BZ4:$CG4)),BZ4=0)</formula>
    </cfRule>
  </conditionalFormatting>
  <conditionalFormatting sqref="AJ4:AQ253">
    <cfRule type="expression" dxfId="98" priority="10" stopIfTrue="1">
      <formula>OR(AND(AJ$3&lt;&gt;"DL1",OFFSET(AJ4,0,-1)=MAX($AJ4:$AQ4)),AJ4=0)</formula>
    </cfRule>
  </conditionalFormatting>
  <conditionalFormatting sqref="A3:CH3">
    <cfRule type="expression" dxfId="97" priority="1">
      <formula>AND(OR(MID(A3,2,1)="W",MID(A3,2,1)="L"),ISNUMBER(VALUE(RIGHT(A3,1))))</formula>
    </cfRule>
  </conditionalFormatting>
  <pageMargins left="0.75" right="0.75" top="1" bottom="1" header="0.5" footer="0.5"/>
  <pageSetup orientation="portrait" horizontalDpi="1200" verticalDpi="1200"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521"/>
  <sheetViews>
    <sheetView workbookViewId="0">
      <selection activeCell="B5" sqref="B5"/>
    </sheetView>
  </sheetViews>
  <sheetFormatPr defaultRowHeight="10.5" x14ac:dyDescent="0.15"/>
  <cols>
    <col min="1" max="1" width="11.7109375" bestFit="1" customWidth="1"/>
    <col min="2" max="2" width="81.140625" bestFit="1" customWidth="1"/>
    <col min="3" max="3" width="11.28515625" bestFit="1" customWidth="1"/>
    <col min="4" max="4" width="81.140625" bestFit="1" customWidth="1"/>
    <col min="5" max="5" width="12" bestFit="1" customWidth="1"/>
    <col min="6" max="6" width="9.5703125" bestFit="1" customWidth="1"/>
    <col min="7" max="7" width="10.140625" bestFit="1" customWidth="1"/>
    <col min="8" max="8" width="17" bestFit="1" customWidth="1"/>
    <col min="9" max="9" width="11.28515625" bestFit="1" customWidth="1"/>
    <col min="10" max="10" width="18.28515625" bestFit="1" customWidth="1"/>
    <col min="11" max="11" width="10.140625" bestFit="1" customWidth="1"/>
    <col min="12" max="12" width="10.7109375" bestFit="1" customWidth="1"/>
    <col min="13" max="13" width="11.28515625" bestFit="1" customWidth="1"/>
    <col min="14" max="14" width="17" bestFit="1" customWidth="1"/>
    <col min="15" max="15" width="11.28515625" bestFit="1" customWidth="1"/>
    <col min="16" max="16" width="81.140625" bestFit="1" customWidth="1"/>
    <col min="18" max="18" width="68" bestFit="1" customWidth="1"/>
    <col min="20" max="20" width="16.85546875" bestFit="1" customWidth="1"/>
    <col min="22" max="22" width="6.85546875" bestFit="1" customWidth="1"/>
    <col min="23" max="23" width="54.5703125" bestFit="1" customWidth="1"/>
  </cols>
  <sheetData>
    <row r="1" spans="1:18" ht="29.25" x14ac:dyDescent="0.35">
      <c r="A1" s="47" t="str">
        <f>HYPERLINK("#"&amp;ADDRESS(ROW(Items[]),COLUMN(Items[])+4,,,"Inputs"),"[ Item List ]")</f>
        <v>[ Item List ]</v>
      </c>
      <c r="B1" s="267" t="s">
        <v>428</v>
      </c>
      <c r="C1" s="266"/>
      <c r="R1" t="str">
        <f ca="1">ADDRESS(ROW(ConstrTypes[])+MATCH("5*",ConstrTypes[],0)-1,COLUMN(ConstrTypes[]),,,REPLACE(CELL("filename",ConstrTypes[]),1,FIND("]",CELL("filename",ConstrTypes[])),""))&amp;":"&amp;ADDRESS(ROW(ConstrTypes[])+MATCH("6*",ConstrTypes[],0)-2,COLUMN(ConstrTypes[]))</f>
        <v>'Pay Items'!$L$41:$L$78</v>
      </c>
    </row>
    <row r="2" spans="1:18" x14ac:dyDescent="0.15">
      <c r="A2" s="263" t="s">
        <v>130</v>
      </c>
      <c r="B2" t="s">
        <v>9182</v>
      </c>
      <c r="C2" t="s">
        <v>9183</v>
      </c>
      <c r="D2" t="s">
        <v>9184</v>
      </c>
      <c r="E2" t="s">
        <v>9185</v>
      </c>
      <c r="F2" t="s">
        <v>9186</v>
      </c>
      <c r="G2" t="s">
        <v>9187</v>
      </c>
      <c r="H2" s="263" t="s">
        <v>429</v>
      </c>
      <c r="I2" s="263" t="s">
        <v>430</v>
      </c>
      <c r="J2" s="263" t="s">
        <v>431</v>
      </c>
      <c r="L2" t="s">
        <v>432</v>
      </c>
      <c r="N2" t="s">
        <v>433</v>
      </c>
      <c r="P2" t="s">
        <v>433</v>
      </c>
      <c r="Q2" t="s">
        <v>155</v>
      </c>
    </row>
    <row r="3" spans="1:18" x14ac:dyDescent="0.15">
      <c r="A3" s="263" t="s">
        <v>189</v>
      </c>
      <c r="B3" s="263" t="s">
        <v>434</v>
      </c>
      <c r="C3" s="263" t="s">
        <v>94</v>
      </c>
      <c r="D3" s="263" t="s">
        <v>435</v>
      </c>
      <c r="E3" s="263" t="s">
        <v>94</v>
      </c>
      <c r="F3">
        <v>0</v>
      </c>
      <c r="G3">
        <v>2</v>
      </c>
      <c r="H3" s="263" t="s">
        <v>436</v>
      </c>
      <c r="I3" s="264"/>
      <c r="J3" s="263" t="s">
        <v>437</v>
      </c>
      <c r="L3" t="s">
        <v>438</v>
      </c>
      <c r="N3" t="s">
        <v>439</v>
      </c>
      <c r="P3" t="s">
        <v>440</v>
      </c>
      <c r="Q3" t="s">
        <v>441</v>
      </c>
    </row>
    <row r="4" spans="1:18" x14ac:dyDescent="0.15">
      <c r="A4" s="263" t="s">
        <v>442</v>
      </c>
      <c r="B4" s="263" t="s">
        <v>443</v>
      </c>
      <c r="C4" s="263" t="s">
        <v>94</v>
      </c>
      <c r="D4" s="263" t="s">
        <v>444</v>
      </c>
      <c r="E4" s="263" t="s">
        <v>94</v>
      </c>
      <c r="F4">
        <v>0</v>
      </c>
      <c r="G4">
        <v>2</v>
      </c>
      <c r="H4" s="263" t="s">
        <v>436</v>
      </c>
      <c r="I4" s="264"/>
      <c r="J4" s="263" t="s">
        <v>437</v>
      </c>
      <c r="L4" t="s">
        <v>445</v>
      </c>
      <c r="N4" t="s">
        <v>446</v>
      </c>
      <c r="P4" t="s">
        <v>447</v>
      </c>
      <c r="Q4" t="s">
        <v>448</v>
      </c>
    </row>
    <row r="5" spans="1:18" x14ac:dyDescent="0.15">
      <c r="A5" s="263" t="s">
        <v>457</v>
      </c>
      <c r="B5" s="263" t="s">
        <v>458</v>
      </c>
      <c r="C5" s="263" t="s">
        <v>90</v>
      </c>
      <c r="D5" s="263" t="s">
        <v>459</v>
      </c>
      <c r="E5" s="263" t="s">
        <v>104</v>
      </c>
      <c r="F5">
        <v>2</v>
      </c>
      <c r="G5">
        <v>2</v>
      </c>
      <c r="H5" s="263" t="s">
        <v>436</v>
      </c>
      <c r="I5" s="264"/>
      <c r="J5" s="263" t="s">
        <v>437</v>
      </c>
      <c r="L5" t="s">
        <v>449</v>
      </c>
      <c r="N5" t="s">
        <v>450</v>
      </c>
      <c r="P5" t="s">
        <v>451</v>
      </c>
      <c r="Q5" t="s">
        <v>452</v>
      </c>
    </row>
    <row r="6" spans="1:18" x14ac:dyDescent="0.15">
      <c r="A6" s="263" t="s">
        <v>190</v>
      </c>
      <c r="B6" s="263" t="s">
        <v>463</v>
      </c>
      <c r="C6" s="263" t="s">
        <v>90</v>
      </c>
      <c r="D6" s="263" t="s">
        <v>464</v>
      </c>
      <c r="E6" s="263" t="s">
        <v>104</v>
      </c>
      <c r="F6">
        <v>2</v>
      </c>
      <c r="G6">
        <v>2</v>
      </c>
      <c r="H6" s="263" t="s">
        <v>436</v>
      </c>
      <c r="I6" s="264"/>
      <c r="J6" s="263" t="s">
        <v>437</v>
      </c>
      <c r="L6" t="s">
        <v>453</v>
      </c>
      <c r="N6" t="s">
        <v>454</v>
      </c>
      <c r="P6" t="s">
        <v>455</v>
      </c>
      <c r="Q6" t="s">
        <v>456</v>
      </c>
    </row>
    <row r="7" spans="1:18" x14ac:dyDescent="0.15">
      <c r="A7" s="263" t="s">
        <v>467</v>
      </c>
      <c r="B7" s="263" t="s">
        <v>468</v>
      </c>
      <c r="C7" s="263" t="s">
        <v>90</v>
      </c>
      <c r="D7" s="263" t="s">
        <v>469</v>
      </c>
      <c r="E7" s="263" t="s">
        <v>104</v>
      </c>
      <c r="F7">
        <v>2</v>
      </c>
      <c r="G7">
        <v>2</v>
      </c>
      <c r="H7" s="263" t="s">
        <v>436</v>
      </c>
      <c r="I7" s="264"/>
      <c r="J7" s="263" t="s">
        <v>437</v>
      </c>
      <c r="L7" t="s">
        <v>460</v>
      </c>
      <c r="N7" t="s">
        <v>461</v>
      </c>
      <c r="P7" t="s">
        <v>446</v>
      </c>
      <c r="Q7" t="s">
        <v>462</v>
      </c>
    </row>
    <row r="8" spans="1:18" x14ac:dyDescent="0.15">
      <c r="A8" s="263" t="s">
        <v>474</v>
      </c>
      <c r="B8" s="263" t="s">
        <v>475</v>
      </c>
      <c r="C8" s="263" t="s">
        <v>94</v>
      </c>
      <c r="D8" s="263" t="s">
        <v>476</v>
      </c>
      <c r="E8" s="263" t="s">
        <v>94</v>
      </c>
      <c r="F8">
        <v>0</v>
      </c>
      <c r="G8">
        <v>2</v>
      </c>
      <c r="H8" s="263" t="s">
        <v>436</v>
      </c>
      <c r="I8" s="264"/>
      <c r="J8" s="263" t="s">
        <v>437</v>
      </c>
      <c r="L8" t="s">
        <v>465</v>
      </c>
      <c r="N8" t="s">
        <v>451</v>
      </c>
      <c r="P8" t="s">
        <v>450</v>
      </c>
      <c r="Q8" t="s">
        <v>466</v>
      </c>
    </row>
    <row r="9" spans="1:18" x14ac:dyDescent="0.15">
      <c r="A9" s="263" t="s">
        <v>481</v>
      </c>
      <c r="B9" s="263" t="s">
        <v>482</v>
      </c>
      <c r="C9" s="263" t="s">
        <v>94</v>
      </c>
      <c r="D9" s="263" t="s">
        <v>483</v>
      </c>
      <c r="E9" s="263" t="s">
        <v>94</v>
      </c>
      <c r="F9">
        <v>0</v>
      </c>
      <c r="G9">
        <v>2</v>
      </c>
      <c r="H9" s="263" t="s">
        <v>436</v>
      </c>
      <c r="I9" s="264"/>
      <c r="J9" s="263" t="s">
        <v>437</v>
      </c>
      <c r="L9" t="s">
        <v>470</v>
      </c>
      <c r="N9" t="s">
        <v>471</v>
      </c>
      <c r="P9" t="s">
        <v>472</v>
      </c>
      <c r="Q9" t="s">
        <v>473</v>
      </c>
    </row>
    <row r="10" spans="1:18" x14ac:dyDescent="0.15">
      <c r="A10" s="263" t="s">
        <v>487</v>
      </c>
      <c r="B10" s="263" t="s">
        <v>488</v>
      </c>
      <c r="C10" s="263" t="s">
        <v>94</v>
      </c>
      <c r="D10" s="263" t="s">
        <v>489</v>
      </c>
      <c r="E10" s="263" t="s">
        <v>94</v>
      </c>
      <c r="F10">
        <v>0</v>
      </c>
      <c r="G10">
        <v>2</v>
      </c>
      <c r="H10" s="263" t="s">
        <v>436</v>
      </c>
      <c r="I10" s="264"/>
      <c r="J10" s="263" t="s">
        <v>437</v>
      </c>
      <c r="L10" t="s">
        <v>477</v>
      </c>
      <c r="N10" t="s">
        <v>478</v>
      </c>
      <c r="P10" t="s">
        <v>479</v>
      </c>
      <c r="Q10" t="s">
        <v>480</v>
      </c>
    </row>
    <row r="11" spans="1:18" x14ac:dyDescent="0.15">
      <c r="A11" s="263" t="s">
        <v>493</v>
      </c>
      <c r="B11" s="263" t="s">
        <v>494</v>
      </c>
      <c r="C11" s="263" t="s">
        <v>94</v>
      </c>
      <c r="D11" s="263" t="s">
        <v>495</v>
      </c>
      <c r="E11" s="263" t="s">
        <v>94</v>
      </c>
      <c r="F11">
        <v>0</v>
      </c>
      <c r="G11">
        <v>2</v>
      </c>
      <c r="H11" s="263" t="s">
        <v>436</v>
      </c>
      <c r="I11" s="264"/>
      <c r="J11" s="263" t="s">
        <v>437</v>
      </c>
      <c r="L11" t="s">
        <v>484</v>
      </c>
      <c r="N11" t="s">
        <v>320</v>
      </c>
      <c r="P11" t="s">
        <v>485</v>
      </c>
      <c r="Q11" t="s">
        <v>486</v>
      </c>
    </row>
    <row r="12" spans="1:18" x14ac:dyDescent="0.15">
      <c r="A12" s="263" t="s">
        <v>500</v>
      </c>
      <c r="B12" s="263" t="s">
        <v>501</v>
      </c>
      <c r="C12" s="263" t="s">
        <v>94</v>
      </c>
      <c r="D12" s="263" t="s">
        <v>502</v>
      </c>
      <c r="E12" s="263" t="s">
        <v>94</v>
      </c>
      <c r="F12">
        <v>0</v>
      </c>
      <c r="G12">
        <v>2</v>
      </c>
      <c r="H12" s="263" t="s">
        <v>436</v>
      </c>
      <c r="I12" s="264"/>
      <c r="J12" s="263" t="s">
        <v>437</v>
      </c>
      <c r="L12" t="s">
        <v>490</v>
      </c>
      <c r="N12" t="s">
        <v>491</v>
      </c>
      <c r="P12" t="s">
        <v>471</v>
      </c>
      <c r="Q12" t="s">
        <v>492</v>
      </c>
    </row>
    <row r="13" spans="1:18" x14ac:dyDescent="0.15">
      <c r="A13" s="263" t="s">
        <v>191</v>
      </c>
      <c r="B13" s="263" t="s">
        <v>507</v>
      </c>
      <c r="C13" s="263" t="s">
        <v>81</v>
      </c>
      <c r="D13" s="263" t="s">
        <v>508</v>
      </c>
      <c r="E13" s="263" t="s">
        <v>88</v>
      </c>
      <c r="F13">
        <v>0</v>
      </c>
      <c r="G13">
        <v>2</v>
      </c>
      <c r="H13" s="263" t="s">
        <v>436</v>
      </c>
      <c r="I13" s="264"/>
      <c r="J13" s="263" t="s">
        <v>437</v>
      </c>
      <c r="L13" t="s">
        <v>496</v>
      </c>
      <c r="N13" t="s">
        <v>497</v>
      </c>
      <c r="P13" t="s">
        <v>498</v>
      </c>
      <c r="Q13" t="s">
        <v>499</v>
      </c>
    </row>
    <row r="14" spans="1:18" x14ac:dyDescent="0.15">
      <c r="A14" s="263" t="s">
        <v>511</v>
      </c>
      <c r="B14" s="263" t="s">
        <v>482</v>
      </c>
      <c r="C14" s="263" t="s">
        <v>81</v>
      </c>
      <c r="D14" s="263" t="s">
        <v>483</v>
      </c>
      <c r="E14" s="263" t="s">
        <v>88</v>
      </c>
      <c r="F14">
        <v>0</v>
      </c>
      <c r="G14">
        <v>2</v>
      </c>
      <c r="H14" s="263" t="s">
        <v>436</v>
      </c>
      <c r="I14" s="264"/>
      <c r="J14" s="263" t="s">
        <v>437</v>
      </c>
      <c r="L14" t="s">
        <v>503</v>
      </c>
      <c r="N14" t="s">
        <v>504</v>
      </c>
      <c r="P14" t="s">
        <v>505</v>
      </c>
      <c r="Q14" t="s">
        <v>506</v>
      </c>
    </row>
    <row r="15" spans="1:18" x14ac:dyDescent="0.15">
      <c r="A15" s="263" t="s">
        <v>192</v>
      </c>
      <c r="B15" s="263" t="s">
        <v>515</v>
      </c>
      <c r="C15" s="263" t="s">
        <v>81</v>
      </c>
      <c r="D15" s="263" t="s">
        <v>516</v>
      </c>
      <c r="E15" s="263" t="s">
        <v>88</v>
      </c>
      <c r="F15">
        <v>0</v>
      </c>
      <c r="G15">
        <v>2</v>
      </c>
      <c r="H15" s="263" t="s">
        <v>436</v>
      </c>
      <c r="I15" s="264"/>
      <c r="J15" s="263" t="s">
        <v>437</v>
      </c>
      <c r="L15" t="s">
        <v>509</v>
      </c>
      <c r="P15" t="s">
        <v>478</v>
      </c>
      <c r="Q15" t="s">
        <v>510</v>
      </c>
    </row>
    <row r="16" spans="1:18" x14ac:dyDescent="0.15">
      <c r="A16" s="263" t="s">
        <v>520</v>
      </c>
      <c r="B16" s="263" t="s">
        <v>521</v>
      </c>
      <c r="C16" s="263" t="s">
        <v>81</v>
      </c>
      <c r="D16" s="263" t="s">
        <v>522</v>
      </c>
      <c r="E16" s="263" t="s">
        <v>88</v>
      </c>
      <c r="F16">
        <v>0</v>
      </c>
      <c r="G16">
        <v>2</v>
      </c>
      <c r="H16" s="263" t="s">
        <v>436</v>
      </c>
      <c r="I16" s="264"/>
      <c r="J16" s="263" t="s">
        <v>437</v>
      </c>
      <c r="L16" t="s">
        <v>512</v>
      </c>
      <c r="P16" t="s">
        <v>513</v>
      </c>
      <c r="Q16" t="s">
        <v>514</v>
      </c>
    </row>
    <row r="17" spans="1:17" x14ac:dyDescent="0.15">
      <c r="A17" s="263" t="s">
        <v>526</v>
      </c>
      <c r="B17" s="263" t="s">
        <v>527</v>
      </c>
      <c r="C17" s="263" t="s">
        <v>81</v>
      </c>
      <c r="D17" s="263" t="s">
        <v>528</v>
      </c>
      <c r="E17" s="263" t="s">
        <v>88</v>
      </c>
      <c r="F17">
        <v>0</v>
      </c>
      <c r="G17">
        <v>2</v>
      </c>
      <c r="H17" s="263" t="s">
        <v>436</v>
      </c>
      <c r="I17" s="264"/>
      <c r="J17" s="263" t="s">
        <v>437</v>
      </c>
      <c r="L17" t="s">
        <v>517</v>
      </c>
      <c r="P17" t="s">
        <v>518</v>
      </c>
      <c r="Q17" t="s">
        <v>519</v>
      </c>
    </row>
    <row r="18" spans="1:17" x14ac:dyDescent="0.15">
      <c r="A18" s="263" t="s">
        <v>532</v>
      </c>
      <c r="B18" s="263" t="s">
        <v>533</v>
      </c>
      <c r="C18" s="263" t="s">
        <v>81</v>
      </c>
      <c r="D18" s="263" t="s">
        <v>534</v>
      </c>
      <c r="E18" s="263" t="s">
        <v>88</v>
      </c>
      <c r="F18">
        <v>0</v>
      </c>
      <c r="G18">
        <v>2</v>
      </c>
      <c r="H18" s="263" t="s">
        <v>436</v>
      </c>
      <c r="I18" s="264"/>
      <c r="J18" s="263" t="s">
        <v>437</v>
      </c>
      <c r="L18" t="s">
        <v>523</v>
      </c>
      <c r="P18" t="s">
        <v>524</v>
      </c>
      <c r="Q18" t="s">
        <v>525</v>
      </c>
    </row>
    <row r="19" spans="1:17" x14ac:dyDescent="0.15">
      <c r="A19" s="263" t="s">
        <v>538</v>
      </c>
      <c r="B19" s="263" t="s">
        <v>539</v>
      </c>
      <c r="C19" s="263" t="s">
        <v>81</v>
      </c>
      <c r="D19" s="263" t="s">
        <v>540</v>
      </c>
      <c r="E19" s="263" t="s">
        <v>88</v>
      </c>
      <c r="F19">
        <v>0</v>
      </c>
      <c r="G19">
        <v>2</v>
      </c>
      <c r="H19" s="263" t="s">
        <v>436</v>
      </c>
      <c r="I19" s="264"/>
      <c r="J19" s="263" t="s">
        <v>437</v>
      </c>
      <c r="L19" t="s">
        <v>529</v>
      </c>
      <c r="P19" t="s">
        <v>530</v>
      </c>
      <c r="Q19" t="s">
        <v>531</v>
      </c>
    </row>
    <row r="20" spans="1:17" x14ac:dyDescent="0.15">
      <c r="A20" s="263" t="s">
        <v>544</v>
      </c>
      <c r="B20" s="263" t="s">
        <v>501</v>
      </c>
      <c r="C20" s="263" t="s">
        <v>81</v>
      </c>
      <c r="D20" s="263" t="s">
        <v>502</v>
      </c>
      <c r="E20" s="263" t="s">
        <v>88</v>
      </c>
      <c r="F20">
        <v>0</v>
      </c>
      <c r="G20">
        <v>2</v>
      </c>
      <c r="H20" s="263" t="s">
        <v>436</v>
      </c>
      <c r="I20" s="264"/>
      <c r="J20" s="263" t="s">
        <v>437</v>
      </c>
      <c r="L20" t="s">
        <v>535</v>
      </c>
      <c r="P20" t="s">
        <v>536</v>
      </c>
      <c r="Q20" t="s">
        <v>537</v>
      </c>
    </row>
    <row r="21" spans="1:17" x14ac:dyDescent="0.15">
      <c r="A21" s="263" t="s">
        <v>548</v>
      </c>
      <c r="B21" s="263" t="s">
        <v>549</v>
      </c>
      <c r="C21" s="263" t="s">
        <v>81</v>
      </c>
      <c r="D21" s="263" t="s">
        <v>550</v>
      </c>
      <c r="E21" s="263" t="s">
        <v>88</v>
      </c>
      <c r="F21">
        <v>0</v>
      </c>
      <c r="G21">
        <v>2</v>
      </c>
      <c r="H21" s="263" t="s">
        <v>436</v>
      </c>
      <c r="I21" s="264"/>
      <c r="J21" s="263" t="s">
        <v>437</v>
      </c>
      <c r="L21" t="s">
        <v>541</v>
      </c>
      <c r="P21" t="s">
        <v>542</v>
      </c>
      <c r="Q21" t="s">
        <v>543</v>
      </c>
    </row>
    <row r="22" spans="1:17" x14ac:dyDescent="0.15">
      <c r="A22" s="263" t="s">
        <v>554</v>
      </c>
      <c r="B22" s="263" t="s">
        <v>539</v>
      </c>
      <c r="C22" s="263" t="s">
        <v>90</v>
      </c>
      <c r="D22" s="263" t="s">
        <v>540</v>
      </c>
      <c r="E22" s="263" t="s">
        <v>104</v>
      </c>
      <c r="F22">
        <v>2</v>
      </c>
      <c r="G22">
        <v>2</v>
      </c>
      <c r="H22" s="263" t="s">
        <v>436</v>
      </c>
      <c r="I22" s="264"/>
      <c r="J22" s="263" t="s">
        <v>437</v>
      </c>
      <c r="L22" t="s">
        <v>545</v>
      </c>
      <c r="P22" t="s">
        <v>546</v>
      </c>
      <c r="Q22" t="s">
        <v>547</v>
      </c>
    </row>
    <row r="23" spans="1:17" x14ac:dyDescent="0.15">
      <c r="A23" s="263" t="s">
        <v>561</v>
      </c>
      <c r="B23" s="263" t="s">
        <v>562</v>
      </c>
      <c r="C23" s="263" t="s">
        <v>90</v>
      </c>
      <c r="D23" s="263" t="s">
        <v>563</v>
      </c>
      <c r="E23" s="263" t="s">
        <v>104</v>
      </c>
      <c r="F23">
        <v>2</v>
      </c>
      <c r="G23">
        <v>2</v>
      </c>
      <c r="H23" s="263" t="s">
        <v>436</v>
      </c>
      <c r="I23" s="264"/>
      <c r="J23" s="263" t="s">
        <v>437</v>
      </c>
      <c r="L23" t="s">
        <v>551</v>
      </c>
      <c r="P23" t="s">
        <v>552</v>
      </c>
      <c r="Q23" t="s">
        <v>553</v>
      </c>
    </row>
    <row r="24" spans="1:17" x14ac:dyDescent="0.15">
      <c r="A24" s="263" t="s">
        <v>567</v>
      </c>
      <c r="B24" s="263" t="s">
        <v>475</v>
      </c>
      <c r="C24" s="263" t="s">
        <v>87</v>
      </c>
      <c r="D24" s="263" t="s">
        <v>476</v>
      </c>
      <c r="E24" s="263" t="s">
        <v>93</v>
      </c>
      <c r="F24">
        <v>0</v>
      </c>
      <c r="G24">
        <v>2</v>
      </c>
      <c r="H24" s="263" t="s">
        <v>436</v>
      </c>
      <c r="I24" s="264"/>
      <c r="J24" s="263" t="s">
        <v>437</v>
      </c>
      <c r="L24" t="s">
        <v>555</v>
      </c>
      <c r="P24" t="s">
        <v>556</v>
      </c>
      <c r="Q24" t="s">
        <v>557</v>
      </c>
    </row>
    <row r="25" spans="1:17" x14ac:dyDescent="0.15">
      <c r="A25" s="263" t="s">
        <v>571</v>
      </c>
      <c r="B25" s="263" t="s">
        <v>572</v>
      </c>
      <c r="C25" s="263" t="s">
        <v>90</v>
      </c>
      <c r="D25" s="263" t="s">
        <v>573</v>
      </c>
      <c r="E25" s="263" t="s">
        <v>104</v>
      </c>
      <c r="F25">
        <v>2</v>
      </c>
      <c r="G25">
        <v>2</v>
      </c>
      <c r="H25" s="263" t="s">
        <v>436</v>
      </c>
      <c r="I25" s="264"/>
      <c r="J25" s="263" t="s">
        <v>437</v>
      </c>
      <c r="L25" t="s">
        <v>558</v>
      </c>
      <c r="P25" t="s">
        <v>559</v>
      </c>
      <c r="Q25" t="s">
        <v>560</v>
      </c>
    </row>
    <row r="26" spans="1:17" x14ac:dyDescent="0.15">
      <c r="A26" s="263" t="s">
        <v>577</v>
      </c>
      <c r="B26" s="263" t="s">
        <v>578</v>
      </c>
      <c r="C26" s="263" t="s">
        <v>90</v>
      </c>
      <c r="D26" s="263" t="s">
        <v>579</v>
      </c>
      <c r="E26" s="263" t="s">
        <v>104</v>
      </c>
      <c r="F26">
        <v>2</v>
      </c>
      <c r="G26">
        <v>2</v>
      </c>
      <c r="H26" s="263" t="s">
        <v>436</v>
      </c>
      <c r="I26" s="264"/>
      <c r="J26" s="263" t="s">
        <v>437</v>
      </c>
      <c r="L26" t="s">
        <v>564</v>
      </c>
      <c r="P26" t="s">
        <v>565</v>
      </c>
      <c r="Q26" t="s">
        <v>566</v>
      </c>
    </row>
    <row r="27" spans="1:17" x14ac:dyDescent="0.15">
      <c r="A27" s="263" t="s">
        <v>194</v>
      </c>
      <c r="B27" s="263" t="s">
        <v>583</v>
      </c>
      <c r="C27" s="263" t="s">
        <v>94</v>
      </c>
      <c r="D27" s="263" t="s">
        <v>584</v>
      </c>
      <c r="E27" s="263" t="s">
        <v>94</v>
      </c>
      <c r="F27">
        <v>0</v>
      </c>
      <c r="G27">
        <v>2</v>
      </c>
      <c r="H27" s="263" t="s">
        <v>436</v>
      </c>
      <c r="I27" s="264"/>
      <c r="J27" s="263" t="s">
        <v>437</v>
      </c>
      <c r="L27" t="s">
        <v>568</v>
      </c>
      <c r="P27" t="s">
        <v>569</v>
      </c>
      <c r="Q27" t="s">
        <v>570</v>
      </c>
    </row>
    <row r="28" spans="1:17" x14ac:dyDescent="0.15">
      <c r="A28" s="263" t="s">
        <v>588</v>
      </c>
      <c r="B28" s="263" t="s">
        <v>589</v>
      </c>
      <c r="C28" s="263" t="s">
        <v>94</v>
      </c>
      <c r="D28" s="263" t="s">
        <v>590</v>
      </c>
      <c r="E28" s="263" t="s">
        <v>94</v>
      </c>
      <c r="F28">
        <v>0</v>
      </c>
      <c r="G28">
        <v>2</v>
      </c>
      <c r="H28" s="263" t="s">
        <v>436</v>
      </c>
      <c r="I28" s="264"/>
      <c r="J28" s="263" t="s">
        <v>437</v>
      </c>
      <c r="L28" t="s">
        <v>574</v>
      </c>
      <c r="P28" t="s">
        <v>575</v>
      </c>
      <c r="Q28" t="s">
        <v>576</v>
      </c>
    </row>
    <row r="29" spans="1:17" x14ac:dyDescent="0.15">
      <c r="A29" s="263" t="s">
        <v>195</v>
      </c>
      <c r="B29" s="263" t="s">
        <v>600</v>
      </c>
      <c r="C29" s="263" t="s">
        <v>94</v>
      </c>
      <c r="D29" s="263" t="s">
        <v>601</v>
      </c>
      <c r="E29" s="263" t="s">
        <v>94</v>
      </c>
      <c r="F29">
        <v>0</v>
      </c>
      <c r="G29">
        <v>2</v>
      </c>
      <c r="H29" s="263" t="s">
        <v>436</v>
      </c>
      <c r="I29" s="264"/>
      <c r="J29" s="263" t="s">
        <v>437</v>
      </c>
      <c r="L29" t="s">
        <v>580</v>
      </c>
      <c r="P29" t="s">
        <v>581</v>
      </c>
      <c r="Q29" t="s">
        <v>582</v>
      </c>
    </row>
    <row r="30" spans="1:17" x14ac:dyDescent="0.15">
      <c r="A30" s="263" t="s">
        <v>196</v>
      </c>
      <c r="B30" s="263" t="s">
        <v>605</v>
      </c>
      <c r="C30" s="263" t="s">
        <v>94</v>
      </c>
      <c r="D30" s="263" t="s">
        <v>606</v>
      </c>
      <c r="E30" s="263" t="s">
        <v>94</v>
      </c>
      <c r="F30">
        <v>0</v>
      </c>
      <c r="G30">
        <v>2</v>
      </c>
      <c r="H30" s="263" t="s">
        <v>436</v>
      </c>
      <c r="I30" s="264"/>
      <c r="J30" s="263" t="s">
        <v>437</v>
      </c>
      <c r="L30" t="s">
        <v>585</v>
      </c>
      <c r="P30" t="s">
        <v>586</v>
      </c>
      <c r="Q30" t="s">
        <v>587</v>
      </c>
    </row>
    <row r="31" spans="1:17" x14ac:dyDescent="0.15">
      <c r="A31" s="263" t="s">
        <v>610</v>
      </c>
      <c r="B31" s="263" t="s">
        <v>611</v>
      </c>
      <c r="C31" s="263" t="s">
        <v>94</v>
      </c>
      <c r="D31" s="263" t="s">
        <v>612</v>
      </c>
      <c r="E31" s="263" t="s">
        <v>94</v>
      </c>
      <c r="F31">
        <v>0</v>
      </c>
      <c r="G31">
        <v>2</v>
      </c>
      <c r="H31" s="263" t="s">
        <v>436</v>
      </c>
      <c r="I31" s="264"/>
      <c r="J31" s="263" t="s">
        <v>437</v>
      </c>
      <c r="L31" t="s">
        <v>591</v>
      </c>
      <c r="P31" t="s">
        <v>592</v>
      </c>
      <c r="Q31" t="s">
        <v>593</v>
      </c>
    </row>
    <row r="32" spans="1:17" x14ac:dyDescent="0.15">
      <c r="A32" s="263" t="s">
        <v>616</v>
      </c>
      <c r="B32" s="263" t="s">
        <v>9188</v>
      </c>
      <c r="C32" s="263" t="s">
        <v>94</v>
      </c>
      <c r="D32" s="263" t="s">
        <v>9189</v>
      </c>
      <c r="E32" s="263" t="s">
        <v>94</v>
      </c>
      <c r="F32">
        <v>0</v>
      </c>
      <c r="G32">
        <v>2</v>
      </c>
      <c r="H32" s="263" t="s">
        <v>436</v>
      </c>
      <c r="I32" s="264"/>
      <c r="J32" s="263" t="s">
        <v>437</v>
      </c>
      <c r="L32" t="s">
        <v>594</v>
      </c>
      <c r="P32" t="s">
        <v>595</v>
      </c>
      <c r="Q32" t="s">
        <v>596</v>
      </c>
    </row>
    <row r="33" spans="1:17" x14ac:dyDescent="0.15">
      <c r="A33" s="263" t="s">
        <v>620</v>
      </c>
      <c r="B33" s="263" t="s">
        <v>9190</v>
      </c>
      <c r="C33" s="263" t="s">
        <v>94</v>
      </c>
      <c r="D33" s="263" t="s">
        <v>9191</v>
      </c>
      <c r="E33" s="263" t="s">
        <v>94</v>
      </c>
      <c r="F33">
        <v>0</v>
      </c>
      <c r="G33">
        <v>2</v>
      </c>
      <c r="H33" s="263" t="s">
        <v>436</v>
      </c>
      <c r="I33" s="264"/>
      <c r="J33" s="263" t="s">
        <v>437</v>
      </c>
      <c r="L33" t="s">
        <v>597</v>
      </c>
      <c r="P33" t="s">
        <v>598</v>
      </c>
      <c r="Q33" t="s">
        <v>599</v>
      </c>
    </row>
    <row r="34" spans="1:17" x14ac:dyDescent="0.15">
      <c r="A34" s="263" t="s">
        <v>624</v>
      </c>
      <c r="B34" s="263" t="s">
        <v>625</v>
      </c>
      <c r="C34" s="263" t="s">
        <v>94</v>
      </c>
      <c r="D34" s="263" t="s">
        <v>626</v>
      </c>
      <c r="E34" s="263" t="s">
        <v>94</v>
      </c>
      <c r="F34">
        <v>0</v>
      </c>
      <c r="G34">
        <v>2</v>
      </c>
      <c r="H34" s="263" t="s">
        <v>436</v>
      </c>
      <c r="I34" s="264"/>
      <c r="J34" s="263" t="s">
        <v>437</v>
      </c>
      <c r="L34" t="s">
        <v>602</v>
      </c>
      <c r="P34" t="s">
        <v>603</v>
      </c>
      <c r="Q34" t="s">
        <v>604</v>
      </c>
    </row>
    <row r="35" spans="1:17" x14ac:dyDescent="0.15">
      <c r="A35" s="263" t="s">
        <v>630</v>
      </c>
      <c r="B35" s="263" t="s">
        <v>631</v>
      </c>
      <c r="C35" s="263" t="s">
        <v>94</v>
      </c>
      <c r="D35" s="263" t="s">
        <v>632</v>
      </c>
      <c r="E35" s="263" t="s">
        <v>94</v>
      </c>
      <c r="F35">
        <v>0</v>
      </c>
      <c r="G35">
        <v>2</v>
      </c>
      <c r="H35" s="263" t="s">
        <v>436</v>
      </c>
      <c r="I35" s="264"/>
      <c r="J35" s="263" t="s">
        <v>437</v>
      </c>
      <c r="L35" t="s">
        <v>607</v>
      </c>
      <c r="P35" t="s">
        <v>608</v>
      </c>
      <c r="Q35" t="s">
        <v>609</v>
      </c>
    </row>
    <row r="36" spans="1:17" x14ac:dyDescent="0.15">
      <c r="A36" s="263" t="s">
        <v>636</v>
      </c>
      <c r="B36" s="263" t="s">
        <v>9192</v>
      </c>
      <c r="C36" s="263" t="s">
        <v>94</v>
      </c>
      <c r="D36" s="263" t="s">
        <v>9193</v>
      </c>
      <c r="E36" s="263" t="s">
        <v>94</v>
      </c>
      <c r="F36">
        <v>0</v>
      </c>
      <c r="G36">
        <v>2</v>
      </c>
      <c r="H36" s="263" t="s">
        <v>436</v>
      </c>
      <c r="I36" s="264"/>
      <c r="J36" s="263" t="s">
        <v>437</v>
      </c>
      <c r="L36" t="s">
        <v>613</v>
      </c>
      <c r="P36" t="s">
        <v>614</v>
      </c>
      <c r="Q36" t="s">
        <v>615</v>
      </c>
    </row>
    <row r="37" spans="1:17" x14ac:dyDescent="0.15">
      <c r="A37" s="263" t="s">
        <v>638</v>
      </c>
      <c r="B37" s="263" t="s">
        <v>9194</v>
      </c>
      <c r="C37" s="263" t="s">
        <v>94</v>
      </c>
      <c r="D37" s="263" t="s">
        <v>9195</v>
      </c>
      <c r="E37" s="263" t="s">
        <v>94</v>
      </c>
      <c r="F37">
        <v>0</v>
      </c>
      <c r="G37">
        <v>2</v>
      </c>
      <c r="H37" s="263" t="s">
        <v>436</v>
      </c>
      <c r="I37" s="264"/>
      <c r="J37" s="263" t="s">
        <v>437</v>
      </c>
      <c r="L37" t="s">
        <v>617</v>
      </c>
      <c r="P37" t="s">
        <v>618</v>
      </c>
      <c r="Q37" t="s">
        <v>619</v>
      </c>
    </row>
    <row r="38" spans="1:17" x14ac:dyDescent="0.15">
      <c r="A38" s="263" t="s">
        <v>640</v>
      </c>
      <c r="B38" s="263" t="s">
        <v>641</v>
      </c>
      <c r="C38" s="263" t="s">
        <v>85</v>
      </c>
      <c r="D38" s="263" t="s">
        <v>642</v>
      </c>
      <c r="E38" s="263" t="s">
        <v>79</v>
      </c>
      <c r="F38">
        <v>1</v>
      </c>
      <c r="G38">
        <v>2</v>
      </c>
      <c r="H38" s="263" t="s">
        <v>436</v>
      </c>
      <c r="I38" s="264"/>
      <c r="J38" s="263" t="s">
        <v>437</v>
      </c>
      <c r="L38" t="s">
        <v>621</v>
      </c>
      <c r="P38" t="s">
        <v>622</v>
      </c>
      <c r="Q38" t="s">
        <v>623</v>
      </c>
    </row>
    <row r="39" spans="1:17" x14ac:dyDescent="0.15">
      <c r="A39" s="263" t="s">
        <v>644</v>
      </c>
      <c r="B39" s="263" t="s">
        <v>645</v>
      </c>
      <c r="C39" s="263" t="s">
        <v>85</v>
      </c>
      <c r="D39" s="263" t="s">
        <v>646</v>
      </c>
      <c r="E39" s="263" t="s">
        <v>79</v>
      </c>
      <c r="F39">
        <v>1</v>
      </c>
      <c r="G39">
        <v>2</v>
      </c>
      <c r="H39" s="263" t="s">
        <v>436</v>
      </c>
      <c r="I39" s="264"/>
      <c r="J39" s="263" t="s">
        <v>437</v>
      </c>
      <c r="L39" t="s">
        <v>627</v>
      </c>
      <c r="P39" t="s">
        <v>628</v>
      </c>
      <c r="Q39" t="s">
        <v>629</v>
      </c>
    </row>
    <row r="40" spans="1:17" x14ac:dyDescent="0.15">
      <c r="A40" s="263" t="s">
        <v>648</v>
      </c>
      <c r="B40" s="263" t="s">
        <v>649</v>
      </c>
      <c r="C40" s="263" t="s">
        <v>85</v>
      </c>
      <c r="D40" s="263" t="s">
        <v>650</v>
      </c>
      <c r="E40" s="263" t="s">
        <v>79</v>
      </c>
      <c r="F40">
        <v>1</v>
      </c>
      <c r="G40">
        <v>2</v>
      </c>
      <c r="H40" s="263" t="s">
        <v>436</v>
      </c>
      <c r="I40" s="264"/>
      <c r="J40" s="263" t="s">
        <v>437</v>
      </c>
      <c r="L40" t="s">
        <v>633</v>
      </c>
      <c r="P40" t="s">
        <v>634</v>
      </c>
      <c r="Q40" t="s">
        <v>635</v>
      </c>
    </row>
    <row r="41" spans="1:17" x14ac:dyDescent="0.15">
      <c r="A41" s="263" t="s">
        <v>652</v>
      </c>
      <c r="B41" s="263" t="s">
        <v>653</v>
      </c>
      <c r="C41" s="263" t="s">
        <v>85</v>
      </c>
      <c r="D41" s="263" t="s">
        <v>654</v>
      </c>
      <c r="E41" s="263" t="s">
        <v>79</v>
      </c>
      <c r="F41">
        <v>1</v>
      </c>
      <c r="G41">
        <v>2</v>
      </c>
      <c r="H41" s="263" t="s">
        <v>436</v>
      </c>
      <c r="I41" s="264"/>
      <c r="J41" s="263" t="s">
        <v>437</v>
      </c>
      <c r="L41" t="s">
        <v>637</v>
      </c>
    </row>
    <row r="42" spans="1:17" x14ac:dyDescent="0.15">
      <c r="A42" s="263" t="s">
        <v>656</v>
      </c>
      <c r="B42" s="263" t="s">
        <v>657</v>
      </c>
      <c r="C42" s="263" t="s">
        <v>85</v>
      </c>
      <c r="D42" s="263" t="s">
        <v>658</v>
      </c>
      <c r="E42" s="263" t="s">
        <v>79</v>
      </c>
      <c r="F42">
        <v>1</v>
      </c>
      <c r="G42">
        <v>2</v>
      </c>
      <c r="H42" s="263" t="s">
        <v>436</v>
      </c>
      <c r="I42" s="264"/>
      <c r="J42" s="263" t="s">
        <v>437</v>
      </c>
      <c r="L42" t="s">
        <v>639</v>
      </c>
    </row>
    <row r="43" spans="1:17" x14ac:dyDescent="0.15">
      <c r="A43" s="263" t="s">
        <v>660</v>
      </c>
      <c r="B43" s="263" t="s">
        <v>661</v>
      </c>
      <c r="C43" s="263" t="s">
        <v>98</v>
      </c>
      <c r="D43" s="263" t="s">
        <v>662</v>
      </c>
      <c r="E43" s="263" t="s">
        <v>110</v>
      </c>
      <c r="F43">
        <v>0</v>
      </c>
      <c r="G43">
        <v>2</v>
      </c>
      <c r="H43" s="263" t="s">
        <v>436</v>
      </c>
      <c r="I43" s="264"/>
      <c r="J43" s="263" t="s">
        <v>437</v>
      </c>
      <c r="L43" t="s">
        <v>643</v>
      </c>
    </row>
    <row r="44" spans="1:17" x14ac:dyDescent="0.15">
      <c r="A44" s="263" t="s">
        <v>664</v>
      </c>
      <c r="B44" s="263" t="s">
        <v>665</v>
      </c>
      <c r="C44" s="263" t="s">
        <v>98</v>
      </c>
      <c r="D44" s="263" t="s">
        <v>666</v>
      </c>
      <c r="E44" s="263" t="s">
        <v>110</v>
      </c>
      <c r="F44">
        <v>0</v>
      </c>
      <c r="G44">
        <v>2</v>
      </c>
      <c r="H44" s="263" t="s">
        <v>436</v>
      </c>
      <c r="I44" s="264"/>
      <c r="J44" s="263" t="s">
        <v>437</v>
      </c>
      <c r="L44" t="s">
        <v>647</v>
      </c>
    </row>
    <row r="45" spans="1:17" x14ac:dyDescent="0.15">
      <c r="A45" s="263" t="s">
        <v>668</v>
      </c>
      <c r="B45" s="263" t="s">
        <v>669</v>
      </c>
      <c r="C45" s="263" t="s">
        <v>98</v>
      </c>
      <c r="D45" s="263" t="s">
        <v>670</v>
      </c>
      <c r="E45" s="263" t="s">
        <v>110</v>
      </c>
      <c r="F45">
        <v>0</v>
      </c>
      <c r="G45">
        <v>2</v>
      </c>
      <c r="H45" s="263" t="s">
        <v>436</v>
      </c>
      <c r="I45" s="264"/>
      <c r="J45" s="263" t="s">
        <v>437</v>
      </c>
      <c r="L45" t="s">
        <v>651</v>
      </c>
    </row>
    <row r="46" spans="1:17" x14ac:dyDescent="0.15">
      <c r="A46" s="263" t="s">
        <v>197</v>
      </c>
      <c r="B46" s="263" t="s">
        <v>673</v>
      </c>
      <c r="C46" s="263" t="s">
        <v>96</v>
      </c>
      <c r="D46" s="263" t="s">
        <v>674</v>
      </c>
      <c r="E46" s="263" t="s">
        <v>97</v>
      </c>
      <c r="F46">
        <v>0</v>
      </c>
      <c r="G46">
        <v>2</v>
      </c>
      <c r="H46" s="263" t="s">
        <v>436</v>
      </c>
      <c r="I46" s="264"/>
      <c r="J46" s="263" t="s">
        <v>437</v>
      </c>
      <c r="L46" t="s">
        <v>655</v>
      </c>
    </row>
    <row r="47" spans="1:17" x14ac:dyDescent="0.15">
      <c r="A47" s="263" t="s">
        <v>677</v>
      </c>
      <c r="B47" s="263" t="s">
        <v>678</v>
      </c>
      <c r="C47" s="263" t="s">
        <v>96</v>
      </c>
      <c r="D47" s="263" t="s">
        <v>679</v>
      </c>
      <c r="E47" s="263" t="s">
        <v>97</v>
      </c>
      <c r="F47">
        <v>0</v>
      </c>
      <c r="G47">
        <v>2</v>
      </c>
      <c r="H47" s="263" t="s">
        <v>436</v>
      </c>
      <c r="I47" s="264"/>
      <c r="J47" s="263" t="s">
        <v>437</v>
      </c>
      <c r="L47" t="s">
        <v>659</v>
      </c>
    </row>
    <row r="48" spans="1:17" x14ac:dyDescent="0.15">
      <c r="A48" s="263" t="s">
        <v>681</v>
      </c>
      <c r="B48" s="263" t="s">
        <v>682</v>
      </c>
      <c r="C48" s="263" t="s">
        <v>96</v>
      </c>
      <c r="D48" s="263" t="s">
        <v>683</v>
      </c>
      <c r="E48" s="263" t="s">
        <v>97</v>
      </c>
      <c r="F48">
        <v>0</v>
      </c>
      <c r="G48">
        <v>2</v>
      </c>
      <c r="H48" s="263" t="s">
        <v>436</v>
      </c>
      <c r="I48" s="264"/>
      <c r="J48" s="263" t="s">
        <v>437</v>
      </c>
      <c r="L48" t="s">
        <v>663</v>
      </c>
    </row>
    <row r="49" spans="1:12" x14ac:dyDescent="0.15">
      <c r="A49" s="263" t="s">
        <v>685</v>
      </c>
      <c r="B49" s="263" t="s">
        <v>686</v>
      </c>
      <c r="C49" s="263" t="s">
        <v>96</v>
      </c>
      <c r="D49" s="263" t="s">
        <v>687</v>
      </c>
      <c r="E49" s="263" t="s">
        <v>97</v>
      </c>
      <c r="F49">
        <v>0</v>
      </c>
      <c r="G49">
        <v>2</v>
      </c>
      <c r="H49" s="263" t="s">
        <v>436</v>
      </c>
      <c r="I49" s="264"/>
      <c r="J49" s="263" t="s">
        <v>437</v>
      </c>
      <c r="L49" t="s">
        <v>667</v>
      </c>
    </row>
    <row r="50" spans="1:12" x14ac:dyDescent="0.15">
      <c r="A50" s="263" t="s">
        <v>689</v>
      </c>
      <c r="B50" s="263" t="s">
        <v>690</v>
      </c>
      <c r="C50" s="263" t="s">
        <v>96</v>
      </c>
      <c r="D50" s="263" t="s">
        <v>691</v>
      </c>
      <c r="E50" s="263" t="s">
        <v>97</v>
      </c>
      <c r="F50">
        <v>0</v>
      </c>
      <c r="G50">
        <v>2</v>
      </c>
      <c r="H50" s="263" t="s">
        <v>436</v>
      </c>
      <c r="I50" s="264"/>
      <c r="J50" s="263" t="s">
        <v>437</v>
      </c>
      <c r="L50" t="s">
        <v>671</v>
      </c>
    </row>
    <row r="51" spans="1:12" x14ac:dyDescent="0.15">
      <c r="A51" s="263" t="s">
        <v>693</v>
      </c>
      <c r="B51" s="263" t="s">
        <v>694</v>
      </c>
      <c r="C51" s="263" t="s">
        <v>96</v>
      </c>
      <c r="D51" s="263" t="s">
        <v>695</v>
      </c>
      <c r="E51" s="263" t="s">
        <v>97</v>
      </c>
      <c r="F51">
        <v>0</v>
      </c>
      <c r="G51">
        <v>2</v>
      </c>
      <c r="H51" s="263" t="s">
        <v>436</v>
      </c>
      <c r="I51" s="264"/>
      <c r="J51" s="263" t="s">
        <v>437</v>
      </c>
      <c r="L51" t="s">
        <v>672</v>
      </c>
    </row>
    <row r="52" spans="1:12" x14ac:dyDescent="0.15">
      <c r="A52" s="263" t="s">
        <v>697</v>
      </c>
      <c r="B52" s="263" t="s">
        <v>698</v>
      </c>
      <c r="C52" s="263" t="s">
        <v>96</v>
      </c>
      <c r="D52" s="263" t="s">
        <v>699</v>
      </c>
      <c r="E52" s="263" t="s">
        <v>97</v>
      </c>
      <c r="F52">
        <v>0</v>
      </c>
      <c r="G52">
        <v>2</v>
      </c>
      <c r="H52" s="263" t="s">
        <v>436</v>
      </c>
      <c r="I52" s="264"/>
      <c r="J52" s="263" t="s">
        <v>437</v>
      </c>
      <c r="L52" t="s">
        <v>675</v>
      </c>
    </row>
    <row r="53" spans="1:12" x14ac:dyDescent="0.15">
      <c r="A53" s="263" t="s">
        <v>701</v>
      </c>
      <c r="B53" s="263" t="s">
        <v>702</v>
      </c>
      <c r="C53" s="263" t="s">
        <v>96</v>
      </c>
      <c r="D53" s="263" t="s">
        <v>703</v>
      </c>
      <c r="E53" s="263" t="s">
        <v>97</v>
      </c>
      <c r="F53">
        <v>0</v>
      </c>
      <c r="G53">
        <v>2</v>
      </c>
      <c r="H53" s="263" t="s">
        <v>436</v>
      </c>
      <c r="I53" s="264"/>
      <c r="J53" s="263" t="s">
        <v>437</v>
      </c>
      <c r="L53" t="s">
        <v>676</v>
      </c>
    </row>
    <row r="54" spans="1:12" x14ac:dyDescent="0.15">
      <c r="A54" s="263" t="s">
        <v>705</v>
      </c>
      <c r="B54" s="263" t="s">
        <v>706</v>
      </c>
      <c r="C54" s="263" t="s">
        <v>96</v>
      </c>
      <c r="D54" s="263" t="s">
        <v>707</v>
      </c>
      <c r="E54" s="263" t="s">
        <v>97</v>
      </c>
      <c r="F54">
        <v>0</v>
      </c>
      <c r="G54">
        <v>2</v>
      </c>
      <c r="H54" s="263" t="s">
        <v>436</v>
      </c>
      <c r="I54" s="264"/>
      <c r="J54" s="263" t="s">
        <v>437</v>
      </c>
      <c r="L54" t="s">
        <v>680</v>
      </c>
    </row>
    <row r="55" spans="1:12" x14ac:dyDescent="0.15">
      <c r="A55" s="263" t="s">
        <v>709</v>
      </c>
      <c r="B55" s="263" t="s">
        <v>710</v>
      </c>
      <c r="C55" s="263" t="s">
        <v>96</v>
      </c>
      <c r="D55" s="263" t="s">
        <v>711</v>
      </c>
      <c r="E55" s="263" t="s">
        <v>97</v>
      </c>
      <c r="F55">
        <v>0</v>
      </c>
      <c r="G55">
        <v>2</v>
      </c>
      <c r="H55" s="263" t="s">
        <v>436</v>
      </c>
      <c r="I55" s="264"/>
      <c r="J55" s="263" t="s">
        <v>437</v>
      </c>
      <c r="L55" t="s">
        <v>684</v>
      </c>
    </row>
    <row r="56" spans="1:12" x14ac:dyDescent="0.15">
      <c r="A56" s="263" t="s">
        <v>713</v>
      </c>
      <c r="B56" s="263" t="s">
        <v>714</v>
      </c>
      <c r="C56" s="263" t="s">
        <v>96</v>
      </c>
      <c r="D56" s="263" t="s">
        <v>715</v>
      </c>
      <c r="E56" s="263" t="s">
        <v>97</v>
      </c>
      <c r="F56">
        <v>0</v>
      </c>
      <c r="G56">
        <v>2</v>
      </c>
      <c r="H56" s="263" t="s">
        <v>436</v>
      </c>
      <c r="I56" s="264"/>
      <c r="J56" s="263" t="s">
        <v>437</v>
      </c>
      <c r="L56" t="s">
        <v>688</v>
      </c>
    </row>
    <row r="57" spans="1:12" x14ac:dyDescent="0.15">
      <c r="A57" s="263" t="s">
        <v>717</v>
      </c>
      <c r="B57" s="263" t="s">
        <v>9188</v>
      </c>
      <c r="C57" s="263" t="s">
        <v>96</v>
      </c>
      <c r="D57" s="263" t="s">
        <v>9189</v>
      </c>
      <c r="E57" s="263" t="s">
        <v>97</v>
      </c>
      <c r="F57">
        <v>0</v>
      </c>
      <c r="G57">
        <v>2</v>
      </c>
      <c r="H57" s="263" t="s">
        <v>436</v>
      </c>
      <c r="I57" s="264"/>
      <c r="J57" s="263" t="s">
        <v>437</v>
      </c>
      <c r="L57" t="s">
        <v>692</v>
      </c>
    </row>
    <row r="58" spans="1:12" x14ac:dyDescent="0.15">
      <c r="A58" s="263" t="s">
        <v>198</v>
      </c>
      <c r="B58" s="263" t="s">
        <v>719</v>
      </c>
      <c r="C58" s="263" t="s">
        <v>96</v>
      </c>
      <c r="D58" s="263" t="s">
        <v>720</v>
      </c>
      <c r="E58" s="263" t="s">
        <v>97</v>
      </c>
      <c r="F58">
        <v>0</v>
      </c>
      <c r="G58">
        <v>2</v>
      </c>
      <c r="H58" s="263" t="s">
        <v>436</v>
      </c>
      <c r="I58" s="264"/>
      <c r="J58" s="263" t="s">
        <v>437</v>
      </c>
      <c r="L58" t="s">
        <v>696</v>
      </c>
    </row>
    <row r="59" spans="1:12" x14ac:dyDescent="0.15">
      <c r="A59" s="263" t="s">
        <v>722</v>
      </c>
      <c r="B59" s="263" t="s">
        <v>723</v>
      </c>
      <c r="C59" s="263" t="s">
        <v>96</v>
      </c>
      <c r="D59" s="263" t="s">
        <v>724</v>
      </c>
      <c r="E59" s="263" t="s">
        <v>97</v>
      </c>
      <c r="F59">
        <v>0</v>
      </c>
      <c r="G59">
        <v>2</v>
      </c>
      <c r="H59" s="263" t="s">
        <v>436</v>
      </c>
      <c r="I59" s="264"/>
      <c r="J59" s="263" t="s">
        <v>437</v>
      </c>
      <c r="L59" t="s">
        <v>700</v>
      </c>
    </row>
    <row r="60" spans="1:12" x14ac:dyDescent="0.15">
      <c r="A60" s="263" t="s">
        <v>726</v>
      </c>
      <c r="B60" s="263" t="s">
        <v>727</v>
      </c>
      <c r="C60" s="263" t="s">
        <v>96</v>
      </c>
      <c r="D60" s="263" t="s">
        <v>728</v>
      </c>
      <c r="E60" s="263" t="s">
        <v>97</v>
      </c>
      <c r="F60">
        <v>0</v>
      </c>
      <c r="G60">
        <v>2</v>
      </c>
      <c r="H60" s="263" t="s">
        <v>436</v>
      </c>
      <c r="I60" s="264"/>
      <c r="J60" s="263" t="s">
        <v>437</v>
      </c>
      <c r="L60" t="s">
        <v>704</v>
      </c>
    </row>
    <row r="61" spans="1:12" x14ac:dyDescent="0.15">
      <c r="A61" s="263" t="s">
        <v>730</v>
      </c>
      <c r="B61" s="263" t="s">
        <v>731</v>
      </c>
      <c r="C61" s="263" t="s">
        <v>96</v>
      </c>
      <c r="D61" s="263" t="s">
        <v>732</v>
      </c>
      <c r="E61" s="263" t="s">
        <v>97</v>
      </c>
      <c r="F61">
        <v>0</v>
      </c>
      <c r="G61">
        <v>2</v>
      </c>
      <c r="H61" s="263" t="s">
        <v>436</v>
      </c>
      <c r="I61" s="264"/>
      <c r="J61" s="263" t="s">
        <v>437</v>
      </c>
      <c r="L61" t="s">
        <v>708</v>
      </c>
    </row>
    <row r="62" spans="1:12" x14ac:dyDescent="0.15">
      <c r="A62" s="263" t="s">
        <v>734</v>
      </c>
      <c r="B62" s="263" t="s">
        <v>9192</v>
      </c>
      <c r="C62" s="263" t="s">
        <v>96</v>
      </c>
      <c r="D62" s="263" t="s">
        <v>9193</v>
      </c>
      <c r="E62" s="263" t="s">
        <v>97</v>
      </c>
      <c r="F62">
        <v>0</v>
      </c>
      <c r="G62">
        <v>2</v>
      </c>
      <c r="H62" s="263" t="s">
        <v>436</v>
      </c>
      <c r="I62" s="264"/>
      <c r="J62" s="263" t="s">
        <v>437</v>
      </c>
      <c r="L62" t="s">
        <v>712</v>
      </c>
    </row>
    <row r="63" spans="1:12" x14ac:dyDescent="0.15">
      <c r="A63" s="263" t="s">
        <v>9196</v>
      </c>
      <c r="B63" s="263" t="s">
        <v>9194</v>
      </c>
      <c r="C63" s="263" t="s">
        <v>96</v>
      </c>
      <c r="D63" s="263" t="s">
        <v>9195</v>
      </c>
      <c r="E63" s="263" t="s">
        <v>97</v>
      </c>
      <c r="F63">
        <v>0</v>
      </c>
      <c r="G63">
        <v>2</v>
      </c>
      <c r="H63" s="263" t="s">
        <v>436</v>
      </c>
      <c r="I63" s="264"/>
      <c r="J63" s="263" t="s">
        <v>437</v>
      </c>
      <c r="L63" t="s">
        <v>716</v>
      </c>
    </row>
    <row r="64" spans="1:12" x14ac:dyDescent="0.15">
      <c r="A64" s="263" t="s">
        <v>737</v>
      </c>
      <c r="B64" s="263" t="s">
        <v>738</v>
      </c>
      <c r="C64" s="263" t="s">
        <v>96</v>
      </c>
      <c r="D64" s="263" t="s">
        <v>739</v>
      </c>
      <c r="E64" s="263" t="s">
        <v>97</v>
      </c>
      <c r="F64">
        <v>0</v>
      </c>
      <c r="G64">
        <v>2</v>
      </c>
      <c r="H64" s="263" t="s">
        <v>436</v>
      </c>
      <c r="I64" s="264"/>
      <c r="J64" s="263" t="s">
        <v>437</v>
      </c>
      <c r="L64" t="s">
        <v>718</v>
      </c>
    </row>
    <row r="65" spans="1:12" x14ac:dyDescent="0.15">
      <c r="A65" s="263" t="s">
        <v>741</v>
      </c>
      <c r="B65" s="263" t="s">
        <v>742</v>
      </c>
      <c r="C65" s="263" t="s">
        <v>96</v>
      </c>
      <c r="D65" s="263" t="s">
        <v>743</v>
      </c>
      <c r="E65" s="263" t="s">
        <v>97</v>
      </c>
      <c r="F65">
        <v>0</v>
      </c>
      <c r="G65">
        <v>2</v>
      </c>
      <c r="H65" s="263" t="s">
        <v>436</v>
      </c>
      <c r="I65" s="264"/>
      <c r="J65" s="263" t="s">
        <v>437</v>
      </c>
      <c r="L65" t="s">
        <v>721</v>
      </c>
    </row>
    <row r="66" spans="1:12" x14ac:dyDescent="0.15">
      <c r="A66" s="263" t="s">
        <v>747</v>
      </c>
      <c r="B66" s="263" t="s">
        <v>748</v>
      </c>
      <c r="C66" s="263" t="s">
        <v>81</v>
      </c>
      <c r="D66" s="263" t="s">
        <v>749</v>
      </c>
      <c r="E66" s="263" t="s">
        <v>88</v>
      </c>
      <c r="F66">
        <v>0</v>
      </c>
      <c r="G66">
        <v>2</v>
      </c>
      <c r="H66" s="263" t="s">
        <v>436</v>
      </c>
      <c r="I66" s="264"/>
      <c r="J66" s="263" t="s">
        <v>437</v>
      </c>
      <c r="L66" t="s">
        <v>725</v>
      </c>
    </row>
    <row r="67" spans="1:12" x14ac:dyDescent="0.15">
      <c r="A67" s="263" t="s">
        <v>751</v>
      </c>
      <c r="B67" s="263" t="s">
        <v>752</v>
      </c>
      <c r="C67" s="263" t="s">
        <v>81</v>
      </c>
      <c r="D67" s="263" t="s">
        <v>753</v>
      </c>
      <c r="E67" s="263" t="s">
        <v>88</v>
      </c>
      <c r="F67">
        <v>0</v>
      </c>
      <c r="G67">
        <v>2</v>
      </c>
      <c r="H67" s="263" t="s">
        <v>436</v>
      </c>
      <c r="I67" s="264"/>
      <c r="J67" s="263" t="s">
        <v>437</v>
      </c>
      <c r="L67" t="s">
        <v>729</v>
      </c>
    </row>
    <row r="68" spans="1:12" x14ac:dyDescent="0.15">
      <c r="A68" s="263" t="s">
        <v>755</v>
      </c>
      <c r="B68" s="263" t="s">
        <v>756</v>
      </c>
      <c r="C68" s="263" t="s">
        <v>81</v>
      </c>
      <c r="D68" s="263" t="s">
        <v>757</v>
      </c>
      <c r="E68" s="263" t="s">
        <v>88</v>
      </c>
      <c r="F68">
        <v>0</v>
      </c>
      <c r="G68">
        <v>2</v>
      </c>
      <c r="H68" s="263" t="s">
        <v>436</v>
      </c>
      <c r="I68" s="264"/>
      <c r="J68" s="263" t="s">
        <v>437</v>
      </c>
      <c r="L68" t="s">
        <v>733</v>
      </c>
    </row>
    <row r="69" spans="1:12" x14ac:dyDescent="0.15">
      <c r="A69" s="263" t="s">
        <v>759</v>
      </c>
      <c r="B69" s="263" t="s">
        <v>760</v>
      </c>
      <c r="C69" s="263" t="s">
        <v>81</v>
      </c>
      <c r="D69" s="263" t="s">
        <v>761</v>
      </c>
      <c r="E69" s="263" t="s">
        <v>88</v>
      </c>
      <c r="F69">
        <v>0</v>
      </c>
      <c r="G69">
        <v>2</v>
      </c>
      <c r="H69" s="263" t="s">
        <v>436</v>
      </c>
      <c r="I69" s="264"/>
      <c r="J69" s="263" t="s">
        <v>437</v>
      </c>
      <c r="L69" t="s">
        <v>735</v>
      </c>
    </row>
    <row r="70" spans="1:12" x14ac:dyDescent="0.15">
      <c r="A70" s="263" t="s">
        <v>763</v>
      </c>
      <c r="B70" s="263" t="s">
        <v>764</v>
      </c>
      <c r="C70" s="263" t="s">
        <v>81</v>
      </c>
      <c r="D70" s="263" t="s">
        <v>765</v>
      </c>
      <c r="E70" s="263" t="s">
        <v>88</v>
      </c>
      <c r="F70">
        <v>0</v>
      </c>
      <c r="G70">
        <v>2</v>
      </c>
      <c r="H70" s="263" t="s">
        <v>436</v>
      </c>
      <c r="I70" s="264"/>
      <c r="J70" s="263" t="s">
        <v>437</v>
      </c>
      <c r="L70" t="s">
        <v>736</v>
      </c>
    </row>
    <row r="71" spans="1:12" x14ac:dyDescent="0.15">
      <c r="A71" s="263" t="s">
        <v>767</v>
      </c>
      <c r="B71" s="263" t="s">
        <v>768</v>
      </c>
      <c r="C71" s="263" t="s">
        <v>81</v>
      </c>
      <c r="D71" s="263" t="s">
        <v>769</v>
      </c>
      <c r="E71" s="263" t="s">
        <v>88</v>
      </c>
      <c r="F71">
        <v>0</v>
      </c>
      <c r="G71">
        <v>2</v>
      </c>
      <c r="H71" s="263" t="s">
        <v>436</v>
      </c>
      <c r="I71" s="264"/>
      <c r="J71" s="263" t="s">
        <v>437</v>
      </c>
      <c r="L71" t="s">
        <v>740</v>
      </c>
    </row>
    <row r="72" spans="1:12" x14ac:dyDescent="0.15">
      <c r="A72" s="263" t="s">
        <v>774</v>
      </c>
      <c r="B72" s="263" t="s">
        <v>775</v>
      </c>
      <c r="C72" s="263" t="s">
        <v>81</v>
      </c>
      <c r="D72" s="263" t="s">
        <v>776</v>
      </c>
      <c r="E72" s="263" t="s">
        <v>88</v>
      </c>
      <c r="F72">
        <v>0</v>
      </c>
      <c r="G72">
        <v>2</v>
      </c>
      <c r="H72" s="263" t="s">
        <v>436</v>
      </c>
      <c r="I72" s="264"/>
      <c r="J72" s="263" t="s">
        <v>437</v>
      </c>
      <c r="L72" t="s">
        <v>744</v>
      </c>
    </row>
    <row r="73" spans="1:12" x14ac:dyDescent="0.15">
      <c r="A73" s="263" t="s">
        <v>778</v>
      </c>
      <c r="B73" s="263" t="s">
        <v>779</v>
      </c>
      <c r="C73" s="263" t="s">
        <v>81</v>
      </c>
      <c r="D73" s="263" t="s">
        <v>780</v>
      </c>
      <c r="E73" s="263" t="s">
        <v>88</v>
      </c>
      <c r="F73">
        <v>0</v>
      </c>
      <c r="G73">
        <v>2</v>
      </c>
      <c r="H73" s="263" t="s">
        <v>436</v>
      </c>
      <c r="I73" s="264"/>
      <c r="J73" s="263" t="s">
        <v>437</v>
      </c>
      <c r="L73" t="s">
        <v>745</v>
      </c>
    </row>
    <row r="74" spans="1:12" x14ac:dyDescent="0.15">
      <c r="A74" s="263" t="s">
        <v>782</v>
      </c>
      <c r="B74" s="263" t="s">
        <v>783</v>
      </c>
      <c r="C74" s="263" t="s">
        <v>81</v>
      </c>
      <c r="D74" s="263" t="s">
        <v>784</v>
      </c>
      <c r="E74" s="263" t="s">
        <v>88</v>
      </c>
      <c r="F74">
        <v>0</v>
      </c>
      <c r="G74">
        <v>2</v>
      </c>
      <c r="H74" s="263" t="s">
        <v>436</v>
      </c>
      <c r="I74" s="264"/>
      <c r="J74" s="263" t="s">
        <v>437</v>
      </c>
      <c r="L74" t="s">
        <v>746</v>
      </c>
    </row>
    <row r="75" spans="1:12" x14ac:dyDescent="0.15">
      <c r="A75" s="263" t="s">
        <v>786</v>
      </c>
      <c r="B75" s="263" t="s">
        <v>787</v>
      </c>
      <c r="C75" s="263" t="s">
        <v>81</v>
      </c>
      <c r="D75" s="263" t="s">
        <v>788</v>
      </c>
      <c r="E75" s="263" t="s">
        <v>88</v>
      </c>
      <c r="F75">
        <v>0</v>
      </c>
      <c r="G75">
        <v>2</v>
      </c>
      <c r="H75" s="263" t="s">
        <v>436</v>
      </c>
      <c r="I75" s="264"/>
      <c r="J75" s="263" t="s">
        <v>437</v>
      </c>
      <c r="L75" t="s">
        <v>750</v>
      </c>
    </row>
    <row r="76" spans="1:12" x14ac:dyDescent="0.15">
      <c r="A76" s="263" t="s">
        <v>790</v>
      </c>
      <c r="B76" s="263" t="s">
        <v>791</v>
      </c>
      <c r="C76" s="263" t="s">
        <v>81</v>
      </c>
      <c r="D76" s="263" t="s">
        <v>792</v>
      </c>
      <c r="E76" s="263" t="s">
        <v>88</v>
      </c>
      <c r="F76">
        <v>0</v>
      </c>
      <c r="G76">
        <v>2</v>
      </c>
      <c r="H76" s="263" t="s">
        <v>436</v>
      </c>
      <c r="I76" s="264"/>
      <c r="J76" s="263" t="s">
        <v>437</v>
      </c>
      <c r="L76" t="s">
        <v>754</v>
      </c>
    </row>
    <row r="77" spans="1:12" x14ac:dyDescent="0.15">
      <c r="A77" s="263" t="s">
        <v>794</v>
      </c>
      <c r="B77" s="263" t="s">
        <v>795</v>
      </c>
      <c r="C77" s="263" t="s">
        <v>81</v>
      </c>
      <c r="D77" s="263" t="s">
        <v>796</v>
      </c>
      <c r="E77" s="263" t="s">
        <v>88</v>
      </c>
      <c r="F77">
        <v>0</v>
      </c>
      <c r="G77">
        <v>2</v>
      </c>
      <c r="H77" s="263" t="s">
        <v>436</v>
      </c>
      <c r="I77" s="264"/>
      <c r="J77" s="263" t="s">
        <v>437</v>
      </c>
      <c r="L77" t="s">
        <v>758</v>
      </c>
    </row>
    <row r="78" spans="1:12" x14ac:dyDescent="0.15">
      <c r="A78" s="263" t="s">
        <v>798</v>
      </c>
      <c r="B78" s="263" t="s">
        <v>799</v>
      </c>
      <c r="C78" s="263" t="s">
        <v>81</v>
      </c>
      <c r="D78" s="263" t="s">
        <v>800</v>
      </c>
      <c r="E78" s="263" t="s">
        <v>88</v>
      </c>
      <c r="F78">
        <v>0</v>
      </c>
      <c r="G78">
        <v>2</v>
      </c>
      <c r="H78" s="263" t="s">
        <v>436</v>
      </c>
      <c r="I78" s="264"/>
      <c r="J78" s="263" t="s">
        <v>437</v>
      </c>
      <c r="L78" t="s">
        <v>762</v>
      </c>
    </row>
    <row r="79" spans="1:12" x14ac:dyDescent="0.15">
      <c r="A79" s="263" t="s">
        <v>806</v>
      </c>
      <c r="B79" s="263" t="s">
        <v>731</v>
      </c>
      <c r="C79" s="263" t="s">
        <v>81</v>
      </c>
      <c r="D79" s="263" t="s">
        <v>732</v>
      </c>
      <c r="E79" s="263" t="s">
        <v>88</v>
      </c>
      <c r="F79">
        <v>0</v>
      </c>
      <c r="G79">
        <v>2</v>
      </c>
      <c r="H79" s="263" t="s">
        <v>436</v>
      </c>
      <c r="I79" s="264"/>
      <c r="J79" s="263" t="s">
        <v>437</v>
      </c>
      <c r="L79" t="s">
        <v>766</v>
      </c>
    </row>
    <row r="80" spans="1:12" x14ac:dyDescent="0.15">
      <c r="A80" s="263" t="s">
        <v>808</v>
      </c>
      <c r="B80" s="263" t="s">
        <v>631</v>
      </c>
      <c r="C80" s="263" t="s">
        <v>81</v>
      </c>
      <c r="D80" s="263" t="s">
        <v>632</v>
      </c>
      <c r="E80" s="263" t="s">
        <v>88</v>
      </c>
      <c r="F80">
        <v>0</v>
      </c>
      <c r="G80">
        <v>2</v>
      </c>
      <c r="H80" s="263" t="s">
        <v>436</v>
      </c>
      <c r="I80" s="264"/>
      <c r="J80" s="263" t="s">
        <v>437</v>
      </c>
      <c r="L80" t="s">
        <v>770</v>
      </c>
    </row>
    <row r="81" spans="1:12" x14ac:dyDescent="0.15">
      <c r="A81" s="263" t="s">
        <v>810</v>
      </c>
      <c r="B81" s="263" t="s">
        <v>811</v>
      </c>
      <c r="C81" s="263" t="s">
        <v>81</v>
      </c>
      <c r="D81" s="263" t="s">
        <v>812</v>
      </c>
      <c r="E81" s="263" t="s">
        <v>88</v>
      </c>
      <c r="F81">
        <v>0</v>
      </c>
      <c r="G81">
        <v>2</v>
      </c>
      <c r="H81" s="263" t="s">
        <v>436</v>
      </c>
      <c r="I81" s="264"/>
      <c r="J81" s="263" t="s">
        <v>437</v>
      </c>
      <c r="L81" t="s">
        <v>771</v>
      </c>
    </row>
    <row r="82" spans="1:12" x14ac:dyDescent="0.15">
      <c r="A82" s="263" t="s">
        <v>813</v>
      </c>
      <c r="B82" s="263" t="s">
        <v>9197</v>
      </c>
      <c r="C82" s="263" t="s">
        <v>94</v>
      </c>
      <c r="D82" s="263" t="s">
        <v>9198</v>
      </c>
      <c r="E82" s="263" t="s">
        <v>94</v>
      </c>
      <c r="F82">
        <v>0</v>
      </c>
      <c r="G82">
        <v>2</v>
      </c>
      <c r="H82" s="263" t="s">
        <v>436</v>
      </c>
      <c r="I82" s="264"/>
      <c r="J82" s="263" t="s">
        <v>437</v>
      </c>
      <c r="L82" t="s">
        <v>772</v>
      </c>
    </row>
    <row r="83" spans="1:12" x14ac:dyDescent="0.15">
      <c r="A83" s="263" t="s">
        <v>814</v>
      </c>
      <c r="B83" s="263" t="s">
        <v>815</v>
      </c>
      <c r="C83" s="263" t="s">
        <v>99</v>
      </c>
      <c r="D83" s="263" t="s">
        <v>816</v>
      </c>
      <c r="E83" s="263" t="s">
        <v>102</v>
      </c>
      <c r="F83">
        <v>0</v>
      </c>
      <c r="G83">
        <v>2</v>
      </c>
      <c r="H83" s="263" t="s">
        <v>436</v>
      </c>
      <c r="I83" s="264"/>
      <c r="J83" s="263" t="s">
        <v>437</v>
      </c>
      <c r="L83" t="s">
        <v>773</v>
      </c>
    </row>
    <row r="84" spans="1:12" x14ac:dyDescent="0.15">
      <c r="A84" s="263" t="s">
        <v>817</v>
      </c>
      <c r="B84" s="263" t="s">
        <v>815</v>
      </c>
      <c r="C84" s="263" t="s">
        <v>94</v>
      </c>
      <c r="D84" s="263" t="s">
        <v>816</v>
      </c>
      <c r="E84" s="263" t="s">
        <v>94</v>
      </c>
      <c r="F84">
        <v>0</v>
      </c>
      <c r="G84">
        <v>2</v>
      </c>
      <c r="H84" s="263" t="s">
        <v>436</v>
      </c>
      <c r="I84" s="264"/>
      <c r="J84" s="263" t="s">
        <v>437</v>
      </c>
      <c r="L84" t="s">
        <v>777</v>
      </c>
    </row>
    <row r="85" spans="1:12" x14ac:dyDescent="0.15">
      <c r="A85" s="263" t="s">
        <v>818</v>
      </c>
      <c r="B85" s="263" t="s">
        <v>819</v>
      </c>
      <c r="C85" s="263" t="s">
        <v>85</v>
      </c>
      <c r="D85" s="263" t="s">
        <v>820</v>
      </c>
      <c r="E85" s="263" t="s">
        <v>79</v>
      </c>
      <c r="F85">
        <v>1</v>
      </c>
      <c r="G85">
        <v>2</v>
      </c>
      <c r="H85" s="263" t="s">
        <v>436</v>
      </c>
      <c r="I85" s="264"/>
      <c r="J85" s="263" t="s">
        <v>437</v>
      </c>
      <c r="L85" t="s">
        <v>781</v>
      </c>
    </row>
    <row r="86" spans="1:12" x14ac:dyDescent="0.15">
      <c r="A86" s="263" t="s">
        <v>821</v>
      </c>
      <c r="B86" s="263" t="s">
        <v>819</v>
      </c>
      <c r="C86" s="263" t="s">
        <v>94</v>
      </c>
      <c r="D86" s="263" t="s">
        <v>820</v>
      </c>
      <c r="E86" s="263" t="s">
        <v>94</v>
      </c>
      <c r="F86">
        <v>0</v>
      </c>
      <c r="G86">
        <v>2</v>
      </c>
      <c r="H86" s="263" t="s">
        <v>436</v>
      </c>
      <c r="I86" s="264"/>
      <c r="J86" s="263" t="s">
        <v>437</v>
      </c>
      <c r="L86" t="s">
        <v>785</v>
      </c>
    </row>
    <row r="87" spans="1:12" x14ac:dyDescent="0.15">
      <c r="A87" s="263" t="s">
        <v>822</v>
      </c>
      <c r="B87" s="263" t="s">
        <v>819</v>
      </c>
      <c r="C87" s="263" t="s">
        <v>98</v>
      </c>
      <c r="D87" s="263" t="s">
        <v>820</v>
      </c>
      <c r="E87" s="263" t="s">
        <v>110</v>
      </c>
      <c r="F87">
        <v>0</v>
      </c>
      <c r="G87">
        <v>2</v>
      </c>
      <c r="H87" s="263" t="s">
        <v>436</v>
      </c>
      <c r="I87" s="264"/>
      <c r="J87" s="263" t="s">
        <v>437</v>
      </c>
      <c r="L87" t="s">
        <v>789</v>
      </c>
    </row>
    <row r="88" spans="1:12" x14ac:dyDescent="0.15">
      <c r="A88" s="263" t="s">
        <v>823</v>
      </c>
      <c r="B88" s="263" t="s">
        <v>824</v>
      </c>
      <c r="C88" s="263" t="s">
        <v>85</v>
      </c>
      <c r="D88" s="263" t="s">
        <v>825</v>
      </c>
      <c r="E88" s="263" t="s">
        <v>79</v>
      </c>
      <c r="F88">
        <v>1</v>
      </c>
      <c r="G88">
        <v>2</v>
      </c>
      <c r="H88" s="263" t="s">
        <v>436</v>
      </c>
      <c r="I88" s="264"/>
      <c r="J88" s="263" t="s">
        <v>437</v>
      </c>
      <c r="L88" t="s">
        <v>793</v>
      </c>
    </row>
    <row r="89" spans="1:12" x14ac:dyDescent="0.15">
      <c r="A89" s="263" t="s">
        <v>830</v>
      </c>
      <c r="B89" s="263" t="s">
        <v>831</v>
      </c>
      <c r="C89" s="263" t="s">
        <v>85</v>
      </c>
      <c r="D89" s="263" t="s">
        <v>832</v>
      </c>
      <c r="E89" s="263" t="s">
        <v>79</v>
      </c>
      <c r="F89">
        <v>1</v>
      </c>
      <c r="G89">
        <v>2</v>
      </c>
      <c r="H89" s="263" t="s">
        <v>436</v>
      </c>
      <c r="I89" s="264"/>
      <c r="J89" s="263" t="s">
        <v>437</v>
      </c>
      <c r="L89" t="s">
        <v>797</v>
      </c>
    </row>
    <row r="90" spans="1:12" x14ac:dyDescent="0.15">
      <c r="A90" s="263" t="s">
        <v>833</v>
      </c>
      <c r="B90" s="263" t="s">
        <v>831</v>
      </c>
      <c r="C90" s="263" t="s">
        <v>98</v>
      </c>
      <c r="D90" s="263" t="s">
        <v>832</v>
      </c>
      <c r="E90" s="263" t="s">
        <v>110</v>
      </c>
      <c r="F90">
        <v>0</v>
      </c>
      <c r="G90">
        <v>2</v>
      </c>
      <c r="H90" s="263" t="s">
        <v>436</v>
      </c>
      <c r="I90" s="264"/>
      <c r="J90" s="263" t="s">
        <v>437</v>
      </c>
      <c r="L90" t="s">
        <v>801</v>
      </c>
    </row>
    <row r="91" spans="1:12" x14ac:dyDescent="0.15">
      <c r="A91" s="263" t="s">
        <v>9032</v>
      </c>
      <c r="B91" s="263" t="s">
        <v>831</v>
      </c>
      <c r="C91" s="263" t="s">
        <v>90</v>
      </c>
      <c r="D91" s="263" t="s">
        <v>832</v>
      </c>
      <c r="E91" s="263" t="s">
        <v>104</v>
      </c>
      <c r="F91">
        <v>2</v>
      </c>
      <c r="G91">
        <v>2</v>
      </c>
      <c r="H91" s="263" t="s">
        <v>436</v>
      </c>
      <c r="I91" s="264"/>
      <c r="J91" s="263" t="s">
        <v>437</v>
      </c>
      <c r="L91" t="s">
        <v>802</v>
      </c>
    </row>
    <row r="92" spans="1:12" x14ac:dyDescent="0.15">
      <c r="A92" s="263" t="s">
        <v>834</v>
      </c>
      <c r="B92" s="263" t="s">
        <v>835</v>
      </c>
      <c r="C92" s="263" t="s">
        <v>85</v>
      </c>
      <c r="D92" s="263" t="s">
        <v>836</v>
      </c>
      <c r="E92" s="263" t="s">
        <v>79</v>
      </c>
      <c r="F92">
        <v>1</v>
      </c>
      <c r="G92">
        <v>2</v>
      </c>
      <c r="H92" s="263" t="s">
        <v>436</v>
      </c>
      <c r="I92" s="264"/>
      <c r="J92" s="263" t="s">
        <v>437</v>
      </c>
      <c r="L92" t="s">
        <v>803</v>
      </c>
    </row>
    <row r="93" spans="1:12" x14ac:dyDescent="0.15">
      <c r="A93" s="263" t="s">
        <v>837</v>
      </c>
      <c r="B93" s="263" t="s">
        <v>835</v>
      </c>
      <c r="C93" s="263" t="s">
        <v>98</v>
      </c>
      <c r="D93" s="263" t="s">
        <v>836</v>
      </c>
      <c r="E93" s="263" t="s">
        <v>110</v>
      </c>
      <c r="F93">
        <v>0</v>
      </c>
      <c r="G93">
        <v>2</v>
      </c>
      <c r="H93" s="263" t="s">
        <v>436</v>
      </c>
      <c r="I93" s="264"/>
      <c r="J93" s="263" t="s">
        <v>437</v>
      </c>
      <c r="L93" t="s">
        <v>804</v>
      </c>
    </row>
    <row r="94" spans="1:12" x14ac:dyDescent="0.15">
      <c r="A94" s="263" t="s">
        <v>9033</v>
      </c>
      <c r="B94" s="263" t="s">
        <v>835</v>
      </c>
      <c r="C94" s="263" t="s">
        <v>90</v>
      </c>
      <c r="D94" s="263" t="s">
        <v>836</v>
      </c>
      <c r="E94" s="263" t="s">
        <v>104</v>
      </c>
      <c r="F94">
        <v>2</v>
      </c>
      <c r="G94">
        <v>2</v>
      </c>
      <c r="H94" s="263" t="s">
        <v>436</v>
      </c>
      <c r="I94" s="264"/>
      <c r="J94" s="263" t="s">
        <v>437</v>
      </c>
      <c r="L94" t="s">
        <v>805</v>
      </c>
    </row>
    <row r="95" spans="1:12" x14ac:dyDescent="0.15">
      <c r="A95" s="263" t="s">
        <v>838</v>
      </c>
      <c r="B95" s="263" t="s">
        <v>839</v>
      </c>
      <c r="C95" s="263" t="s">
        <v>85</v>
      </c>
      <c r="D95" s="263" t="s">
        <v>840</v>
      </c>
      <c r="E95" s="263" t="s">
        <v>79</v>
      </c>
      <c r="F95">
        <v>1</v>
      </c>
      <c r="G95">
        <v>2</v>
      </c>
      <c r="H95" s="263" t="s">
        <v>436</v>
      </c>
      <c r="I95" s="264"/>
      <c r="J95" s="263" t="s">
        <v>437</v>
      </c>
      <c r="L95" t="s">
        <v>807</v>
      </c>
    </row>
    <row r="96" spans="1:12" x14ac:dyDescent="0.15">
      <c r="A96" s="263" t="s">
        <v>841</v>
      </c>
      <c r="B96" s="263" t="s">
        <v>839</v>
      </c>
      <c r="C96" s="263" t="s">
        <v>98</v>
      </c>
      <c r="D96" s="263" t="s">
        <v>840</v>
      </c>
      <c r="E96" s="263" t="s">
        <v>110</v>
      </c>
      <c r="F96">
        <v>0</v>
      </c>
      <c r="G96">
        <v>2</v>
      </c>
      <c r="H96" s="263" t="s">
        <v>436</v>
      </c>
      <c r="I96" s="264"/>
      <c r="J96" s="263" t="s">
        <v>437</v>
      </c>
      <c r="L96" t="s">
        <v>809</v>
      </c>
    </row>
    <row r="97" spans="1:10" x14ac:dyDescent="0.15">
      <c r="A97" s="263" t="s">
        <v>842</v>
      </c>
      <c r="B97" s="263" t="s">
        <v>843</v>
      </c>
      <c r="C97" s="263" t="s">
        <v>98</v>
      </c>
      <c r="D97" s="263" t="s">
        <v>844</v>
      </c>
      <c r="E97" s="263" t="s">
        <v>110</v>
      </c>
      <c r="F97">
        <v>0</v>
      </c>
      <c r="G97">
        <v>2</v>
      </c>
      <c r="H97" s="263" t="s">
        <v>436</v>
      </c>
      <c r="I97" s="264"/>
      <c r="J97" s="263" t="s">
        <v>437</v>
      </c>
    </row>
    <row r="98" spans="1:10" x14ac:dyDescent="0.15">
      <c r="A98" s="263" t="s">
        <v>9034</v>
      </c>
      <c r="B98" s="263" t="s">
        <v>846</v>
      </c>
      <c r="C98" s="263" t="s">
        <v>90</v>
      </c>
      <c r="D98" s="263" t="s">
        <v>847</v>
      </c>
      <c r="E98" s="263" t="s">
        <v>104</v>
      </c>
      <c r="F98">
        <v>2</v>
      </c>
      <c r="G98">
        <v>2</v>
      </c>
      <c r="H98" s="263" t="s">
        <v>436</v>
      </c>
      <c r="I98" s="264"/>
      <c r="J98" s="263" t="s">
        <v>437</v>
      </c>
    </row>
    <row r="99" spans="1:10" x14ac:dyDescent="0.15">
      <c r="A99" s="263" t="s">
        <v>845</v>
      </c>
      <c r="B99" s="263" t="s">
        <v>846</v>
      </c>
      <c r="C99" s="263" t="s">
        <v>94</v>
      </c>
      <c r="D99" s="263" t="s">
        <v>847</v>
      </c>
      <c r="E99" s="263" t="s">
        <v>94</v>
      </c>
      <c r="F99">
        <v>0</v>
      </c>
      <c r="G99">
        <v>2</v>
      </c>
      <c r="H99" s="263" t="s">
        <v>436</v>
      </c>
      <c r="I99" s="264"/>
      <c r="J99" s="263" t="s">
        <v>437</v>
      </c>
    </row>
    <row r="100" spans="1:10" x14ac:dyDescent="0.15">
      <c r="A100" s="263" t="s">
        <v>848</v>
      </c>
      <c r="B100" s="263" t="s">
        <v>846</v>
      </c>
      <c r="C100" s="263" t="s">
        <v>85</v>
      </c>
      <c r="D100" s="263" t="s">
        <v>847</v>
      </c>
      <c r="E100" s="263" t="s">
        <v>79</v>
      </c>
      <c r="F100">
        <v>1</v>
      </c>
      <c r="G100">
        <v>2</v>
      </c>
      <c r="H100" s="263" t="s">
        <v>436</v>
      </c>
      <c r="I100" s="264"/>
      <c r="J100" s="263" t="s">
        <v>437</v>
      </c>
    </row>
    <row r="101" spans="1:10" x14ac:dyDescent="0.15">
      <c r="A101" s="263" t="s">
        <v>849</v>
      </c>
      <c r="B101" s="263" t="s">
        <v>850</v>
      </c>
      <c r="C101" s="263" t="s">
        <v>81</v>
      </c>
      <c r="D101" s="263" t="s">
        <v>851</v>
      </c>
      <c r="E101" s="263" t="s">
        <v>88</v>
      </c>
      <c r="F101">
        <v>0</v>
      </c>
      <c r="G101">
        <v>2</v>
      </c>
      <c r="H101" s="263" t="s">
        <v>436</v>
      </c>
      <c r="I101" s="264"/>
      <c r="J101" s="263" t="s">
        <v>437</v>
      </c>
    </row>
    <row r="102" spans="1:10" x14ac:dyDescent="0.15">
      <c r="A102" s="263" t="s">
        <v>852</v>
      </c>
      <c r="B102" s="263" t="s">
        <v>853</v>
      </c>
      <c r="C102" s="263" t="s">
        <v>96</v>
      </c>
      <c r="D102" s="263" t="s">
        <v>854</v>
      </c>
      <c r="E102" s="263" t="s">
        <v>97</v>
      </c>
      <c r="F102">
        <v>0</v>
      </c>
      <c r="G102">
        <v>2</v>
      </c>
      <c r="H102" s="263" t="s">
        <v>436</v>
      </c>
      <c r="I102" s="264"/>
      <c r="J102" s="263" t="s">
        <v>437</v>
      </c>
    </row>
    <row r="103" spans="1:10" x14ac:dyDescent="0.15">
      <c r="A103" s="263" t="s">
        <v>855</v>
      </c>
      <c r="B103" s="263" t="s">
        <v>826</v>
      </c>
      <c r="C103" s="263" t="s">
        <v>81</v>
      </c>
      <c r="D103" s="263" t="s">
        <v>827</v>
      </c>
      <c r="E103" s="263" t="s">
        <v>88</v>
      </c>
      <c r="F103">
        <v>0</v>
      </c>
      <c r="G103">
        <v>2</v>
      </c>
      <c r="H103" s="263" t="s">
        <v>436</v>
      </c>
      <c r="I103" s="264"/>
      <c r="J103" s="263" t="s">
        <v>437</v>
      </c>
    </row>
    <row r="104" spans="1:10" x14ac:dyDescent="0.15">
      <c r="A104" s="263" t="s">
        <v>856</v>
      </c>
      <c r="B104" s="263" t="s">
        <v>828</v>
      </c>
      <c r="C104" s="263" t="s">
        <v>81</v>
      </c>
      <c r="D104" s="263" t="s">
        <v>829</v>
      </c>
      <c r="E104" s="263" t="s">
        <v>88</v>
      </c>
      <c r="F104">
        <v>0</v>
      </c>
      <c r="G104">
        <v>2</v>
      </c>
      <c r="H104" s="263" t="s">
        <v>436</v>
      </c>
      <c r="I104" s="264"/>
      <c r="J104" s="263" t="s">
        <v>437</v>
      </c>
    </row>
    <row r="105" spans="1:10" x14ac:dyDescent="0.15">
      <c r="A105" s="263" t="s">
        <v>857</v>
      </c>
      <c r="B105" s="263" t="s">
        <v>858</v>
      </c>
      <c r="C105" s="263" t="s">
        <v>81</v>
      </c>
      <c r="D105" s="263" t="s">
        <v>859</v>
      </c>
      <c r="E105" s="263" t="s">
        <v>88</v>
      </c>
      <c r="F105">
        <v>0</v>
      </c>
      <c r="G105">
        <v>2</v>
      </c>
      <c r="H105" s="263" t="s">
        <v>436</v>
      </c>
      <c r="I105" s="264"/>
      <c r="J105" s="263" t="s">
        <v>437</v>
      </c>
    </row>
    <row r="106" spans="1:10" x14ac:dyDescent="0.15">
      <c r="A106" s="263" t="s">
        <v>860</v>
      </c>
      <c r="B106" s="263" t="s">
        <v>861</v>
      </c>
      <c r="C106" s="263" t="s">
        <v>81</v>
      </c>
      <c r="D106" s="263" t="s">
        <v>862</v>
      </c>
      <c r="E106" s="263" t="s">
        <v>88</v>
      </c>
      <c r="F106">
        <v>0</v>
      </c>
      <c r="G106">
        <v>2</v>
      </c>
      <c r="H106" s="263" t="s">
        <v>436</v>
      </c>
      <c r="I106" s="264"/>
      <c r="J106" s="263" t="s">
        <v>437</v>
      </c>
    </row>
    <row r="107" spans="1:10" x14ac:dyDescent="0.15">
      <c r="A107" s="263" t="s">
        <v>863</v>
      </c>
      <c r="B107" s="263" t="s">
        <v>864</v>
      </c>
      <c r="C107" s="263" t="s">
        <v>81</v>
      </c>
      <c r="D107" s="263" t="s">
        <v>865</v>
      </c>
      <c r="E107" s="263" t="s">
        <v>88</v>
      </c>
      <c r="F107">
        <v>0</v>
      </c>
      <c r="G107">
        <v>2</v>
      </c>
      <c r="H107" s="263" t="s">
        <v>436</v>
      </c>
      <c r="I107" s="264"/>
      <c r="J107" s="263" t="s">
        <v>437</v>
      </c>
    </row>
    <row r="108" spans="1:10" x14ac:dyDescent="0.15">
      <c r="A108" s="263" t="s">
        <v>866</v>
      </c>
      <c r="B108" s="263" t="s">
        <v>867</v>
      </c>
      <c r="C108" s="263" t="s">
        <v>81</v>
      </c>
      <c r="D108" s="263" t="s">
        <v>868</v>
      </c>
      <c r="E108" s="263" t="s">
        <v>88</v>
      </c>
      <c r="F108">
        <v>0</v>
      </c>
      <c r="G108">
        <v>2</v>
      </c>
      <c r="H108" s="263" t="s">
        <v>436</v>
      </c>
      <c r="I108" s="264"/>
      <c r="J108" s="263" t="s">
        <v>437</v>
      </c>
    </row>
    <row r="109" spans="1:10" x14ac:dyDescent="0.15">
      <c r="A109" s="263" t="s">
        <v>869</v>
      </c>
      <c r="B109" s="263" t="s">
        <v>870</v>
      </c>
      <c r="C109" s="263" t="s">
        <v>81</v>
      </c>
      <c r="D109" s="263" t="s">
        <v>871</v>
      </c>
      <c r="E109" s="263" t="s">
        <v>88</v>
      </c>
      <c r="F109">
        <v>0</v>
      </c>
      <c r="G109">
        <v>2</v>
      </c>
      <c r="H109" s="263" t="s">
        <v>436</v>
      </c>
      <c r="I109" s="264"/>
      <c r="J109" s="263" t="s">
        <v>437</v>
      </c>
    </row>
    <row r="110" spans="1:10" x14ac:dyDescent="0.15">
      <c r="A110" s="263" t="s">
        <v>872</v>
      </c>
      <c r="B110" s="263" t="s">
        <v>873</v>
      </c>
      <c r="C110" s="263" t="s">
        <v>81</v>
      </c>
      <c r="D110" s="263" t="s">
        <v>874</v>
      </c>
      <c r="E110" s="263" t="s">
        <v>88</v>
      </c>
      <c r="F110">
        <v>0</v>
      </c>
      <c r="G110">
        <v>2</v>
      </c>
      <c r="H110" s="263" t="s">
        <v>436</v>
      </c>
      <c r="I110" s="264"/>
      <c r="J110" s="263" t="s">
        <v>437</v>
      </c>
    </row>
    <row r="111" spans="1:10" x14ac:dyDescent="0.15">
      <c r="A111" s="263" t="s">
        <v>875</v>
      </c>
      <c r="B111" s="263" t="s">
        <v>876</v>
      </c>
      <c r="C111" s="263" t="s">
        <v>81</v>
      </c>
      <c r="D111" s="263" t="s">
        <v>877</v>
      </c>
      <c r="E111" s="263" t="s">
        <v>88</v>
      </c>
      <c r="F111">
        <v>0</v>
      </c>
      <c r="G111">
        <v>2</v>
      </c>
      <c r="H111" s="263" t="s">
        <v>436</v>
      </c>
      <c r="I111" s="264"/>
      <c r="J111" s="263" t="s">
        <v>437</v>
      </c>
    </row>
    <row r="112" spans="1:10" x14ac:dyDescent="0.15">
      <c r="A112" s="263" t="s">
        <v>878</v>
      </c>
      <c r="B112" s="263" t="s">
        <v>879</v>
      </c>
      <c r="C112" s="263" t="s">
        <v>81</v>
      </c>
      <c r="D112" s="263" t="s">
        <v>880</v>
      </c>
      <c r="E112" s="263" t="s">
        <v>88</v>
      </c>
      <c r="F112">
        <v>0</v>
      </c>
      <c r="G112">
        <v>2</v>
      </c>
      <c r="H112" s="263" t="s">
        <v>436</v>
      </c>
      <c r="I112" s="264"/>
      <c r="J112" s="263" t="s">
        <v>437</v>
      </c>
    </row>
    <row r="113" spans="1:10" x14ac:dyDescent="0.15">
      <c r="A113" s="263" t="s">
        <v>881</v>
      </c>
      <c r="B113" s="263" t="s">
        <v>882</v>
      </c>
      <c r="C113" s="263" t="s">
        <v>81</v>
      </c>
      <c r="D113" s="263" t="s">
        <v>883</v>
      </c>
      <c r="E113" s="263" t="s">
        <v>88</v>
      </c>
      <c r="F113">
        <v>0</v>
      </c>
      <c r="G113">
        <v>2</v>
      </c>
      <c r="H113" s="263" t="s">
        <v>436</v>
      </c>
      <c r="I113" s="264"/>
      <c r="J113" s="263" t="s">
        <v>437</v>
      </c>
    </row>
    <row r="114" spans="1:10" x14ac:dyDescent="0.15">
      <c r="A114" s="263" t="s">
        <v>884</v>
      </c>
      <c r="B114" s="263" t="s">
        <v>885</v>
      </c>
      <c r="C114" s="263" t="s">
        <v>81</v>
      </c>
      <c r="D114" s="263" t="s">
        <v>886</v>
      </c>
      <c r="E114" s="263" t="s">
        <v>88</v>
      </c>
      <c r="F114">
        <v>0</v>
      </c>
      <c r="G114">
        <v>2</v>
      </c>
      <c r="H114" s="263" t="s">
        <v>436</v>
      </c>
      <c r="I114" s="264"/>
      <c r="J114" s="263" t="s">
        <v>437</v>
      </c>
    </row>
    <row r="115" spans="1:10" x14ac:dyDescent="0.15">
      <c r="A115" s="263" t="s">
        <v>887</v>
      </c>
      <c r="B115" s="263" t="s">
        <v>888</v>
      </c>
      <c r="C115" s="263" t="s">
        <v>81</v>
      </c>
      <c r="D115" s="263" t="s">
        <v>889</v>
      </c>
      <c r="E115" s="263" t="s">
        <v>88</v>
      </c>
      <c r="F115">
        <v>0</v>
      </c>
      <c r="G115">
        <v>2</v>
      </c>
      <c r="H115" s="263" t="s">
        <v>436</v>
      </c>
      <c r="I115" s="264"/>
      <c r="J115" s="263" t="s">
        <v>437</v>
      </c>
    </row>
    <row r="116" spans="1:10" x14ac:dyDescent="0.15">
      <c r="A116" s="263" t="s">
        <v>890</v>
      </c>
      <c r="B116" s="263" t="s">
        <v>891</v>
      </c>
      <c r="C116" s="263" t="s">
        <v>81</v>
      </c>
      <c r="D116" s="263" t="s">
        <v>892</v>
      </c>
      <c r="E116" s="263" t="s">
        <v>88</v>
      </c>
      <c r="F116">
        <v>0</v>
      </c>
      <c r="G116">
        <v>2</v>
      </c>
      <c r="H116" s="263" t="s">
        <v>436</v>
      </c>
      <c r="I116" s="264"/>
      <c r="J116" s="263" t="s">
        <v>437</v>
      </c>
    </row>
    <row r="117" spans="1:10" x14ac:dyDescent="0.15">
      <c r="A117" s="263" t="s">
        <v>893</v>
      </c>
      <c r="B117" s="263" t="s">
        <v>894</v>
      </c>
      <c r="C117" s="263" t="s">
        <v>81</v>
      </c>
      <c r="D117" s="263" t="s">
        <v>895</v>
      </c>
      <c r="E117" s="263" t="s">
        <v>88</v>
      </c>
      <c r="F117">
        <v>0</v>
      </c>
      <c r="G117">
        <v>2</v>
      </c>
      <c r="H117" s="263" t="s">
        <v>436</v>
      </c>
      <c r="I117" s="264"/>
      <c r="J117" s="263" t="s">
        <v>437</v>
      </c>
    </row>
    <row r="118" spans="1:10" x14ac:dyDescent="0.15">
      <c r="A118" s="263" t="s">
        <v>896</v>
      </c>
      <c r="B118" s="263" t="s">
        <v>897</v>
      </c>
      <c r="C118" s="263" t="s">
        <v>81</v>
      </c>
      <c r="D118" s="263" t="s">
        <v>898</v>
      </c>
      <c r="E118" s="263" t="s">
        <v>88</v>
      </c>
      <c r="F118">
        <v>0</v>
      </c>
      <c r="G118">
        <v>2</v>
      </c>
      <c r="H118" s="263" t="s">
        <v>436</v>
      </c>
      <c r="I118" s="264"/>
      <c r="J118" s="263" t="s">
        <v>437</v>
      </c>
    </row>
    <row r="119" spans="1:10" x14ac:dyDescent="0.15">
      <c r="A119" s="263" t="s">
        <v>899</v>
      </c>
      <c r="B119" s="263" t="s">
        <v>900</v>
      </c>
      <c r="C119" s="263" t="s">
        <v>81</v>
      </c>
      <c r="D119" s="263" t="s">
        <v>901</v>
      </c>
      <c r="E119" s="263" t="s">
        <v>88</v>
      </c>
      <c r="F119">
        <v>0</v>
      </c>
      <c r="G119">
        <v>2</v>
      </c>
      <c r="H119" s="263" t="s">
        <v>436</v>
      </c>
      <c r="I119" s="264"/>
      <c r="J119" s="263" t="s">
        <v>437</v>
      </c>
    </row>
    <row r="120" spans="1:10" x14ac:dyDescent="0.15">
      <c r="A120" s="263" t="s">
        <v>902</v>
      </c>
      <c r="B120" s="263" t="s">
        <v>903</v>
      </c>
      <c r="C120" s="263" t="s">
        <v>81</v>
      </c>
      <c r="D120" s="263" t="s">
        <v>904</v>
      </c>
      <c r="E120" s="263" t="s">
        <v>88</v>
      </c>
      <c r="F120">
        <v>0</v>
      </c>
      <c r="G120">
        <v>2</v>
      </c>
      <c r="H120" s="263" t="s">
        <v>436</v>
      </c>
      <c r="I120" s="264"/>
      <c r="J120" s="263" t="s">
        <v>437</v>
      </c>
    </row>
    <row r="121" spans="1:10" x14ac:dyDescent="0.15">
      <c r="A121" s="263" t="s">
        <v>905</v>
      </c>
      <c r="B121" s="263" t="s">
        <v>906</v>
      </c>
      <c r="C121" s="263" t="s">
        <v>81</v>
      </c>
      <c r="D121" s="263" t="s">
        <v>907</v>
      </c>
      <c r="E121" s="263" t="s">
        <v>88</v>
      </c>
      <c r="F121">
        <v>0</v>
      </c>
      <c r="G121">
        <v>2</v>
      </c>
      <c r="H121" s="263" t="s">
        <v>436</v>
      </c>
      <c r="I121" s="264"/>
      <c r="J121" s="263" t="s">
        <v>437</v>
      </c>
    </row>
    <row r="122" spans="1:10" x14ac:dyDescent="0.15">
      <c r="A122" s="263" t="s">
        <v>908</v>
      </c>
      <c r="B122" s="263" t="s">
        <v>909</v>
      </c>
      <c r="C122" s="263" t="s">
        <v>81</v>
      </c>
      <c r="D122" s="263" t="s">
        <v>910</v>
      </c>
      <c r="E122" s="263" t="s">
        <v>88</v>
      </c>
      <c r="F122">
        <v>0</v>
      </c>
      <c r="G122">
        <v>2</v>
      </c>
      <c r="H122" s="263" t="s">
        <v>436</v>
      </c>
      <c r="I122" s="264"/>
      <c r="J122" s="263" t="s">
        <v>437</v>
      </c>
    </row>
    <row r="123" spans="1:10" x14ac:dyDescent="0.15">
      <c r="A123" s="263" t="s">
        <v>911</v>
      </c>
      <c r="B123" s="263" t="s">
        <v>912</v>
      </c>
      <c r="C123" s="263" t="s">
        <v>81</v>
      </c>
      <c r="D123" s="263" t="s">
        <v>913</v>
      </c>
      <c r="E123" s="263" t="s">
        <v>88</v>
      </c>
      <c r="F123">
        <v>0</v>
      </c>
      <c r="G123">
        <v>2</v>
      </c>
      <c r="H123" s="263" t="s">
        <v>436</v>
      </c>
      <c r="I123" s="264"/>
      <c r="J123" s="263" t="s">
        <v>437</v>
      </c>
    </row>
    <row r="124" spans="1:10" x14ac:dyDescent="0.15">
      <c r="A124" s="263" t="s">
        <v>914</v>
      </c>
      <c r="B124" s="263" t="s">
        <v>915</v>
      </c>
      <c r="C124" s="263" t="s">
        <v>81</v>
      </c>
      <c r="D124" s="263" t="s">
        <v>916</v>
      </c>
      <c r="E124" s="263" t="s">
        <v>88</v>
      </c>
      <c r="F124">
        <v>0</v>
      </c>
      <c r="G124">
        <v>2</v>
      </c>
      <c r="H124" s="263" t="s">
        <v>436</v>
      </c>
      <c r="I124" s="264"/>
      <c r="J124" s="263" t="s">
        <v>437</v>
      </c>
    </row>
    <row r="125" spans="1:10" x14ac:dyDescent="0.15">
      <c r="A125" s="263" t="s">
        <v>917</v>
      </c>
      <c r="B125" s="263" t="s">
        <v>918</v>
      </c>
      <c r="C125" s="263" t="s">
        <v>81</v>
      </c>
      <c r="D125" s="263" t="s">
        <v>919</v>
      </c>
      <c r="E125" s="263" t="s">
        <v>88</v>
      </c>
      <c r="F125">
        <v>0</v>
      </c>
      <c r="G125">
        <v>2</v>
      </c>
      <c r="H125" s="263" t="s">
        <v>436</v>
      </c>
      <c r="I125" s="264"/>
      <c r="J125" s="263" t="s">
        <v>437</v>
      </c>
    </row>
    <row r="126" spans="1:10" x14ac:dyDescent="0.15">
      <c r="A126" s="263" t="s">
        <v>920</v>
      </c>
      <c r="B126" s="263" t="s">
        <v>921</v>
      </c>
      <c r="C126" s="263" t="s">
        <v>81</v>
      </c>
      <c r="D126" s="263" t="s">
        <v>922</v>
      </c>
      <c r="E126" s="263" t="s">
        <v>88</v>
      </c>
      <c r="F126">
        <v>0</v>
      </c>
      <c r="G126">
        <v>2</v>
      </c>
      <c r="H126" s="263" t="s">
        <v>436</v>
      </c>
      <c r="I126" s="264"/>
      <c r="J126" s="263" t="s">
        <v>437</v>
      </c>
    </row>
    <row r="127" spans="1:10" x14ac:dyDescent="0.15">
      <c r="A127" s="263" t="s">
        <v>923</v>
      </c>
      <c r="B127" s="263" t="s">
        <v>924</v>
      </c>
      <c r="C127" s="263" t="s">
        <v>81</v>
      </c>
      <c r="D127" s="263" t="s">
        <v>925</v>
      </c>
      <c r="E127" s="263" t="s">
        <v>88</v>
      </c>
      <c r="F127">
        <v>0</v>
      </c>
      <c r="G127">
        <v>2</v>
      </c>
      <c r="H127" s="263" t="s">
        <v>436</v>
      </c>
      <c r="I127" s="264"/>
      <c r="J127" s="263" t="s">
        <v>437</v>
      </c>
    </row>
    <row r="128" spans="1:10" x14ac:dyDescent="0.15">
      <c r="A128" s="263" t="s">
        <v>926</v>
      </c>
      <c r="B128" s="263" t="s">
        <v>927</v>
      </c>
      <c r="C128" s="263" t="s">
        <v>81</v>
      </c>
      <c r="D128" s="263" t="s">
        <v>928</v>
      </c>
      <c r="E128" s="263" t="s">
        <v>88</v>
      </c>
      <c r="F128">
        <v>0</v>
      </c>
      <c r="G128">
        <v>2</v>
      </c>
      <c r="H128" s="263" t="s">
        <v>436</v>
      </c>
      <c r="I128" s="264"/>
      <c r="J128" s="263" t="s">
        <v>437</v>
      </c>
    </row>
    <row r="129" spans="1:10" x14ac:dyDescent="0.15">
      <c r="A129" s="263" t="s">
        <v>929</v>
      </c>
      <c r="B129" s="263" t="s">
        <v>930</v>
      </c>
      <c r="C129" s="263" t="s">
        <v>81</v>
      </c>
      <c r="D129" s="263" t="s">
        <v>931</v>
      </c>
      <c r="E129" s="263" t="s">
        <v>88</v>
      </c>
      <c r="F129">
        <v>0</v>
      </c>
      <c r="G129">
        <v>2</v>
      </c>
      <c r="H129" s="263" t="s">
        <v>436</v>
      </c>
      <c r="I129" s="264"/>
      <c r="J129" s="263" t="s">
        <v>437</v>
      </c>
    </row>
    <row r="130" spans="1:10" x14ac:dyDescent="0.15">
      <c r="A130" s="263" t="s">
        <v>932</v>
      </c>
      <c r="B130" s="263" t="s">
        <v>933</v>
      </c>
      <c r="C130" s="263" t="s">
        <v>81</v>
      </c>
      <c r="D130" s="263" t="s">
        <v>934</v>
      </c>
      <c r="E130" s="263" t="s">
        <v>88</v>
      </c>
      <c r="F130">
        <v>0</v>
      </c>
      <c r="G130">
        <v>2</v>
      </c>
      <c r="H130" s="263" t="s">
        <v>436</v>
      </c>
      <c r="I130" s="264"/>
      <c r="J130" s="263" t="s">
        <v>437</v>
      </c>
    </row>
    <row r="131" spans="1:10" x14ac:dyDescent="0.15">
      <c r="A131" s="263" t="s">
        <v>935</v>
      </c>
      <c r="B131" s="263" t="s">
        <v>936</v>
      </c>
      <c r="C131" s="263" t="s">
        <v>81</v>
      </c>
      <c r="D131" s="263" t="s">
        <v>937</v>
      </c>
      <c r="E131" s="263" t="s">
        <v>88</v>
      </c>
      <c r="F131">
        <v>0</v>
      </c>
      <c r="G131">
        <v>2</v>
      </c>
      <c r="H131" s="263" t="s">
        <v>436</v>
      </c>
      <c r="I131" s="264"/>
      <c r="J131" s="263" t="s">
        <v>437</v>
      </c>
    </row>
    <row r="132" spans="1:10" x14ac:dyDescent="0.15">
      <c r="A132" s="263" t="s">
        <v>938</v>
      </c>
      <c r="B132" s="263" t="s">
        <v>939</v>
      </c>
      <c r="C132" s="263" t="s">
        <v>81</v>
      </c>
      <c r="D132" s="263" t="s">
        <v>940</v>
      </c>
      <c r="E132" s="263" t="s">
        <v>88</v>
      </c>
      <c r="F132">
        <v>0</v>
      </c>
      <c r="G132">
        <v>2</v>
      </c>
      <c r="H132" s="263" t="s">
        <v>436</v>
      </c>
      <c r="I132" s="264"/>
      <c r="J132" s="263" t="s">
        <v>437</v>
      </c>
    </row>
    <row r="133" spans="1:10" x14ac:dyDescent="0.15">
      <c r="A133" s="263" t="s">
        <v>941</v>
      </c>
      <c r="B133" s="263" t="s">
        <v>942</v>
      </c>
      <c r="C133" s="263" t="s">
        <v>81</v>
      </c>
      <c r="D133" s="263" t="s">
        <v>943</v>
      </c>
      <c r="E133" s="263" t="s">
        <v>88</v>
      </c>
      <c r="F133">
        <v>0</v>
      </c>
      <c r="G133">
        <v>2</v>
      </c>
      <c r="H133" s="263" t="s">
        <v>436</v>
      </c>
      <c r="I133" s="264"/>
      <c r="J133" s="263" t="s">
        <v>437</v>
      </c>
    </row>
    <row r="134" spans="1:10" x14ac:dyDescent="0.15">
      <c r="A134" s="263" t="s">
        <v>944</v>
      </c>
      <c r="B134" s="263" t="s">
        <v>945</v>
      </c>
      <c r="C134" s="263" t="s">
        <v>81</v>
      </c>
      <c r="D134" s="263" t="s">
        <v>946</v>
      </c>
      <c r="E134" s="263" t="s">
        <v>88</v>
      </c>
      <c r="F134">
        <v>0</v>
      </c>
      <c r="G134">
        <v>2</v>
      </c>
      <c r="H134" s="263" t="s">
        <v>436</v>
      </c>
      <c r="I134" s="264"/>
      <c r="J134" s="263" t="s">
        <v>437</v>
      </c>
    </row>
    <row r="135" spans="1:10" x14ac:dyDescent="0.15">
      <c r="A135" s="263" t="s">
        <v>947</v>
      </c>
      <c r="B135" s="263" t="s">
        <v>948</v>
      </c>
      <c r="C135" s="263" t="s">
        <v>81</v>
      </c>
      <c r="D135" s="263" t="s">
        <v>949</v>
      </c>
      <c r="E135" s="263" t="s">
        <v>88</v>
      </c>
      <c r="F135">
        <v>0</v>
      </c>
      <c r="G135">
        <v>2</v>
      </c>
      <c r="H135" s="263" t="s">
        <v>436</v>
      </c>
      <c r="I135" s="264"/>
      <c r="J135" s="263" t="s">
        <v>437</v>
      </c>
    </row>
    <row r="136" spans="1:10" x14ac:dyDescent="0.15">
      <c r="A136" s="263" t="s">
        <v>950</v>
      </c>
      <c r="B136" s="263" t="s">
        <v>951</v>
      </c>
      <c r="C136" s="263" t="s">
        <v>81</v>
      </c>
      <c r="D136" s="263" t="s">
        <v>952</v>
      </c>
      <c r="E136" s="263" t="s">
        <v>88</v>
      </c>
      <c r="F136">
        <v>0</v>
      </c>
      <c r="G136">
        <v>2</v>
      </c>
      <c r="H136" s="263" t="s">
        <v>436</v>
      </c>
      <c r="I136" s="264"/>
      <c r="J136" s="263" t="s">
        <v>437</v>
      </c>
    </row>
    <row r="137" spans="1:10" x14ac:dyDescent="0.15">
      <c r="A137" s="263" t="s">
        <v>953</v>
      </c>
      <c r="B137" s="263" t="s">
        <v>954</v>
      </c>
      <c r="C137" s="263" t="s">
        <v>81</v>
      </c>
      <c r="D137" s="263" t="s">
        <v>955</v>
      </c>
      <c r="E137" s="263" t="s">
        <v>88</v>
      </c>
      <c r="F137">
        <v>0</v>
      </c>
      <c r="G137">
        <v>2</v>
      </c>
      <c r="H137" s="263" t="s">
        <v>436</v>
      </c>
      <c r="I137" s="264"/>
      <c r="J137" s="263" t="s">
        <v>437</v>
      </c>
    </row>
    <row r="138" spans="1:10" x14ac:dyDescent="0.15">
      <c r="A138" s="263" t="s">
        <v>956</v>
      </c>
      <c r="B138" s="263" t="s">
        <v>957</v>
      </c>
      <c r="C138" s="263" t="s">
        <v>81</v>
      </c>
      <c r="D138" s="263" t="s">
        <v>958</v>
      </c>
      <c r="E138" s="263" t="s">
        <v>88</v>
      </c>
      <c r="F138">
        <v>0</v>
      </c>
      <c r="G138">
        <v>2</v>
      </c>
      <c r="H138" s="263" t="s">
        <v>436</v>
      </c>
      <c r="I138" s="264"/>
      <c r="J138" s="263" t="s">
        <v>437</v>
      </c>
    </row>
    <row r="139" spans="1:10" x14ac:dyDescent="0.15">
      <c r="A139" s="263" t="s">
        <v>959</v>
      </c>
      <c r="B139" s="263" t="s">
        <v>960</v>
      </c>
      <c r="C139" s="263" t="s">
        <v>81</v>
      </c>
      <c r="D139" s="263" t="s">
        <v>961</v>
      </c>
      <c r="E139" s="263" t="s">
        <v>88</v>
      </c>
      <c r="F139">
        <v>0</v>
      </c>
      <c r="G139">
        <v>2</v>
      </c>
      <c r="H139" s="263" t="s">
        <v>436</v>
      </c>
      <c r="I139" s="264"/>
      <c r="J139" s="263" t="s">
        <v>437</v>
      </c>
    </row>
    <row r="140" spans="1:10" x14ac:dyDescent="0.15">
      <c r="A140" s="263" t="s">
        <v>962</v>
      </c>
      <c r="B140" s="263" t="s">
        <v>963</v>
      </c>
      <c r="C140" s="263" t="s">
        <v>81</v>
      </c>
      <c r="D140" s="263" t="s">
        <v>964</v>
      </c>
      <c r="E140" s="263" t="s">
        <v>88</v>
      </c>
      <c r="F140">
        <v>0</v>
      </c>
      <c r="G140">
        <v>2</v>
      </c>
      <c r="H140" s="263" t="s">
        <v>436</v>
      </c>
      <c r="I140" s="264"/>
      <c r="J140" s="263" t="s">
        <v>437</v>
      </c>
    </row>
    <row r="141" spans="1:10" x14ac:dyDescent="0.15">
      <c r="A141" s="263" t="s">
        <v>965</v>
      </c>
      <c r="B141" s="263" t="s">
        <v>966</v>
      </c>
      <c r="C141" s="263" t="s">
        <v>81</v>
      </c>
      <c r="D141" s="263" t="s">
        <v>967</v>
      </c>
      <c r="E141" s="263" t="s">
        <v>88</v>
      </c>
      <c r="F141">
        <v>0</v>
      </c>
      <c r="G141">
        <v>2</v>
      </c>
      <c r="H141" s="263" t="s">
        <v>436</v>
      </c>
      <c r="I141" s="264"/>
      <c r="J141" s="263" t="s">
        <v>437</v>
      </c>
    </row>
    <row r="142" spans="1:10" x14ac:dyDescent="0.15">
      <c r="A142" s="263" t="s">
        <v>968</v>
      </c>
      <c r="B142" s="263" t="s">
        <v>969</v>
      </c>
      <c r="C142" s="263" t="s">
        <v>81</v>
      </c>
      <c r="D142" s="263" t="s">
        <v>970</v>
      </c>
      <c r="E142" s="263" t="s">
        <v>88</v>
      </c>
      <c r="F142">
        <v>0</v>
      </c>
      <c r="G142">
        <v>2</v>
      </c>
      <c r="H142" s="263" t="s">
        <v>436</v>
      </c>
      <c r="I142" s="264"/>
      <c r="J142" s="263" t="s">
        <v>437</v>
      </c>
    </row>
    <row r="143" spans="1:10" x14ac:dyDescent="0.15">
      <c r="A143" s="263" t="s">
        <v>971</v>
      </c>
      <c r="B143" s="263" t="s">
        <v>9199</v>
      </c>
      <c r="C143" s="263" t="s">
        <v>81</v>
      </c>
      <c r="D143" s="263" t="s">
        <v>9200</v>
      </c>
      <c r="E143" s="263" t="s">
        <v>88</v>
      </c>
      <c r="F143">
        <v>0</v>
      </c>
      <c r="G143">
        <v>2</v>
      </c>
      <c r="H143" s="263" t="s">
        <v>436</v>
      </c>
      <c r="I143" s="264"/>
      <c r="J143" s="263" t="s">
        <v>437</v>
      </c>
    </row>
    <row r="144" spans="1:10" x14ac:dyDescent="0.15">
      <c r="A144" s="263" t="s">
        <v>972</v>
      </c>
      <c r="B144" s="263" t="s">
        <v>973</v>
      </c>
      <c r="C144" s="263" t="s">
        <v>81</v>
      </c>
      <c r="D144" s="263" t="s">
        <v>974</v>
      </c>
      <c r="E144" s="263" t="s">
        <v>88</v>
      </c>
      <c r="F144">
        <v>0</v>
      </c>
      <c r="G144">
        <v>2</v>
      </c>
      <c r="H144" s="263" t="s">
        <v>436</v>
      </c>
      <c r="I144" s="264"/>
      <c r="J144" s="263" t="s">
        <v>437</v>
      </c>
    </row>
    <row r="145" spans="1:10" x14ac:dyDescent="0.15">
      <c r="A145" s="263" t="s">
        <v>975</v>
      </c>
      <c r="B145" s="263" t="s">
        <v>976</v>
      </c>
      <c r="C145" s="263" t="s">
        <v>81</v>
      </c>
      <c r="D145" s="263" t="s">
        <v>977</v>
      </c>
      <c r="E145" s="263" t="s">
        <v>88</v>
      </c>
      <c r="F145">
        <v>0</v>
      </c>
      <c r="G145">
        <v>2</v>
      </c>
      <c r="H145" s="263" t="s">
        <v>436</v>
      </c>
      <c r="I145" s="264"/>
      <c r="J145" s="263" t="s">
        <v>437</v>
      </c>
    </row>
    <row r="146" spans="1:10" x14ac:dyDescent="0.15">
      <c r="A146" s="263" t="s">
        <v>978</v>
      </c>
      <c r="B146" s="263" t="s">
        <v>867</v>
      </c>
      <c r="C146" s="263" t="s">
        <v>96</v>
      </c>
      <c r="D146" s="263" t="s">
        <v>868</v>
      </c>
      <c r="E146" s="263" t="s">
        <v>97</v>
      </c>
      <c r="F146">
        <v>0</v>
      </c>
      <c r="G146">
        <v>2</v>
      </c>
      <c r="H146" s="263" t="s">
        <v>436</v>
      </c>
      <c r="I146" s="264"/>
      <c r="J146" s="263" t="s">
        <v>437</v>
      </c>
    </row>
    <row r="147" spans="1:10" x14ac:dyDescent="0.15">
      <c r="A147" s="263" t="s">
        <v>979</v>
      </c>
      <c r="B147" s="263" t="s">
        <v>980</v>
      </c>
      <c r="C147" s="263" t="s">
        <v>96</v>
      </c>
      <c r="D147" s="263" t="s">
        <v>981</v>
      </c>
      <c r="E147" s="263" t="s">
        <v>97</v>
      </c>
      <c r="F147">
        <v>0</v>
      </c>
      <c r="G147">
        <v>2</v>
      </c>
      <c r="H147" s="263" t="s">
        <v>436</v>
      </c>
      <c r="I147" s="264"/>
      <c r="J147" s="263" t="s">
        <v>437</v>
      </c>
    </row>
    <row r="148" spans="1:10" x14ac:dyDescent="0.15">
      <c r="A148" s="263" t="s">
        <v>982</v>
      </c>
      <c r="B148" s="263" t="s">
        <v>983</v>
      </c>
      <c r="C148" s="263" t="s">
        <v>96</v>
      </c>
      <c r="D148" s="263" t="s">
        <v>984</v>
      </c>
      <c r="E148" s="263" t="s">
        <v>97</v>
      </c>
      <c r="F148">
        <v>0</v>
      </c>
      <c r="G148">
        <v>2</v>
      </c>
      <c r="H148" s="263" t="s">
        <v>436</v>
      </c>
      <c r="I148" s="264"/>
      <c r="J148" s="263" t="s">
        <v>437</v>
      </c>
    </row>
    <row r="149" spans="1:10" x14ac:dyDescent="0.15">
      <c r="A149" s="263" t="s">
        <v>985</v>
      </c>
      <c r="B149" s="263" t="s">
        <v>986</v>
      </c>
      <c r="C149" s="263" t="s">
        <v>96</v>
      </c>
      <c r="D149" s="263" t="s">
        <v>987</v>
      </c>
      <c r="E149" s="263" t="s">
        <v>97</v>
      </c>
      <c r="F149">
        <v>0</v>
      </c>
      <c r="G149">
        <v>2</v>
      </c>
      <c r="H149" s="263" t="s">
        <v>436</v>
      </c>
      <c r="I149" s="264"/>
      <c r="J149" s="263" t="s">
        <v>437</v>
      </c>
    </row>
    <row r="150" spans="1:10" x14ac:dyDescent="0.15">
      <c r="A150" s="263" t="s">
        <v>988</v>
      </c>
      <c r="B150" s="263" t="s">
        <v>989</v>
      </c>
      <c r="C150" s="263" t="s">
        <v>96</v>
      </c>
      <c r="D150" s="263" t="s">
        <v>990</v>
      </c>
      <c r="E150" s="263" t="s">
        <v>97</v>
      </c>
      <c r="F150">
        <v>0</v>
      </c>
      <c r="G150">
        <v>2</v>
      </c>
      <c r="H150" s="263" t="s">
        <v>436</v>
      </c>
      <c r="I150" s="264"/>
      <c r="J150" s="263" t="s">
        <v>437</v>
      </c>
    </row>
    <row r="151" spans="1:10" x14ac:dyDescent="0.15">
      <c r="A151" s="263" t="s">
        <v>991</v>
      </c>
      <c r="B151" s="263" t="s">
        <v>992</v>
      </c>
      <c r="C151" s="263" t="s">
        <v>96</v>
      </c>
      <c r="D151" s="263" t="s">
        <v>993</v>
      </c>
      <c r="E151" s="263" t="s">
        <v>97</v>
      </c>
      <c r="F151">
        <v>0</v>
      </c>
      <c r="G151">
        <v>2</v>
      </c>
      <c r="H151" s="263" t="s">
        <v>436</v>
      </c>
      <c r="I151" s="264"/>
      <c r="J151" s="263" t="s">
        <v>437</v>
      </c>
    </row>
    <row r="152" spans="1:10" x14ac:dyDescent="0.15">
      <c r="A152" s="263" t="s">
        <v>994</v>
      </c>
      <c r="B152" s="263" t="s">
        <v>995</v>
      </c>
      <c r="C152" s="263" t="s">
        <v>96</v>
      </c>
      <c r="D152" s="263" t="s">
        <v>996</v>
      </c>
      <c r="E152" s="263" t="s">
        <v>97</v>
      </c>
      <c r="F152">
        <v>0</v>
      </c>
      <c r="G152">
        <v>2</v>
      </c>
      <c r="H152" s="263" t="s">
        <v>436</v>
      </c>
      <c r="I152" s="264"/>
      <c r="J152" s="263" t="s">
        <v>437</v>
      </c>
    </row>
    <row r="153" spans="1:10" x14ac:dyDescent="0.15">
      <c r="A153" s="263" t="s">
        <v>997</v>
      </c>
      <c r="B153" s="263" t="s">
        <v>998</v>
      </c>
      <c r="C153" s="263" t="s">
        <v>96</v>
      </c>
      <c r="D153" s="263" t="s">
        <v>999</v>
      </c>
      <c r="E153" s="263" t="s">
        <v>97</v>
      </c>
      <c r="F153">
        <v>0</v>
      </c>
      <c r="G153">
        <v>2</v>
      </c>
      <c r="H153" s="263" t="s">
        <v>436</v>
      </c>
      <c r="I153" s="264"/>
      <c r="J153" s="263" t="s">
        <v>437</v>
      </c>
    </row>
    <row r="154" spans="1:10" x14ac:dyDescent="0.15">
      <c r="A154" s="263" t="s">
        <v>1000</v>
      </c>
      <c r="B154" s="263" t="s">
        <v>1001</v>
      </c>
      <c r="C154" s="263" t="s">
        <v>96</v>
      </c>
      <c r="D154" s="263" t="s">
        <v>1002</v>
      </c>
      <c r="E154" s="263" t="s">
        <v>97</v>
      </c>
      <c r="F154">
        <v>0</v>
      </c>
      <c r="G154">
        <v>2</v>
      </c>
      <c r="H154" s="263" t="s">
        <v>436</v>
      </c>
      <c r="I154" s="264"/>
      <c r="J154" s="263" t="s">
        <v>437</v>
      </c>
    </row>
    <row r="155" spans="1:10" x14ac:dyDescent="0.15">
      <c r="A155" s="263" t="s">
        <v>1003</v>
      </c>
      <c r="B155" s="263" t="s">
        <v>1004</v>
      </c>
      <c r="C155" s="263" t="s">
        <v>96</v>
      </c>
      <c r="D155" s="263" t="s">
        <v>1005</v>
      </c>
      <c r="E155" s="263" t="s">
        <v>97</v>
      </c>
      <c r="F155">
        <v>0</v>
      </c>
      <c r="G155">
        <v>2</v>
      </c>
      <c r="H155" s="263" t="s">
        <v>436</v>
      </c>
      <c r="I155" s="264"/>
      <c r="J155" s="263" t="s">
        <v>437</v>
      </c>
    </row>
    <row r="156" spans="1:10" x14ac:dyDescent="0.15">
      <c r="A156" s="263" t="s">
        <v>1006</v>
      </c>
      <c r="B156" s="263" t="s">
        <v>1007</v>
      </c>
      <c r="C156" s="263" t="s">
        <v>96</v>
      </c>
      <c r="D156" s="263" t="s">
        <v>1008</v>
      </c>
      <c r="E156" s="263" t="s">
        <v>97</v>
      </c>
      <c r="F156">
        <v>0</v>
      </c>
      <c r="G156">
        <v>2</v>
      </c>
      <c r="H156" s="263" t="s">
        <v>436</v>
      </c>
      <c r="I156" s="264"/>
      <c r="J156" s="263" t="s">
        <v>437</v>
      </c>
    </row>
    <row r="157" spans="1:10" x14ac:dyDescent="0.15">
      <c r="A157" s="263" t="s">
        <v>1009</v>
      </c>
      <c r="B157" s="263" t="s">
        <v>1010</v>
      </c>
      <c r="C157" s="263" t="s">
        <v>96</v>
      </c>
      <c r="D157" s="263" t="s">
        <v>1011</v>
      </c>
      <c r="E157" s="263" t="s">
        <v>97</v>
      </c>
      <c r="F157">
        <v>0</v>
      </c>
      <c r="G157">
        <v>2</v>
      </c>
      <c r="H157" s="263" t="s">
        <v>436</v>
      </c>
      <c r="I157" s="264"/>
      <c r="J157" s="263" t="s">
        <v>437</v>
      </c>
    </row>
    <row r="158" spans="1:10" x14ac:dyDescent="0.15">
      <c r="A158" s="263" t="s">
        <v>1012</v>
      </c>
      <c r="B158" s="263" t="s">
        <v>1013</v>
      </c>
      <c r="C158" s="263" t="s">
        <v>96</v>
      </c>
      <c r="D158" s="263" t="s">
        <v>1014</v>
      </c>
      <c r="E158" s="263" t="s">
        <v>97</v>
      </c>
      <c r="F158">
        <v>0</v>
      </c>
      <c r="G158">
        <v>2</v>
      </c>
      <c r="H158" s="263" t="s">
        <v>436</v>
      </c>
      <c r="I158" s="264"/>
      <c r="J158" s="263" t="s">
        <v>437</v>
      </c>
    </row>
    <row r="159" spans="1:10" x14ac:dyDescent="0.15">
      <c r="A159" s="263" t="s">
        <v>1015</v>
      </c>
      <c r="B159" s="263" t="s">
        <v>1016</v>
      </c>
      <c r="C159" s="263" t="s">
        <v>96</v>
      </c>
      <c r="D159" s="263" t="s">
        <v>1017</v>
      </c>
      <c r="E159" s="263" t="s">
        <v>97</v>
      </c>
      <c r="F159">
        <v>0</v>
      </c>
      <c r="G159">
        <v>2</v>
      </c>
      <c r="H159" s="263" t="s">
        <v>436</v>
      </c>
      <c r="I159" s="264"/>
      <c r="J159" s="263" t="s">
        <v>437</v>
      </c>
    </row>
    <row r="160" spans="1:10" x14ac:dyDescent="0.15">
      <c r="A160" s="263" t="s">
        <v>1018</v>
      </c>
      <c r="B160" s="263" t="s">
        <v>1020</v>
      </c>
      <c r="C160" s="263" t="s">
        <v>96</v>
      </c>
      <c r="D160" s="263" t="s">
        <v>1021</v>
      </c>
      <c r="E160" s="263" t="s">
        <v>97</v>
      </c>
      <c r="F160">
        <v>0</v>
      </c>
      <c r="G160">
        <v>2</v>
      </c>
      <c r="H160" s="263" t="s">
        <v>436</v>
      </c>
      <c r="I160" s="264"/>
      <c r="J160" s="263" t="s">
        <v>437</v>
      </c>
    </row>
    <row r="161" spans="1:10" x14ac:dyDescent="0.15">
      <c r="A161" s="263" t="s">
        <v>1019</v>
      </c>
      <c r="B161" s="263" t="s">
        <v>9201</v>
      </c>
      <c r="C161" s="263" t="s">
        <v>96</v>
      </c>
      <c r="D161" s="263" t="s">
        <v>9202</v>
      </c>
      <c r="E161" s="263" t="s">
        <v>97</v>
      </c>
      <c r="F161">
        <v>0</v>
      </c>
      <c r="G161">
        <v>2</v>
      </c>
      <c r="H161" s="263" t="s">
        <v>436</v>
      </c>
      <c r="I161" s="264"/>
      <c r="J161" s="263" t="s">
        <v>437</v>
      </c>
    </row>
    <row r="162" spans="1:10" x14ac:dyDescent="0.15">
      <c r="A162" s="263" t="s">
        <v>1022</v>
      </c>
      <c r="B162" s="263" t="s">
        <v>1023</v>
      </c>
      <c r="C162" s="263" t="s">
        <v>96</v>
      </c>
      <c r="D162" s="263" t="s">
        <v>1024</v>
      </c>
      <c r="E162" s="263" t="s">
        <v>97</v>
      </c>
      <c r="F162">
        <v>0</v>
      </c>
      <c r="G162">
        <v>2</v>
      </c>
      <c r="H162" s="263" t="s">
        <v>436</v>
      </c>
      <c r="I162" s="264"/>
      <c r="J162" s="263" t="s">
        <v>437</v>
      </c>
    </row>
    <row r="163" spans="1:10" x14ac:dyDescent="0.15">
      <c r="A163" s="263" t="s">
        <v>1025</v>
      </c>
      <c r="B163" s="263" t="s">
        <v>1026</v>
      </c>
      <c r="C163" s="263" t="s">
        <v>96</v>
      </c>
      <c r="D163" s="263" t="s">
        <v>1027</v>
      </c>
      <c r="E163" s="263" t="s">
        <v>97</v>
      </c>
      <c r="F163">
        <v>0</v>
      </c>
      <c r="G163">
        <v>2</v>
      </c>
      <c r="H163" s="263" t="s">
        <v>436</v>
      </c>
      <c r="I163" s="264"/>
      <c r="J163" s="263" t="s">
        <v>437</v>
      </c>
    </row>
    <row r="164" spans="1:10" x14ac:dyDescent="0.15">
      <c r="A164" s="263" t="s">
        <v>1028</v>
      </c>
      <c r="B164" s="263" t="s">
        <v>1029</v>
      </c>
      <c r="C164" s="263" t="s">
        <v>96</v>
      </c>
      <c r="D164" s="263" t="s">
        <v>1030</v>
      </c>
      <c r="E164" s="263" t="s">
        <v>97</v>
      </c>
      <c r="F164">
        <v>0</v>
      </c>
      <c r="G164">
        <v>2</v>
      </c>
      <c r="H164" s="263" t="s">
        <v>436</v>
      </c>
      <c r="I164" s="264"/>
      <c r="J164" s="263" t="s">
        <v>437</v>
      </c>
    </row>
    <row r="165" spans="1:10" x14ac:dyDescent="0.15">
      <c r="A165" s="263" t="s">
        <v>1031</v>
      </c>
      <c r="B165" s="263" t="s">
        <v>1032</v>
      </c>
      <c r="C165" s="263" t="s">
        <v>96</v>
      </c>
      <c r="D165" s="263" t="s">
        <v>1033</v>
      </c>
      <c r="E165" s="263" t="s">
        <v>97</v>
      </c>
      <c r="F165">
        <v>0</v>
      </c>
      <c r="G165">
        <v>2</v>
      </c>
      <c r="H165" s="263" t="s">
        <v>436</v>
      </c>
      <c r="I165" s="264"/>
      <c r="J165" s="263" t="s">
        <v>437</v>
      </c>
    </row>
    <row r="166" spans="1:10" x14ac:dyDescent="0.15">
      <c r="A166" s="263" t="s">
        <v>1034</v>
      </c>
      <c r="B166" s="263" t="s">
        <v>1035</v>
      </c>
      <c r="C166" s="263" t="s">
        <v>96</v>
      </c>
      <c r="D166" s="263" t="s">
        <v>1036</v>
      </c>
      <c r="E166" s="263" t="s">
        <v>97</v>
      </c>
      <c r="F166">
        <v>0</v>
      </c>
      <c r="G166">
        <v>2</v>
      </c>
      <c r="H166" s="263" t="s">
        <v>436</v>
      </c>
      <c r="I166" s="264"/>
      <c r="J166" s="263" t="s">
        <v>437</v>
      </c>
    </row>
    <row r="167" spans="1:10" x14ac:dyDescent="0.15">
      <c r="A167" s="263" t="s">
        <v>1037</v>
      </c>
      <c r="B167" s="263" t="s">
        <v>1038</v>
      </c>
      <c r="C167" s="263" t="s">
        <v>96</v>
      </c>
      <c r="D167" s="263" t="s">
        <v>1039</v>
      </c>
      <c r="E167" s="263" t="s">
        <v>97</v>
      </c>
      <c r="F167">
        <v>0</v>
      </c>
      <c r="G167">
        <v>2</v>
      </c>
      <c r="H167" s="263" t="s">
        <v>436</v>
      </c>
      <c r="I167" s="264"/>
      <c r="J167" s="263" t="s">
        <v>437</v>
      </c>
    </row>
    <row r="168" spans="1:10" x14ac:dyDescent="0.15">
      <c r="A168" s="263" t="s">
        <v>1040</v>
      </c>
      <c r="B168" s="263" t="s">
        <v>915</v>
      </c>
      <c r="C168" s="263" t="s">
        <v>96</v>
      </c>
      <c r="D168" s="263" t="s">
        <v>916</v>
      </c>
      <c r="E168" s="263" t="s">
        <v>97</v>
      </c>
      <c r="F168">
        <v>0</v>
      </c>
      <c r="G168">
        <v>2</v>
      </c>
      <c r="H168" s="263" t="s">
        <v>436</v>
      </c>
      <c r="I168" s="264"/>
      <c r="J168" s="263" t="s">
        <v>437</v>
      </c>
    </row>
    <row r="169" spans="1:10" x14ac:dyDescent="0.15">
      <c r="A169" s="263" t="s">
        <v>1041</v>
      </c>
      <c r="B169" s="263" t="s">
        <v>1042</v>
      </c>
      <c r="C169" s="263" t="s">
        <v>96</v>
      </c>
      <c r="D169" s="263" t="s">
        <v>1043</v>
      </c>
      <c r="E169" s="263" t="s">
        <v>97</v>
      </c>
      <c r="F169">
        <v>0</v>
      </c>
      <c r="G169">
        <v>2</v>
      </c>
      <c r="H169" s="263" t="s">
        <v>436</v>
      </c>
      <c r="I169" s="264"/>
      <c r="J169" s="263" t="s">
        <v>437</v>
      </c>
    </row>
    <row r="170" spans="1:10" x14ac:dyDescent="0.15">
      <c r="A170" s="263" t="s">
        <v>1044</v>
      </c>
      <c r="B170" s="263" t="s">
        <v>1045</v>
      </c>
      <c r="C170" s="263" t="s">
        <v>96</v>
      </c>
      <c r="D170" s="263" t="s">
        <v>1046</v>
      </c>
      <c r="E170" s="263" t="s">
        <v>97</v>
      </c>
      <c r="F170">
        <v>0</v>
      </c>
      <c r="G170">
        <v>2</v>
      </c>
      <c r="H170" s="263" t="s">
        <v>436</v>
      </c>
      <c r="I170" s="264"/>
      <c r="J170" s="263" t="s">
        <v>437</v>
      </c>
    </row>
    <row r="171" spans="1:10" x14ac:dyDescent="0.15">
      <c r="A171" s="263" t="s">
        <v>1047</v>
      </c>
      <c r="B171" s="263" t="s">
        <v>1048</v>
      </c>
      <c r="C171" s="263" t="s">
        <v>96</v>
      </c>
      <c r="D171" s="263" t="s">
        <v>1049</v>
      </c>
      <c r="E171" s="263" t="s">
        <v>97</v>
      </c>
      <c r="F171">
        <v>0</v>
      </c>
      <c r="G171">
        <v>2</v>
      </c>
      <c r="H171" s="263" t="s">
        <v>436</v>
      </c>
      <c r="I171" s="264"/>
      <c r="J171" s="263" t="s">
        <v>437</v>
      </c>
    </row>
    <row r="172" spans="1:10" x14ac:dyDescent="0.15">
      <c r="A172" s="263" t="s">
        <v>1050</v>
      </c>
      <c r="B172" s="263" t="s">
        <v>1051</v>
      </c>
      <c r="C172" s="263" t="s">
        <v>96</v>
      </c>
      <c r="D172" s="263" t="s">
        <v>1052</v>
      </c>
      <c r="E172" s="263" t="s">
        <v>97</v>
      </c>
      <c r="F172">
        <v>0</v>
      </c>
      <c r="G172">
        <v>2</v>
      </c>
      <c r="H172" s="263" t="s">
        <v>436</v>
      </c>
      <c r="I172" s="264"/>
      <c r="J172" s="263" t="s">
        <v>437</v>
      </c>
    </row>
    <row r="173" spans="1:10" x14ac:dyDescent="0.15">
      <c r="A173" s="263" t="s">
        <v>1053</v>
      </c>
      <c r="B173" s="263" t="s">
        <v>1054</v>
      </c>
      <c r="C173" s="263" t="s">
        <v>96</v>
      </c>
      <c r="D173" s="263" t="s">
        <v>1055</v>
      </c>
      <c r="E173" s="263" t="s">
        <v>97</v>
      </c>
      <c r="F173">
        <v>0</v>
      </c>
      <c r="G173">
        <v>2</v>
      </c>
      <c r="H173" s="263" t="s">
        <v>436</v>
      </c>
      <c r="I173" s="264"/>
      <c r="J173" s="263" t="s">
        <v>437</v>
      </c>
    </row>
    <row r="174" spans="1:10" x14ac:dyDescent="0.15">
      <c r="A174" s="263" t="s">
        <v>1056</v>
      </c>
      <c r="B174" s="263" t="s">
        <v>1057</v>
      </c>
      <c r="C174" s="263" t="s">
        <v>96</v>
      </c>
      <c r="D174" s="263" t="s">
        <v>1058</v>
      </c>
      <c r="E174" s="263" t="s">
        <v>97</v>
      </c>
      <c r="F174">
        <v>0</v>
      </c>
      <c r="G174">
        <v>2</v>
      </c>
      <c r="H174" s="263" t="s">
        <v>436</v>
      </c>
      <c r="I174" s="264"/>
      <c r="J174" s="263" t="s">
        <v>437</v>
      </c>
    </row>
    <row r="175" spans="1:10" x14ac:dyDescent="0.15">
      <c r="A175" s="263" t="s">
        <v>1059</v>
      </c>
      <c r="B175" s="263" t="s">
        <v>1060</v>
      </c>
      <c r="C175" s="263" t="s">
        <v>96</v>
      </c>
      <c r="D175" s="263" t="s">
        <v>1061</v>
      </c>
      <c r="E175" s="263" t="s">
        <v>97</v>
      </c>
      <c r="F175">
        <v>0</v>
      </c>
      <c r="G175">
        <v>2</v>
      </c>
      <c r="H175" s="263" t="s">
        <v>436</v>
      </c>
      <c r="I175" s="264"/>
      <c r="J175" s="263" t="s">
        <v>437</v>
      </c>
    </row>
    <row r="176" spans="1:10" x14ac:dyDescent="0.15">
      <c r="A176" s="263" t="s">
        <v>9035</v>
      </c>
      <c r="B176" s="263" t="s">
        <v>9036</v>
      </c>
      <c r="C176" s="263" t="s">
        <v>96</v>
      </c>
      <c r="D176" s="263" t="s">
        <v>9037</v>
      </c>
      <c r="E176" s="263" t="s">
        <v>97</v>
      </c>
      <c r="F176">
        <v>0</v>
      </c>
      <c r="G176">
        <v>2</v>
      </c>
      <c r="H176" s="263" t="s">
        <v>436</v>
      </c>
      <c r="I176" s="264"/>
      <c r="J176" s="263" t="s">
        <v>437</v>
      </c>
    </row>
    <row r="177" spans="1:10" x14ac:dyDescent="0.15">
      <c r="A177" s="263" t="s">
        <v>1062</v>
      </c>
      <c r="B177" s="263" t="s">
        <v>939</v>
      </c>
      <c r="C177" s="263" t="s">
        <v>98</v>
      </c>
      <c r="D177" s="263" t="s">
        <v>940</v>
      </c>
      <c r="E177" s="263" t="s">
        <v>110</v>
      </c>
      <c r="F177">
        <v>0</v>
      </c>
      <c r="G177">
        <v>2</v>
      </c>
      <c r="H177" s="263" t="s">
        <v>436</v>
      </c>
      <c r="I177" s="264"/>
      <c r="J177" s="263" t="s">
        <v>437</v>
      </c>
    </row>
    <row r="178" spans="1:10" x14ac:dyDescent="0.15">
      <c r="A178" s="263" t="s">
        <v>1063</v>
      </c>
      <c r="B178" s="263" t="s">
        <v>1064</v>
      </c>
      <c r="C178" s="263" t="s">
        <v>98</v>
      </c>
      <c r="D178" s="263" t="s">
        <v>1065</v>
      </c>
      <c r="E178" s="263" t="s">
        <v>110</v>
      </c>
      <c r="F178">
        <v>0</v>
      </c>
      <c r="G178">
        <v>2</v>
      </c>
      <c r="H178" s="263" t="s">
        <v>436</v>
      </c>
      <c r="I178" s="264"/>
      <c r="J178" s="263" t="s">
        <v>437</v>
      </c>
    </row>
    <row r="179" spans="1:10" x14ac:dyDescent="0.15">
      <c r="A179" s="263" t="s">
        <v>1066</v>
      </c>
      <c r="B179" s="263" t="s">
        <v>1067</v>
      </c>
      <c r="C179" s="263" t="s">
        <v>98</v>
      </c>
      <c r="D179" s="263" t="s">
        <v>1068</v>
      </c>
      <c r="E179" s="263" t="s">
        <v>110</v>
      </c>
      <c r="F179">
        <v>0</v>
      </c>
      <c r="G179">
        <v>2</v>
      </c>
      <c r="H179" s="263" t="s">
        <v>436</v>
      </c>
      <c r="I179" s="264"/>
      <c r="J179" s="263" t="s">
        <v>437</v>
      </c>
    </row>
    <row r="180" spans="1:10" x14ac:dyDescent="0.15">
      <c r="A180" s="263" t="s">
        <v>1069</v>
      </c>
      <c r="B180" s="263" t="s">
        <v>1070</v>
      </c>
      <c r="C180" s="263" t="s">
        <v>98</v>
      </c>
      <c r="D180" s="263" t="s">
        <v>1071</v>
      </c>
      <c r="E180" s="263" t="s">
        <v>110</v>
      </c>
      <c r="F180">
        <v>0</v>
      </c>
      <c r="G180">
        <v>2</v>
      </c>
      <c r="H180" s="263" t="s">
        <v>436</v>
      </c>
      <c r="I180" s="264"/>
      <c r="J180" s="263" t="s">
        <v>437</v>
      </c>
    </row>
    <row r="181" spans="1:10" x14ac:dyDescent="0.15">
      <c r="A181" s="263" t="s">
        <v>1072</v>
      </c>
      <c r="B181" s="263" t="s">
        <v>1073</v>
      </c>
      <c r="C181" s="263" t="s">
        <v>98</v>
      </c>
      <c r="D181" s="263" t="s">
        <v>1074</v>
      </c>
      <c r="E181" s="263" t="s">
        <v>110</v>
      </c>
      <c r="F181">
        <v>0</v>
      </c>
      <c r="G181">
        <v>2</v>
      </c>
      <c r="H181" s="263" t="s">
        <v>436</v>
      </c>
      <c r="I181" s="264"/>
      <c r="J181" s="263" t="s">
        <v>437</v>
      </c>
    </row>
    <row r="182" spans="1:10" x14ac:dyDescent="0.15">
      <c r="A182" s="263" t="s">
        <v>1075</v>
      </c>
      <c r="B182" s="263" t="s">
        <v>1076</v>
      </c>
      <c r="C182" s="263" t="s">
        <v>98</v>
      </c>
      <c r="D182" s="263" t="s">
        <v>1077</v>
      </c>
      <c r="E182" s="263" t="s">
        <v>110</v>
      </c>
      <c r="F182">
        <v>0</v>
      </c>
      <c r="G182">
        <v>2</v>
      </c>
      <c r="H182" s="263" t="s">
        <v>436</v>
      </c>
      <c r="I182" s="264"/>
      <c r="J182" s="263" t="s">
        <v>437</v>
      </c>
    </row>
    <row r="183" spans="1:10" x14ac:dyDescent="0.15">
      <c r="A183" s="263" t="s">
        <v>1078</v>
      </c>
      <c r="B183" s="263" t="s">
        <v>1079</v>
      </c>
      <c r="C183" s="263" t="s">
        <v>98</v>
      </c>
      <c r="D183" s="263" t="s">
        <v>1080</v>
      </c>
      <c r="E183" s="263" t="s">
        <v>110</v>
      </c>
      <c r="F183">
        <v>0</v>
      </c>
      <c r="G183">
        <v>2</v>
      </c>
      <c r="H183" s="263" t="s">
        <v>436</v>
      </c>
      <c r="I183" s="264"/>
      <c r="J183" s="263" t="s">
        <v>437</v>
      </c>
    </row>
    <row r="184" spans="1:10" x14ac:dyDescent="0.15">
      <c r="A184" s="263" t="s">
        <v>1081</v>
      </c>
      <c r="B184" s="263" t="s">
        <v>1082</v>
      </c>
      <c r="C184" s="263" t="s">
        <v>98</v>
      </c>
      <c r="D184" s="263" t="s">
        <v>1083</v>
      </c>
      <c r="E184" s="263" t="s">
        <v>110</v>
      </c>
      <c r="F184">
        <v>0</v>
      </c>
      <c r="G184">
        <v>2</v>
      </c>
      <c r="H184" s="263" t="s">
        <v>436</v>
      </c>
      <c r="I184" s="264"/>
      <c r="J184" s="263" t="s">
        <v>437</v>
      </c>
    </row>
    <row r="185" spans="1:10" x14ac:dyDescent="0.15">
      <c r="A185" s="263" t="s">
        <v>1084</v>
      </c>
      <c r="B185" s="263" t="s">
        <v>1085</v>
      </c>
      <c r="C185" s="263" t="s">
        <v>98</v>
      </c>
      <c r="D185" s="263" t="s">
        <v>1086</v>
      </c>
      <c r="E185" s="263" t="s">
        <v>110</v>
      </c>
      <c r="F185">
        <v>0</v>
      </c>
      <c r="G185">
        <v>2</v>
      </c>
      <c r="H185" s="263" t="s">
        <v>436</v>
      </c>
      <c r="I185" s="264"/>
      <c r="J185" s="263" t="s">
        <v>437</v>
      </c>
    </row>
    <row r="186" spans="1:10" x14ac:dyDescent="0.15">
      <c r="A186" s="263" t="s">
        <v>1087</v>
      </c>
      <c r="B186" s="263" t="s">
        <v>1088</v>
      </c>
      <c r="C186" s="263" t="s">
        <v>98</v>
      </c>
      <c r="D186" s="263" t="s">
        <v>1089</v>
      </c>
      <c r="E186" s="263" t="s">
        <v>110</v>
      </c>
      <c r="F186">
        <v>0</v>
      </c>
      <c r="G186">
        <v>2</v>
      </c>
      <c r="H186" s="263" t="s">
        <v>436</v>
      </c>
      <c r="I186" s="264"/>
      <c r="J186" s="263" t="s">
        <v>437</v>
      </c>
    </row>
    <row r="187" spans="1:10" x14ac:dyDescent="0.15">
      <c r="A187" s="263" t="s">
        <v>1090</v>
      </c>
      <c r="B187" s="263" t="s">
        <v>1091</v>
      </c>
      <c r="C187" s="263" t="s">
        <v>98</v>
      </c>
      <c r="D187" s="263" t="s">
        <v>1092</v>
      </c>
      <c r="E187" s="263" t="s">
        <v>110</v>
      </c>
      <c r="F187">
        <v>0</v>
      </c>
      <c r="G187">
        <v>2</v>
      </c>
      <c r="H187" s="263" t="s">
        <v>436</v>
      </c>
      <c r="I187" s="264"/>
      <c r="J187" s="263" t="s">
        <v>437</v>
      </c>
    </row>
    <row r="188" spans="1:10" x14ac:dyDescent="0.15">
      <c r="A188" s="263" t="s">
        <v>1093</v>
      </c>
      <c r="B188" s="263" t="s">
        <v>1029</v>
      </c>
      <c r="C188" s="263" t="s">
        <v>98</v>
      </c>
      <c r="D188" s="263" t="s">
        <v>1030</v>
      </c>
      <c r="E188" s="263" t="s">
        <v>110</v>
      </c>
      <c r="F188">
        <v>0</v>
      </c>
      <c r="G188">
        <v>2</v>
      </c>
      <c r="H188" s="263" t="s">
        <v>436</v>
      </c>
      <c r="I188" s="264"/>
      <c r="J188" s="263" t="s">
        <v>437</v>
      </c>
    </row>
    <row r="189" spans="1:10" x14ac:dyDescent="0.15">
      <c r="A189" s="263" t="s">
        <v>1094</v>
      </c>
      <c r="B189" s="263" t="s">
        <v>1032</v>
      </c>
      <c r="C189" s="263" t="s">
        <v>98</v>
      </c>
      <c r="D189" s="263" t="s">
        <v>1033</v>
      </c>
      <c r="E189" s="263" t="s">
        <v>110</v>
      </c>
      <c r="F189">
        <v>0</v>
      </c>
      <c r="G189">
        <v>2</v>
      </c>
      <c r="H189" s="263" t="s">
        <v>436</v>
      </c>
      <c r="I189" s="264"/>
      <c r="J189" s="263" t="s">
        <v>437</v>
      </c>
    </row>
    <row r="190" spans="1:10" x14ac:dyDescent="0.15">
      <c r="A190" s="263" t="s">
        <v>1095</v>
      </c>
      <c r="B190" s="263" t="s">
        <v>1035</v>
      </c>
      <c r="C190" s="263" t="s">
        <v>98</v>
      </c>
      <c r="D190" s="263" t="s">
        <v>1036</v>
      </c>
      <c r="E190" s="263" t="s">
        <v>110</v>
      </c>
      <c r="F190">
        <v>0</v>
      </c>
      <c r="G190">
        <v>2</v>
      </c>
      <c r="H190" s="263" t="s">
        <v>436</v>
      </c>
      <c r="I190" s="264"/>
      <c r="J190" s="263" t="s">
        <v>437</v>
      </c>
    </row>
    <row r="191" spans="1:10" x14ac:dyDescent="0.15">
      <c r="A191" s="263" t="s">
        <v>1096</v>
      </c>
      <c r="B191" s="263" t="s">
        <v>1038</v>
      </c>
      <c r="C191" s="263" t="s">
        <v>98</v>
      </c>
      <c r="D191" s="263" t="s">
        <v>1039</v>
      </c>
      <c r="E191" s="263" t="s">
        <v>110</v>
      </c>
      <c r="F191">
        <v>0</v>
      </c>
      <c r="G191">
        <v>2</v>
      </c>
      <c r="H191" s="263" t="s">
        <v>436</v>
      </c>
      <c r="I191" s="264"/>
      <c r="J191" s="263" t="s">
        <v>437</v>
      </c>
    </row>
    <row r="192" spans="1:10" x14ac:dyDescent="0.15">
      <c r="A192" s="263" t="s">
        <v>1097</v>
      </c>
      <c r="B192" s="263" t="s">
        <v>1098</v>
      </c>
      <c r="C192" s="263" t="s">
        <v>98</v>
      </c>
      <c r="D192" s="263" t="s">
        <v>1099</v>
      </c>
      <c r="E192" s="263" t="s">
        <v>110</v>
      </c>
      <c r="F192">
        <v>0</v>
      </c>
      <c r="G192">
        <v>2</v>
      </c>
      <c r="H192" s="263" t="s">
        <v>436</v>
      </c>
      <c r="I192" s="264"/>
      <c r="J192" s="263" t="s">
        <v>437</v>
      </c>
    </row>
    <row r="193" spans="1:10" x14ac:dyDescent="0.15">
      <c r="A193" s="263" t="s">
        <v>1100</v>
      </c>
      <c r="B193" s="263" t="s">
        <v>1101</v>
      </c>
      <c r="C193" s="263" t="s">
        <v>98</v>
      </c>
      <c r="D193" s="263" t="s">
        <v>1102</v>
      </c>
      <c r="E193" s="263" t="s">
        <v>110</v>
      </c>
      <c r="F193">
        <v>0</v>
      </c>
      <c r="G193">
        <v>2</v>
      </c>
      <c r="H193" s="263" t="s">
        <v>436</v>
      </c>
      <c r="I193" s="264"/>
      <c r="J193" s="263" t="s">
        <v>437</v>
      </c>
    </row>
    <row r="194" spans="1:10" x14ac:dyDescent="0.15">
      <c r="A194" s="263" t="s">
        <v>1103</v>
      </c>
      <c r="B194" s="263" t="s">
        <v>1104</v>
      </c>
      <c r="C194" s="263" t="s">
        <v>98</v>
      </c>
      <c r="D194" s="263" t="s">
        <v>1105</v>
      </c>
      <c r="E194" s="263" t="s">
        <v>110</v>
      </c>
      <c r="F194">
        <v>0</v>
      </c>
      <c r="G194">
        <v>2</v>
      </c>
      <c r="H194" s="263" t="s">
        <v>436</v>
      </c>
      <c r="I194" s="264"/>
      <c r="J194" s="263" t="s">
        <v>437</v>
      </c>
    </row>
    <row r="195" spans="1:10" x14ac:dyDescent="0.15">
      <c r="A195" s="263" t="s">
        <v>1106</v>
      </c>
      <c r="B195" s="263" t="s">
        <v>1107</v>
      </c>
      <c r="C195" s="263" t="s">
        <v>98</v>
      </c>
      <c r="D195" s="263" t="s">
        <v>1108</v>
      </c>
      <c r="E195" s="263" t="s">
        <v>110</v>
      </c>
      <c r="F195">
        <v>0</v>
      </c>
      <c r="G195">
        <v>2</v>
      </c>
      <c r="H195" s="263" t="s">
        <v>436</v>
      </c>
      <c r="I195" s="264"/>
      <c r="J195" s="263" t="s">
        <v>437</v>
      </c>
    </row>
    <row r="196" spans="1:10" x14ac:dyDescent="0.15">
      <c r="A196" s="263" t="s">
        <v>1109</v>
      </c>
      <c r="B196" s="263" t="s">
        <v>1110</v>
      </c>
      <c r="C196" s="263" t="s">
        <v>98</v>
      </c>
      <c r="D196" s="263" t="s">
        <v>1111</v>
      </c>
      <c r="E196" s="263" t="s">
        <v>110</v>
      </c>
      <c r="F196">
        <v>0</v>
      </c>
      <c r="G196">
        <v>2</v>
      </c>
      <c r="H196" s="263" t="s">
        <v>436</v>
      </c>
      <c r="I196" s="264"/>
      <c r="J196" s="263" t="s">
        <v>437</v>
      </c>
    </row>
    <row r="197" spans="1:10" x14ac:dyDescent="0.15">
      <c r="A197" s="263" t="s">
        <v>1112</v>
      </c>
      <c r="B197" s="263" t="s">
        <v>1113</v>
      </c>
      <c r="C197" s="263" t="s">
        <v>98</v>
      </c>
      <c r="D197" s="263" t="s">
        <v>1114</v>
      </c>
      <c r="E197" s="263" t="s">
        <v>110</v>
      </c>
      <c r="F197">
        <v>0</v>
      </c>
      <c r="G197">
        <v>2</v>
      </c>
      <c r="H197" s="263" t="s">
        <v>436</v>
      </c>
      <c r="I197" s="264"/>
      <c r="J197" s="263" t="s">
        <v>437</v>
      </c>
    </row>
    <row r="198" spans="1:10" x14ac:dyDescent="0.15">
      <c r="A198" s="263" t="s">
        <v>1115</v>
      </c>
      <c r="B198" s="263" t="s">
        <v>1116</v>
      </c>
      <c r="C198" s="263" t="s">
        <v>98</v>
      </c>
      <c r="D198" s="263" t="s">
        <v>1117</v>
      </c>
      <c r="E198" s="263" t="s">
        <v>110</v>
      </c>
      <c r="F198">
        <v>0</v>
      </c>
      <c r="G198">
        <v>2</v>
      </c>
      <c r="H198" s="263" t="s">
        <v>436</v>
      </c>
      <c r="I198" s="264"/>
      <c r="J198" s="263" t="s">
        <v>437</v>
      </c>
    </row>
    <row r="199" spans="1:10" x14ac:dyDescent="0.15">
      <c r="A199" s="263" t="s">
        <v>1118</v>
      </c>
      <c r="B199" s="263" t="s">
        <v>1119</v>
      </c>
      <c r="C199" s="263" t="s">
        <v>98</v>
      </c>
      <c r="D199" s="263" t="s">
        <v>1120</v>
      </c>
      <c r="E199" s="263" t="s">
        <v>110</v>
      </c>
      <c r="F199">
        <v>0</v>
      </c>
      <c r="G199">
        <v>2</v>
      </c>
      <c r="H199" s="263" t="s">
        <v>436</v>
      </c>
      <c r="I199" s="264"/>
      <c r="J199" s="263" t="s">
        <v>437</v>
      </c>
    </row>
    <row r="200" spans="1:10" x14ac:dyDescent="0.15">
      <c r="A200" s="263" t="s">
        <v>1121</v>
      </c>
      <c r="B200" s="263" t="s">
        <v>1122</v>
      </c>
      <c r="C200" s="263" t="s">
        <v>98</v>
      </c>
      <c r="D200" s="263" t="s">
        <v>1123</v>
      </c>
      <c r="E200" s="263" t="s">
        <v>110</v>
      </c>
      <c r="F200">
        <v>0</v>
      </c>
      <c r="G200">
        <v>2</v>
      </c>
      <c r="H200" s="263" t="s">
        <v>436</v>
      </c>
      <c r="I200" s="264"/>
      <c r="J200" s="263" t="s">
        <v>437</v>
      </c>
    </row>
    <row r="201" spans="1:10" x14ac:dyDescent="0.15">
      <c r="A201" s="263" t="s">
        <v>1124</v>
      </c>
      <c r="B201" s="263" t="s">
        <v>1125</v>
      </c>
      <c r="C201" s="263" t="s">
        <v>98</v>
      </c>
      <c r="D201" s="263" t="s">
        <v>1126</v>
      </c>
      <c r="E201" s="263" t="s">
        <v>110</v>
      </c>
      <c r="F201">
        <v>0</v>
      </c>
      <c r="G201">
        <v>2</v>
      </c>
      <c r="H201" s="263" t="s">
        <v>436</v>
      </c>
      <c r="I201" s="264"/>
      <c r="J201" s="263" t="s">
        <v>437</v>
      </c>
    </row>
    <row r="202" spans="1:10" x14ac:dyDescent="0.15">
      <c r="A202" s="263" t="s">
        <v>1127</v>
      </c>
      <c r="B202" s="263" t="s">
        <v>1128</v>
      </c>
      <c r="C202" s="263" t="s">
        <v>98</v>
      </c>
      <c r="D202" s="263" t="s">
        <v>1129</v>
      </c>
      <c r="E202" s="263" t="s">
        <v>110</v>
      </c>
      <c r="F202">
        <v>0</v>
      </c>
      <c r="G202">
        <v>2</v>
      </c>
      <c r="H202" s="263" t="s">
        <v>436</v>
      </c>
      <c r="I202" s="264"/>
      <c r="J202" s="263" t="s">
        <v>437</v>
      </c>
    </row>
    <row r="203" spans="1:10" x14ac:dyDescent="0.15">
      <c r="A203" s="263" t="s">
        <v>1130</v>
      </c>
      <c r="B203" s="263" t="s">
        <v>1131</v>
      </c>
      <c r="C203" s="263" t="s">
        <v>98</v>
      </c>
      <c r="D203" s="263" t="s">
        <v>1132</v>
      </c>
      <c r="E203" s="263" t="s">
        <v>110</v>
      </c>
      <c r="F203">
        <v>0</v>
      </c>
      <c r="G203">
        <v>2</v>
      </c>
      <c r="H203" s="263" t="s">
        <v>436</v>
      </c>
      <c r="I203" s="264"/>
      <c r="J203" s="263" t="s">
        <v>437</v>
      </c>
    </row>
    <row r="204" spans="1:10" x14ac:dyDescent="0.15">
      <c r="A204" s="263" t="s">
        <v>1133</v>
      </c>
      <c r="B204" s="263" t="s">
        <v>1134</v>
      </c>
      <c r="C204" s="263" t="s">
        <v>98</v>
      </c>
      <c r="D204" s="263" t="s">
        <v>1135</v>
      </c>
      <c r="E204" s="263" t="s">
        <v>110</v>
      </c>
      <c r="F204">
        <v>0</v>
      </c>
      <c r="G204">
        <v>2</v>
      </c>
      <c r="H204" s="263" t="s">
        <v>436</v>
      </c>
      <c r="I204" s="264"/>
      <c r="J204" s="263" t="s">
        <v>437</v>
      </c>
    </row>
    <row r="205" spans="1:10" x14ac:dyDescent="0.15">
      <c r="A205" s="263" t="s">
        <v>1136</v>
      </c>
      <c r="B205" s="263" t="s">
        <v>1137</v>
      </c>
      <c r="C205" s="263" t="s">
        <v>98</v>
      </c>
      <c r="D205" s="263" t="s">
        <v>1138</v>
      </c>
      <c r="E205" s="263" t="s">
        <v>110</v>
      </c>
      <c r="F205">
        <v>0</v>
      </c>
      <c r="G205">
        <v>2</v>
      </c>
      <c r="H205" s="263" t="s">
        <v>436</v>
      </c>
      <c r="I205" s="264"/>
      <c r="J205" s="263" t="s">
        <v>437</v>
      </c>
    </row>
    <row r="206" spans="1:10" x14ac:dyDescent="0.15">
      <c r="A206" s="263" t="s">
        <v>1139</v>
      </c>
      <c r="B206" s="263" t="s">
        <v>1140</v>
      </c>
      <c r="C206" s="263" t="s">
        <v>98</v>
      </c>
      <c r="D206" s="263" t="s">
        <v>1141</v>
      </c>
      <c r="E206" s="263" t="s">
        <v>110</v>
      </c>
      <c r="F206">
        <v>0</v>
      </c>
      <c r="G206">
        <v>2</v>
      </c>
      <c r="H206" s="263" t="s">
        <v>436</v>
      </c>
      <c r="I206" s="264"/>
      <c r="J206" s="263" t="s">
        <v>437</v>
      </c>
    </row>
    <row r="207" spans="1:10" x14ac:dyDescent="0.15">
      <c r="A207" s="263" t="s">
        <v>1142</v>
      </c>
      <c r="B207" s="263" t="s">
        <v>1143</v>
      </c>
      <c r="C207" s="263" t="s">
        <v>98</v>
      </c>
      <c r="D207" s="263" t="s">
        <v>1144</v>
      </c>
      <c r="E207" s="263" t="s">
        <v>110</v>
      </c>
      <c r="F207">
        <v>0</v>
      </c>
      <c r="G207">
        <v>2</v>
      </c>
      <c r="H207" s="263" t="s">
        <v>436</v>
      </c>
      <c r="I207" s="264"/>
      <c r="J207" s="263" t="s">
        <v>437</v>
      </c>
    </row>
    <row r="208" spans="1:10" x14ac:dyDescent="0.15">
      <c r="A208" s="263" t="s">
        <v>1145</v>
      </c>
      <c r="B208" s="263" t="s">
        <v>1146</v>
      </c>
      <c r="C208" s="263" t="s">
        <v>98</v>
      </c>
      <c r="D208" s="263" t="s">
        <v>1147</v>
      </c>
      <c r="E208" s="263" t="s">
        <v>110</v>
      </c>
      <c r="F208">
        <v>0</v>
      </c>
      <c r="G208">
        <v>2</v>
      </c>
      <c r="H208" s="263" t="s">
        <v>436</v>
      </c>
      <c r="I208" s="264"/>
      <c r="J208" s="263" t="s">
        <v>437</v>
      </c>
    </row>
    <row r="209" spans="1:10" x14ac:dyDescent="0.15">
      <c r="A209" s="263" t="s">
        <v>1148</v>
      </c>
      <c r="B209" s="263" t="s">
        <v>1149</v>
      </c>
      <c r="C209" s="263" t="s">
        <v>98</v>
      </c>
      <c r="D209" s="263" t="s">
        <v>1150</v>
      </c>
      <c r="E209" s="263" t="s">
        <v>110</v>
      </c>
      <c r="F209">
        <v>0</v>
      </c>
      <c r="G209">
        <v>2</v>
      </c>
      <c r="H209" s="263" t="s">
        <v>436</v>
      </c>
      <c r="I209" s="264"/>
      <c r="J209" s="263" t="s">
        <v>437</v>
      </c>
    </row>
    <row r="210" spans="1:10" x14ac:dyDescent="0.15">
      <c r="A210" s="263" t="s">
        <v>1151</v>
      </c>
      <c r="B210" s="263" t="s">
        <v>1152</v>
      </c>
      <c r="C210" s="263" t="s">
        <v>98</v>
      </c>
      <c r="D210" s="263" t="s">
        <v>1153</v>
      </c>
      <c r="E210" s="263" t="s">
        <v>110</v>
      </c>
      <c r="F210">
        <v>0</v>
      </c>
      <c r="G210">
        <v>2</v>
      </c>
      <c r="H210" s="263" t="s">
        <v>436</v>
      </c>
      <c r="I210" s="264"/>
      <c r="J210" s="263" t="s">
        <v>437</v>
      </c>
    </row>
    <row r="211" spans="1:10" x14ac:dyDescent="0.15">
      <c r="A211" s="263" t="s">
        <v>1154</v>
      </c>
      <c r="B211" s="263" t="s">
        <v>1060</v>
      </c>
      <c r="C211" s="263" t="s">
        <v>98</v>
      </c>
      <c r="D211" s="263" t="s">
        <v>1061</v>
      </c>
      <c r="E211" s="263" t="s">
        <v>110</v>
      </c>
      <c r="F211">
        <v>0</v>
      </c>
      <c r="G211">
        <v>2</v>
      </c>
      <c r="H211" s="263" t="s">
        <v>436</v>
      </c>
      <c r="I211" s="264"/>
      <c r="J211" s="263" t="s">
        <v>437</v>
      </c>
    </row>
    <row r="212" spans="1:10" x14ac:dyDescent="0.15">
      <c r="A212" s="263" t="s">
        <v>1155</v>
      </c>
      <c r="B212" s="263" t="s">
        <v>939</v>
      </c>
      <c r="C212" s="263" t="s">
        <v>94</v>
      </c>
      <c r="D212" s="263" t="s">
        <v>940</v>
      </c>
      <c r="E212" s="263" t="s">
        <v>94</v>
      </c>
      <c r="F212">
        <v>0</v>
      </c>
      <c r="G212">
        <v>2</v>
      </c>
      <c r="H212" s="263" t="s">
        <v>436</v>
      </c>
      <c r="I212" s="264"/>
      <c r="J212" s="263" t="s">
        <v>437</v>
      </c>
    </row>
    <row r="213" spans="1:10" x14ac:dyDescent="0.15">
      <c r="A213" s="263" t="s">
        <v>1156</v>
      </c>
      <c r="B213" s="263" t="s">
        <v>870</v>
      </c>
      <c r="C213" s="263" t="s">
        <v>94</v>
      </c>
      <c r="D213" s="263" t="s">
        <v>871</v>
      </c>
      <c r="E213" s="263" t="s">
        <v>94</v>
      </c>
      <c r="F213">
        <v>0</v>
      </c>
      <c r="G213">
        <v>2</v>
      </c>
      <c r="H213" s="263" t="s">
        <v>436</v>
      </c>
      <c r="I213" s="264"/>
      <c r="J213" s="263" t="s">
        <v>437</v>
      </c>
    </row>
    <row r="214" spans="1:10" x14ac:dyDescent="0.15">
      <c r="A214" s="263" t="s">
        <v>1157</v>
      </c>
      <c r="B214" s="263" t="s">
        <v>1067</v>
      </c>
      <c r="C214" s="263" t="s">
        <v>94</v>
      </c>
      <c r="D214" s="263" t="s">
        <v>1068</v>
      </c>
      <c r="E214" s="263" t="s">
        <v>94</v>
      </c>
      <c r="F214">
        <v>0</v>
      </c>
      <c r="G214">
        <v>2</v>
      </c>
      <c r="H214" s="263" t="s">
        <v>436</v>
      </c>
      <c r="I214" s="264"/>
      <c r="J214" s="263" t="s">
        <v>437</v>
      </c>
    </row>
    <row r="215" spans="1:10" x14ac:dyDescent="0.15">
      <c r="A215" s="263" t="s">
        <v>1158</v>
      </c>
      <c r="B215" s="263" t="s">
        <v>1159</v>
      </c>
      <c r="C215" s="263" t="s">
        <v>94</v>
      </c>
      <c r="D215" s="263" t="s">
        <v>1160</v>
      </c>
      <c r="E215" s="263" t="s">
        <v>94</v>
      </c>
      <c r="F215">
        <v>0</v>
      </c>
      <c r="G215">
        <v>2</v>
      </c>
      <c r="H215" s="263" t="s">
        <v>436</v>
      </c>
      <c r="I215" s="264"/>
      <c r="J215" s="263" t="s">
        <v>437</v>
      </c>
    </row>
    <row r="216" spans="1:10" x14ac:dyDescent="0.15">
      <c r="A216" s="263" t="s">
        <v>1161</v>
      </c>
      <c r="B216" s="263" t="s">
        <v>1162</v>
      </c>
      <c r="C216" s="263" t="s">
        <v>94</v>
      </c>
      <c r="D216" s="263" t="s">
        <v>1163</v>
      </c>
      <c r="E216" s="263" t="s">
        <v>94</v>
      </c>
      <c r="F216">
        <v>0</v>
      </c>
      <c r="G216">
        <v>2</v>
      </c>
      <c r="H216" s="263" t="s">
        <v>436</v>
      </c>
      <c r="I216" s="264"/>
      <c r="J216" s="263" t="s">
        <v>437</v>
      </c>
    </row>
    <row r="217" spans="1:10" x14ac:dyDescent="0.15">
      <c r="A217" s="263" t="s">
        <v>1164</v>
      </c>
      <c r="B217" s="263" t="s">
        <v>1165</v>
      </c>
      <c r="C217" s="263" t="s">
        <v>94</v>
      </c>
      <c r="D217" s="263" t="s">
        <v>1166</v>
      </c>
      <c r="E217" s="263" t="s">
        <v>94</v>
      </c>
      <c r="F217">
        <v>0</v>
      </c>
      <c r="G217">
        <v>2</v>
      </c>
      <c r="H217" s="263" t="s">
        <v>436</v>
      </c>
      <c r="I217" s="264"/>
      <c r="J217" s="263" t="s">
        <v>437</v>
      </c>
    </row>
    <row r="218" spans="1:10" x14ac:dyDescent="0.15">
      <c r="A218" s="263" t="s">
        <v>1167</v>
      </c>
      <c r="B218" s="263" t="s">
        <v>1168</v>
      </c>
      <c r="C218" s="263" t="s">
        <v>94</v>
      </c>
      <c r="D218" s="263" t="s">
        <v>1169</v>
      </c>
      <c r="E218" s="263" t="s">
        <v>94</v>
      </c>
      <c r="F218">
        <v>0</v>
      </c>
      <c r="G218">
        <v>2</v>
      </c>
      <c r="H218" s="263" t="s">
        <v>436</v>
      </c>
      <c r="I218" s="264"/>
      <c r="J218" s="263" t="s">
        <v>437</v>
      </c>
    </row>
    <row r="219" spans="1:10" x14ac:dyDescent="0.15">
      <c r="A219" s="263" t="s">
        <v>1170</v>
      </c>
      <c r="B219" s="263" t="s">
        <v>1171</v>
      </c>
      <c r="C219" s="263" t="s">
        <v>94</v>
      </c>
      <c r="D219" s="263" t="s">
        <v>1172</v>
      </c>
      <c r="E219" s="263" t="s">
        <v>94</v>
      </c>
      <c r="F219">
        <v>0</v>
      </c>
      <c r="G219">
        <v>2</v>
      </c>
      <c r="H219" s="263" t="s">
        <v>436</v>
      </c>
      <c r="I219" s="264"/>
      <c r="J219" s="263" t="s">
        <v>437</v>
      </c>
    </row>
    <row r="220" spans="1:10" x14ac:dyDescent="0.15">
      <c r="A220" s="263" t="s">
        <v>1173</v>
      </c>
      <c r="B220" s="263" t="s">
        <v>1070</v>
      </c>
      <c r="C220" s="263" t="s">
        <v>99</v>
      </c>
      <c r="D220" s="263" t="s">
        <v>1071</v>
      </c>
      <c r="E220" s="263" t="s">
        <v>84</v>
      </c>
      <c r="F220">
        <v>0</v>
      </c>
      <c r="G220">
        <v>2</v>
      </c>
      <c r="H220" s="263" t="s">
        <v>436</v>
      </c>
      <c r="I220" s="264"/>
      <c r="J220" s="263" t="s">
        <v>437</v>
      </c>
    </row>
    <row r="221" spans="1:10" x14ac:dyDescent="0.15">
      <c r="A221" s="263" t="s">
        <v>9038</v>
      </c>
      <c r="B221" s="263" t="s">
        <v>1098</v>
      </c>
      <c r="C221" s="263" t="s">
        <v>99</v>
      </c>
      <c r="D221" s="263" t="s">
        <v>1099</v>
      </c>
      <c r="E221" s="263" t="s">
        <v>84</v>
      </c>
      <c r="F221">
        <v>0</v>
      </c>
      <c r="G221">
        <v>2</v>
      </c>
      <c r="H221" s="263" t="s">
        <v>436</v>
      </c>
      <c r="I221" s="264"/>
      <c r="J221" s="263" t="s">
        <v>437</v>
      </c>
    </row>
    <row r="222" spans="1:10" x14ac:dyDescent="0.15">
      <c r="A222" s="263" t="s">
        <v>1174</v>
      </c>
      <c r="B222" s="263" t="s">
        <v>1149</v>
      </c>
      <c r="C222" s="263" t="s">
        <v>99</v>
      </c>
      <c r="D222" s="263" t="s">
        <v>1150</v>
      </c>
      <c r="E222" s="263" t="s">
        <v>84</v>
      </c>
      <c r="F222">
        <v>0</v>
      </c>
      <c r="G222">
        <v>2</v>
      </c>
      <c r="H222" s="263" t="s">
        <v>436</v>
      </c>
      <c r="I222" s="264"/>
      <c r="J222" s="263" t="s">
        <v>437</v>
      </c>
    </row>
    <row r="223" spans="1:10" x14ac:dyDescent="0.15">
      <c r="A223" s="263" t="s">
        <v>1175</v>
      </c>
      <c r="B223" s="263" t="s">
        <v>864</v>
      </c>
      <c r="C223" s="263" t="s">
        <v>99</v>
      </c>
      <c r="D223" s="263" t="s">
        <v>865</v>
      </c>
      <c r="E223" s="263" t="s">
        <v>84</v>
      </c>
      <c r="F223">
        <v>0</v>
      </c>
      <c r="G223">
        <v>2</v>
      </c>
      <c r="H223" s="263" t="s">
        <v>436</v>
      </c>
      <c r="I223" s="264"/>
      <c r="J223" s="263" t="s">
        <v>437</v>
      </c>
    </row>
    <row r="224" spans="1:10" x14ac:dyDescent="0.15">
      <c r="A224" s="263" t="s">
        <v>1176</v>
      </c>
      <c r="B224" s="263" t="s">
        <v>1177</v>
      </c>
      <c r="C224" s="263" t="s">
        <v>81</v>
      </c>
      <c r="D224" s="263" t="s">
        <v>1178</v>
      </c>
      <c r="E224" s="263" t="s">
        <v>88</v>
      </c>
      <c r="F224">
        <v>0</v>
      </c>
      <c r="G224">
        <v>2</v>
      </c>
      <c r="H224" s="263" t="s">
        <v>436</v>
      </c>
      <c r="I224" s="264"/>
      <c r="J224" s="263" t="s">
        <v>437</v>
      </c>
    </row>
    <row r="225" spans="1:10" x14ac:dyDescent="0.15">
      <c r="A225" s="263" t="s">
        <v>1179</v>
      </c>
      <c r="B225" s="263" t="s">
        <v>1180</v>
      </c>
      <c r="C225" s="263" t="s">
        <v>96</v>
      </c>
      <c r="D225" s="263" t="s">
        <v>1181</v>
      </c>
      <c r="E225" s="263" t="s">
        <v>97</v>
      </c>
      <c r="F225">
        <v>0</v>
      </c>
      <c r="G225">
        <v>2</v>
      </c>
      <c r="H225" s="263" t="s">
        <v>436</v>
      </c>
      <c r="I225" s="264"/>
      <c r="J225" s="263" t="s">
        <v>437</v>
      </c>
    </row>
    <row r="226" spans="1:10" x14ac:dyDescent="0.15">
      <c r="A226" s="263" t="s">
        <v>1182</v>
      </c>
      <c r="B226" s="263" t="s">
        <v>1183</v>
      </c>
      <c r="C226" s="263" t="s">
        <v>99</v>
      </c>
      <c r="D226" s="263" t="s">
        <v>1184</v>
      </c>
      <c r="E226" s="263" t="s">
        <v>84</v>
      </c>
      <c r="F226">
        <v>0</v>
      </c>
      <c r="G226">
        <v>2</v>
      </c>
      <c r="H226" s="263" t="s">
        <v>436</v>
      </c>
      <c r="I226" s="264"/>
      <c r="J226" s="263" t="s">
        <v>437</v>
      </c>
    </row>
    <row r="227" spans="1:10" x14ac:dyDescent="0.15">
      <c r="A227" s="263" t="s">
        <v>1185</v>
      </c>
      <c r="B227" s="263" t="s">
        <v>1186</v>
      </c>
      <c r="C227" s="263" t="s">
        <v>99</v>
      </c>
      <c r="D227" s="263" t="s">
        <v>1187</v>
      </c>
      <c r="E227" s="263" t="s">
        <v>84</v>
      </c>
      <c r="F227">
        <v>0</v>
      </c>
      <c r="G227">
        <v>2</v>
      </c>
      <c r="H227" s="263" t="s">
        <v>436</v>
      </c>
      <c r="I227" s="264"/>
      <c r="J227" s="263" t="s">
        <v>437</v>
      </c>
    </row>
    <row r="228" spans="1:10" x14ac:dyDescent="0.15">
      <c r="A228" s="263" t="s">
        <v>1188</v>
      </c>
      <c r="B228" s="263" t="s">
        <v>1189</v>
      </c>
      <c r="C228" s="263" t="s">
        <v>99</v>
      </c>
      <c r="D228" s="263" t="s">
        <v>1190</v>
      </c>
      <c r="E228" s="263" t="s">
        <v>84</v>
      </c>
      <c r="F228">
        <v>0</v>
      </c>
      <c r="G228">
        <v>2</v>
      </c>
      <c r="H228" s="263" t="s">
        <v>436</v>
      </c>
      <c r="I228" s="264"/>
      <c r="J228" s="263" t="s">
        <v>437</v>
      </c>
    </row>
    <row r="229" spans="1:10" x14ac:dyDescent="0.15">
      <c r="A229" s="263" t="s">
        <v>1191</v>
      </c>
      <c r="B229" s="263" t="s">
        <v>1189</v>
      </c>
      <c r="C229" s="263" t="s">
        <v>105</v>
      </c>
      <c r="D229" s="263" t="s">
        <v>1190</v>
      </c>
      <c r="E229" s="263" t="s">
        <v>112</v>
      </c>
      <c r="F229">
        <v>0</v>
      </c>
      <c r="G229">
        <v>2</v>
      </c>
      <c r="H229" s="263" t="s">
        <v>436</v>
      </c>
      <c r="I229" s="264"/>
      <c r="J229" s="263" t="s">
        <v>437</v>
      </c>
    </row>
    <row r="230" spans="1:10" x14ac:dyDescent="0.15">
      <c r="A230" s="263" t="s">
        <v>1192</v>
      </c>
      <c r="B230" s="263" t="s">
        <v>1193</v>
      </c>
      <c r="C230" s="263" t="s">
        <v>99</v>
      </c>
      <c r="D230" s="263" t="s">
        <v>1194</v>
      </c>
      <c r="E230" s="263" t="s">
        <v>84</v>
      </c>
      <c r="F230">
        <v>0</v>
      </c>
      <c r="G230">
        <v>2</v>
      </c>
      <c r="H230" s="263" t="s">
        <v>436</v>
      </c>
      <c r="I230" s="264"/>
      <c r="J230" s="263" t="s">
        <v>437</v>
      </c>
    </row>
    <row r="231" spans="1:10" x14ac:dyDescent="0.15">
      <c r="A231" s="263" t="s">
        <v>1195</v>
      </c>
      <c r="B231" s="263" t="s">
        <v>1193</v>
      </c>
      <c r="C231" s="263" t="s">
        <v>105</v>
      </c>
      <c r="D231" s="263" t="s">
        <v>1194</v>
      </c>
      <c r="E231" s="263" t="s">
        <v>112</v>
      </c>
      <c r="F231">
        <v>0</v>
      </c>
      <c r="G231">
        <v>2</v>
      </c>
      <c r="H231" s="263" t="s">
        <v>436</v>
      </c>
      <c r="I231" s="264"/>
      <c r="J231" s="263" t="s">
        <v>437</v>
      </c>
    </row>
    <row r="232" spans="1:10" x14ac:dyDescent="0.15">
      <c r="A232" s="263" t="s">
        <v>1198</v>
      </c>
      <c r="B232" s="263" t="s">
        <v>1196</v>
      </c>
      <c r="C232" s="263" t="s">
        <v>99</v>
      </c>
      <c r="D232" s="263" t="s">
        <v>1197</v>
      </c>
      <c r="E232" s="263" t="s">
        <v>84</v>
      </c>
      <c r="F232">
        <v>0</v>
      </c>
      <c r="G232">
        <v>2</v>
      </c>
      <c r="H232" s="263" t="s">
        <v>436</v>
      </c>
      <c r="I232" s="264"/>
      <c r="J232" s="263" t="s">
        <v>437</v>
      </c>
    </row>
    <row r="233" spans="1:10" x14ac:dyDescent="0.15">
      <c r="A233" s="263" t="s">
        <v>1199</v>
      </c>
      <c r="B233" s="263" t="s">
        <v>1200</v>
      </c>
      <c r="C233" s="263" t="s">
        <v>99</v>
      </c>
      <c r="D233" s="263" t="s">
        <v>1201</v>
      </c>
      <c r="E233" s="263" t="s">
        <v>84</v>
      </c>
      <c r="F233">
        <v>0</v>
      </c>
      <c r="G233">
        <v>2</v>
      </c>
      <c r="H233" s="263" t="s">
        <v>436</v>
      </c>
      <c r="I233" s="264"/>
      <c r="J233" s="263" t="s">
        <v>437</v>
      </c>
    </row>
    <row r="234" spans="1:10" x14ac:dyDescent="0.15">
      <c r="A234" s="263" t="s">
        <v>1202</v>
      </c>
      <c r="B234" s="263" t="s">
        <v>1203</v>
      </c>
      <c r="C234" s="263" t="s">
        <v>96</v>
      </c>
      <c r="D234" s="263" t="s">
        <v>1204</v>
      </c>
      <c r="E234" s="263" t="s">
        <v>97</v>
      </c>
      <c r="F234">
        <v>0</v>
      </c>
      <c r="G234">
        <v>2</v>
      </c>
      <c r="H234" s="263" t="s">
        <v>436</v>
      </c>
      <c r="I234" s="264"/>
      <c r="J234" s="263" t="s">
        <v>437</v>
      </c>
    </row>
    <row r="235" spans="1:10" x14ac:dyDescent="0.15">
      <c r="A235" s="263" t="s">
        <v>1205</v>
      </c>
      <c r="B235" s="263" t="s">
        <v>1206</v>
      </c>
      <c r="C235" s="263" t="s">
        <v>96</v>
      </c>
      <c r="D235" s="263" t="s">
        <v>1207</v>
      </c>
      <c r="E235" s="263" t="s">
        <v>97</v>
      </c>
      <c r="F235">
        <v>0</v>
      </c>
      <c r="G235">
        <v>2</v>
      </c>
      <c r="H235" s="263" t="s">
        <v>436</v>
      </c>
      <c r="I235" s="264"/>
      <c r="J235" s="263" t="s">
        <v>437</v>
      </c>
    </row>
    <row r="236" spans="1:10" x14ac:dyDescent="0.15">
      <c r="A236" s="263" t="s">
        <v>1208</v>
      </c>
      <c r="B236" s="263" t="s">
        <v>1203</v>
      </c>
      <c r="C236" s="263" t="s">
        <v>99</v>
      </c>
      <c r="D236" s="263" t="s">
        <v>1204</v>
      </c>
      <c r="E236" s="263" t="s">
        <v>84</v>
      </c>
      <c r="F236">
        <v>0</v>
      </c>
      <c r="G236">
        <v>2</v>
      </c>
      <c r="H236" s="263" t="s">
        <v>436</v>
      </c>
      <c r="I236" s="264"/>
      <c r="J236" s="263" t="s">
        <v>437</v>
      </c>
    </row>
    <row r="237" spans="1:10" x14ac:dyDescent="0.15">
      <c r="A237" s="263" t="s">
        <v>1209</v>
      </c>
      <c r="B237" s="263" t="s">
        <v>1210</v>
      </c>
      <c r="C237" s="263" t="s">
        <v>96</v>
      </c>
      <c r="D237" s="263" t="s">
        <v>1211</v>
      </c>
      <c r="E237" s="263" t="s">
        <v>97</v>
      </c>
      <c r="F237">
        <v>0</v>
      </c>
      <c r="G237">
        <v>2</v>
      </c>
      <c r="H237" s="263" t="s">
        <v>436</v>
      </c>
      <c r="I237" s="264"/>
      <c r="J237" s="263" t="s">
        <v>437</v>
      </c>
    </row>
    <row r="238" spans="1:10" x14ac:dyDescent="0.15">
      <c r="A238" s="263" t="s">
        <v>1212</v>
      </c>
      <c r="B238" s="263" t="s">
        <v>1210</v>
      </c>
      <c r="C238" s="263" t="s">
        <v>99</v>
      </c>
      <c r="D238" s="263" t="s">
        <v>1211</v>
      </c>
      <c r="E238" s="263" t="s">
        <v>84</v>
      </c>
      <c r="F238">
        <v>0</v>
      </c>
      <c r="G238">
        <v>2</v>
      </c>
      <c r="H238" s="263" t="s">
        <v>436</v>
      </c>
      <c r="I238" s="264"/>
      <c r="J238" s="263" t="s">
        <v>437</v>
      </c>
    </row>
    <row r="239" spans="1:10" x14ac:dyDescent="0.15">
      <c r="A239" s="263" t="s">
        <v>1213</v>
      </c>
      <c r="B239" s="263" t="s">
        <v>1214</v>
      </c>
      <c r="C239" s="263" t="s">
        <v>99</v>
      </c>
      <c r="D239" s="263" t="s">
        <v>1215</v>
      </c>
      <c r="E239" s="263" t="s">
        <v>84</v>
      </c>
      <c r="F239">
        <v>0</v>
      </c>
      <c r="G239">
        <v>2</v>
      </c>
      <c r="H239" s="263" t="s">
        <v>436</v>
      </c>
      <c r="I239" s="264"/>
      <c r="J239" s="263" t="s">
        <v>437</v>
      </c>
    </row>
    <row r="240" spans="1:10" x14ac:dyDescent="0.15">
      <c r="A240" s="263" t="s">
        <v>1216</v>
      </c>
      <c r="B240" s="263" t="s">
        <v>1217</v>
      </c>
      <c r="C240" s="263" t="s">
        <v>99</v>
      </c>
      <c r="D240" s="263" t="s">
        <v>1218</v>
      </c>
      <c r="E240" s="263" t="s">
        <v>84</v>
      </c>
      <c r="F240">
        <v>0</v>
      </c>
      <c r="G240">
        <v>2</v>
      </c>
      <c r="H240" s="263" t="s">
        <v>436</v>
      </c>
      <c r="I240" s="264"/>
      <c r="J240" s="263" t="s">
        <v>437</v>
      </c>
    </row>
    <row r="241" spans="1:10" x14ac:dyDescent="0.15">
      <c r="A241" s="263" t="s">
        <v>1219</v>
      </c>
      <c r="B241" s="263" t="s">
        <v>1220</v>
      </c>
      <c r="C241" s="263" t="s">
        <v>99</v>
      </c>
      <c r="D241" s="263" t="s">
        <v>1221</v>
      </c>
      <c r="E241" s="263" t="s">
        <v>84</v>
      </c>
      <c r="F241">
        <v>0</v>
      </c>
      <c r="G241">
        <v>2</v>
      </c>
      <c r="H241" s="263" t="s">
        <v>436</v>
      </c>
      <c r="I241" s="264"/>
      <c r="J241" s="263" t="s">
        <v>437</v>
      </c>
    </row>
    <row r="242" spans="1:10" x14ac:dyDescent="0.15">
      <c r="A242" s="263" t="s">
        <v>1222</v>
      </c>
      <c r="B242" s="263" t="s">
        <v>1223</v>
      </c>
      <c r="C242" s="263" t="s">
        <v>99</v>
      </c>
      <c r="D242" s="263" t="s">
        <v>1224</v>
      </c>
      <c r="E242" s="263" t="s">
        <v>84</v>
      </c>
      <c r="F242">
        <v>0</v>
      </c>
      <c r="G242">
        <v>2</v>
      </c>
      <c r="H242" s="263" t="s">
        <v>436</v>
      </c>
      <c r="I242" s="264"/>
      <c r="J242" s="263" t="s">
        <v>437</v>
      </c>
    </row>
    <row r="243" spans="1:10" x14ac:dyDescent="0.15">
      <c r="A243" s="263" t="s">
        <v>9039</v>
      </c>
      <c r="B243" s="263" t="s">
        <v>1217</v>
      </c>
      <c r="C243" s="263" t="s">
        <v>105</v>
      </c>
      <c r="D243" s="263" t="s">
        <v>1218</v>
      </c>
      <c r="E243" s="263" t="s">
        <v>112</v>
      </c>
      <c r="F243">
        <v>0</v>
      </c>
      <c r="G243">
        <v>2</v>
      </c>
      <c r="H243" s="263" t="s">
        <v>436</v>
      </c>
      <c r="I243" s="264"/>
      <c r="J243" s="263" t="s">
        <v>437</v>
      </c>
    </row>
    <row r="244" spans="1:10" x14ac:dyDescent="0.15">
      <c r="A244" s="263" t="s">
        <v>1225</v>
      </c>
      <c r="B244" s="263" t="s">
        <v>1226</v>
      </c>
      <c r="C244" s="263" t="s">
        <v>99</v>
      </c>
      <c r="D244" s="263" t="s">
        <v>1227</v>
      </c>
      <c r="E244" s="263" t="s">
        <v>84</v>
      </c>
      <c r="F244">
        <v>0</v>
      </c>
      <c r="G244">
        <v>2</v>
      </c>
      <c r="H244" s="263" t="s">
        <v>436</v>
      </c>
      <c r="I244" s="264"/>
      <c r="J244" s="263" t="s">
        <v>437</v>
      </c>
    </row>
    <row r="245" spans="1:10" x14ac:dyDescent="0.15">
      <c r="A245" s="263" t="s">
        <v>1230</v>
      </c>
      <c r="B245" s="263" t="s">
        <v>1231</v>
      </c>
      <c r="C245" s="263" t="s">
        <v>96</v>
      </c>
      <c r="D245" s="263" t="s">
        <v>1232</v>
      </c>
      <c r="E245" s="263" t="s">
        <v>97</v>
      </c>
      <c r="F245">
        <v>0</v>
      </c>
      <c r="G245">
        <v>2</v>
      </c>
      <c r="H245" s="263" t="s">
        <v>436</v>
      </c>
      <c r="I245" s="264"/>
      <c r="J245" s="263" t="s">
        <v>437</v>
      </c>
    </row>
    <row r="246" spans="1:10" x14ac:dyDescent="0.15">
      <c r="A246" s="263" t="s">
        <v>1233</v>
      </c>
      <c r="B246" s="263" t="s">
        <v>1234</v>
      </c>
      <c r="C246" s="263" t="s">
        <v>98</v>
      </c>
      <c r="D246" s="263" t="s">
        <v>1235</v>
      </c>
      <c r="E246" s="263" t="s">
        <v>110</v>
      </c>
      <c r="F246">
        <v>0</v>
      </c>
      <c r="G246">
        <v>2</v>
      </c>
      <c r="H246" s="263" t="s">
        <v>436</v>
      </c>
      <c r="I246" s="264"/>
      <c r="J246" s="263" t="s">
        <v>437</v>
      </c>
    </row>
    <row r="247" spans="1:10" x14ac:dyDescent="0.15">
      <c r="A247" s="263" t="s">
        <v>1236</v>
      </c>
      <c r="B247" s="263" t="s">
        <v>1237</v>
      </c>
      <c r="C247" s="263" t="s">
        <v>99</v>
      </c>
      <c r="D247" s="263" t="s">
        <v>1238</v>
      </c>
      <c r="E247" s="263" t="s">
        <v>84</v>
      </c>
      <c r="F247">
        <v>0</v>
      </c>
      <c r="G247">
        <v>2</v>
      </c>
      <c r="H247" s="263" t="s">
        <v>436</v>
      </c>
      <c r="I247" s="264"/>
      <c r="J247" s="263" t="s">
        <v>437</v>
      </c>
    </row>
    <row r="248" spans="1:10" x14ac:dyDescent="0.15">
      <c r="A248" s="263" t="s">
        <v>1239</v>
      </c>
      <c r="B248" s="263" t="s">
        <v>1237</v>
      </c>
      <c r="C248" s="263" t="s">
        <v>105</v>
      </c>
      <c r="D248" s="263" t="s">
        <v>1238</v>
      </c>
      <c r="E248" s="263" t="s">
        <v>112</v>
      </c>
      <c r="F248">
        <v>0</v>
      </c>
      <c r="G248">
        <v>2</v>
      </c>
      <c r="H248" s="263" t="s">
        <v>436</v>
      </c>
      <c r="I248" s="264"/>
      <c r="J248" s="263" t="s">
        <v>437</v>
      </c>
    </row>
    <row r="249" spans="1:10" x14ac:dyDescent="0.15">
      <c r="A249" s="263" t="s">
        <v>1240</v>
      </c>
      <c r="B249" s="263" t="s">
        <v>1241</v>
      </c>
      <c r="C249" s="263" t="s">
        <v>99</v>
      </c>
      <c r="D249" s="263" t="s">
        <v>1242</v>
      </c>
      <c r="E249" s="263" t="s">
        <v>84</v>
      </c>
      <c r="F249">
        <v>0</v>
      </c>
      <c r="G249">
        <v>2</v>
      </c>
      <c r="H249" s="263" t="s">
        <v>436</v>
      </c>
      <c r="I249" s="264"/>
      <c r="J249" s="263" t="s">
        <v>437</v>
      </c>
    </row>
    <row r="250" spans="1:10" x14ac:dyDescent="0.15">
      <c r="A250" s="263" t="s">
        <v>9203</v>
      </c>
      <c r="B250" s="263" t="s">
        <v>1413</v>
      </c>
      <c r="C250" s="263" t="s">
        <v>81</v>
      </c>
      <c r="D250" s="263" t="s">
        <v>1414</v>
      </c>
      <c r="E250" s="263" t="s">
        <v>88</v>
      </c>
      <c r="F250">
        <v>0</v>
      </c>
      <c r="G250">
        <v>2</v>
      </c>
      <c r="H250" s="263" t="s">
        <v>436</v>
      </c>
      <c r="I250" s="264"/>
      <c r="J250" s="263" t="s">
        <v>437</v>
      </c>
    </row>
    <row r="251" spans="1:10" x14ac:dyDescent="0.15">
      <c r="A251" s="263" t="s">
        <v>9204</v>
      </c>
      <c r="B251" s="263" t="s">
        <v>1415</v>
      </c>
      <c r="C251" s="263" t="s">
        <v>81</v>
      </c>
      <c r="D251" s="263" t="s">
        <v>1416</v>
      </c>
      <c r="E251" s="263" t="s">
        <v>88</v>
      </c>
      <c r="F251">
        <v>0</v>
      </c>
      <c r="G251">
        <v>2</v>
      </c>
      <c r="H251" s="263" t="s">
        <v>436</v>
      </c>
      <c r="I251" s="264"/>
      <c r="J251" s="263" t="s">
        <v>437</v>
      </c>
    </row>
    <row r="252" spans="1:10" x14ac:dyDescent="0.15">
      <c r="A252" s="263" t="s">
        <v>9205</v>
      </c>
      <c r="B252" s="263" t="s">
        <v>1411</v>
      </c>
      <c r="C252" s="263" t="s">
        <v>99</v>
      </c>
      <c r="D252" s="263" t="s">
        <v>1412</v>
      </c>
      <c r="E252" s="263" t="s">
        <v>84</v>
      </c>
      <c r="F252">
        <v>0</v>
      </c>
      <c r="G252">
        <v>2</v>
      </c>
      <c r="H252" s="263" t="s">
        <v>436</v>
      </c>
      <c r="I252" s="264"/>
      <c r="J252" s="263" t="s">
        <v>437</v>
      </c>
    </row>
    <row r="253" spans="1:10" x14ac:dyDescent="0.15">
      <c r="A253" s="263" t="s">
        <v>1243</v>
      </c>
      <c r="B253" s="263" t="s">
        <v>1244</v>
      </c>
      <c r="C253" s="263" t="s">
        <v>96</v>
      </c>
      <c r="D253" s="263" t="s">
        <v>1245</v>
      </c>
      <c r="E253" s="263" t="s">
        <v>97</v>
      </c>
      <c r="F253">
        <v>0</v>
      </c>
      <c r="G253">
        <v>2</v>
      </c>
      <c r="H253" s="263" t="s">
        <v>436</v>
      </c>
      <c r="I253" s="264"/>
      <c r="J253" s="263" t="s">
        <v>437</v>
      </c>
    </row>
    <row r="254" spans="1:10" x14ac:dyDescent="0.15">
      <c r="A254" s="263" t="s">
        <v>1246</v>
      </c>
      <c r="B254" s="263" t="s">
        <v>1247</v>
      </c>
      <c r="C254" s="263" t="s">
        <v>98</v>
      </c>
      <c r="D254" s="263" t="s">
        <v>1248</v>
      </c>
      <c r="E254" s="263" t="s">
        <v>109</v>
      </c>
      <c r="F254">
        <v>0</v>
      </c>
      <c r="G254">
        <v>2</v>
      </c>
      <c r="H254" s="263" t="s">
        <v>436</v>
      </c>
      <c r="I254" s="264"/>
      <c r="J254" s="263" t="s">
        <v>437</v>
      </c>
    </row>
    <row r="255" spans="1:10" x14ac:dyDescent="0.15">
      <c r="A255" s="263" t="s">
        <v>1249</v>
      </c>
      <c r="B255" s="263" t="s">
        <v>1250</v>
      </c>
      <c r="C255" s="263" t="s">
        <v>94</v>
      </c>
      <c r="D255" s="263" t="s">
        <v>1251</v>
      </c>
      <c r="E255" s="263" t="s">
        <v>94</v>
      </c>
      <c r="F255">
        <v>0</v>
      </c>
      <c r="G255">
        <v>2</v>
      </c>
      <c r="H255" s="263" t="s">
        <v>436</v>
      </c>
      <c r="I255" s="264"/>
      <c r="J255" s="263" t="s">
        <v>437</v>
      </c>
    </row>
    <row r="256" spans="1:10" x14ac:dyDescent="0.15">
      <c r="A256" s="263" t="s">
        <v>1252</v>
      </c>
      <c r="B256" s="263" t="s">
        <v>1253</v>
      </c>
      <c r="C256" s="263" t="s">
        <v>94</v>
      </c>
      <c r="D256" s="263" t="s">
        <v>1254</v>
      </c>
      <c r="E256" s="263" t="s">
        <v>94</v>
      </c>
      <c r="F256">
        <v>0</v>
      </c>
      <c r="G256">
        <v>2</v>
      </c>
      <c r="H256" s="263" t="s">
        <v>436</v>
      </c>
      <c r="I256" s="264"/>
      <c r="J256" s="263" t="s">
        <v>437</v>
      </c>
    </row>
    <row r="257" spans="1:10" x14ac:dyDescent="0.15">
      <c r="A257" s="263" t="s">
        <v>1255</v>
      </c>
      <c r="B257" s="263" t="s">
        <v>9206</v>
      </c>
      <c r="C257" s="263" t="s">
        <v>98</v>
      </c>
      <c r="D257" s="263" t="s">
        <v>9207</v>
      </c>
      <c r="E257" s="263" t="s">
        <v>110</v>
      </c>
      <c r="F257">
        <v>0</v>
      </c>
      <c r="G257">
        <v>2</v>
      </c>
      <c r="H257" s="263" t="s">
        <v>436</v>
      </c>
      <c r="I257" s="264"/>
      <c r="J257" s="263" t="s">
        <v>437</v>
      </c>
    </row>
    <row r="258" spans="1:10" x14ac:dyDescent="0.15">
      <c r="A258" s="263" t="s">
        <v>9208</v>
      </c>
      <c r="B258" s="263" t="s">
        <v>9209</v>
      </c>
      <c r="C258" s="263" t="s">
        <v>98</v>
      </c>
      <c r="D258" s="263" t="s">
        <v>9210</v>
      </c>
      <c r="E258" s="263" t="s">
        <v>110</v>
      </c>
      <c r="F258">
        <v>0</v>
      </c>
      <c r="G258">
        <v>2</v>
      </c>
      <c r="H258" s="263" t="s">
        <v>436</v>
      </c>
      <c r="I258" s="264"/>
      <c r="J258" s="263" t="s">
        <v>437</v>
      </c>
    </row>
    <row r="259" spans="1:10" x14ac:dyDescent="0.15">
      <c r="A259" s="263" t="s">
        <v>9211</v>
      </c>
      <c r="B259" s="263" t="s">
        <v>9212</v>
      </c>
      <c r="C259" s="263" t="s">
        <v>98</v>
      </c>
      <c r="D259" s="263" t="s">
        <v>9213</v>
      </c>
      <c r="E259" s="263" t="s">
        <v>110</v>
      </c>
      <c r="F259">
        <v>0</v>
      </c>
      <c r="G259">
        <v>2</v>
      </c>
      <c r="H259" s="263" t="s">
        <v>436</v>
      </c>
      <c r="I259" s="264"/>
      <c r="J259" s="263" t="s">
        <v>437</v>
      </c>
    </row>
    <row r="260" spans="1:10" x14ac:dyDescent="0.15">
      <c r="A260" s="263" t="s">
        <v>9214</v>
      </c>
      <c r="B260" s="263" t="s">
        <v>9215</v>
      </c>
      <c r="C260" s="263" t="s">
        <v>98</v>
      </c>
      <c r="D260" s="263" t="s">
        <v>9216</v>
      </c>
      <c r="E260" s="263" t="s">
        <v>110</v>
      </c>
      <c r="F260">
        <v>0</v>
      </c>
      <c r="G260">
        <v>2</v>
      </c>
      <c r="H260" s="263" t="s">
        <v>436</v>
      </c>
      <c r="I260" s="264"/>
      <c r="J260" s="263" t="s">
        <v>437</v>
      </c>
    </row>
    <row r="261" spans="1:10" x14ac:dyDescent="0.15">
      <c r="A261" s="263" t="s">
        <v>9217</v>
      </c>
      <c r="B261" s="263" t="s">
        <v>9218</v>
      </c>
      <c r="C261" s="263" t="s">
        <v>98</v>
      </c>
      <c r="D261" s="263" t="s">
        <v>9219</v>
      </c>
      <c r="E261" s="263" t="s">
        <v>110</v>
      </c>
      <c r="F261">
        <v>0</v>
      </c>
      <c r="G261">
        <v>2</v>
      </c>
      <c r="H261" s="263" t="s">
        <v>436</v>
      </c>
      <c r="I261" s="264"/>
      <c r="J261" s="263" t="s">
        <v>437</v>
      </c>
    </row>
    <row r="262" spans="1:10" x14ac:dyDescent="0.15">
      <c r="A262" s="263" t="s">
        <v>9220</v>
      </c>
      <c r="B262" s="263" t="s">
        <v>9221</v>
      </c>
      <c r="C262" s="263" t="s">
        <v>98</v>
      </c>
      <c r="D262" s="263" t="s">
        <v>9222</v>
      </c>
      <c r="E262" s="263" t="s">
        <v>110</v>
      </c>
      <c r="F262">
        <v>0</v>
      </c>
      <c r="G262">
        <v>2</v>
      </c>
      <c r="H262" s="263" t="s">
        <v>436</v>
      </c>
      <c r="I262" s="264"/>
      <c r="J262" s="263" t="s">
        <v>437</v>
      </c>
    </row>
    <row r="263" spans="1:10" x14ac:dyDescent="0.15">
      <c r="A263" s="263" t="s">
        <v>9223</v>
      </c>
      <c r="B263" s="263" t="s">
        <v>9224</v>
      </c>
      <c r="C263" s="263" t="s">
        <v>98</v>
      </c>
      <c r="D263" s="263" t="s">
        <v>9225</v>
      </c>
      <c r="E263" s="263" t="s">
        <v>110</v>
      </c>
      <c r="F263">
        <v>0</v>
      </c>
      <c r="G263">
        <v>2</v>
      </c>
      <c r="H263" s="263" t="s">
        <v>436</v>
      </c>
      <c r="I263" s="264"/>
      <c r="J263" s="263" t="s">
        <v>437</v>
      </c>
    </row>
    <row r="264" spans="1:10" x14ac:dyDescent="0.15">
      <c r="A264" s="263" t="s">
        <v>1262</v>
      </c>
      <c r="B264" s="263" t="s">
        <v>1256</v>
      </c>
      <c r="C264" s="263" t="s">
        <v>98</v>
      </c>
      <c r="D264" s="263" t="s">
        <v>1257</v>
      </c>
      <c r="E264" s="263" t="s">
        <v>110</v>
      </c>
      <c r="F264">
        <v>0</v>
      </c>
      <c r="G264">
        <v>2</v>
      </c>
      <c r="H264" s="263" t="s">
        <v>436</v>
      </c>
      <c r="I264" s="264"/>
      <c r="J264" s="263" t="s">
        <v>437</v>
      </c>
    </row>
    <row r="265" spans="1:10" x14ac:dyDescent="0.15">
      <c r="A265" s="263" t="s">
        <v>9226</v>
      </c>
      <c r="B265" s="263" t="s">
        <v>1258</v>
      </c>
      <c r="C265" s="263" t="s">
        <v>98</v>
      </c>
      <c r="D265" s="263" t="s">
        <v>1259</v>
      </c>
      <c r="E265" s="263" t="s">
        <v>110</v>
      </c>
      <c r="F265">
        <v>0</v>
      </c>
      <c r="G265">
        <v>2</v>
      </c>
      <c r="H265" s="263" t="s">
        <v>436</v>
      </c>
      <c r="I265" s="264"/>
      <c r="J265" s="263" t="s">
        <v>437</v>
      </c>
    </row>
    <row r="266" spans="1:10" x14ac:dyDescent="0.15">
      <c r="A266" s="263" t="s">
        <v>9227</v>
      </c>
      <c r="B266" s="263" t="s">
        <v>1260</v>
      </c>
      <c r="C266" s="263" t="s">
        <v>98</v>
      </c>
      <c r="D266" s="263" t="s">
        <v>1261</v>
      </c>
      <c r="E266" s="263" t="s">
        <v>110</v>
      </c>
      <c r="F266">
        <v>0</v>
      </c>
      <c r="G266">
        <v>2</v>
      </c>
      <c r="H266" s="263" t="s">
        <v>436</v>
      </c>
      <c r="I266" s="264"/>
      <c r="J266" s="263" t="s">
        <v>437</v>
      </c>
    </row>
    <row r="267" spans="1:10" x14ac:dyDescent="0.15">
      <c r="A267" s="263" t="s">
        <v>9228</v>
      </c>
      <c r="B267" s="263" t="s">
        <v>1263</v>
      </c>
      <c r="C267" s="263" t="s">
        <v>98</v>
      </c>
      <c r="D267" s="263" t="s">
        <v>1264</v>
      </c>
      <c r="E267" s="263" t="s">
        <v>110</v>
      </c>
      <c r="F267">
        <v>0</v>
      </c>
      <c r="G267">
        <v>2</v>
      </c>
      <c r="H267" s="263" t="s">
        <v>436</v>
      </c>
      <c r="I267" s="264"/>
      <c r="J267" s="263" t="s">
        <v>437</v>
      </c>
    </row>
    <row r="268" spans="1:10" x14ac:dyDescent="0.15">
      <c r="A268" s="263" t="s">
        <v>9229</v>
      </c>
      <c r="B268" s="263" t="s">
        <v>1269</v>
      </c>
      <c r="C268" s="263" t="s">
        <v>98</v>
      </c>
      <c r="D268" s="263" t="s">
        <v>1270</v>
      </c>
      <c r="E268" s="263" t="s">
        <v>110</v>
      </c>
      <c r="F268">
        <v>0</v>
      </c>
      <c r="G268">
        <v>2</v>
      </c>
      <c r="H268" s="263" t="s">
        <v>436</v>
      </c>
      <c r="I268" s="264"/>
      <c r="J268" s="263" t="s">
        <v>437</v>
      </c>
    </row>
    <row r="269" spans="1:10" x14ac:dyDescent="0.15">
      <c r="A269" s="263" t="s">
        <v>9230</v>
      </c>
      <c r="B269" s="263" t="s">
        <v>1271</v>
      </c>
      <c r="C269" s="263" t="s">
        <v>98</v>
      </c>
      <c r="D269" s="263" t="s">
        <v>1272</v>
      </c>
      <c r="E269" s="263" t="s">
        <v>110</v>
      </c>
      <c r="F269">
        <v>0</v>
      </c>
      <c r="G269">
        <v>2</v>
      </c>
      <c r="H269" s="263" t="s">
        <v>436</v>
      </c>
      <c r="I269" s="264"/>
      <c r="J269" s="263" t="s">
        <v>437</v>
      </c>
    </row>
    <row r="270" spans="1:10" x14ac:dyDescent="0.15">
      <c r="A270" s="263" t="s">
        <v>9231</v>
      </c>
      <c r="B270" s="263" t="s">
        <v>1273</v>
      </c>
      <c r="C270" s="263" t="s">
        <v>98</v>
      </c>
      <c r="D270" s="263" t="s">
        <v>1274</v>
      </c>
      <c r="E270" s="263" t="s">
        <v>110</v>
      </c>
      <c r="F270">
        <v>0</v>
      </c>
      <c r="G270">
        <v>2</v>
      </c>
      <c r="H270" s="263" t="s">
        <v>436</v>
      </c>
      <c r="I270" s="264"/>
      <c r="J270" s="263" t="s">
        <v>437</v>
      </c>
    </row>
    <row r="271" spans="1:10" x14ac:dyDescent="0.15">
      <c r="A271" s="263" t="s">
        <v>9232</v>
      </c>
      <c r="B271" s="263" t="s">
        <v>1275</v>
      </c>
      <c r="C271" s="263" t="s">
        <v>98</v>
      </c>
      <c r="D271" s="263" t="s">
        <v>1276</v>
      </c>
      <c r="E271" s="263" t="s">
        <v>110</v>
      </c>
      <c r="F271">
        <v>0</v>
      </c>
      <c r="G271">
        <v>2</v>
      </c>
      <c r="H271" s="263" t="s">
        <v>436</v>
      </c>
      <c r="I271" s="264"/>
      <c r="J271" s="263" t="s">
        <v>437</v>
      </c>
    </row>
    <row r="272" spans="1:10" x14ac:dyDescent="0.15">
      <c r="A272" s="263" t="s">
        <v>9233</v>
      </c>
      <c r="B272" s="263" t="s">
        <v>1277</v>
      </c>
      <c r="C272" s="263" t="s">
        <v>98</v>
      </c>
      <c r="D272" s="263" t="s">
        <v>1278</v>
      </c>
      <c r="E272" s="263" t="s">
        <v>110</v>
      </c>
      <c r="F272">
        <v>0</v>
      </c>
      <c r="G272">
        <v>2</v>
      </c>
      <c r="H272" s="263" t="s">
        <v>436</v>
      </c>
      <c r="I272" s="264"/>
      <c r="J272" s="263" t="s">
        <v>437</v>
      </c>
    </row>
    <row r="273" spans="1:10" x14ac:dyDescent="0.15">
      <c r="A273" s="263" t="s">
        <v>9234</v>
      </c>
      <c r="B273" s="263" t="s">
        <v>1279</v>
      </c>
      <c r="C273" s="263" t="s">
        <v>98</v>
      </c>
      <c r="D273" s="263" t="s">
        <v>1280</v>
      </c>
      <c r="E273" s="263" t="s">
        <v>110</v>
      </c>
      <c r="F273">
        <v>0</v>
      </c>
      <c r="G273">
        <v>2</v>
      </c>
      <c r="H273" s="263" t="s">
        <v>436</v>
      </c>
      <c r="I273" s="264"/>
      <c r="J273" s="263" t="s">
        <v>437</v>
      </c>
    </row>
    <row r="274" spans="1:10" x14ac:dyDescent="0.15">
      <c r="A274" s="263" t="s">
        <v>9235</v>
      </c>
      <c r="B274" s="263" t="s">
        <v>1265</v>
      </c>
      <c r="C274" s="263" t="s">
        <v>98</v>
      </c>
      <c r="D274" s="263" t="s">
        <v>1266</v>
      </c>
      <c r="E274" s="263" t="s">
        <v>110</v>
      </c>
      <c r="F274">
        <v>0</v>
      </c>
      <c r="G274">
        <v>2</v>
      </c>
      <c r="H274" s="263" t="s">
        <v>436</v>
      </c>
      <c r="I274" s="264"/>
      <c r="J274" s="263" t="s">
        <v>437</v>
      </c>
    </row>
    <row r="275" spans="1:10" x14ac:dyDescent="0.15">
      <c r="A275" s="263" t="s">
        <v>9236</v>
      </c>
      <c r="B275" s="263" t="s">
        <v>1267</v>
      </c>
      <c r="C275" s="263" t="s">
        <v>98</v>
      </c>
      <c r="D275" s="263" t="s">
        <v>1268</v>
      </c>
      <c r="E275" s="263" t="s">
        <v>110</v>
      </c>
      <c r="F275">
        <v>0</v>
      </c>
      <c r="G275">
        <v>2</v>
      </c>
      <c r="H275" s="263" t="s">
        <v>436</v>
      </c>
      <c r="I275" s="264"/>
      <c r="J275" s="263" t="s">
        <v>437</v>
      </c>
    </row>
    <row r="276" spans="1:10" x14ac:dyDescent="0.15">
      <c r="A276" s="263" t="s">
        <v>1281</v>
      </c>
      <c r="B276" s="263" t="s">
        <v>1282</v>
      </c>
      <c r="C276" s="263" t="s">
        <v>99</v>
      </c>
      <c r="D276" s="263" t="s">
        <v>1283</v>
      </c>
      <c r="E276" s="263" t="s">
        <v>84</v>
      </c>
      <c r="F276">
        <v>0</v>
      </c>
      <c r="G276">
        <v>2</v>
      </c>
      <c r="H276" s="263" t="s">
        <v>436</v>
      </c>
      <c r="I276" s="264"/>
      <c r="J276" s="263" t="s">
        <v>437</v>
      </c>
    </row>
    <row r="277" spans="1:10" x14ac:dyDescent="0.15">
      <c r="A277" s="263" t="s">
        <v>1284</v>
      </c>
      <c r="B277" s="263" t="s">
        <v>1285</v>
      </c>
      <c r="C277" s="263" t="s">
        <v>99</v>
      </c>
      <c r="D277" s="263" t="s">
        <v>1286</v>
      </c>
      <c r="E277" s="263" t="s">
        <v>84</v>
      </c>
      <c r="F277">
        <v>0</v>
      </c>
      <c r="G277">
        <v>2</v>
      </c>
      <c r="H277" s="263" t="s">
        <v>436</v>
      </c>
      <c r="I277" s="264"/>
      <c r="J277" s="263" t="s">
        <v>437</v>
      </c>
    </row>
    <row r="278" spans="1:10" x14ac:dyDescent="0.15">
      <c r="A278" s="263" t="s">
        <v>1287</v>
      </c>
      <c r="B278" s="263" t="s">
        <v>1288</v>
      </c>
      <c r="C278" s="263" t="s">
        <v>99</v>
      </c>
      <c r="D278" s="263" t="s">
        <v>1289</v>
      </c>
      <c r="E278" s="263" t="s">
        <v>84</v>
      </c>
      <c r="F278">
        <v>0</v>
      </c>
      <c r="G278">
        <v>2</v>
      </c>
      <c r="H278" s="263" t="s">
        <v>436</v>
      </c>
      <c r="I278" s="264"/>
      <c r="J278" s="263" t="s">
        <v>437</v>
      </c>
    </row>
    <row r="279" spans="1:10" x14ac:dyDescent="0.15">
      <c r="A279" s="263" t="s">
        <v>1290</v>
      </c>
      <c r="B279" s="263" t="s">
        <v>1288</v>
      </c>
      <c r="C279" s="263" t="s">
        <v>105</v>
      </c>
      <c r="D279" s="263" t="s">
        <v>1289</v>
      </c>
      <c r="E279" s="263" t="s">
        <v>112</v>
      </c>
      <c r="F279">
        <v>0</v>
      </c>
      <c r="G279">
        <v>2</v>
      </c>
      <c r="H279" s="263" t="s">
        <v>436</v>
      </c>
      <c r="I279" s="264"/>
      <c r="J279" s="263" t="s">
        <v>437</v>
      </c>
    </row>
    <row r="280" spans="1:10" x14ac:dyDescent="0.15">
      <c r="A280" s="263" t="s">
        <v>1291</v>
      </c>
      <c r="B280" s="263" t="s">
        <v>1292</v>
      </c>
      <c r="C280" s="263" t="s">
        <v>94</v>
      </c>
      <c r="D280" s="263" t="s">
        <v>1293</v>
      </c>
      <c r="E280" s="263" t="s">
        <v>94</v>
      </c>
      <c r="F280">
        <v>0</v>
      </c>
      <c r="G280">
        <v>2</v>
      </c>
      <c r="H280" s="263" t="s">
        <v>436</v>
      </c>
      <c r="I280" s="264"/>
      <c r="J280" s="263" t="s">
        <v>437</v>
      </c>
    </row>
    <row r="281" spans="1:10" x14ac:dyDescent="0.15">
      <c r="A281" s="263" t="s">
        <v>1294</v>
      </c>
      <c r="B281" s="263" t="s">
        <v>1292</v>
      </c>
      <c r="C281" s="263" t="s">
        <v>98</v>
      </c>
      <c r="D281" s="263" t="s">
        <v>1293</v>
      </c>
      <c r="E281" s="263" t="s">
        <v>109</v>
      </c>
      <c r="F281">
        <v>0</v>
      </c>
      <c r="G281">
        <v>2</v>
      </c>
      <c r="H281" s="263" t="s">
        <v>436</v>
      </c>
      <c r="I281" s="264"/>
      <c r="J281" s="263" t="s">
        <v>437</v>
      </c>
    </row>
    <row r="282" spans="1:10" x14ac:dyDescent="0.15">
      <c r="A282" s="263" t="s">
        <v>1295</v>
      </c>
      <c r="B282" s="263" t="s">
        <v>1296</v>
      </c>
      <c r="C282" s="263" t="s">
        <v>94</v>
      </c>
      <c r="D282" s="263" t="s">
        <v>1297</v>
      </c>
      <c r="E282" s="263" t="s">
        <v>94</v>
      </c>
      <c r="F282">
        <v>0</v>
      </c>
      <c r="G282">
        <v>2</v>
      </c>
      <c r="H282" s="263" t="s">
        <v>436</v>
      </c>
      <c r="I282" s="264"/>
      <c r="J282" s="263" t="s">
        <v>437</v>
      </c>
    </row>
    <row r="283" spans="1:10" x14ac:dyDescent="0.15">
      <c r="A283" s="263" t="s">
        <v>1298</v>
      </c>
      <c r="B283" s="263" t="s">
        <v>1296</v>
      </c>
      <c r="C283" s="263" t="s">
        <v>98</v>
      </c>
      <c r="D283" s="263" t="s">
        <v>1297</v>
      </c>
      <c r="E283" s="263" t="s">
        <v>110</v>
      </c>
      <c r="F283">
        <v>0</v>
      </c>
      <c r="G283">
        <v>2</v>
      </c>
      <c r="H283" s="263" t="s">
        <v>436</v>
      </c>
      <c r="I283" s="264"/>
      <c r="J283" s="263" t="s">
        <v>437</v>
      </c>
    </row>
    <row r="284" spans="1:10" x14ac:dyDescent="0.15">
      <c r="A284" s="263" t="s">
        <v>1299</v>
      </c>
      <c r="B284" s="263" t="s">
        <v>1300</v>
      </c>
      <c r="C284" s="263" t="s">
        <v>94</v>
      </c>
      <c r="D284" s="263" t="s">
        <v>1301</v>
      </c>
      <c r="E284" s="263" t="s">
        <v>94</v>
      </c>
      <c r="F284">
        <v>0</v>
      </c>
      <c r="G284">
        <v>2</v>
      </c>
      <c r="H284" s="263" t="s">
        <v>436</v>
      </c>
      <c r="I284" s="264"/>
      <c r="J284" s="263" t="s">
        <v>437</v>
      </c>
    </row>
    <row r="285" spans="1:10" x14ac:dyDescent="0.15">
      <c r="A285" s="263" t="s">
        <v>1302</v>
      </c>
      <c r="B285" s="263" t="s">
        <v>1303</v>
      </c>
      <c r="C285" s="263" t="s">
        <v>98</v>
      </c>
      <c r="D285" s="263" t="s">
        <v>1304</v>
      </c>
      <c r="E285" s="263" t="s">
        <v>110</v>
      </c>
      <c r="F285">
        <v>0</v>
      </c>
      <c r="G285">
        <v>2</v>
      </c>
      <c r="H285" s="263" t="s">
        <v>436</v>
      </c>
      <c r="I285" s="264"/>
      <c r="J285" s="263" t="s">
        <v>437</v>
      </c>
    </row>
    <row r="286" spans="1:10" x14ac:dyDescent="0.15">
      <c r="A286" s="263" t="s">
        <v>1305</v>
      </c>
      <c r="B286" s="263" t="s">
        <v>1306</v>
      </c>
      <c r="C286" s="263" t="s">
        <v>98</v>
      </c>
      <c r="D286" s="263" t="s">
        <v>1307</v>
      </c>
      <c r="E286" s="263" t="s">
        <v>110</v>
      </c>
      <c r="F286">
        <v>0</v>
      </c>
      <c r="G286">
        <v>2</v>
      </c>
      <c r="H286" s="263" t="s">
        <v>436</v>
      </c>
      <c r="I286" s="264"/>
      <c r="J286" s="263" t="s">
        <v>437</v>
      </c>
    </row>
    <row r="287" spans="1:10" x14ac:dyDescent="0.15">
      <c r="A287" s="263" t="s">
        <v>1308</v>
      </c>
      <c r="B287" s="263" t="s">
        <v>1303</v>
      </c>
      <c r="C287" s="263" t="s">
        <v>94</v>
      </c>
      <c r="D287" s="263" t="s">
        <v>1304</v>
      </c>
      <c r="E287" s="263" t="s">
        <v>94</v>
      </c>
      <c r="F287">
        <v>0</v>
      </c>
      <c r="G287">
        <v>2</v>
      </c>
      <c r="H287" s="263" t="s">
        <v>436</v>
      </c>
      <c r="I287" s="264"/>
      <c r="J287" s="263" t="s">
        <v>437</v>
      </c>
    </row>
    <row r="288" spans="1:10" x14ac:dyDescent="0.15">
      <c r="A288" s="263" t="s">
        <v>1309</v>
      </c>
      <c r="B288" s="263" t="s">
        <v>1306</v>
      </c>
      <c r="C288" s="263" t="s">
        <v>94</v>
      </c>
      <c r="D288" s="263" t="s">
        <v>1307</v>
      </c>
      <c r="E288" s="263" t="s">
        <v>94</v>
      </c>
      <c r="F288">
        <v>0</v>
      </c>
      <c r="G288">
        <v>2</v>
      </c>
      <c r="H288" s="263" t="s">
        <v>436</v>
      </c>
      <c r="I288" s="264"/>
      <c r="J288" s="263" t="s">
        <v>437</v>
      </c>
    </row>
    <row r="289" spans="1:10" x14ac:dyDescent="0.15">
      <c r="A289" s="263" t="s">
        <v>1310</v>
      </c>
      <c r="B289" s="263" t="s">
        <v>1311</v>
      </c>
      <c r="C289" s="263" t="s">
        <v>94</v>
      </c>
      <c r="D289" s="263" t="s">
        <v>1312</v>
      </c>
      <c r="E289" s="263" t="s">
        <v>94</v>
      </c>
      <c r="F289">
        <v>0</v>
      </c>
      <c r="G289">
        <v>2</v>
      </c>
      <c r="H289" s="263" t="s">
        <v>436</v>
      </c>
      <c r="I289" s="264"/>
      <c r="J289" s="263" t="s">
        <v>437</v>
      </c>
    </row>
    <row r="290" spans="1:10" x14ac:dyDescent="0.15">
      <c r="A290" s="263" t="s">
        <v>1313</v>
      </c>
      <c r="B290" s="263" t="s">
        <v>1314</v>
      </c>
      <c r="C290" s="263" t="s">
        <v>90</v>
      </c>
      <c r="D290" s="263" t="s">
        <v>1315</v>
      </c>
      <c r="E290" s="263" t="s">
        <v>104</v>
      </c>
      <c r="F290">
        <v>2</v>
      </c>
      <c r="G290">
        <v>2</v>
      </c>
      <c r="H290" s="263" t="s">
        <v>436</v>
      </c>
      <c r="I290" s="264"/>
      <c r="J290" s="263" t="s">
        <v>437</v>
      </c>
    </row>
    <row r="291" spans="1:10" x14ac:dyDescent="0.15">
      <c r="A291" s="263" t="s">
        <v>1316</v>
      </c>
      <c r="B291" s="263" t="s">
        <v>1317</v>
      </c>
      <c r="C291" s="263" t="s">
        <v>98</v>
      </c>
      <c r="D291" s="263" t="s">
        <v>1318</v>
      </c>
      <c r="E291" s="263" t="s">
        <v>110</v>
      </c>
      <c r="F291">
        <v>0</v>
      </c>
      <c r="G291">
        <v>2</v>
      </c>
      <c r="H291" s="263" t="s">
        <v>436</v>
      </c>
      <c r="I291" s="264"/>
      <c r="J291" s="263" t="s">
        <v>437</v>
      </c>
    </row>
    <row r="292" spans="1:10" x14ac:dyDescent="0.15">
      <c r="A292" s="263" t="s">
        <v>1319</v>
      </c>
      <c r="B292" s="263" t="s">
        <v>1320</v>
      </c>
      <c r="C292" s="263" t="s">
        <v>98</v>
      </c>
      <c r="D292" s="263" t="s">
        <v>1321</v>
      </c>
      <c r="E292" s="263" t="s">
        <v>110</v>
      </c>
      <c r="F292">
        <v>0</v>
      </c>
      <c r="G292">
        <v>2</v>
      </c>
      <c r="H292" s="263" t="s">
        <v>436</v>
      </c>
      <c r="I292" s="264"/>
      <c r="J292" s="263" t="s">
        <v>437</v>
      </c>
    </row>
    <row r="293" spans="1:10" x14ac:dyDescent="0.15">
      <c r="A293" s="263" t="s">
        <v>1322</v>
      </c>
      <c r="B293" s="263" t="s">
        <v>1323</v>
      </c>
      <c r="C293" s="263" t="s">
        <v>105</v>
      </c>
      <c r="D293" s="263" t="s">
        <v>1324</v>
      </c>
      <c r="E293" s="263" t="s">
        <v>112</v>
      </c>
      <c r="F293">
        <v>0</v>
      </c>
      <c r="G293">
        <v>2</v>
      </c>
      <c r="H293" s="263" t="s">
        <v>436</v>
      </c>
      <c r="I293" s="264"/>
      <c r="J293" s="263" t="s">
        <v>437</v>
      </c>
    </row>
    <row r="294" spans="1:10" x14ac:dyDescent="0.15">
      <c r="A294" s="263" t="s">
        <v>1325</v>
      </c>
      <c r="B294" s="263" t="s">
        <v>1326</v>
      </c>
      <c r="C294" s="263" t="s">
        <v>105</v>
      </c>
      <c r="D294" s="263" t="s">
        <v>1327</v>
      </c>
      <c r="E294" s="263" t="s">
        <v>112</v>
      </c>
      <c r="F294">
        <v>0</v>
      </c>
      <c r="G294">
        <v>2</v>
      </c>
      <c r="H294" s="263" t="s">
        <v>436</v>
      </c>
      <c r="I294" s="264"/>
      <c r="J294" s="263" t="s">
        <v>437</v>
      </c>
    </row>
    <row r="295" spans="1:10" x14ac:dyDescent="0.15">
      <c r="A295" s="263" t="s">
        <v>1328</v>
      </c>
      <c r="B295" s="263" t="s">
        <v>1329</v>
      </c>
      <c r="C295" s="263" t="s">
        <v>105</v>
      </c>
      <c r="D295" s="263" t="s">
        <v>1330</v>
      </c>
      <c r="E295" s="263" t="s">
        <v>112</v>
      </c>
      <c r="F295">
        <v>0</v>
      </c>
      <c r="G295">
        <v>2</v>
      </c>
      <c r="H295" s="263" t="s">
        <v>436</v>
      </c>
      <c r="I295" s="264"/>
      <c r="J295" s="263" t="s">
        <v>437</v>
      </c>
    </row>
    <row r="296" spans="1:10" x14ac:dyDescent="0.15">
      <c r="A296" s="263" t="s">
        <v>1331</v>
      </c>
      <c r="B296" s="263" t="s">
        <v>9237</v>
      </c>
      <c r="C296" s="263" t="s">
        <v>99</v>
      </c>
      <c r="D296" s="263" t="s">
        <v>9238</v>
      </c>
      <c r="E296" s="263" t="s">
        <v>84</v>
      </c>
      <c r="F296">
        <v>0</v>
      </c>
      <c r="G296">
        <v>2</v>
      </c>
      <c r="H296" s="263" t="s">
        <v>436</v>
      </c>
      <c r="I296" s="264"/>
      <c r="J296" s="263" t="s">
        <v>437</v>
      </c>
    </row>
    <row r="297" spans="1:10" x14ac:dyDescent="0.15">
      <c r="A297" s="263" t="s">
        <v>1332</v>
      </c>
      <c r="B297" s="263" t="s">
        <v>9239</v>
      </c>
      <c r="C297" s="263" t="s">
        <v>99</v>
      </c>
      <c r="D297" s="263" t="s">
        <v>9240</v>
      </c>
      <c r="E297" s="263" t="s">
        <v>84</v>
      </c>
      <c r="F297">
        <v>0</v>
      </c>
      <c r="G297">
        <v>2</v>
      </c>
      <c r="H297" s="263" t="s">
        <v>436</v>
      </c>
      <c r="I297" s="264"/>
      <c r="J297" s="263" t="s">
        <v>437</v>
      </c>
    </row>
    <row r="298" spans="1:10" x14ac:dyDescent="0.15">
      <c r="A298" s="263" t="s">
        <v>1333</v>
      </c>
      <c r="B298" s="263" t="s">
        <v>9241</v>
      </c>
      <c r="C298" s="263" t="s">
        <v>99</v>
      </c>
      <c r="D298" s="263" t="s">
        <v>9242</v>
      </c>
      <c r="E298" s="263" t="s">
        <v>84</v>
      </c>
      <c r="F298">
        <v>0</v>
      </c>
      <c r="G298">
        <v>2</v>
      </c>
      <c r="H298" s="263" t="s">
        <v>436</v>
      </c>
      <c r="I298" s="264"/>
      <c r="J298" s="263" t="s">
        <v>437</v>
      </c>
    </row>
    <row r="299" spans="1:10" x14ac:dyDescent="0.15">
      <c r="A299" s="263" t="s">
        <v>1334</v>
      </c>
      <c r="B299" s="263" t="s">
        <v>9243</v>
      </c>
      <c r="C299" s="263" t="s">
        <v>99</v>
      </c>
      <c r="D299" s="263" t="s">
        <v>9244</v>
      </c>
      <c r="E299" s="263" t="s">
        <v>84</v>
      </c>
      <c r="F299">
        <v>0</v>
      </c>
      <c r="G299">
        <v>2</v>
      </c>
      <c r="H299" s="263" t="s">
        <v>436</v>
      </c>
      <c r="I299" s="264"/>
      <c r="J299" s="263" t="s">
        <v>437</v>
      </c>
    </row>
    <row r="300" spans="1:10" x14ac:dyDescent="0.15">
      <c r="A300" s="263" t="s">
        <v>1335</v>
      </c>
      <c r="B300" s="263" t="s">
        <v>9245</v>
      </c>
      <c r="C300" s="263" t="s">
        <v>99</v>
      </c>
      <c r="D300" s="263" t="s">
        <v>9246</v>
      </c>
      <c r="E300" s="263" t="s">
        <v>84</v>
      </c>
      <c r="F300">
        <v>0</v>
      </c>
      <c r="G300">
        <v>2</v>
      </c>
      <c r="H300" s="263" t="s">
        <v>436</v>
      </c>
      <c r="I300" s="264"/>
      <c r="J300" s="263" t="s">
        <v>437</v>
      </c>
    </row>
    <row r="301" spans="1:10" x14ac:dyDescent="0.15">
      <c r="A301" s="263" t="s">
        <v>1336</v>
      </c>
      <c r="B301" s="263" t="s">
        <v>9247</v>
      </c>
      <c r="C301" s="263" t="s">
        <v>99</v>
      </c>
      <c r="D301" s="263" t="s">
        <v>9248</v>
      </c>
      <c r="E301" s="263" t="s">
        <v>84</v>
      </c>
      <c r="F301">
        <v>0</v>
      </c>
      <c r="G301">
        <v>2</v>
      </c>
      <c r="H301" s="263" t="s">
        <v>436</v>
      </c>
      <c r="I301" s="264"/>
      <c r="J301" s="263" t="s">
        <v>437</v>
      </c>
    </row>
    <row r="302" spans="1:10" x14ac:dyDescent="0.15">
      <c r="A302" s="263" t="s">
        <v>1337</v>
      </c>
      <c r="B302" s="263" t="s">
        <v>9249</v>
      </c>
      <c r="C302" s="263" t="s">
        <v>99</v>
      </c>
      <c r="D302" s="263" t="s">
        <v>9250</v>
      </c>
      <c r="E302" s="263" t="s">
        <v>84</v>
      </c>
      <c r="F302">
        <v>0</v>
      </c>
      <c r="G302">
        <v>2</v>
      </c>
      <c r="H302" s="263" t="s">
        <v>436</v>
      </c>
      <c r="I302" s="264"/>
      <c r="J302" s="263" t="s">
        <v>437</v>
      </c>
    </row>
    <row r="303" spans="1:10" x14ac:dyDescent="0.15">
      <c r="A303" s="263" t="s">
        <v>1338</v>
      </c>
      <c r="B303" s="263" t="s">
        <v>9251</v>
      </c>
      <c r="C303" s="263" t="s">
        <v>99</v>
      </c>
      <c r="D303" s="263" t="s">
        <v>9252</v>
      </c>
      <c r="E303" s="263" t="s">
        <v>84</v>
      </c>
      <c r="F303">
        <v>0</v>
      </c>
      <c r="G303">
        <v>2</v>
      </c>
      <c r="H303" s="263" t="s">
        <v>436</v>
      </c>
      <c r="I303" s="264"/>
      <c r="J303" s="263" t="s">
        <v>437</v>
      </c>
    </row>
    <row r="304" spans="1:10" x14ac:dyDescent="0.15">
      <c r="A304" s="263" t="s">
        <v>1339</v>
      </c>
      <c r="B304" s="263" t="s">
        <v>9253</v>
      </c>
      <c r="C304" s="263" t="s">
        <v>99</v>
      </c>
      <c r="D304" s="263" t="s">
        <v>9254</v>
      </c>
      <c r="E304" s="263" t="s">
        <v>84</v>
      </c>
      <c r="F304">
        <v>0</v>
      </c>
      <c r="G304">
        <v>2</v>
      </c>
      <c r="H304" s="263" t="s">
        <v>436</v>
      </c>
      <c r="I304" s="264"/>
      <c r="J304" s="263" t="s">
        <v>437</v>
      </c>
    </row>
    <row r="305" spans="1:10" x14ac:dyDescent="0.15">
      <c r="A305" s="263" t="s">
        <v>1340</v>
      </c>
      <c r="B305" s="263" t="s">
        <v>9255</v>
      </c>
      <c r="C305" s="263" t="s">
        <v>99</v>
      </c>
      <c r="D305" s="263" t="s">
        <v>9256</v>
      </c>
      <c r="E305" s="263" t="s">
        <v>84</v>
      </c>
      <c r="F305">
        <v>0</v>
      </c>
      <c r="G305">
        <v>2</v>
      </c>
      <c r="H305" s="263" t="s">
        <v>436</v>
      </c>
      <c r="I305" s="264"/>
      <c r="J305" s="263" t="s">
        <v>437</v>
      </c>
    </row>
    <row r="306" spans="1:10" x14ac:dyDescent="0.15">
      <c r="A306" s="263" t="s">
        <v>1341</v>
      </c>
      <c r="B306" s="263" t="s">
        <v>9257</v>
      </c>
      <c r="C306" s="263" t="s">
        <v>99</v>
      </c>
      <c r="D306" s="263" t="s">
        <v>9258</v>
      </c>
      <c r="E306" s="263" t="s">
        <v>84</v>
      </c>
      <c r="F306">
        <v>0</v>
      </c>
      <c r="G306">
        <v>2</v>
      </c>
      <c r="H306" s="263" t="s">
        <v>436</v>
      </c>
      <c r="I306" s="264"/>
      <c r="J306" s="263" t="s">
        <v>437</v>
      </c>
    </row>
    <row r="307" spans="1:10" x14ac:dyDescent="0.15">
      <c r="A307" s="263" t="s">
        <v>1342</v>
      </c>
      <c r="B307" s="263" t="s">
        <v>9237</v>
      </c>
      <c r="C307" s="263" t="s">
        <v>105</v>
      </c>
      <c r="D307" s="263" t="s">
        <v>9238</v>
      </c>
      <c r="E307" s="263" t="s">
        <v>112</v>
      </c>
      <c r="F307">
        <v>0</v>
      </c>
      <c r="G307">
        <v>2</v>
      </c>
      <c r="H307" s="263" t="s">
        <v>436</v>
      </c>
      <c r="I307" s="264"/>
      <c r="J307" s="263" t="s">
        <v>437</v>
      </c>
    </row>
    <row r="308" spans="1:10" x14ac:dyDescent="0.15">
      <c r="A308" s="263" t="s">
        <v>1343</v>
      </c>
      <c r="B308" s="263" t="s">
        <v>9239</v>
      </c>
      <c r="C308" s="263" t="s">
        <v>105</v>
      </c>
      <c r="D308" s="263" t="s">
        <v>9240</v>
      </c>
      <c r="E308" s="263" t="s">
        <v>112</v>
      </c>
      <c r="F308">
        <v>0</v>
      </c>
      <c r="G308">
        <v>2</v>
      </c>
      <c r="H308" s="263" t="s">
        <v>436</v>
      </c>
      <c r="I308" s="264"/>
      <c r="J308" s="263" t="s">
        <v>437</v>
      </c>
    </row>
    <row r="309" spans="1:10" x14ac:dyDescent="0.15">
      <c r="A309" s="263" t="s">
        <v>1344</v>
      </c>
      <c r="B309" s="263" t="s">
        <v>9241</v>
      </c>
      <c r="C309" s="263" t="s">
        <v>105</v>
      </c>
      <c r="D309" s="263" t="s">
        <v>9242</v>
      </c>
      <c r="E309" s="263" t="s">
        <v>112</v>
      </c>
      <c r="F309">
        <v>0</v>
      </c>
      <c r="G309">
        <v>2</v>
      </c>
      <c r="H309" s="263" t="s">
        <v>436</v>
      </c>
      <c r="I309" s="264"/>
      <c r="J309" s="263" t="s">
        <v>437</v>
      </c>
    </row>
    <row r="310" spans="1:10" x14ac:dyDescent="0.15">
      <c r="A310" s="263" t="s">
        <v>1345</v>
      </c>
      <c r="B310" s="263" t="s">
        <v>9243</v>
      </c>
      <c r="C310" s="263" t="s">
        <v>105</v>
      </c>
      <c r="D310" s="263" t="s">
        <v>9244</v>
      </c>
      <c r="E310" s="263" t="s">
        <v>112</v>
      </c>
      <c r="F310">
        <v>0</v>
      </c>
      <c r="G310">
        <v>2</v>
      </c>
      <c r="H310" s="263" t="s">
        <v>436</v>
      </c>
      <c r="I310" s="264"/>
      <c r="J310" s="263" t="s">
        <v>437</v>
      </c>
    </row>
    <row r="311" spans="1:10" x14ac:dyDescent="0.15">
      <c r="A311" s="263" t="s">
        <v>1346</v>
      </c>
      <c r="B311" s="263" t="s">
        <v>9245</v>
      </c>
      <c r="C311" s="263" t="s">
        <v>105</v>
      </c>
      <c r="D311" s="263" t="s">
        <v>9246</v>
      </c>
      <c r="E311" s="263" t="s">
        <v>112</v>
      </c>
      <c r="F311">
        <v>0</v>
      </c>
      <c r="G311">
        <v>2</v>
      </c>
      <c r="H311" s="263" t="s">
        <v>436</v>
      </c>
      <c r="I311" s="264"/>
      <c r="J311" s="263" t="s">
        <v>437</v>
      </c>
    </row>
    <row r="312" spans="1:10" x14ac:dyDescent="0.15">
      <c r="A312" s="263" t="s">
        <v>1347</v>
      </c>
      <c r="B312" s="263" t="s">
        <v>9247</v>
      </c>
      <c r="C312" s="263" t="s">
        <v>105</v>
      </c>
      <c r="D312" s="263" t="s">
        <v>9248</v>
      </c>
      <c r="E312" s="263" t="s">
        <v>112</v>
      </c>
      <c r="F312">
        <v>0</v>
      </c>
      <c r="G312">
        <v>2</v>
      </c>
      <c r="H312" s="263" t="s">
        <v>436</v>
      </c>
      <c r="I312" s="264"/>
      <c r="J312" s="263" t="s">
        <v>437</v>
      </c>
    </row>
    <row r="313" spans="1:10" x14ac:dyDescent="0.15">
      <c r="A313" s="263" t="s">
        <v>1348</v>
      </c>
      <c r="B313" s="263" t="s">
        <v>9249</v>
      </c>
      <c r="C313" s="263" t="s">
        <v>105</v>
      </c>
      <c r="D313" s="263" t="s">
        <v>9250</v>
      </c>
      <c r="E313" s="263" t="s">
        <v>112</v>
      </c>
      <c r="F313">
        <v>0</v>
      </c>
      <c r="G313">
        <v>2</v>
      </c>
      <c r="H313" s="263" t="s">
        <v>436</v>
      </c>
      <c r="I313" s="264"/>
      <c r="J313" s="263" t="s">
        <v>437</v>
      </c>
    </row>
    <row r="314" spans="1:10" x14ac:dyDescent="0.15">
      <c r="A314" s="263" t="s">
        <v>1349</v>
      </c>
      <c r="B314" s="263" t="s">
        <v>9251</v>
      </c>
      <c r="C314" s="263" t="s">
        <v>105</v>
      </c>
      <c r="D314" s="263" t="s">
        <v>9252</v>
      </c>
      <c r="E314" s="263" t="s">
        <v>112</v>
      </c>
      <c r="F314">
        <v>0</v>
      </c>
      <c r="G314">
        <v>2</v>
      </c>
      <c r="H314" s="263" t="s">
        <v>436</v>
      </c>
      <c r="I314" s="264"/>
      <c r="J314" s="263" t="s">
        <v>437</v>
      </c>
    </row>
    <row r="315" spans="1:10" x14ac:dyDescent="0.15">
      <c r="A315" s="263" t="s">
        <v>1350</v>
      </c>
      <c r="B315" s="263" t="s">
        <v>9253</v>
      </c>
      <c r="C315" s="263" t="s">
        <v>105</v>
      </c>
      <c r="D315" s="263" t="s">
        <v>9254</v>
      </c>
      <c r="E315" s="263" t="s">
        <v>112</v>
      </c>
      <c r="F315">
        <v>0</v>
      </c>
      <c r="G315">
        <v>2</v>
      </c>
      <c r="H315" s="263" t="s">
        <v>436</v>
      </c>
      <c r="I315" s="264"/>
      <c r="J315" s="263" t="s">
        <v>437</v>
      </c>
    </row>
    <row r="316" spans="1:10" x14ac:dyDescent="0.15">
      <c r="A316" s="263" t="s">
        <v>1351</v>
      </c>
      <c r="B316" s="263" t="s">
        <v>9255</v>
      </c>
      <c r="C316" s="263" t="s">
        <v>105</v>
      </c>
      <c r="D316" s="263" t="s">
        <v>9256</v>
      </c>
      <c r="E316" s="263" t="s">
        <v>112</v>
      </c>
      <c r="F316">
        <v>0</v>
      </c>
      <c r="G316">
        <v>2</v>
      </c>
      <c r="H316" s="263" t="s">
        <v>436</v>
      </c>
      <c r="I316" s="264"/>
      <c r="J316" s="263" t="s">
        <v>437</v>
      </c>
    </row>
    <row r="317" spans="1:10" x14ac:dyDescent="0.15">
      <c r="A317" s="263" t="s">
        <v>1352</v>
      </c>
      <c r="B317" s="263" t="s">
        <v>9257</v>
      </c>
      <c r="C317" s="263" t="s">
        <v>105</v>
      </c>
      <c r="D317" s="263" t="s">
        <v>9258</v>
      </c>
      <c r="E317" s="263" t="s">
        <v>112</v>
      </c>
      <c r="F317">
        <v>0</v>
      </c>
      <c r="G317">
        <v>2</v>
      </c>
      <c r="H317" s="263" t="s">
        <v>436</v>
      </c>
      <c r="I317" s="264"/>
      <c r="J317" s="263" t="s">
        <v>437</v>
      </c>
    </row>
    <row r="318" spans="1:10" x14ac:dyDescent="0.15">
      <c r="A318" s="263" t="s">
        <v>1353</v>
      </c>
      <c r="B318" s="263" t="s">
        <v>9259</v>
      </c>
      <c r="C318" s="263" t="s">
        <v>99</v>
      </c>
      <c r="D318" s="263" t="s">
        <v>9260</v>
      </c>
      <c r="E318" s="263" t="s">
        <v>84</v>
      </c>
      <c r="F318">
        <v>0</v>
      </c>
      <c r="G318">
        <v>2</v>
      </c>
      <c r="H318" s="263" t="s">
        <v>436</v>
      </c>
      <c r="I318" s="264"/>
      <c r="J318" s="263" t="s">
        <v>437</v>
      </c>
    </row>
    <row r="319" spans="1:10" x14ac:dyDescent="0.15">
      <c r="A319" s="263" t="s">
        <v>1354</v>
      </c>
      <c r="B319" s="263" t="s">
        <v>9261</v>
      </c>
      <c r="C319" s="263" t="s">
        <v>99</v>
      </c>
      <c r="D319" s="263" t="s">
        <v>9262</v>
      </c>
      <c r="E319" s="263" t="s">
        <v>84</v>
      </c>
      <c r="F319">
        <v>0</v>
      </c>
      <c r="G319">
        <v>2</v>
      </c>
      <c r="H319" s="263" t="s">
        <v>436</v>
      </c>
      <c r="I319" s="264"/>
      <c r="J319" s="263" t="s">
        <v>437</v>
      </c>
    </row>
    <row r="320" spans="1:10" x14ac:dyDescent="0.15">
      <c r="A320" s="263" t="s">
        <v>1355</v>
      </c>
      <c r="B320" s="263" t="s">
        <v>9263</v>
      </c>
      <c r="C320" s="263" t="s">
        <v>99</v>
      </c>
      <c r="D320" s="263" t="s">
        <v>9264</v>
      </c>
      <c r="E320" s="263" t="s">
        <v>84</v>
      </c>
      <c r="F320">
        <v>0</v>
      </c>
      <c r="G320">
        <v>2</v>
      </c>
      <c r="H320" s="263" t="s">
        <v>436</v>
      </c>
      <c r="I320" s="264"/>
      <c r="J320" s="263" t="s">
        <v>437</v>
      </c>
    </row>
    <row r="321" spans="1:10" x14ac:dyDescent="0.15">
      <c r="A321" s="263" t="s">
        <v>1356</v>
      </c>
      <c r="B321" s="263" t="s">
        <v>9265</v>
      </c>
      <c r="C321" s="263" t="s">
        <v>99</v>
      </c>
      <c r="D321" s="263" t="s">
        <v>9266</v>
      </c>
      <c r="E321" s="263" t="s">
        <v>84</v>
      </c>
      <c r="F321">
        <v>0</v>
      </c>
      <c r="G321">
        <v>2</v>
      </c>
      <c r="H321" s="263" t="s">
        <v>436</v>
      </c>
      <c r="I321" s="264"/>
      <c r="J321" s="263" t="s">
        <v>437</v>
      </c>
    </row>
    <row r="322" spans="1:10" x14ac:dyDescent="0.15">
      <c r="A322" s="263" t="s">
        <v>1357</v>
      </c>
      <c r="B322" s="263" t="s">
        <v>9267</v>
      </c>
      <c r="C322" s="263" t="s">
        <v>99</v>
      </c>
      <c r="D322" s="263" t="s">
        <v>9268</v>
      </c>
      <c r="E322" s="263" t="s">
        <v>84</v>
      </c>
      <c r="F322">
        <v>0</v>
      </c>
      <c r="G322">
        <v>2</v>
      </c>
      <c r="H322" s="263" t="s">
        <v>436</v>
      </c>
      <c r="I322" s="264"/>
      <c r="J322" s="263" t="s">
        <v>437</v>
      </c>
    </row>
    <row r="323" spans="1:10" x14ac:dyDescent="0.15">
      <c r="A323" s="263" t="s">
        <v>1358</v>
      </c>
      <c r="B323" s="263" t="s">
        <v>9269</v>
      </c>
      <c r="C323" s="263" t="s">
        <v>99</v>
      </c>
      <c r="D323" s="263" t="s">
        <v>9270</v>
      </c>
      <c r="E323" s="263" t="s">
        <v>84</v>
      </c>
      <c r="F323">
        <v>0</v>
      </c>
      <c r="G323">
        <v>2</v>
      </c>
      <c r="H323" s="263" t="s">
        <v>436</v>
      </c>
      <c r="I323" s="264"/>
      <c r="J323" s="263" t="s">
        <v>437</v>
      </c>
    </row>
    <row r="324" spans="1:10" x14ac:dyDescent="0.15">
      <c r="A324" s="263" t="s">
        <v>1359</v>
      </c>
      <c r="B324" s="263" t="s">
        <v>9271</v>
      </c>
      <c r="C324" s="263" t="s">
        <v>99</v>
      </c>
      <c r="D324" s="263" t="s">
        <v>9272</v>
      </c>
      <c r="E324" s="263" t="s">
        <v>84</v>
      </c>
      <c r="F324">
        <v>0</v>
      </c>
      <c r="G324">
        <v>2</v>
      </c>
      <c r="H324" s="263" t="s">
        <v>436</v>
      </c>
      <c r="I324" s="264"/>
      <c r="J324" s="263" t="s">
        <v>437</v>
      </c>
    </row>
    <row r="325" spans="1:10" x14ac:dyDescent="0.15">
      <c r="A325" s="263" t="s">
        <v>1360</v>
      </c>
      <c r="B325" s="263" t="s">
        <v>9273</v>
      </c>
      <c r="C325" s="263" t="s">
        <v>99</v>
      </c>
      <c r="D325" s="263" t="s">
        <v>9274</v>
      </c>
      <c r="E325" s="263" t="s">
        <v>84</v>
      </c>
      <c r="F325">
        <v>0</v>
      </c>
      <c r="G325">
        <v>2</v>
      </c>
      <c r="H325" s="263" t="s">
        <v>436</v>
      </c>
      <c r="I325" s="264"/>
      <c r="J325" s="263" t="s">
        <v>437</v>
      </c>
    </row>
    <row r="326" spans="1:10" x14ac:dyDescent="0.15">
      <c r="A326" s="263" t="s">
        <v>1361</v>
      </c>
      <c r="B326" s="263" t="s">
        <v>9275</v>
      </c>
      <c r="C326" s="263" t="s">
        <v>99</v>
      </c>
      <c r="D326" s="263" t="s">
        <v>9276</v>
      </c>
      <c r="E326" s="263" t="s">
        <v>84</v>
      </c>
      <c r="F326">
        <v>0</v>
      </c>
      <c r="G326">
        <v>2</v>
      </c>
      <c r="H326" s="263" t="s">
        <v>436</v>
      </c>
      <c r="I326" s="264"/>
      <c r="J326" s="263" t="s">
        <v>437</v>
      </c>
    </row>
    <row r="327" spans="1:10" x14ac:dyDescent="0.15">
      <c r="A327" s="263" t="s">
        <v>1362</v>
      </c>
      <c r="B327" s="263" t="s">
        <v>9277</v>
      </c>
      <c r="C327" s="263" t="s">
        <v>99</v>
      </c>
      <c r="D327" s="263" t="s">
        <v>9278</v>
      </c>
      <c r="E327" s="263" t="s">
        <v>84</v>
      </c>
      <c r="F327">
        <v>0</v>
      </c>
      <c r="G327">
        <v>2</v>
      </c>
      <c r="H327" s="263" t="s">
        <v>436</v>
      </c>
      <c r="I327" s="264"/>
      <c r="J327" s="263" t="s">
        <v>437</v>
      </c>
    </row>
    <row r="328" spans="1:10" x14ac:dyDescent="0.15">
      <c r="A328" s="263" t="s">
        <v>1363</v>
      </c>
      <c r="B328" s="263" t="s">
        <v>9279</v>
      </c>
      <c r="C328" s="263" t="s">
        <v>99</v>
      </c>
      <c r="D328" s="263" t="s">
        <v>9280</v>
      </c>
      <c r="E328" s="263" t="s">
        <v>84</v>
      </c>
      <c r="F328">
        <v>0</v>
      </c>
      <c r="G328">
        <v>2</v>
      </c>
      <c r="H328" s="263" t="s">
        <v>436</v>
      </c>
      <c r="I328" s="264"/>
      <c r="J328" s="263" t="s">
        <v>437</v>
      </c>
    </row>
    <row r="329" spans="1:10" x14ac:dyDescent="0.15">
      <c r="A329" s="263" t="s">
        <v>1364</v>
      </c>
      <c r="B329" s="263" t="s">
        <v>9259</v>
      </c>
      <c r="C329" s="263" t="s">
        <v>105</v>
      </c>
      <c r="D329" s="263" t="s">
        <v>9260</v>
      </c>
      <c r="E329" s="263" t="s">
        <v>112</v>
      </c>
      <c r="F329">
        <v>0</v>
      </c>
      <c r="G329">
        <v>2</v>
      </c>
      <c r="H329" s="263" t="s">
        <v>436</v>
      </c>
      <c r="I329" s="264"/>
      <c r="J329" s="263" t="s">
        <v>437</v>
      </c>
    </row>
    <row r="330" spans="1:10" x14ac:dyDescent="0.15">
      <c r="A330" s="263" t="s">
        <v>1365</v>
      </c>
      <c r="B330" s="263" t="s">
        <v>9261</v>
      </c>
      <c r="C330" s="263" t="s">
        <v>105</v>
      </c>
      <c r="D330" s="263" t="s">
        <v>9262</v>
      </c>
      <c r="E330" s="263" t="s">
        <v>112</v>
      </c>
      <c r="F330">
        <v>0</v>
      </c>
      <c r="G330">
        <v>2</v>
      </c>
      <c r="H330" s="263" t="s">
        <v>436</v>
      </c>
      <c r="I330" s="264"/>
      <c r="J330" s="263" t="s">
        <v>437</v>
      </c>
    </row>
    <row r="331" spans="1:10" x14ac:dyDescent="0.15">
      <c r="A331" s="263" t="s">
        <v>1366</v>
      </c>
      <c r="B331" s="263" t="s">
        <v>9263</v>
      </c>
      <c r="C331" s="263" t="s">
        <v>105</v>
      </c>
      <c r="D331" s="263" t="s">
        <v>9264</v>
      </c>
      <c r="E331" s="263" t="s">
        <v>112</v>
      </c>
      <c r="F331">
        <v>0</v>
      </c>
      <c r="G331">
        <v>2</v>
      </c>
      <c r="H331" s="263" t="s">
        <v>436</v>
      </c>
      <c r="I331" s="264"/>
      <c r="J331" s="263" t="s">
        <v>437</v>
      </c>
    </row>
    <row r="332" spans="1:10" x14ac:dyDescent="0.15">
      <c r="A332" s="263" t="s">
        <v>1367</v>
      </c>
      <c r="B332" s="263" t="s">
        <v>9265</v>
      </c>
      <c r="C332" s="263" t="s">
        <v>105</v>
      </c>
      <c r="D332" s="263" t="s">
        <v>9266</v>
      </c>
      <c r="E332" s="263" t="s">
        <v>112</v>
      </c>
      <c r="F332">
        <v>0</v>
      </c>
      <c r="G332">
        <v>2</v>
      </c>
      <c r="H332" s="263" t="s">
        <v>436</v>
      </c>
      <c r="I332" s="264"/>
      <c r="J332" s="263" t="s">
        <v>437</v>
      </c>
    </row>
    <row r="333" spans="1:10" x14ac:dyDescent="0.15">
      <c r="A333" s="263" t="s">
        <v>1368</v>
      </c>
      <c r="B333" s="263" t="s">
        <v>9267</v>
      </c>
      <c r="C333" s="263" t="s">
        <v>105</v>
      </c>
      <c r="D333" s="263" t="s">
        <v>9268</v>
      </c>
      <c r="E333" s="263" t="s">
        <v>112</v>
      </c>
      <c r="F333">
        <v>0</v>
      </c>
      <c r="G333">
        <v>2</v>
      </c>
      <c r="H333" s="263" t="s">
        <v>436</v>
      </c>
      <c r="I333" s="264"/>
      <c r="J333" s="263" t="s">
        <v>437</v>
      </c>
    </row>
    <row r="334" spans="1:10" x14ac:dyDescent="0.15">
      <c r="A334" s="263" t="s">
        <v>1369</v>
      </c>
      <c r="B334" s="263" t="s">
        <v>9269</v>
      </c>
      <c r="C334" s="263" t="s">
        <v>105</v>
      </c>
      <c r="D334" s="263" t="s">
        <v>9270</v>
      </c>
      <c r="E334" s="263" t="s">
        <v>112</v>
      </c>
      <c r="F334">
        <v>0</v>
      </c>
      <c r="G334">
        <v>2</v>
      </c>
      <c r="H334" s="263" t="s">
        <v>436</v>
      </c>
      <c r="I334" s="264"/>
      <c r="J334" s="263" t="s">
        <v>437</v>
      </c>
    </row>
    <row r="335" spans="1:10" x14ac:dyDescent="0.15">
      <c r="A335" s="263" t="s">
        <v>1370</v>
      </c>
      <c r="B335" s="263" t="s">
        <v>9271</v>
      </c>
      <c r="C335" s="263" t="s">
        <v>105</v>
      </c>
      <c r="D335" s="263" t="s">
        <v>9272</v>
      </c>
      <c r="E335" s="263" t="s">
        <v>112</v>
      </c>
      <c r="F335">
        <v>0</v>
      </c>
      <c r="G335">
        <v>2</v>
      </c>
      <c r="H335" s="263" t="s">
        <v>436</v>
      </c>
      <c r="I335" s="264"/>
      <c r="J335" s="263" t="s">
        <v>437</v>
      </c>
    </row>
    <row r="336" spans="1:10" x14ac:dyDescent="0.15">
      <c r="A336" s="263" t="s">
        <v>1371</v>
      </c>
      <c r="B336" s="263" t="s">
        <v>9273</v>
      </c>
      <c r="C336" s="263" t="s">
        <v>105</v>
      </c>
      <c r="D336" s="263" t="s">
        <v>9274</v>
      </c>
      <c r="E336" s="263" t="s">
        <v>112</v>
      </c>
      <c r="F336">
        <v>0</v>
      </c>
      <c r="G336">
        <v>2</v>
      </c>
      <c r="H336" s="263" t="s">
        <v>436</v>
      </c>
      <c r="I336" s="264"/>
      <c r="J336" s="263" t="s">
        <v>437</v>
      </c>
    </row>
    <row r="337" spans="1:10" x14ac:dyDescent="0.15">
      <c r="A337" s="263" t="s">
        <v>1372</v>
      </c>
      <c r="B337" s="263" t="s">
        <v>9275</v>
      </c>
      <c r="C337" s="263" t="s">
        <v>105</v>
      </c>
      <c r="D337" s="263" t="s">
        <v>9276</v>
      </c>
      <c r="E337" s="263" t="s">
        <v>112</v>
      </c>
      <c r="F337">
        <v>0</v>
      </c>
      <c r="G337">
        <v>2</v>
      </c>
      <c r="H337" s="263" t="s">
        <v>436</v>
      </c>
      <c r="I337" s="264"/>
      <c r="J337" s="263" t="s">
        <v>437</v>
      </c>
    </row>
    <row r="338" spans="1:10" x14ac:dyDescent="0.15">
      <c r="A338" s="263" t="s">
        <v>1373</v>
      </c>
      <c r="B338" s="263" t="s">
        <v>9277</v>
      </c>
      <c r="C338" s="263" t="s">
        <v>105</v>
      </c>
      <c r="D338" s="263" t="s">
        <v>9278</v>
      </c>
      <c r="E338" s="263" t="s">
        <v>112</v>
      </c>
      <c r="F338">
        <v>0</v>
      </c>
      <c r="G338">
        <v>2</v>
      </c>
      <c r="H338" s="263" t="s">
        <v>436</v>
      </c>
      <c r="I338" s="264"/>
      <c r="J338" s="263" t="s">
        <v>437</v>
      </c>
    </row>
    <row r="339" spans="1:10" x14ac:dyDescent="0.15">
      <c r="A339" s="263" t="s">
        <v>1374</v>
      </c>
      <c r="B339" s="263" t="s">
        <v>9279</v>
      </c>
      <c r="C339" s="263" t="s">
        <v>105</v>
      </c>
      <c r="D339" s="263" t="s">
        <v>9280</v>
      </c>
      <c r="E339" s="263" t="s">
        <v>112</v>
      </c>
      <c r="F339">
        <v>0</v>
      </c>
      <c r="G339">
        <v>2</v>
      </c>
      <c r="H339" s="263" t="s">
        <v>436</v>
      </c>
      <c r="I339" s="264"/>
      <c r="J339" s="263" t="s">
        <v>437</v>
      </c>
    </row>
    <row r="340" spans="1:10" x14ac:dyDescent="0.15">
      <c r="A340" s="263" t="s">
        <v>1375</v>
      </c>
      <c r="B340" s="263" t="s">
        <v>9281</v>
      </c>
      <c r="C340" s="263" t="s">
        <v>99</v>
      </c>
      <c r="D340" s="263" t="s">
        <v>9282</v>
      </c>
      <c r="E340" s="263" t="s">
        <v>84</v>
      </c>
      <c r="F340">
        <v>0</v>
      </c>
      <c r="G340">
        <v>2</v>
      </c>
      <c r="H340" s="263" t="s">
        <v>436</v>
      </c>
      <c r="I340" s="264"/>
      <c r="J340" s="263" t="s">
        <v>437</v>
      </c>
    </row>
    <row r="341" spans="1:10" x14ac:dyDescent="0.15">
      <c r="A341" s="263" t="s">
        <v>1376</v>
      </c>
      <c r="B341" s="263" t="s">
        <v>9283</v>
      </c>
      <c r="C341" s="263" t="s">
        <v>99</v>
      </c>
      <c r="D341" s="263" t="s">
        <v>9284</v>
      </c>
      <c r="E341" s="263" t="s">
        <v>84</v>
      </c>
      <c r="F341">
        <v>0</v>
      </c>
      <c r="G341">
        <v>2</v>
      </c>
      <c r="H341" s="263" t="s">
        <v>436</v>
      </c>
      <c r="I341" s="264"/>
      <c r="J341" s="263" t="s">
        <v>437</v>
      </c>
    </row>
    <row r="342" spans="1:10" x14ac:dyDescent="0.15">
      <c r="A342" s="263" t="s">
        <v>1377</v>
      </c>
      <c r="B342" s="263" t="s">
        <v>9285</v>
      </c>
      <c r="C342" s="263" t="s">
        <v>99</v>
      </c>
      <c r="D342" s="263" t="s">
        <v>9286</v>
      </c>
      <c r="E342" s="263" t="s">
        <v>84</v>
      </c>
      <c r="F342">
        <v>0</v>
      </c>
      <c r="G342">
        <v>2</v>
      </c>
      <c r="H342" s="263" t="s">
        <v>436</v>
      </c>
      <c r="I342" s="264"/>
      <c r="J342" s="263" t="s">
        <v>437</v>
      </c>
    </row>
    <row r="343" spans="1:10" x14ac:dyDescent="0.15">
      <c r="A343" s="263" t="s">
        <v>1378</v>
      </c>
      <c r="B343" s="263" t="s">
        <v>9287</v>
      </c>
      <c r="C343" s="263" t="s">
        <v>99</v>
      </c>
      <c r="D343" s="263" t="s">
        <v>9288</v>
      </c>
      <c r="E343" s="263" t="s">
        <v>84</v>
      </c>
      <c r="F343">
        <v>0</v>
      </c>
      <c r="G343">
        <v>2</v>
      </c>
      <c r="H343" s="263" t="s">
        <v>436</v>
      </c>
      <c r="I343" s="264"/>
      <c r="J343" s="263" t="s">
        <v>437</v>
      </c>
    </row>
    <row r="344" spans="1:10" x14ac:dyDescent="0.15">
      <c r="A344" s="263" t="s">
        <v>1379</v>
      </c>
      <c r="B344" s="263" t="s">
        <v>9289</v>
      </c>
      <c r="C344" s="263" t="s">
        <v>99</v>
      </c>
      <c r="D344" s="263" t="s">
        <v>9290</v>
      </c>
      <c r="E344" s="263" t="s">
        <v>84</v>
      </c>
      <c r="F344">
        <v>0</v>
      </c>
      <c r="G344">
        <v>2</v>
      </c>
      <c r="H344" s="263" t="s">
        <v>436</v>
      </c>
      <c r="I344" s="264"/>
      <c r="J344" s="263" t="s">
        <v>437</v>
      </c>
    </row>
    <row r="345" spans="1:10" x14ac:dyDescent="0.15">
      <c r="A345" s="263" t="s">
        <v>1380</v>
      </c>
      <c r="B345" s="263" t="s">
        <v>9291</v>
      </c>
      <c r="C345" s="263" t="s">
        <v>99</v>
      </c>
      <c r="D345" s="263" t="s">
        <v>9292</v>
      </c>
      <c r="E345" s="263" t="s">
        <v>84</v>
      </c>
      <c r="F345">
        <v>0</v>
      </c>
      <c r="G345">
        <v>2</v>
      </c>
      <c r="H345" s="263" t="s">
        <v>436</v>
      </c>
      <c r="I345" s="264"/>
      <c r="J345" s="263" t="s">
        <v>437</v>
      </c>
    </row>
    <row r="346" spans="1:10" x14ac:dyDescent="0.15">
      <c r="A346" s="263" t="s">
        <v>1381</v>
      </c>
      <c r="B346" s="263" t="s">
        <v>9293</v>
      </c>
      <c r="C346" s="263" t="s">
        <v>99</v>
      </c>
      <c r="D346" s="263" t="s">
        <v>9294</v>
      </c>
      <c r="E346" s="263" t="s">
        <v>84</v>
      </c>
      <c r="F346">
        <v>0</v>
      </c>
      <c r="G346">
        <v>2</v>
      </c>
      <c r="H346" s="263" t="s">
        <v>436</v>
      </c>
      <c r="I346" s="264"/>
      <c r="J346" s="263" t="s">
        <v>437</v>
      </c>
    </row>
    <row r="347" spans="1:10" x14ac:dyDescent="0.15">
      <c r="A347" s="263" t="s">
        <v>1382</v>
      </c>
      <c r="B347" s="263" t="s">
        <v>9295</v>
      </c>
      <c r="C347" s="263" t="s">
        <v>99</v>
      </c>
      <c r="D347" s="263" t="s">
        <v>9296</v>
      </c>
      <c r="E347" s="263" t="s">
        <v>84</v>
      </c>
      <c r="F347">
        <v>0</v>
      </c>
      <c r="G347">
        <v>2</v>
      </c>
      <c r="H347" s="263" t="s">
        <v>436</v>
      </c>
      <c r="I347" s="264"/>
      <c r="J347" s="263" t="s">
        <v>437</v>
      </c>
    </row>
    <row r="348" spans="1:10" x14ac:dyDescent="0.15">
      <c r="A348" s="263" t="s">
        <v>1383</v>
      </c>
      <c r="B348" s="263" t="s">
        <v>9297</v>
      </c>
      <c r="C348" s="263" t="s">
        <v>99</v>
      </c>
      <c r="D348" s="263" t="s">
        <v>9298</v>
      </c>
      <c r="E348" s="263" t="s">
        <v>84</v>
      </c>
      <c r="F348">
        <v>0</v>
      </c>
      <c r="G348">
        <v>2</v>
      </c>
      <c r="H348" s="263" t="s">
        <v>436</v>
      </c>
      <c r="I348" s="264"/>
      <c r="J348" s="263" t="s">
        <v>437</v>
      </c>
    </row>
    <row r="349" spans="1:10" x14ac:dyDescent="0.15">
      <c r="A349" s="263" t="s">
        <v>1384</v>
      </c>
      <c r="B349" s="263" t="s">
        <v>9299</v>
      </c>
      <c r="C349" s="263" t="s">
        <v>99</v>
      </c>
      <c r="D349" s="263" t="s">
        <v>9300</v>
      </c>
      <c r="E349" s="263" t="s">
        <v>84</v>
      </c>
      <c r="F349">
        <v>0</v>
      </c>
      <c r="G349">
        <v>2</v>
      </c>
      <c r="H349" s="263" t="s">
        <v>436</v>
      </c>
      <c r="I349" s="264"/>
      <c r="J349" s="263" t="s">
        <v>437</v>
      </c>
    </row>
    <row r="350" spans="1:10" x14ac:dyDescent="0.15">
      <c r="A350" s="263" t="s">
        <v>1385</v>
      </c>
      <c r="B350" s="263" t="s">
        <v>9301</v>
      </c>
      <c r="C350" s="263" t="s">
        <v>99</v>
      </c>
      <c r="D350" s="263" t="s">
        <v>9302</v>
      </c>
      <c r="E350" s="263" t="s">
        <v>84</v>
      </c>
      <c r="F350">
        <v>0</v>
      </c>
      <c r="G350">
        <v>2</v>
      </c>
      <c r="H350" s="263" t="s">
        <v>436</v>
      </c>
      <c r="I350" s="264"/>
      <c r="J350" s="263" t="s">
        <v>437</v>
      </c>
    </row>
    <row r="351" spans="1:10" x14ac:dyDescent="0.15">
      <c r="A351" s="263" t="s">
        <v>1386</v>
      </c>
      <c r="B351" s="263" t="s">
        <v>9281</v>
      </c>
      <c r="C351" s="263" t="s">
        <v>105</v>
      </c>
      <c r="D351" s="263" t="s">
        <v>9282</v>
      </c>
      <c r="E351" s="263" t="s">
        <v>112</v>
      </c>
      <c r="F351">
        <v>0</v>
      </c>
      <c r="G351">
        <v>2</v>
      </c>
      <c r="H351" s="263" t="s">
        <v>436</v>
      </c>
      <c r="I351" s="264"/>
      <c r="J351" s="263" t="s">
        <v>437</v>
      </c>
    </row>
    <row r="352" spans="1:10" x14ac:dyDescent="0.15">
      <c r="A352" s="263" t="s">
        <v>1387</v>
      </c>
      <c r="B352" s="263" t="s">
        <v>9283</v>
      </c>
      <c r="C352" s="263" t="s">
        <v>105</v>
      </c>
      <c r="D352" s="263" t="s">
        <v>9284</v>
      </c>
      <c r="E352" s="263" t="s">
        <v>112</v>
      </c>
      <c r="F352">
        <v>0</v>
      </c>
      <c r="G352">
        <v>2</v>
      </c>
      <c r="H352" s="263" t="s">
        <v>436</v>
      </c>
      <c r="I352" s="264"/>
      <c r="J352" s="263" t="s">
        <v>437</v>
      </c>
    </row>
    <row r="353" spans="1:10" x14ac:dyDescent="0.15">
      <c r="A353" s="263" t="s">
        <v>1388</v>
      </c>
      <c r="B353" s="263" t="s">
        <v>9285</v>
      </c>
      <c r="C353" s="263" t="s">
        <v>105</v>
      </c>
      <c r="D353" s="263" t="s">
        <v>9286</v>
      </c>
      <c r="E353" s="263" t="s">
        <v>112</v>
      </c>
      <c r="F353">
        <v>0</v>
      </c>
      <c r="G353">
        <v>2</v>
      </c>
      <c r="H353" s="263" t="s">
        <v>436</v>
      </c>
      <c r="I353" s="264"/>
      <c r="J353" s="263" t="s">
        <v>437</v>
      </c>
    </row>
    <row r="354" spans="1:10" x14ac:dyDescent="0.15">
      <c r="A354" s="263" t="s">
        <v>1389</v>
      </c>
      <c r="B354" s="263" t="s">
        <v>9287</v>
      </c>
      <c r="C354" s="263" t="s">
        <v>105</v>
      </c>
      <c r="D354" s="263" t="s">
        <v>9288</v>
      </c>
      <c r="E354" s="263" t="s">
        <v>112</v>
      </c>
      <c r="F354">
        <v>0</v>
      </c>
      <c r="G354">
        <v>2</v>
      </c>
      <c r="H354" s="263" t="s">
        <v>436</v>
      </c>
      <c r="I354" s="264"/>
      <c r="J354" s="263" t="s">
        <v>437</v>
      </c>
    </row>
    <row r="355" spans="1:10" x14ac:dyDescent="0.15">
      <c r="A355" s="263" t="s">
        <v>1390</v>
      </c>
      <c r="B355" s="263" t="s">
        <v>9289</v>
      </c>
      <c r="C355" s="263" t="s">
        <v>105</v>
      </c>
      <c r="D355" s="263" t="s">
        <v>9290</v>
      </c>
      <c r="E355" s="263" t="s">
        <v>112</v>
      </c>
      <c r="F355">
        <v>0</v>
      </c>
      <c r="G355">
        <v>2</v>
      </c>
      <c r="H355" s="263" t="s">
        <v>436</v>
      </c>
      <c r="I355" s="264"/>
      <c r="J355" s="263" t="s">
        <v>437</v>
      </c>
    </row>
    <row r="356" spans="1:10" x14ac:dyDescent="0.15">
      <c r="A356" s="263" t="s">
        <v>1391</v>
      </c>
      <c r="B356" s="263" t="s">
        <v>9291</v>
      </c>
      <c r="C356" s="263" t="s">
        <v>105</v>
      </c>
      <c r="D356" s="263" t="s">
        <v>9292</v>
      </c>
      <c r="E356" s="263" t="s">
        <v>112</v>
      </c>
      <c r="F356">
        <v>0</v>
      </c>
      <c r="G356">
        <v>2</v>
      </c>
      <c r="H356" s="263" t="s">
        <v>436</v>
      </c>
      <c r="I356" s="264"/>
      <c r="J356" s="263" t="s">
        <v>437</v>
      </c>
    </row>
    <row r="357" spans="1:10" x14ac:dyDescent="0.15">
      <c r="A357" s="263" t="s">
        <v>1392</v>
      </c>
      <c r="B357" s="263" t="s">
        <v>9293</v>
      </c>
      <c r="C357" s="263" t="s">
        <v>105</v>
      </c>
      <c r="D357" s="263" t="s">
        <v>9294</v>
      </c>
      <c r="E357" s="263" t="s">
        <v>112</v>
      </c>
      <c r="F357">
        <v>0</v>
      </c>
      <c r="G357">
        <v>2</v>
      </c>
      <c r="H357" s="263" t="s">
        <v>436</v>
      </c>
      <c r="I357" s="264"/>
      <c r="J357" s="263" t="s">
        <v>437</v>
      </c>
    </row>
    <row r="358" spans="1:10" x14ac:dyDescent="0.15">
      <c r="A358" s="263" t="s">
        <v>1393</v>
      </c>
      <c r="B358" s="263" t="s">
        <v>9295</v>
      </c>
      <c r="C358" s="263" t="s">
        <v>105</v>
      </c>
      <c r="D358" s="263" t="s">
        <v>9296</v>
      </c>
      <c r="E358" s="263" t="s">
        <v>112</v>
      </c>
      <c r="F358">
        <v>0</v>
      </c>
      <c r="G358">
        <v>2</v>
      </c>
      <c r="H358" s="263" t="s">
        <v>436</v>
      </c>
      <c r="I358" s="264"/>
      <c r="J358" s="263" t="s">
        <v>437</v>
      </c>
    </row>
    <row r="359" spans="1:10" x14ac:dyDescent="0.15">
      <c r="A359" s="263" t="s">
        <v>1394</v>
      </c>
      <c r="B359" s="263" t="s">
        <v>9297</v>
      </c>
      <c r="C359" s="263" t="s">
        <v>105</v>
      </c>
      <c r="D359" s="263" t="s">
        <v>9298</v>
      </c>
      <c r="E359" s="263" t="s">
        <v>112</v>
      </c>
      <c r="F359">
        <v>0</v>
      </c>
      <c r="G359">
        <v>2</v>
      </c>
      <c r="H359" s="263" t="s">
        <v>436</v>
      </c>
      <c r="I359" s="264"/>
      <c r="J359" s="263" t="s">
        <v>437</v>
      </c>
    </row>
    <row r="360" spans="1:10" x14ac:dyDescent="0.15">
      <c r="A360" s="263" t="s">
        <v>1395</v>
      </c>
      <c r="B360" s="263" t="s">
        <v>9299</v>
      </c>
      <c r="C360" s="263" t="s">
        <v>105</v>
      </c>
      <c r="D360" s="263" t="s">
        <v>9300</v>
      </c>
      <c r="E360" s="263" t="s">
        <v>112</v>
      </c>
      <c r="F360">
        <v>0</v>
      </c>
      <c r="G360">
        <v>2</v>
      </c>
      <c r="H360" s="263" t="s">
        <v>436</v>
      </c>
      <c r="I360" s="264"/>
      <c r="J360" s="263" t="s">
        <v>437</v>
      </c>
    </row>
    <row r="361" spans="1:10" x14ac:dyDescent="0.15">
      <c r="A361" s="263" t="s">
        <v>1396</v>
      </c>
      <c r="B361" s="263" t="s">
        <v>9301</v>
      </c>
      <c r="C361" s="263" t="s">
        <v>105</v>
      </c>
      <c r="D361" s="263" t="s">
        <v>9302</v>
      </c>
      <c r="E361" s="263" t="s">
        <v>112</v>
      </c>
      <c r="F361">
        <v>0</v>
      </c>
      <c r="G361">
        <v>2</v>
      </c>
      <c r="H361" s="263" t="s">
        <v>436</v>
      </c>
      <c r="I361" s="264"/>
      <c r="J361" s="263" t="s">
        <v>437</v>
      </c>
    </row>
    <row r="362" spans="1:10" x14ac:dyDescent="0.15">
      <c r="A362" s="263" t="s">
        <v>1397</v>
      </c>
      <c r="B362" s="263" t="s">
        <v>9303</v>
      </c>
      <c r="C362" s="263" t="s">
        <v>99</v>
      </c>
      <c r="D362" s="263" t="s">
        <v>9304</v>
      </c>
      <c r="E362" s="263" t="s">
        <v>84</v>
      </c>
      <c r="F362">
        <v>0</v>
      </c>
      <c r="G362">
        <v>2</v>
      </c>
      <c r="H362" s="263" t="s">
        <v>436</v>
      </c>
      <c r="I362" s="264"/>
      <c r="J362" s="263" t="s">
        <v>437</v>
      </c>
    </row>
    <row r="363" spans="1:10" x14ac:dyDescent="0.15">
      <c r="A363" s="263" t="s">
        <v>1398</v>
      </c>
      <c r="B363" s="263" t="s">
        <v>9305</v>
      </c>
      <c r="C363" s="263" t="s">
        <v>99</v>
      </c>
      <c r="D363" s="263" t="s">
        <v>9306</v>
      </c>
      <c r="E363" s="263" t="s">
        <v>84</v>
      </c>
      <c r="F363">
        <v>0</v>
      </c>
      <c r="G363">
        <v>2</v>
      </c>
      <c r="H363" s="263" t="s">
        <v>436</v>
      </c>
      <c r="I363" s="264"/>
      <c r="J363" s="263" t="s">
        <v>437</v>
      </c>
    </row>
    <row r="364" spans="1:10" x14ac:dyDescent="0.15">
      <c r="A364" s="263" t="s">
        <v>1399</v>
      </c>
      <c r="B364" s="263" t="s">
        <v>9307</v>
      </c>
      <c r="C364" s="263" t="s">
        <v>99</v>
      </c>
      <c r="D364" s="263" t="s">
        <v>9308</v>
      </c>
      <c r="E364" s="263" t="s">
        <v>84</v>
      </c>
      <c r="F364">
        <v>0</v>
      </c>
      <c r="G364">
        <v>2</v>
      </c>
      <c r="H364" s="263" t="s">
        <v>436</v>
      </c>
      <c r="I364" s="264"/>
      <c r="J364" s="263" t="s">
        <v>437</v>
      </c>
    </row>
    <row r="365" spans="1:10" x14ac:dyDescent="0.15">
      <c r="A365" s="263" t="s">
        <v>1400</v>
      </c>
      <c r="B365" s="263" t="s">
        <v>9309</v>
      </c>
      <c r="C365" s="263" t="s">
        <v>96</v>
      </c>
      <c r="D365" s="263" t="s">
        <v>9310</v>
      </c>
      <c r="E365" s="263" t="s">
        <v>97</v>
      </c>
      <c r="F365">
        <v>0</v>
      </c>
      <c r="G365">
        <v>2</v>
      </c>
      <c r="H365" s="263" t="s">
        <v>436</v>
      </c>
      <c r="I365" s="264"/>
      <c r="J365" s="263" t="s">
        <v>437</v>
      </c>
    </row>
    <row r="366" spans="1:10" x14ac:dyDescent="0.15">
      <c r="A366" s="263" t="s">
        <v>1401</v>
      </c>
      <c r="B366" s="263" t="s">
        <v>9311</v>
      </c>
      <c r="C366" s="263" t="s">
        <v>96</v>
      </c>
      <c r="D366" s="263" t="s">
        <v>9312</v>
      </c>
      <c r="E366" s="263" t="s">
        <v>97</v>
      </c>
      <c r="F366">
        <v>0</v>
      </c>
      <c r="G366">
        <v>2</v>
      </c>
      <c r="H366" s="263" t="s">
        <v>436</v>
      </c>
      <c r="I366" s="264"/>
      <c r="J366" s="263" t="s">
        <v>437</v>
      </c>
    </row>
    <row r="367" spans="1:10" x14ac:dyDescent="0.15">
      <c r="A367" s="263" t="s">
        <v>1402</v>
      </c>
      <c r="B367" s="263" t="s">
        <v>9313</v>
      </c>
      <c r="C367" s="263" t="s">
        <v>96</v>
      </c>
      <c r="D367" s="263" t="s">
        <v>9314</v>
      </c>
      <c r="E367" s="263" t="s">
        <v>97</v>
      </c>
      <c r="F367">
        <v>0</v>
      </c>
      <c r="G367">
        <v>2</v>
      </c>
      <c r="H367" s="263" t="s">
        <v>436</v>
      </c>
      <c r="I367" s="264"/>
      <c r="J367" s="263" t="s">
        <v>437</v>
      </c>
    </row>
    <row r="368" spans="1:10" x14ac:dyDescent="0.15">
      <c r="A368" s="263" t="s">
        <v>1403</v>
      </c>
      <c r="B368" s="263" t="s">
        <v>9315</v>
      </c>
      <c r="C368" s="263" t="s">
        <v>96</v>
      </c>
      <c r="D368" s="263" t="s">
        <v>9316</v>
      </c>
      <c r="E368" s="263" t="s">
        <v>97</v>
      </c>
      <c r="F368">
        <v>0</v>
      </c>
      <c r="G368">
        <v>2</v>
      </c>
      <c r="H368" s="263" t="s">
        <v>436</v>
      </c>
      <c r="I368" s="264"/>
      <c r="J368" s="263" t="s">
        <v>437</v>
      </c>
    </row>
    <row r="369" spans="1:10" x14ac:dyDescent="0.15">
      <c r="A369" s="263" t="s">
        <v>1404</v>
      </c>
      <c r="B369" s="263" t="s">
        <v>9317</v>
      </c>
      <c r="C369" s="263" t="s">
        <v>96</v>
      </c>
      <c r="D369" s="263" t="s">
        <v>9318</v>
      </c>
      <c r="E369" s="263" t="s">
        <v>97</v>
      </c>
      <c r="F369">
        <v>0</v>
      </c>
      <c r="G369">
        <v>2</v>
      </c>
      <c r="H369" s="263" t="s">
        <v>436</v>
      </c>
      <c r="I369" s="264"/>
      <c r="J369" s="263" t="s">
        <v>437</v>
      </c>
    </row>
    <row r="370" spans="1:10" x14ac:dyDescent="0.15">
      <c r="A370" s="263" t="s">
        <v>1405</v>
      </c>
      <c r="B370" s="263" t="s">
        <v>9319</v>
      </c>
      <c r="C370" s="263" t="s">
        <v>96</v>
      </c>
      <c r="D370" s="263" t="s">
        <v>9320</v>
      </c>
      <c r="E370" s="263" t="s">
        <v>97</v>
      </c>
      <c r="F370">
        <v>0</v>
      </c>
      <c r="G370">
        <v>2</v>
      </c>
      <c r="H370" s="263" t="s">
        <v>436</v>
      </c>
      <c r="I370" s="264"/>
      <c r="J370" s="263" t="s">
        <v>437</v>
      </c>
    </row>
    <row r="371" spans="1:10" x14ac:dyDescent="0.15">
      <c r="A371" s="263" t="s">
        <v>1406</v>
      </c>
      <c r="B371" s="263" t="s">
        <v>9321</v>
      </c>
      <c r="C371" s="263" t="s">
        <v>96</v>
      </c>
      <c r="D371" s="263" t="s">
        <v>9322</v>
      </c>
      <c r="E371" s="263" t="s">
        <v>97</v>
      </c>
      <c r="F371">
        <v>0</v>
      </c>
      <c r="G371">
        <v>2</v>
      </c>
      <c r="H371" s="263" t="s">
        <v>436</v>
      </c>
      <c r="I371" s="264"/>
      <c r="J371" s="263" t="s">
        <v>437</v>
      </c>
    </row>
    <row r="372" spans="1:10" x14ac:dyDescent="0.15">
      <c r="A372" s="263" t="s">
        <v>1407</v>
      </c>
      <c r="B372" s="263" t="s">
        <v>9323</v>
      </c>
      <c r="C372" s="263" t="s">
        <v>96</v>
      </c>
      <c r="D372" s="263" t="s">
        <v>9324</v>
      </c>
      <c r="E372" s="263" t="s">
        <v>97</v>
      </c>
      <c r="F372">
        <v>0</v>
      </c>
      <c r="G372">
        <v>2</v>
      </c>
      <c r="H372" s="263" t="s">
        <v>436</v>
      </c>
      <c r="I372" s="264"/>
      <c r="J372" s="263" t="s">
        <v>437</v>
      </c>
    </row>
    <row r="373" spans="1:10" x14ac:dyDescent="0.15">
      <c r="A373" s="263" t="s">
        <v>1408</v>
      </c>
      <c r="B373" s="263" t="s">
        <v>9325</v>
      </c>
      <c r="C373" s="263" t="s">
        <v>96</v>
      </c>
      <c r="D373" s="263" t="s">
        <v>9326</v>
      </c>
      <c r="E373" s="263" t="s">
        <v>97</v>
      </c>
      <c r="F373">
        <v>0</v>
      </c>
      <c r="G373">
        <v>2</v>
      </c>
      <c r="H373" s="263" t="s">
        <v>436</v>
      </c>
      <c r="I373" s="264"/>
      <c r="J373" s="263" t="s">
        <v>437</v>
      </c>
    </row>
    <row r="374" spans="1:10" x14ac:dyDescent="0.15">
      <c r="A374" s="263" t="s">
        <v>1409</v>
      </c>
      <c r="B374" s="263" t="s">
        <v>9327</v>
      </c>
      <c r="C374" s="263" t="s">
        <v>96</v>
      </c>
      <c r="D374" s="263" t="s">
        <v>9328</v>
      </c>
      <c r="E374" s="263" t="s">
        <v>97</v>
      </c>
      <c r="F374">
        <v>0</v>
      </c>
      <c r="G374">
        <v>2</v>
      </c>
      <c r="H374" s="263" t="s">
        <v>436</v>
      </c>
      <c r="I374" s="264"/>
      <c r="J374" s="263" t="s">
        <v>437</v>
      </c>
    </row>
    <row r="375" spans="1:10" x14ac:dyDescent="0.15">
      <c r="A375" s="263" t="s">
        <v>1410</v>
      </c>
      <c r="B375" s="263" t="s">
        <v>9329</v>
      </c>
      <c r="C375" s="263" t="s">
        <v>96</v>
      </c>
      <c r="D375" s="263" t="s">
        <v>9330</v>
      </c>
      <c r="E375" s="263" t="s">
        <v>97</v>
      </c>
      <c r="F375">
        <v>0</v>
      </c>
      <c r="G375">
        <v>2</v>
      </c>
      <c r="H375" s="263" t="s">
        <v>436</v>
      </c>
      <c r="I375" s="264"/>
      <c r="J375" s="263" t="s">
        <v>437</v>
      </c>
    </row>
    <row r="376" spans="1:10" x14ac:dyDescent="0.15">
      <c r="A376" s="263" t="s">
        <v>1417</v>
      </c>
      <c r="B376" s="263" t="s">
        <v>1418</v>
      </c>
      <c r="C376" s="263" t="s">
        <v>99</v>
      </c>
      <c r="D376" s="263" t="s">
        <v>1419</v>
      </c>
      <c r="E376" s="263" t="s">
        <v>84</v>
      </c>
      <c r="F376">
        <v>0</v>
      </c>
      <c r="G376">
        <v>2</v>
      </c>
      <c r="H376" s="263" t="s">
        <v>436</v>
      </c>
      <c r="I376" s="264"/>
      <c r="J376" s="263" t="s">
        <v>437</v>
      </c>
    </row>
    <row r="377" spans="1:10" x14ac:dyDescent="0.15">
      <c r="A377" s="263" t="s">
        <v>1420</v>
      </c>
      <c r="B377" s="263" t="s">
        <v>1421</v>
      </c>
      <c r="C377" s="263" t="s">
        <v>99</v>
      </c>
      <c r="D377" s="263" t="s">
        <v>1422</v>
      </c>
      <c r="E377" s="263" t="s">
        <v>84</v>
      </c>
      <c r="F377">
        <v>0</v>
      </c>
      <c r="G377">
        <v>2</v>
      </c>
      <c r="H377" s="263" t="s">
        <v>436</v>
      </c>
      <c r="I377" s="264"/>
      <c r="J377" s="263" t="s">
        <v>437</v>
      </c>
    </row>
    <row r="378" spans="1:10" x14ac:dyDescent="0.15">
      <c r="A378" s="263" t="s">
        <v>1423</v>
      </c>
      <c r="B378" s="263" t="s">
        <v>1424</v>
      </c>
      <c r="C378" s="263" t="s">
        <v>99</v>
      </c>
      <c r="D378" s="263" t="s">
        <v>1425</v>
      </c>
      <c r="E378" s="263" t="s">
        <v>84</v>
      </c>
      <c r="F378">
        <v>0</v>
      </c>
      <c r="G378">
        <v>2</v>
      </c>
      <c r="H378" s="263" t="s">
        <v>436</v>
      </c>
      <c r="I378" s="264"/>
      <c r="J378" s="263" t="s">
        <v>437</v>
      </c>
    </row>
    <row r="379" spans="1:10" x14ac:dyDescent="0.15">
      <c r="A379" s="263" t="s">
        <v>1426</v>
      </c>
      <c r="B379" s="263" t="s">
        <v>1418</v>
      </c>
      <c r="C379" s="263" t="s">
        <v>105</v>
      </c>
      <c r="D379" s="263" t="s">
        <v>1419</v>
      </c>
      <c r="E379" s="263" t="s">
        <v>112</v>
      </c>
      <c r="F379">
        <v>0</v>
      </c>
      <c r="G379">
        <v>2</v>
      </c>
      <c r="H379" s="263" t="s">
        <v>436</v>
      </c>
      <c r="I379" s="264"/>
      <c r="J379" s="263" t="s">
        <v>437</v>
      </c>
    </row>
    <row r="380" spans="1:10" x14ac:dyDescent="0.15">
      <c r="A380" s="263" t="s">
        <v>1427</v>
      </c>
      <c r="B380" s="263" t="s">
        <v>1421</v>
      </c>
      <c r="C380" s="263" t="s">
        <v>105</v>
      </c>
      <c r="D380" s="263" t="s">
        <v>1422</v>
      </c>
      <c r="E380" s="263" t="s">
        <v>112</v>
      </c>
      <c r="F380">
        <v>0</v>
      </c>
      <c r="G380">
        <v>2</v>
      </c>
      <c r="H380" s="263" t="s">
        <v>436</v>
      </c>
      <c r="I380" s="264"/>
      <c r="J380" s="263" t="s">
        <v>437</v>
      </c>
    </row>
    <row r="381" spans="1:10" x14ac:dyDescent="0.15">
      <c r="A381" s="263" t="s">
        <v>1428</v>
      </c>
      <c r="B381" s="263" t="s">
        <v>1424</v>
      </c>
      <c r="C381" s="263" t="s">
        <v>105</v>
      </c>
      <c r="D381" s="263" t="s">
        <v>1425</v>
      </c>
      <c r="E381" s="263" t="s">
        <v>112</v>
      </c>
      <c r="F381">
        <v>0</v>
      </c>
      <c r="G381">
        <v>2</v>
      </c>
      <c r="H381" s="263" t="s">
        <v>436</v>
      </c>
      <c r="I381" s="264"/>
      <c r="J381" s="263" t="s">
        <v>437</v>
      </c>
    </row>
    <row r="382" spans="1:10" x14ac:dyDescent="0.15">
      <c r="A382" s="263" t="s">
        <v>1429</v>
      </c>
      <c r="B382" s="263" t="s">
        <v>1430</v>
      </c>
      <c r="C382" s="263" t="s">
        <v>99</v>
      </c>
      <c r="D382" s="263" t="s">
        <v>1431</v>
      </c>
      <c r="E382" s="263" t="s">
        <v>84</v>
      </c>
      <c r="F382">
        <v>0</v>
      </c>
      <c r="G382">
        <v>2</v>
      </c>
      <c r="H382" s="263" t="s">
        <v>436</v>
      </c>
      <c r="I382" s="264"/>
      <c r="J382" s="263" t="s">
        <v>437</v>
      </c>
    </row>
    <row r="383" spans="1:10" x14ac:dyDescent="0.15">
      <c r="A383" s="263" t="s">
        <v>1432</v>
      </c>
      <c r="B383" s="263" t="s">
        <v>1433</v>
      </c>
      <c r="C383" s="263" t="s">
        <v>99</v>
      </c>
      <c r="D383" s="263" t="s">
        <v>1434</v>
      </c>
      <c r="E383" s="263" t="s">
        <v>84</v>
      </c>
      <c r="F383">
        <v>0</v>
      </c>
      <c r="G383">
        <v>2</v>
      </c>
      <c r="H383" s="263" t="s">
        <v>436</v>
      </c>
      <c r="I383" s="264"/>
      <c r="J383" s="263" t="s">
        <v>437</v>
      </c>
    </row>
    <row r="384" spans="1:10" x14ac:dyDescent="0.15">
      <c r="A384" s="263" t="s">
        <v>1435</v>
      </c>
      <c r="B384" s="263" t="s">
        <v>1436</v>
      </c>
      <c r="C384" s="263" t="s">
        <v>99</v>
      </c>
      <c r="D384" s="263" t="s">
        <v>1437</v>
      </c>
      <c r="E384" s="263" t="s">
        <v>84</v>
      </c>
      <c r="F384">
        <v>0</v>
      </c>
      <c r="G384">
        <v>2</v>
      </c>
      <c r="H384" s="263" t="s">
        <v>436</v>
      </c>
      <c r="I384" s="264"/>
      <c r="J384" s="263" t="s">
        <v>437</v>
      </c>
    </row>
    <row r="385" spans="1:10" x14ac:dyDescent="0.15">
      <c r="A385" s="263" t="s">
        <v>1438</v>
      </c>
      <c r="B385" s="263" t="s">
        <v>1430</v>
      </c>
      <c r="C385" s="263" t="s">
        <v>105</v>
      </c>
      <c r="D385" s="263" t="s">
        <v>1431</v>
      </c>
      <c r="E385" s="263" t="s">
        <v>112</v>
      </c>
      <c r="F385">
        <v>0</v>
      </c>
      <c r="G385">
        <v>2</v>
      </c>
      <c r="H385" s="263" t="s">
        <v>436</v>
      </c>
      <c r="I385" s="264"/>
      <c r="J385" s="263" t="s">
        <v>437</v>
      </c>
    </row>
    <row r="386" spans="1:10" x14ac:dyDescent="0.15">
      <c r="A386" s="263" t="s">
        <v>1439</v>
      </c>
      <c r="B386" s="263" t="s">
        <v>1433</v>
      </c>
      <c r="C386" s="263" t="s">
        <v>105</v>
      </c>
      <c r="D386" s="263" t="s">
        <v>1434</v>
      </c>
      <c r="E386" s="263" t="s">
        <v>112</v>
      </c>
      <c r="F386">
        <v>0</v>
      </c>
      <c r="G386">
        <v>2</v>
      </c>
      <c r="H386" s="263" t="s">
        <v>436</v>
      </c>
      <c r="I386" s="264"/>
      <c r="J386" s="263" t="s">
        <v>437</v>
      </c>
    </row>
    <row r="387" spans="1:10" x14ac:dyDescent="0.15">
      <c r="A387" s="263" t="s">
        <v>1440</v>
      </c>
      <c r="B387" s="263" t="s">
        <v>1436</v>
      </c>
      <c r="C387" s="263" t="s">
        <v>105</v>
      </c>
      <c r="D387" s="263" t="s">
        <v>1437</v>
      </c>
      <c r="E387" s="263" t="s">
        <v>112</v>
      </c>
      <c r="F387">
        <v>0</v>
      </c>
      <c r="G387">
        <v>2</v>
      </c>
      <c r="H387" s="263" t="s">
        <v>436</v>
      </c>
      <c r="I387" s="264"/>
      <c r="J387" s="263" t="s">
        <v>437</v>
      </c>
    </row>
    <row r="388" spans="1:10" x14ac:dyDescent="0.15">
      <c r="A388" s="263" t="s">
        <v>1441</v>
      </c>
      <c r="B388" s="263" t="s">
        <v>1442</v>
      </c>
      <c r="C388" s="263" t="s">
        <v>98</v>
      </c>
      <c r="D388" s="263" t="s">
        <v>1443</v>
      </c>
      <c r="E388" s="263" t="s">
        <v>109</v>
      </c>
      <c r="F388">
        <v>0</v>
      </c>
      <c r="G388">
        <v>2</v>
      </c>
      <c r="H388" s="263" t="s">
        <v>436</v>
      </c>
      <c r="I388" s="264"/>
      <c r="J388" s="263" t="s">
        <v>437</v>
      </c>
    </row>
    <row r="389" spans="1:10" x14ac:dyDescent="0.15">
      <c r="A389" s="263" t="s">
        <v>9040</v>
      </c>
      <c r="B389" s="263" t="s">
        <v>9041</v>
      </c>
      <c r="C389" s="263" t="s">
        <v>98</v>
      </c>
      <c r="D389" s="263" t="s">
        <v>9042</v>
      </c>
      <c r="E389" s="263" t="s">
        <v>109</v>
      </c>
      <c r="F389">
        <v>0</v>
      </c>
      <c r="G389">
        <v>2</v>
      </c>
      <c r="H389" s="263" t="s">
        <v>436</v>
      </c>
      <c r="I389" s="264"/>
      <c r="J389" s="263" t="s">
        <v>437</v>
      </c>
    </row>
    <row r="390" spans="1:10" x14ac:dyDescent="0.15">
      <c r="A390" s="263" t="s">
        <v>9043</v>
      </c>
      <c r="B390" s="263" t="s">
        <v>9044</v>
      </c>
      <c r="C390" s="263" t="s">
        <v>98</v>
      </c>
      <c r="D390" s="263" t="s">
        <v>9045</v>
      </c>
      <c r="E390" s="263" t="s">
        <v>109</v>
      </c>
      <c r="F390">
        <v>0</v>
      </c>
      <c r="G390">
        <v>2</v>
      </c>
      <c r="H390" s="263" t="s">
        <v>436</v>
      </c>
      <c r="I390" s="264"/>
      <c r="J390" s="263" t="s">
        <v>437</v>
      </c>
    </row>
    <row r="391" spans="1:10" x14ac:dyDescent="0.15">
      <c r="A391" s="263" t="s">
        <v>9046</v>
      </c>
      <c r="B391" s="263" t="s">
        <v>9047</v>
      </c>
      <c r="C391" s="263" t="s">
        <v>98</v>
      </c>
      <c r="D391" s="263" t="s">
        <v>9048</v>
      </c>
      <c r="E391" s="263" t="s">
        <v>109</v>
      </c>
      <c r="F391">
        <v>0</v>
      </c>
      <c r="G391">
        <v>2</v>
      </c>
      <c r="H391" s="263" t="s">
        <v>436</v>
      </c>
      <c r="I391" s="264"/>
      <c r="J391" s="263" t="s">
        <v>437</v>
      </c>
    </row>
    <row r="392" spans="1:10" x14ac:dyDescent="0.15">
      <c r="A392" s="263" t="s">
        <v>9049</v>
      </c>
      <c r="B392" s="263" t="s">
        <v>9050</v>
      </c>
      <c r="C392" s="263" t="s">
        <v>98</v>
      </c>
      <c r="D392" s="263" t="s">
        <v>9051</v>
      </c>
      <c r="E392" s="263" t="s">
        <v>109</v>
      </c>
      <c r="F392">
        <v>0</v>
      </c>
      <c r="G392">
        <v>2</v>
      </c>
      <c r="H392" s="263" t="s">
        <v>436</v>
      </c>
      <c r="I392" s="264"/>
      <c r="J392" s="263" t="s">
        <v>437</v>
      </c>
    </row>
    <row r="393" spans="1:10" x14ac:dyDescent="0.15">
      <c r="A393" s="263" t="s">
        <v>1444</v>
      </c>
      <c r="B393" s="263" t="s">
        <v>1445</v>
      </c>
      <c r="C393" s="263" t="s">
        <v>98</v>
      </c>
      <c r="D393" s="263" t="s">
        <v>1446</v>
      </c>
      <c r="E393" s="263" t="s">
        <v>109</v>
      </c>
      <c r="F393">
        <v>0</v>
      </c>
      <c r="G393">
        <v>2</v>
      </c>
      <c r="H393" s="263" t="s">
        <v>436</v>
      </c>
      <c r="I393" s="264"/>
      <c r="J393" s="263" t="s">
        <v>437</v>
      </c>
    </row>
    <row r="394" spans="1:10" x14ac:dyDescent="0.15">
      <c r="A394" s="263" t="s">
        <v>1447</v>
      </c>
      <c r="B394" s="263" t="s">
        <v>1448</v>
      </c>
      <c r="C394" s="263" t="s">
        <v>98</v>
      </c>
      <c r="D394" s="263" t="s">
        <v>1449</v>
      </c>
      <c r="E394" s="263" t="s">
        <v>109</v>
      </c>
      <c r="F394">
        <v>0</v>
      </c>
      <c r="G394">
        <v>2</v>
      </c>
      <c r="H394" s="263" t="s">
        <v>436</v>
      </c>
      <c r="I394" s="264"/>
      <c r="J394" s="263" t="s">
        <v>437</v>
      </c>
    </row>
    <row r="395" spans="1:10" x14ac:dyDescent="0.15">
      <c r="A395" s="263" t="s">
        <v>1450</v>
      </c>
      <c r="B395" s="263" t="s">
        <v>1451</v>
      </c>
      <c r="C395" s="263" t="s">
        <v>98</v>
      </c>
      <c r="D395" s="263" t="s">
        <v>1452</v>
      </c>
      <c r="E395" s="263" t="s">
        <v>109</v>
      </c>
      <c r="F395">
        <v>0</v>
      </c>
      <c r="G395">
        <v>2</v>
      </c>
      <c r="H395" s="263" t="s">
        <v>436</v>
      </c>
      <c r="I395" s="264"/>
      <c r="J395" s="263" t="s">
        <v>437</v>
      </c>
    </row>
    <row r="396" spans="1:10" x14ac:dyDescent="0.15">
      <c r="A396" s="263" t="s">
        <v>1453</v>
      </c>
      <c r="B396" s="263" t="s">
        <v>1448</v>
      </c>
      <c r="C396" s="263" t="s">
        <v>99</v>
      </c>
      <c r="D396" s="263" t="s">
        <v>1449</v>
      </c>
      <c r="E396" s="263" t="s">
        <v>84</v>
      </c>
      <c r="F396">
        <v>0</v>
      </c>
      <c r="G396">
        <v>2</v>
      </c>
      <c r="H396" s="263" t="s">
        <v>436</v>
      </c>
      <c r="I396" s="264"/>
      <c r="J396" s="263" t="s">
        <v>437</v>
      </c>
    </row>
    <row r="397" spans="1:10" x14ac:dyDescent="0.15">
      <c r="A397" s="263" t="s">
        <v>1454</v>
      </c>
      <c r="B397" s="263" t="s">
        <v>1451</v>
      </c>
      <c r="C397" s="263" t="s">
        <v>99</v>
      </c>
      <c r="D397" s="263" t="s">
        <v>1452</v>
      </c>
      <c r="E397" s="263" t="s">
        <v>84</v>
      </c>
      <c r="F397">
        <v>0</v>
      </c>
      <c r="G397">
        <v>2</v>
      </c>
      <c r="H397" s="263" t="s">
        <v>436</v>
      </c>
      <c r="I397" s="264"/>
      <c r="J397" s="263" t="s">
        <v>437</v>
      </c>
    </row>
    <row r="398" spans="1:10" x14ac:dyDescent="0.15">
      <c r="A398" s="263" t="s">
        <v>1455</v>
      </c>
      <c r="B398" s="263" t="s">
        <v>1456</v>
      </c>
      <c r="C398" s="263" t="s">
        <v>98</v>
      </c>
      <c r="D398" s="263" t="s">
        <v>1457</v>
      </c>
      <c r="E398" s="263" t="s">
        <v>110</v>
      </c>
      <c r="F398">
        <v>0</v>
      </c>
      <c r="G398">
        <v>2</v>
      </c>
      <c r="H398" s="263" t="s">
        <v>436</v>
      </c>
      <c r="I398" s="264"/>
      <c r="J398" s="263" t="s">
        <v>437</v>
      </c>
    </row>
    <row r="399" spans="1:10" x14ac:dyDescent="0.15">
      <c r="A399" s="263" t="s">
        <v>1458</v>
      </c>
      <c r="B399" s="263" t="s">
        <v>1459</v>
      </c>
      <c r="C399" s="263" t="s">
        <v>98</v>
      </c>
      <c r="D399" s="263" t="s">
        <v>1460</v>
      </c>
      <c r="E399" s="263" t="s">
        <v>110</v>
      </c>
      <c r="F399">
        <v>0</v>
      </c>
      <c r="G399">
        <v>2</v>
      </c>
      <c r="H399" s="263" t="s">
        <v>436</v>
      </c>
      <c r="I399" s="264"/>
      <c r="J399" s="263" t="s">
        <v>437</v>
      </c>
    </row>
    <row r="400" spans="1:10" x14ac:dyDescent="0.15">
      <c r="A400" s="263" t="s">
        <v>9331</v>
      </c>
      <c r="B400" s="263" t="s">
        <v>9332</v>
      </c>
      <c r="C400" s="263" t="s">
        <v>98</v>
      </c>
      <c r="D400" s="263" t="s">
        <v>9333</v>
      </c>
      <c r="E400" s="263" t="s">
        <v>110</v>
      </c>
      <c r="F400">
        <v>0</v>
      </c>
      <c r="G400">
        <v>2</v>
      </c>
      <c r="H400" s="263" t="s">
        <v>436</v>
      </c>
      <c r="I400" s="264"/>
      <c r="J400" s="263" t="s">
        <v>437</v>
      </c>
    </row>
    <row r="401" spans="1:10" x14ac:dyDescent="0.15">
      <c r="A401" s="263" t="s">
        <v>1461</v>
      </c>
      <c r="B401" s="263" t="s">
        <v>9054</v>
      </c>
      <c r="C401" s="263" t="s">
        <v>98</v>
      </c>
      <c r="D401" s="263" t="s">
        <v>9055</v>
      </c>
      <c r="E401" s="263" t="s">
        <v>109</v>
      </c>
      <c r="F401">
        <v>0</v>
      </c>
      <c r="G401">
        <v>2</v>
      </c>
      <c r="H401" s="263" t="s">
        <v>436</v>
      </c>
      <c r="I401" s="264"/>
      <c r="J401" s="263" t="s">
        <v>437</v>
      </c>
    </row>
    <row r="402" spans="1:10" x14ac:dyDescent="0.15">
      <c r="A402" s="263" t="s">
        <v>9334</v>
      </c>
      <c r="B402" s="263" t="s">
        <v>9335</v>
      </c>
      <c r="C402" s="263" t="s">
        <v>98</v>
      </c>
      <c r="D402" s="263" t="s">
        <v>9336</v>
      </c>
      <c r="E402" s="263" t="s">
        <v>109</v>
      </c>
      <c r="F402">
        <v>0</v>
      </c>
      <c r="G402">
        <v>2</v>
      </c>
      <c r="H402" s="263" t="s">
        <v>436</v>
      </c>
      <c r="I402" s="264"/>
      <c r="J402" s="263" t="s">
        <v>437</v>
      </c>
    </row>
    <row r="403" spans="1:10" x14ac:dyDescent="0.15">
      <c r="A403" s="263" t="s">
        <v>9337</v>
      </c>
      <c r="B403" s="263" t="s">
        <v>9338</v>
      </c>
      <c r="C403" s="263" t="s">
        <v>98</v>
      </c>
      <c r="D403" s="263" t="s">
        <v>9339</v>
      </c>
      <c r="E403" s="263" t="s">
        <v>109</v>
      </c>
      <c r="F403">
        <v>0</v>
      </c>
      <c r="G403">
        <v>2</v>
      </c>
      <c r="H403" s="263" t="s">
        <v>436</v>
      </c>
      <c r="I403" s="264"/>
      <c r="J403" s="263" t="s">
        <v>437</v>
      </c>
    </row>
    <row r="404" spans="1:10" x14ac:dyDescent="0.15">
      <c r="A404" s="263" t="s">
        <v>9340</v>
      </c>
      <c r="B404" s="263" t="s">
        <v>9341</v>
      </c>
      <c r="C404" s="263" t="s">
        <v>98</v>
      </c>
      <c r="D404" s="263" t="s">
        <v>9342</v>
      </c>
      <c r="E404" s="263" t="s">
        <v>109</v>
      </c>
      <c r="F404">
        <v>0</v>
      </c>
      <c r="G404">
        <v>2</v>
      </c>
      <c r="H404" s="263" t="s">
        <v>436</v>
      </c>
      <c r="I404" s="264"/>
      <c r="J404" s="263" t="s">
        <v>437</v>
      </c>
    </row>
    <row r="405" spans="1:10" x14ac:dyDescent="0.15">
      <c r="A405" s="263" t="s">
        <v>9343</v>
      </c>
      <c r="B405" s="263" t="s">
        <v>2727</v>
      </c>
      <c r="C405" s="263" t="s">
        <v>96</v>
      </c>
      <c r="D405" s="263" t="s">
        <v>2728</v>
      </c>
      <c r="E405" s="263" t="s">
        <v>97</v>
      </c>
      <c r="F405">
        <v>0</v>
      </c>
      <c r="G405">
        <v>2</v>
      </c>
      <c r="H405" s="263" t="s">
        <v>436</v>
      </c>
      <c r="I405" s="264"/>
      <c r="J405" s="263" t="s">
        <v>437</v>
      </c>
    </row>
    <row r="406" spans="1:10" x14ac:dyDescent="0.15">
      <c r="A406" s="263" t="s">
        <v>1466</v>
      </c>
      <c r="B406" s="263" t="s">
        <v>1467</v>
      </c>
      <c r="C406" s="263" t="s">
        <v>98</v>
      </c>
      <c r="D406" s="263" t="s">
        <v>1468</v>
      </c>
      <c r="E406" s="263" t="s">
        <v>109</v>
      </c>
      <c r="F406">
        <v>0</v>
      </c>
      <c r="G406">
        <v>2</v>
      </c>
      <c r="H406" s="263" t="s">
        <v>436</v>
      </c>
      <c r="I406" s="264"/>
      <c r="J406" s="263" t="s">
        <v>437</v>
      </c>
    </row>
    <row r="407" spans="1:10" x14ac:dyDescent="0.15">
      <c r="A407" s="263" t="s">
        <v>1469</v>
      </c>
      <c r="B407" s="263" t="s">
        <v>1470</v>
      </c>
      <c r="C407" s="263" t="s">
        <v>98</v>
      </c>
      <c r="D407" s="263" t="s">
        <v>1471</v>
      </c>
      <c r="E407" s="263" t="s">
        <v>109</v>
      </c>
      <c r="F407">
        <v>0</v>
      </c>
      <c r="G407">
        <v>2</v>
      </c>
      <c r="H407" s="263" t="s">
        <v>436</v>
      </c>
      <c r="I407" s="264"/>
      <c r="J407" s="263" t="s">
        <v>437</v>
      </c>
    </row>
    <row r="408" spans="1:10" x14ac:dyDescent="0.15">
      <c r="A408" s="263" t="s">
        <v>1472</v>
      </c>
      <c r="B408" s="263" t="s">
        <v>1473</v>
      </c>
      <c r="C408" s="263" t="s">
        <v>98</v>
      </c>
      <c r="D408" s="263" t="s">
        <v>1474</v>
      </c>
      <c r="E408" s="263" t="s">
        <v>109</v>
      </c>
      <c r="F408">
        <v>0</v>
      </c>
      <c r="G408">
        <v>2</v>
      </c>
      <c r="H408" s="263" t="s">
        <v>436</v>
      </c>
      <c r="I408" s="264"/>
      <c r="J408" s="263" t="s">
        <v>437</v>
      </c>
    </row>
    <row r="409" spans="1:10" x14ac:dyDescent="0.15">
      <c r="A409" s="263" t="s">
        <v>1475</v>
      </c>
      <c r="B409" s="263" t="s">
        <v>9344</v>
      </c>
      <c r="C409" s="263" t="s">
        <v>98</v>
      </c>
      <c r="D409" s="263" t="s">
        <v>9345</v>
      </c>
      <c r="E409" s="263" t="s">
        <v>109</v>
      </c>
      <c r="F409">
        <v>0</v>
      </c>
      <c r="G409">
        <v>2</v>
      </c>
      <c r="H409" s="263" t="s">
        <v>436</v>
      </c>
      <c r="I409" s="264"/>
      <c r="J409" s="263" t="s">
        <v>437</v>
      </c>
    </row>
    <row r="410" spans="1:10" x14ac:dyDescent="0.15">
      <c r="A410" s="263" t="s">
        <v>1476</v>
      </c>
      <c r="B410" s="263" t="s">
        <v>1477</v>
      </c>
      <c r="C410" s="263" t="s">
        <v>98</v>
      </c>
      <c r="D410" s="263" t="s">
        <v>1478</v>
      </c>
      <c r="E410" s="263" t="s">
        <v>109</v>
      </c>
      <c r="F410">
        <v>0</v>
      </c>
      <c r="G410">
        <v>2</v>
      </c>
      <c r="H410" s="263" t="s">
        <v>436</v>
      </c>
      <c r="I410" s="264"/>
      <c r="J410" s="263" t="s">
        <v>437</v>
      </c>
    </row>
    <row r="411" spans="1:10" x14ac:dyDescent="0.15">
      <c r="A411" s="263" t="s">
        <v>1479</v>
      </c>
      <c r="B411" s="263" t="s">
        <v>1480</v>
      </c>
      <c r="C411" s="263" t="s">
        <v>98</v>
      </c>
      <c r="D411" s="263" t="s">
        <v>1481</v>
      </c>
      <c r="E411" s="263" t="s">
        <v>109</v>
      </c>
      <c r="F411">
        <v>0</v>
      </c>
      <c r="G411">
        <v>2</v>
      </c>
      <c r="H411" s="263" t="s">
        <v>436</v>
      </c>
      <c r="I411" s="264"/>
      <c r="J411" s="263" t="s">
        <v>437</v>
      </c>
    </row>
    <row r="412" spans="1:10" x14ac:dyDescent="0.15">
      <c r="A412" s="263" t="s">
        <v>1482</v>
      </c>
      <c r="B412" s="263" t="s">
        <v>1483</v>
      </c>
      <c r="C412" s="263" t="s">
        <v>99</v>
      </c>
      <c r="D412" s="263" t="s">
        <v>1484</v>
      </c>
      <c r="E412" s="263" t="s">
        <v>84</v>
      </c>
      <c r="F412">
        <v>0</v>
      </c>
      <c r="G412">
        <v>2</v>
      </c>
      <c r="H412" s="263" t="s">
        <v>436</v>
      </c>
      <c r="I412" s="264"/>
      <c r="J412" s="263" t="s">
        <v>437</v>
      </c>
    </row>
    <row r="413" spans="1:10" x14ac:dyDescent="0.15">
      <c r="A413" s="263" t="s">
        <v>9052</v>
      </c>
      <c r="B413" s="263" t="s">
        <v>1483</v>
      </c>
      <c r="C413" s="263" t="s">
        <v>105</v>
      </c>
      <c r="D413" s="263" t="s">
        <v>1484</v>
      </c>
      <c r="E413" s="263" t="s">
        <v>112</v>
      </c>
      <c r="F413">
        <v>0</v>
      </c>
      <c r="G413">
        <v>2</v>
      </c>
      <c r="H413" s="263" t="s">
        <v>436</v>
      </c>
      <c r="I413" s="264"/>
      <c r="J413" s="263" t="s">
        <v>437</v>
      </c>
    </row>
    <row r="414" spans="1:10" x14ac:dyDescent="0.15">
      <c r="A414" s="263" t="s">
        <v>1485</v>
      </c>
      <c r="B414" s="263" t="s">
        <v>1486</v>
      </c>
      <c r="C414" s="263" t="s">
        <v>81</v>
      </c>
      <c r="D414" s="263" t="s">
        <v>1487</v>
      </c>
      <c r="E414" s="263" t="s">
        <v>88</v>
      </c>
      <c r="F414">
        <v>0</v>
      </c>
      <c r="G414">
        <v>2</v>
      </c>
      <c r="H414" s="263" t="s">
        <v>436</v>
      </c>
      <c r="I414" s="264"/>
      <c r="J414" s="263" t="s">
        <v>437</v>
      </c>
    </row>
    <row r="415" spans="1:10" x14ac:dyDescent="0.15">
      <c r="A415" s="263" t="s">
        <v>1488</v>
      </c>
      <c r="B415" s="263" t="s">
        <v>1486</v>
      </c>
      <c r="C415" s="263" t="s">
        <v>96</v>
      </c>
      <c r="D415" s="263" t="s">
        <v>1487</v>
      </c>
      <c r="E415" s="263" t="s">
        <v>97</v>
      </c>
      <c r="F415">
        <v>0</v>
      </c>
      <c r="G415">
        <v>2</v>
      </c>
      <c r="H415" s="263" t="s">
        <v>436</v>
      </c>
      <c r="I415" s="264"/>
      <c r="J415" s="263" t="s">
        <v>437</v>
      </c>
    </row>
    <row r="416" spans="1:10" x14ac:dyDescent="0.15">
      <c r="A416" s="263" t="s">
        <v>1489</v>
      </c>
      <c r="B416" s="263" t="s">
        <v>1490</v>
      </c>
      <c r="C416" s="263" t="s">
        <v>81</v>
      </c>
      <c r="D416" s="263" t="s">
        <v>1491</v>
      </c>
      <c r="E416" s="263" t="s">
        <v>88</v>
      </c>
      <c r="F416">
        <v>0</v>
      </c>
      <c r="G416">
        <v>2</v>
      </c>
      <c r="H416" s="263" t="s">
        <v>436</v>
      </c>
      <c r="I416" s="264"/>
      <c r="J416" s="263" t="s">
        <v>437</v>
      </c>
    </row>
    <row r="417" spans="1:10" x14ac:dyDescent="0.15">
      <c r="A417" s="263" t="s">
        <v>1492</v>
      </c>
      <c r="B417" s="263" t="s">
        <v>1493</v>
      </c>
      <c r="C417" s="263" t="s">
        <v>81</v>
      </c>
      <c r="D417" s="263" t="s">
        <v>1494</v>
      </c>
      <c r="E417" s="263" t="s">
        <v>88</v>
      </c>
      <c r="F417">
        <v>0</v>
      </c>
      <c r="G417">
        <v>2</v>
      </c>
      <c r="H417" s="263" t="s">
        <v>436</v>
      </c>
      <c r="I417" s="264"/>
      <c r="J417" s="263" t="s">
        <v>437</v>
      </c>
    </row>
    <row r="418" spans="1:10" x14ac:dyDescent="0.15">
      <c r="A418" s="263" t="s">
        <v>1495</v>
      </c>
      <c r="B418" s="263" t="s">
        <v>9346</v>
      </c>
      <c r="C418" s="263" t="s">
        <v>94</v>
      </c>
      <c r="D418" s="263" t="s">
        <v>9347</v>
      </c>
      <c r="E418" s="263" t="s">
        <v>94</v>
      </c>
      <c r="F418">
        <v>0</v>
      </c>
      <c r="G418">
        <v>2</v>
      </c>
      <c r="H418" s="263" t="s">
        <v>436</v>
      </c>
      <c r="I418" s="264"/>
      <c r="J418" s="263" t="s">
        <v>437</v>
      </c>
    </row>
    <row r="419" spans="1:10" x14ac:dyDescent="0.15">
      <c r="A419" s="263" t="s">
        <v>1496</v>
      </c>
      <c r="B419" s="263" t="s">
        <v>1497</v>
      </c>
      <c r="C419" s="263" t="s">
        <v>98</v>
      </c>
      <c r="D419" s="263" t="s">
        <v>1498</v>
      </c>
      <c r="E419" s="263" t="s">
        <v>109</v>
      </c>
      <c r="F419">
        <v>0</v>
      </c>
      <c r="G419">
        <v>2</v>
      </c>
      <c r="H419" s="263" t="s">
        <v>436</v>
      </c>
      <c r="I419" s="264"/>
      <c r="J419" s="263" t="s">
        <v>437</v>
      </c>
    </row>
    <row r="420" spans="1:10" x14ac:dyDescent="0.15">
      <c r="A420" s="263" t="s">
        <v>1499</v>
      </c>
      <c r="B420" s="263" t="s">
        <v>1500</v>
      </c>
      <c r="C420" s="263" t="s">
        <v>98</v>
      </c>
      <c r="D420" s="263" t="s">
        <v>1501</v>
      </c>
      <c r="E420" s="263" t="s">
        <v>109</v>
      </c>
      <c r="F420">
        <v>0</v>
      </c>
      <c r="G420">
        <v>2</v>
      </c>
      <c r="H420" s="263" t="s">
        <v>436</v>
      </c>
      <c r="I420" s="264"/>
      <c r="J420" s="263" t="s">
        <v>437</v>
      </c>
    </row>
    <row r="421" spans="1:10" x14ac:dyDescent="0.15">
      <c r="A421" s="263" t="s">
        <v>1502</v>
      </c>
      <c r="B421" s="263" t="s">
        <v>1503</v>
      </c>
      <c r="C421" s="263" t="s">
        <v>98</v>
      </c>
      <c r="D421" s="263" t="s">
        <v>1504</v>
      </c>
      <c r="E421" s="263" t="s">
        <v>109</v>
      </c>
      <c r="F421">
        <v>0</v>
      </c>
      <c r="G421">
        <v>2</v>
      </c>
      <c r="H421" s="263" t="s">
        <v>436</v>
      </c>
      <c r="I421" s="264"/>
      <c r="J421" s="263" t="s">
        <v>437</v>
      </c>
    </row>
    <row r="422" spans="1:10" x14ac:dyDescent="0.15">
      <c r="A422" s="263" t="s">
        <v>1505</v>
      </c>
      <c r="B422" s="263" t="s">
        <v>1506</v>
      </c>
      <c r="C422" s="263" t="s">
        <v>98</v>
      </c>
      <c r="D422" s="263" t="s">
        <v>1507</v>
      </c>
      <c r="E422" s="263" t="s">
        <v>109</v>
      </c>
      <c r="F422">
        <v>0</v>
      </c>
      <c r="G422">
        <v>2</v>
      </c>
      <c r="H422" s="263" t="s">
        <v>436</v>
      </c>
      <c r="I422" s="264"/>
      <c r="J422" s="263" t="s">
        <v>437</v>
      </c>
    </row>
    <row r="423" spans="1:10" x14ac:dyDescent="0.15">
      <c r="A423" s="263" t="s">
        <v>1508</v>
      </c>
      <c r="B423" s="263" t="s">
        <v>1509</v>
      </c>
      <c r="C423" s="263" t="s">
        <v>98</v>
      </c>
      <c r="D423" s="263" t="s">
        <v>1510</v>
      </c>
      <c r="E423" s="263" t="s">
        <v>109</v>
      </c>
      <c r="F423">
        <v>0</v>
      </c>
      <c r="G423">
        <v>2</v>
      </c>
      <c r="H423" s="263" t="s">
        <v>436</v>
      </c>
      <c r="I423" s="264"/>
      <c r="J423" s="263" t="s">
        <v>437</v>
      </c>
    </row>
    <row r="424" spans="1:10" x14ac:dyDescent="0.15">
      <c r="A424" s="263" t="s">
        <v>1511</v>
      </c>
      <c r="B424" s="263" t="s">
        <v>1512</v>
      </c>
      <c r="C424" s="263" t="s">
        <v>98</v>
      </c>
      <c r="D424" s="263" t="s">
        <v>1513</v>
      </c>
      <c r="E424" s="263" t="s">
        <v>109</v>
      </c>
      <c r="F424">
        <v>0</v>
      </c>
      <c r="G424">
        <v>2</v>
      </c>
      <c r="H424" s="263" t="s">
        <v>436</v>
      </c>
      <c r="I424" s="264"/>
      <c r="J424" s="263" t="s">
        <v>437</v>
      </c>
    </row>
    <row r="425" spans="1:10" x14ac:dyDescent="0.15">
      <c r="A425" s="263" t="s">
        <v>1514</v>
      </c>
      <c r="B425" s="263" t="s">
        <v>1515</v>
      </c>
      <c r="C425" s="263" t="s">
        <v>98</v>
      </c>
      <c r="D425" s="263" t="s">
        <v>1516</v>
      </c>
      <c r="E425" s="263" t="s">
        <v>109</v>
      </c>
      <c r="F425">
        <v>0</v>
      </c>
      <c r="G425">
        <v>2</v>
      </c>
      <c r="H425" s="263" t="s">
        <v>436</v>
      </c>
      <c r="I425" s="264"/>
      <c r="J425" s="263" t="s">
        <v>437</v>
      </c>
    </row>
    <row r="426" spans="1:10" x14ac:dyDescent="0.15">
      <c r="A426" s="263" t="s">
        <v>1517</v>
      </c>
      <c r="B426" s="263" t="s">
        <v>1518</v>
      </c>
      <c r="C426" s="263" t="s">
        <v>98</v>
      </c>
      <c r="D426" s="263" t="s">
        <v>1519</v>
      </c>
      <c r="E426" s="263" t="s">
        <v>109</v>
      </c>
      <c r="F426">
        <v>0</v>
      </c>
      <c r="G426">
        <v>2</v>
      </c>
      <c r="H426" s="263" t="s">
        <v>436</v>
      </c>
      <c r="I426" s="264"/>
      <c r="J426" s="263" t="s">
        <v>437</v>
      </c>
    </row>
    <row r="427" spans="1:10" x14ac:dyDescent="0.15">
      <c r="A427" s="263" t="s">
        <v>1520</v>
      </c>
      <c r="B427" s="263" t="s">
        <v>1521</v>
      </c>
      <c r="C427" s="263" t="s">
        <v>98</v>
      </c>
      <c r="D427" s="263" t="s">
        <v>1522</v>
      </c>
      <c r="E427" s="263" t="s">
        <v>109</v>
      </c>
      <c r="F427">
        <v>0</v>
      </c>
      <c r="G427">
        <v>2</v>
      </c>
      <c r="H427" s="263" t="s">
        <v>436</v>
      </c>
      <c r="I427" s="264"/>
      <c r="J427" s="263" t="s">
        <v>437</v>
      </c>
    </row>
    <row r="428" spans="1:10" x14ac:dyDescent="0.15">
      <c r="A428" s="263" t="s">
        <v>1523</v>
      </c>
      <c r="B428" s="263" t="s">
        <v>1524</v>
      </c>
      <c r="C428" s="263" t="s">
        <v>98</v>
      </c>
      <c r="D428" s="263" t="s">
        <v>1525</v>
      </c>
      <c r="E428" s="263" t="s">
        <v>109</v>
      </c>
      <c r="F428">
        <v>0</v>
      </c>
      <c r="G428">
        <v>2</v>
      </c>
      <c r="H428" s="263" t="s">
        <v>436</v>
      </c>
      <c r="I428" s="264"/>
      <c r="J428" s="263" t="s">
        <v>437</v>
      </c>
    </row>
    <row r="429" spans="1:10" x14ac:dyDescent="0.15">
      <c r="A429" s="263" t="s">
        <v>1526</v>
      </c>
      <c r="B429" s="263" t="s">
        <v>1527</v>
      </c>
      <c r="C429" s="263" t="s">
        <v>98</v>
      </c>
      <c r="D429" s="263" t="s">
        <v>1528</v>
      </c>
      <c r="E429" s="263" t="s">
        <v>109</v>
      </c>
      <c r="F429">
        <v>0</v>
      </c>
      <c r="G429">
        <v>2</v>
      </c>
      <c r="H429" s="263" t="s">
        <v>436</v>
      </c>
      <c r="I429" s="264"/>
      <c r="J429" s="263" t="s">
        <v>437</v>
      </c>
    </row>
    <row r="430" spans="1:10" x14ac:dyDescent="0.15">
      <c r="A430" s="263" t="s">
        <v>1529</v>
      </c>
      <c r="B430" s="263" t="s">
        <v>1530</v>
      </c>
      <c r="C430" s="263" t="s">
        <v>98</v>
      </c>
      <c r="D430" s="263" t="s">
        <v>1531</v>
      </c>
      <c r="E430" s="263" t="s">
        <v>109</v>
      </c>
      <c r="F430">
        <v>0</v>
      </c>
      <c r="G430">
        <v>2</v>
      </c>
      <c r="H430" s="263" t="s">
        <v>436</v>
      </c>
      <c r="I430" s="264"/>
      <c r="J430" s="263" t="s">
        <v>437</v>
      </c>
    </row>
    <row r="431" spans="1:10" x14ac:dyDescent="0.15">
      <c r="A431" s="263" t="s">
        <v>1532</v>
      </c>
      <c r="B431" s="263" t="s">
        <v>1533</v>
      </c>
      <c r="C431" s="263" t="s">
        <v>96</v>
      </c>
      <c r="D431" s="263" t="s">
        <v>1534</v>
      </c>
      <c r="E431" s="263" t="s">
        <v>97</v>
      </c>
      <c r="F431">
        <v>0</v>
      </c>
      <c r="G431">
        <v>2</v>
      </c>
      <c r="H431" s="263" t="s">
        <v>436</v>
      </c>
      <c r="I431" s="264"/>
      <c r="J431" s="263" t="s">
        <v>437</v>
      </c>
    </row>
    <row r="432" spans="1:10" x14ac:dyDescent="0.15">
      <c r="A432" s="263" t="s">
        <v>1535</v>
      </c>
      <c r="B432" s="263" t="s">
        <v>1536</v>
      </c>
      <c r="C432" s="263" t="s">
        <v>98</v>
      </c>
      <c r="D432" s="263" t="s">
        <v>1537</v>
      </c>
      <c r="E432" s="263" t="s">
        <v>109</v>
      </c>
      <c r="F432">
        <v>0</v>
      </c>
      <c r="G432">
        <v>2</v>
      </c>
      <c r="H432" s="263" t="s">
        <v>436</v>
      </c>
      <c r="I432" s="264"/>
      <c r="J432" s="263" t="s">
        <v>437</v>
      </c>
    </row>
    <row r="433" spans="1:10" x14ac:dyDescent="0.15">
      <c r="A433" s="263" t="s">
        <v>1538</v>
      </c>
      <c r="B433" s="263" t="s">
        <v>1539</v>
      </c>
      <c r="C433" s="263" t="s">
        <v>81</v>
      </c>
      <c r="D433" s="263" t="s">
        <v>1540</v>
      </c>
      <c r="E433" s="263" t="s">
        <v>88</v>
      </c>
      <c r="F433">
        <v>0</v>
      </c>
      <c r="G433">
        <v>2</v>
      </c>
      <c r="H433" s="263" t="s">
        <v>436</v>
      </c>
      <c r="I433" s="264"/>
      <c r="J433" s="263" t="s">
        <v>437</v>
      </c>
    </row>
    <row r="434" spans="1:10" x14ac:dyDescent="0.15">
      <c r="A434" s="263" t="s">
        <v>1541</v>
      </c>
      <c r="B434" s="263" t="s">
        <v>1542</v>
      </c>
      <c r="C434" s="263" t="s">
        <v>96</v>
      </c>
      <c r="D434" s="263" t="s">
        <v>1543</v>
      </c>
      <c r="E434" s="263" t="s">
        <v>97</v>
      </c>
      <c r="F434">
        <v>0</v>
      </c>
      <c r="G434">
        <v>2</v>
      </c>
      <c r="H434" s="263" t="s">
        <v>436</v>
      </c>
      <c r="I434" s="264"/>
      <c r="J434" s="263" t="s">
        <v>437</v>
      </c>
    </row>
    <row r="435" spans="1:10" x14ac:dyDescent="0.15">
      <c r="A435" s="263" t="s">
        <v>1544</v>
      </c>
      <c r="B435" s="263" t="s">
        <v>1545</v>
      </c>
      <c r="C435" s="263" t="s">
        <v>96</v>
      </c>
      <c r="D435" s="263" t="s">
        <v>1546</v>
      </c>
      <c r="E435" s="263" t="s">
        <v>97</v>
      </c>
      <c r="F435">
        <v>0</v>
      </c>
      <c r="G435">
        <v>2</v>
      </c>
      <c r="H435" s="263" t="s">
        <v>436</v>
      </c>
      <c r="I435" s="264"/>
      <c r="J435" s="263" t="s">
        <v>437</v>
      </c>
    </row>
    <row r="436" spans="1:10" x14ac:dyDescent="0.15">
      <c r="A436" s="263" t="s">
        <v>1547</v>
      </c>
      <c r="B436" s="263" t="s">
        <v>1548</v>
      </c>
      <c r="C436" s="263" t="s">
        <v>81</v>
      </c>
      <c r="D436" s="263" t="s">
        <v>1549</v>
      </c>
      <c r="E436" s="263" t="s">
        <v>88</v>
      </c>
      <c r="F436">
        <v>0</v>
      </c>
      <c r="G436">
        <v>2</v>
      </c>
      <c r="H436" s="263" t="s">
        <v>436</v>
      </c>
      <c r="I436" s="264"/>
      <c r="J436" s="263" t="s">
        <v>437</v>
      </c>
    </row>
    <row r="437" spans="1:10" x14ac:dyDescent="0.15">
      <c r="A437" s="263" t="s">
        <v>1550</v>
      </c>
      <c r="B437" s="263" t="s">
        <v>1551</v>
      </c>
      <c r="C437" s="263" t="s">
        <v>98</v>
      </c>
      <c r="D437" s="263" t="s">
        <v>1552</v>
      </c>
      <c r="E437" s="263" t="s">
        <v>109</v>
      </c>
      <c r="F437">
        <v>0</v>
      </c>
      <c r="G437">
        <v>2</v>
      </c>
      <c r="H437" s="263" t="s">
        <v>436</v>
      </c>
      <c r="I437" s="264"/>
      <c r="J437" s="263" t="s">
        <v>437</v>
      </c>
    </row>
    <row r="438" spans="1:10" x14ac:dyDescent="0.15">
      <c r="A438" s="263" t="s">
        <v>1553</v>
      </c>
      <c r="B438" s="263" t="s">
        <v>1554</v>
      </c>
      <c r="C438" s="263" t="s">
        <v>98</v>
      </c>
      <c r="D438" s="263" t="s">
        <v>1555</v>
      </c>
      <c r="E438" s="263" t="s">
        <v>109</v>
      </c>
      <c r="F438">
        <v>0</v>
      </c>
      <c r="G438">
        <v>2</v>
      </c>
      <c r="H438" s="263" t="s">
        <v>436</v>
      </c>
      <c r="I438" s="264"/>
      <c r="J438" s="263" t="s">
        <v>437</v>
      </c>
    </row>
    <row r="439" spans="1:10" x14ac:dyDescent="0.15">
      <c r="A439" s="263" t="s">
        <v>1556</v>
      </c>
      <c r="B439" s="263" t="s">
        <v>1551</v>
      </c>
      <c r="C439" s="263" t="s">
        <v>94</v>
      </c>
      <c r="D439" s="263" t="s">
        <v>1552</v>
      </c>
      <c r="E439" s="263" t="s">
        <v>94</v>
      </c>
      <c r="F439">
        <v>0</v>
      </c>
      <c r="G439">
        <v>2</v>
      </c>
      <c r="H439" s="263" t="s">
        <v>436</v>
      </c>
      <c r="I439" s="264"/>
      <c r="J439" s="263" t="s">
        <v>437</v>
      </c>
    </row>
    <row r="440" spans="1:10" x14ac:dyDescent="0.15">
      <c r="A440" s="263" t="s">
        <v>9348</v>
      </c>
      <c r="B440" s="263" t="s">
        <v>1557</v>
      </c>
      <c r="C440" s="263" t="s">
        <v>96</v>
      </c>
      <c r="D440" s="263" t="s">
        <v>1558</v>
      </c>
      <c r="E440" s="263" t="s">
        <v>97</v>
      </c>
      <c r="F440">
        <v>0</v>
      </c>
      <c r="G440">
        <v>2</v>
      </c>
      <c r="H440" s="263" t="s">
        <v>436</v>
      </c>
      <c r="I440" s="264"/>
      <c r="J440" s="263" t="s">
        <v>437</v>
      </c>
    </row>
    <row r="441" spans="1:10" x14ac:dyDescent="0.15">
      <c r="A441" s="263" t="s">
        <v>1559</v>
      </c>
      <c r="B441" s="263" t="s">
        <v>9349</v>
      </c>
      <c r="C441" s="263" t="s">
        <v>99</v>
      </c>
      <c r="D441" s="263" t="s">
        <v>9350</v>
      </c>
      <c r="E441" s="263" t="s">
        <v>84</v>
      </c>
      <c r="F441">
        <v>0</v>
      </c>
      <c r="G441">
        <v>2</v>
      </c>
      <c r="H441" s="263" t="s">
        <v>436</v>
      </c>
      <c r="I441" s="264"/>
      <c r="J441" s="263" t="s">
        <v>437</v>
      </c>
    </row>
    <row r="442" spans="1:10" x14ac:dyDescent="0.15">
      <c r="A442" s="263" t="s">
        <v>9053</v>
      </c>
      <c r="B442" s="263" t="s">
        <v>9349</v>
      </c>
      <c r="C442" s="263" t="s">
        <v>105</v>
      </c>
      <c r="D442" s="263" t="s">
        <v>9350</v>
      </c>
      <c r="E442" s="263" t="s">
        <v>112</v>
      </c>
      <c r="F442">
        <v>0</v>
      </c>
      <c r="G442">
        <v>2</v>
      </c>
      <c r="H442" s="263" t="s">
        <v>436</v>
      </c>
      <c r="I442" s="264"/>
      <c r="J442" s="263" t="s">
        <v>437</v>
      </c>
    </row>
    <row r="443" spans="1:10" x14ac:dyDescent="0.15">
      <c r="A443" s="263" t="s">
        <v>1560</v>
      </c>
      <c r="B443" s="263" t="s">
        <v>1228</v>
      </c>
      <c r="C443" s="263" t="s">
        <v>87</v>
      </c>
      <c r="D443" s="263" t="s">
        <v>1229</v>
      </c>
      <c r="E443" s="263" t="s">
        <v>93</v>
      </c>
      <c r="F443">
        <v>0</v>
      </c>
      <c r="G443">
        <v>2</v>
      </c>
      <c r="H443" s="263" t="s">
        <v>436</v>
      </c>
      <c r="I443" s="264"/>
      <c r="J443" s="263" t="s">
        <v>437</v>
      </c>
    </row>
    <row r="444" spans="1:10" x14ac:dyDescent="0.15">
      <c r="A444" s="263" t="s">
        <v>9351</v>
      </c>
      <c r="B444" s="263" t="s">
        <v>8900</v>
      </c>
      <c r="C444" s="263" t="s">
        <v>98</v>
      </c>
      <c r="D444" s="263" t="s">
        <v>8901</v>
      </c>
      <c r="E444" s="263" t="s">
        <v>110</v>
      </c>
      <c r="F444">
        <v>0</v>
      </c>
      <c r="G444">
        <v>2</v>
      </c>
      <c r="H444" s="263" t="s">
        <v>436</v>
      </c>
      <c r="I444" s="264"/>
      <c r="J444" s="263" t="s">
        <v>437</v>
      </c>
    </row>
    <row r="445" spans="1:10" x14ac:dyDescent="0.15">
      <c r="A445" s="263" t="s">
        <v>9352</v>
      </c>
      <c r="B445" s="263" t="s">
        <v>8902</v>
      </c>
      <c r="C445" s="263" t="s">
        <v>98</v>
      </c>
      <c r="D445" s="263" t="s">
        <v>8903</v>
      </c>
      <c r="E445" s="263" t="s">
        <v>110</v>
      </c>
      <c r="F445">
        <v>0</v>
      </c>
      <c r="G445">
        <v>2</v>
      </c>
      <c r="H445" s="263" t="s">
        <v>436</v>
      </c>
      <c r="I445" s="264"/>
      <c r="J445" s="263" t="s">
        <v>437</v>
      </c>
    </row>
    <row r="446" spans="1:10" x14ac:dyDescent="0.15">
      <c r="A446" s="263" t="s">
        <v>9353</v>
      </c>
      <c r="B446" s="263" t="s">
        <v>8904</v>
      </c>
      <c r="C446" s="263" t="s">
        <v>81</v>
      </c>
      <c r="D446" s="263" t="s">
        <v>8905</v>
      </c>
      <c r="E446" s="263" t="s">
        <v>88</v>
      </c>
      <c r="F446">
        <v>0</v>
      </c>
      <c r="G446">
        <v>2</v>
      </c>
      <c r="H446" s="263" t="s">
        <v>436</v>
      </c>
      <c r="I446" s="264"/>
      <c r="J446" s="263" t="s">
        <v>437</v>
      </c>
    </row>
    <row r="447" spans="1:10" x14ac:dyDescent="0.15">
      <c r="A447" s="263" t="s">
        <v>9354</v>
      </c>
      <c r="B447" s="263" t="s">
        <v>8906</v>
      </c>
      <c r="C447" s="263" t="s">
        <v>94</v>
      </c>
      <c r="D447" s="263" t="s">
        <v>8907</v>
      </c>
      <c r="E447" s="263" t="s">
        <v>94</v>
      </c>
      <c r="F447">
        <v>0</v>
      </c>
      <c r="G447">
        <v>2</v>
      </c>
      <c r="H447" s="263" t="s">
        <v>436</v>
      </c>
      <c r="I447" s="264"/>
      <c r="J447" s="263" t="s">
        <v>437</v>
      </c>
    </row>
    <row r="448" spans="1:10" x14ac:dyDescent="0.15">
      <c r="A448" s="263" t="s">
        <v>9355</v>
      </c>
      <c r="B448" s="263" t="s">
        <v>8908</v>
      </c>
      <c r="C448" s="263" t="s">
        <v>94</v>
      </c>
      <c r="D448" s="263" t="s">
        <v>8909</v>
      </c>
      <c r="E448" s="263" t="s">
        <v>94</v>
      </c>
      <c r="F448">
        <v>0</v>
      </c>
      <c r="G448">
        <v>2</v>
      </c>
      <c r="H448" s="263" t="s">
        <v>436</v>
      </c>
      <c r="I448" s="264"/>
      <c r="J448" s="263" t="s">
        <v>437</v>
      </c>
    </row>
    <row r="449" spans="1:10" x14ac:dyDescent="0.15">
      <c r="A449" s="263" t="s">
        <v>9356</v>
      </c>
      <c r="B449" s="263" t="s">
        <v>8937</v>
      </c>
      <c r="C449" s="263" t="s">
        <v>98</v>
      </c>
      <c r="D449" s="263" t="s">
        <v>8938</v>
      </c>
      <c r="E449" s="263" t="s">
        <v>110</v>
      </c>
      <c r="F449">
        <v>0</v>
      </c>
      <c r="G449">
        <v>2</v>
      </c>
      <c r="H449" s="263" t="s">
        <v>436</v>
      </c>
      <c r="I449" s="264"/>
      <c r="J449" s="263" t="s">
        <v>437</v>
      </c>
    </row>
    <row r="450" spans="1:10" x14ac:dyDescent="0.15">
      <c r="A450" s="263" t="s">
        <v>9357</v>
      </c>
      <c r="B450" s="263" t="s">
        <v>8939</v>
      </c>
      <c r="C450" s="263" t="s">
        <v>94</v>
      </c>
      <c r="D450" s="263" t="s">
        <v>8940</v>
      </c>
      <c r="E450" s="263" t="s">
        <v>94</v>
      </c>
      <c r="F450">
        <v>0</v>
      </c>
      <c r="G450">
        <v>2</v>
      </c>
      <c r="H450" s="263" t="s">
        <v>436</v>
      </c>
      <c r="I450" s="264"/>
      <c r="J450" s="263" t="s">
        <v>437</v>
      </c>
    </row>
    <row r="451" spans="1:10" x14ac:dyDescent="0.15">
      <c r="A451" s="263" t="s">
        <v>9358</v>
      </c>
      <c r="B451" s="263" t="s">
        <v>8941</v>
      </c>
      <c r="C451" s="263" t="s">
        <v>96</v>
      </c>
      <c r="D451" s="263" t="s">
        <v>8942</v>
      </c>
      <c r="E451" s="263" t="s">
        <v>97</v>
      </c>
      <c r="F451">
        <v>0</v>
      </c>
      <c r="G451">
        <v>2</v>
      </c>
      <c r="H451" s="263" t="s">
        <v>436</v>
      </c>
      <c r="I451" s="264"/>
      <c r="J451" s="263" t="s">
        <v>437</v>
      </c>
    </row>
    <row r="452" spans="1:10" x14ac:dyDescent="0.15">
      <c r="A452" s="263" t="s">
        <v>9359</v>
      </c>
      <c r="B452" s="263" t="s">
        <v>8943</v>
      </c>
      <c r="C452" s="263" t="s">
        <v>99</v>
      </c>
      <c r="D452" s="263" t="s">
        <v>8944</v>
      </c>
      <c r="E452" s="263" t="s">
        <v>84</v>
      </c>
      <c r="F452">
        <v>0</v>
      </c>
      <c r="G452">
        <v>2</v>
      </c>
      <c r="H452" s="263" t="s">
        <v>436</v>
      </c>
      <c r="I452" s="264"/>
      <c r="J452" s="263" t="s">
        <v>437</v>
      </c>
    </row>
    <row r="453" spans="1:10" x14ac:dyDescent="0.15">
      <c r="A453" s="263" t="s">
        <v>9360</v>
      </c>
      <c r="B453" s="263" t="s">
        <v>8945</v>
      </c>
      <c r="C453" s="263" t="s">
        <v>98</v>
      </c>
      <c r="D453" s="263" t="s">
        <v>8946</v>
      </c>
      <c r="E453" s="263" t="s">
        <v>110</v>
      </c>
      <c r="F453">
        <v>0</v>
      </c>
      <c r="G453">
        <v>2</v>
      </c>
      <c r="H453" s="263" t="s">
        <v>436</v>
      </c>
      <c r="I453" s="264"/>
      <c r="J453" s="263" t="s">
        <v>437</v>
      </c>
    </row>
    <row r="454" spans="1:10" x14ac:dyDescent="0.15">
      <c r="A454" s="263" t="s">
        <v>9361</v>
      </c>
      <c r="B454" s="263" t="s">
        <v>9177</v>
      </c>
      <c r="C454" s="263" t="s">
        <v>81</v>
      </c>
      <c r="D454" s="263" t="s">
        <v>9178</v>
      </c>
      <c r="E454" s="263" t="s">
        <v>88</v>
      </c>
      <c r="F454">
        <v>0</v>
      </c>
      <c r="G454">
        <v>2</v>
      </c>
      <c r="H454" s="263" t="s">
        <v>436</v>
      </c>
      <c r="I454" s="264"/>
      <c r="J454" s="263" t="s">
        <v>437</v>
      </c>
    </row>
    <row r="455" spans="1:10" x14ac:dyDescent="0.15">
      <c r="A455" s="263" t="s">
        <v>9362</v>
      </c>
      <c r="B455" s="263" t="s">
        <v>9363</v>
      </c>
      <c r="C455" s="263" t="s">
        <v>96</v>
      </c>
      <c r="D455" s="263" t="s">
        <v>9364</v>
      </c>
      <c r="E455" s="263" t="s">
        <v>97</v>
      </c>
      <c r="F455">
        <v>0</v>
      </c>
      <c r="G455">
        <v>2</v>
      </c>
      <c r="H455" s="263" t="s">
        <v>436</v>
      </c>
      <c r="I455" s="264"/>
      <c r="J455" s="263" t="s">
        <v>437</v>
      </c>
    </row>
    <row r="456" spans="1:10" x14ac:dyDescent="0.15">
      <c r="A456" s="263" t="s">
        <v>9365</v>
      </c>
      <c r="B456" s="263" t="s">
        <v>9366</v>
      </c>
      <c r="C456" s="263" t="s">
        <v>96</v>
      </c>
      <c r="D456" s="263" t="s">
        <v>9367</v>
      </c>
      <c r="E456" s="263" t="s">
        <v>97</v>
      </c>
      <c r="F456">
        <v>0</v>
      </c>
      <c r="G456">
        <v>2</v>
      </c>
      <c r="H456" s="263" t="s">
        <v>436</v>
      </c>
      <c r="I456" s="264"/>
      <c r="J456" s="263" t="s">
        <v>437</v>
      </c>
    </row>
    <row r="457" spans="1:10" x14ac:dyDescent="0.15">
      <c r="A457" s="263" t="s">
        <v>9368</v>
      </c>
      <c r="B457" s="263" t="s">
        <v>5697</v>
      </c>
      <c r="C457" s="263" t="s">
        <v>96</v>
      </c>
      <c r="D457" s="263" t="s">
        <v>5698</v>
      </c>
      <c r="E457" s="263" t="s">
        <v>97</v>
      </c>
      <c r="F457">
        <v>0</v>
      </c>
      <c r="G457">
        <v>2</v>
      </c>
      <c r="H457" s="263" t="s">
        <v>436</v>
      </c>
      <c r="I457" s="264"/>
      <c r="J457" s="263" t="s">
        <v>437</v>
      </c>
    </row>
    <row r="458" spans="1:10" x14ac:dyDescent="0.15">
      <c r="A458" s="263" t="s">
        <v>9369</v>
      </c>
      <c r="B458" s="263" t="s">
        <v>5699</v>
      </c>
      <c r="C458" s="263" t="s">
        <v>96</v>
      </c>
      <c r="D458" s="263" t="s">
        <v>5700</v>
      </c>
      <c r="E458" s="263" t="s">
        <v>97</v>
      </c>
      <c r="F458">
        <v>0</v>
      </c>
      <c r="G458">
        <v>2</v>
      </c>
      <c r="H458" s="263" t="s">
        <v>436</v>
      </c>
      <c r="I458" s="264"/>
      <c r="J458" s="263" t="s">
        <v>437</v>
      </c>
    </row>
    <row r="459" spans="1:10" x14ac:dyDescent="0.15">
      <c r="A459" s="263" t="s">
        <v>9370</v>
      </c>
      <c r="B459" s="263" t="s">
        <v>5699</v>
      </c>
      <c r="C459" s="263" t="s">
        <v>94</v>
      </c>
      <c r="D459" s="263" t="s">
        <v>5700</v>
      </c>
      <c r="E459" s="263" t="s">
        <v>94</v>
      </c>
      <c r="F459">
        <v>0</v>
      </c>
      <c r="G459">
        <v>2</v>
      </c>
      <c r="H459" s="263" t="s">
        <v>436</v>
      </c>
      <c r="I459" s="264"/>
      <c r="J459" s="263" t="s">
        <v>437</v>
      </c>
    </row>
    <row r="460" spans="1:10" x14ac:dyDescent="0.15">
      <c r="A460" s="263" t="s">
        <v>9371</v>
      </c>
      <c r="B460" s="263" t="s">
        <v>5701</v>
      </c>
      <c r="C460" s="263" t="s">
        <v>94</v>
      </c>
      <c r="D460" s="263" t="s">
        <v>5702</v>
      </c>
      <c r="E460" s="263" t="s">
        <v>94</v>
      </c>
      <c r="F460">
        <v>0</v>
      </c>
      <c r="G460">
        <v>2</v>
      </c>
      <c r="H460" s="263" t="s">
        <v>436</v>
      </c>
      <c r="I460" s="264"/>
      <c r="J460" s="263" t="s">
        <v>437</v>
      </c>
    </row>
    <row r="461" spans="1:10" x14ac:dyDescent="0.15">
      <c r="A461" s="263" t="s">
        <v>9372</v>
      </c>
      <c r="B461" s="263" t="s">
        <v>5703</v>
      </c>
      <c r="C461" s="263" t="s">
        <v>81</v>
      </c>
      <c r="D461" s="263" t="s">
        <v>5704</v>
      </c>
      <c r="E461" s="263" t="s">
        <v>88</v>
      </c>
      <c r="F461">
        <v>0</v>
      </c>
      <c r="G461">
        <v>2</v>
      </c>
      <c r="H461" s="263" t="s">
        <v>436</v>
      </c>
      <c r="I461" s="264"/>
      <c r="J461" s="263" t="s">
        <v>437</v>
      </c>
    </row>
    <row r="462" spans="1:10" x14ac:dyDescent="0.15">
      <c r="A462" s="263" t="s">
        <v>9373</v>
      </c>
      <c r="B462" s="263" t="s">
        <v>5705</v>
      </c>
      <c r="C462" s="263" t="s">
        <v>81</v>
      </c>
      <c r="D462" s="263" t="s">
        <v>5706</v>
      </c>
      <c r="E462" s="263" t="s">
        <v>88</v>
      </c>
      <c r="F462">
        <v>0</v>
      </c>
      <c r="G462">
        <v>2</v>
      </c>
      <c r="H462" s="263" t="s">
        <v>436</v>
      </c>
      <c r="I462" s="264"/>
      <c r="J462" s="263" t="s">
        <v>437</v>
      </c>
    </row>
    <row r="463" spans="1:10" x14ac:dyDescent="0.15">
      <c r="A463" s="263" t="s">
        <v>9374</v>
      </c>
      <c r="B463" s="263" t="s">
        <v>5707</v>
      </c>
      <c r="C463" s="263" t="s">
        <v>94</v>
      </c>
      <c r="D463" s="263" t="s">
        <v>5708</v>
      </c>
      <c r="E463" s="263" t="s">
        <v>94</v>
      </c>
      <c r="F463">
        <v>0</v>
      </c>
      <c r="G463">
        <v>2</v>
      </c>
      <c r="H463" s="263" t="s">
        <v>436</v>
      </c>
      <c r="I463" s="264"/>
      <c r="J463" s="263" t="s">
        <v>437</v>
      </c>
    </row>
    <row r="464" spans="1:10" x14ac:dyDescent="0.15">
      <c r="A464" s="263" t="s">
        <v>9375</v>
      </c>
      <c r="B464" s="263" t="s">
        <v>8947</v>
      </c>
      <c r="C464" s="263" t="s">
        <v>96</v>
      </c>
      <c r="D464" s="263" t="s">
        <v>8948</v>
      </c>
      <c r="E464" s="263" t="s">
        <v>97</v>
      </c>
      <c r="F464">
        <v>0</v>
      </c>
      <c r="G464">
        <v>2</v>
      </c>
      <c r="H464" s="263" t="s">
        <v>436</v>
      </c>
      <c r="I464" s="264"/>
      <c r="J464" s="263" t="s">
        <v>437</v>
      </c>
    </row>
    <row r="465" spans="1:10" x14ac:dyDescent="0.15">
      <c r="A465" s="263" t="s">
        <v>9376</v>
      </c>
      <c r="B465" s="263" t="s">
        <v>8947</v>
      </c>
      <c r="C465" s="263" t="s">
        <v>94</v>
      </c>
      <c r="D465" s="263" t="s">
        <v>8948</v>
      </c>
      <c r="E465" s="263" t="s">
        <v>94</v>
      </c>
      <c r="F465">
        <v>0</v>
      </c>
      <c r="G465">
        <v>2</v>
      </c>
      <c r="H465" s="263" t="s">
        <v>436</v>
      </c>
      <c r="I465" s="264"/>
      <c r="J465" s="263" t="s">
        <v>437</v>
      </c>
    </row>
    <row r="466" spans="1:10" x14ac:dyDescent="0.15">
      <c r="A466" s="263" t="s">
        <v>1563</v>
      </c>
      <c r="B466" s="263" t="s">
        <v>1564</v>
      </c>
      <c r="C466" s="263" t="s">
        <v>99</v>
      </c>
      <c r="D466" s="263" t="s">
        <v>1565</v>
      </c>
      <c r="E466" s="263" t="s">
        <v>84</v>
      </c>
      <c r="F466">
        <v>0</v>
      </c>
      <c r="G466">
        <v>2</v>
      </c>
      <c r="H466" s="263" t="s">
        <v>436</v>
      </c>
      <c r="I466" s="264"/>
      <c r="J466" s="263" t="s">
        <v>437</v>
      </c>
    </row>
    <row r="467" spans="1:10" x14ac:dyDescent="0.15">
      <c r="A467" s="263" t="s">
        <v>1566</v>
      </c>
      <c r="B467" s="263" t="s">
        <v>1567</v>
      </c>
      <c r="C467" s="263" t="s">
        <v>99</v>
      </c>
      <c r="D467" s="263" t="s">
        <v>1568</v>
      </c>
      <c r="E467" s="263" t="s">
        <v>84</v>
      </c>
      <c r="F467">
        <v>0</v>
      </c>
      <c r="G467">
        <v>2</v>
      </c>
      <c r="H467" s="263" t="s">
        <v>436</v>
      </c>
      <c r="I467" s="264"/>
      <c r="J467" s="263" t="s">
        <v>437</v>
      </c>
    </row>
    <row r="468" spans="1:10" x14ac:dyDescent="0.15">
      <c r="A468" s="263" t="s">
        <v>1569</v>
      </c>
      <c r="B468" s="263" t="s">
        <v>1570</v>
      </c>
      <c r="C468" s="263" t="s">
        <v>96</v>
      </c>
      <c r="D468" s="263" t="s">
        <v>1571</v>
      </c>
      <c r="E468" s="263" t="s">
        <v>97</v>
      </c>
      <c r="F468">
        <v>0</v>
      </c>
      <c r="G468">
        <v>2</v>
      </c>
      <c r="H468" s="263" t="s">
        <v>436</v>
      </c>
      <c r="I468" s="264"/>
      <c r="J468" s="263" t="s">
        <v>437</v>
      </c>
    </row>
    <row r="469" spans="1:10" x14ac:dyDescent="0.15">
      <c r="A469" s="263" t="s">
        <v>1572</v>
      </c>
      <c r="B469" s="263" t="s">
        <v>1573</v>
      </c>
      <c r="C469" s="263" t="s">
        <v>96</v>
      </c>
      <c r="D469" s="263" t="s">
        <v>1574</v>
      </c>
      <c r="E469" s="263" t="s">
        <v>97</v>
      </c>
      <c r="F469">
        <v>0</v>
      </c>
      <c r="G469">
        <v>2</v>
      </c>
      <c r="H469" s="263" t="s">
        <v>436</v>
      </c>
      <c r="I469" s="264"/>
      <c r="J469" s="263" t="s">
        <v>437</v>
      </c>
    </row>
    <row r="470" spans="1:10" x14ac:dyDescent="0.15">
      <c r="A470" s="263" t="s">
        <v>1575</v>
      </c>
      <c r="B470" s="263" t="s">
        <v>1576</v>
      </c>
      <c r="C470" s="263" t="s">
        <v>92</v>
      </c>
      <c r="D470" s="263" t="s">
        <v>1577</v>
      </c>
      <c r="E470" s="263" t="s">
        <v>91</v>
      </c>
      <c r="F470">
        <v>0</v>
      </c>
      <c r="G470">
        <v>2</v>
      </c>
      <c r="H470" s="263" t="s">
        <v>436</v>
      </c>
      <c r="I470" s="264"/>
      <c r="J470" s="263" t="s">
        <v>437</v>
      </c>
    </row>
    <row r="471" spans="1:10" x14ac:dyDescent="0.15">
      <c r="A471" s="263" t="s">
        <v>1578</v>
      </c>
      <c r="B471" s="263" t="s">
        <v>1579</v>
      </c>
      <c r="C471" s="263" t="s">
        <v>96</v>
      </c>
      <c r="D471" s="263" t="s">
        <v>1580</v>
      </c>
      <c r="E471" s="263" t="s">
        <v>97</v>
      </c>
      <c r="F471">
        <v>0</v>
      </c>
      <c r="G471">
        <v>2</v>
      </c>
      <c r="H471" s="263" t="s">
        <v>436</v>
      </c>
      <c r="I471" s="264"/>
      <c r="J471" s="263" t="s">
        <v>437</v>
      </c>
    </row>
    <row r="472" spans="1:10" x14ac:dyDescent="0.15">
      <c r="A472" s="263" t="s">
        <v>1581</v>
      </c>
      <c r="B472" s="263" t="s">
        <v>1582</v>
      </c>
      <c r="C472" s="263" t="s">
        <v>81</v>
      </c>
      <c r="D472" s="263" t="s">
        <v>1583</v>
      </c>
      <c r="E472" s="263" t="s">
        <v>88</v>
      </c>
      <c r="F472">
        <v>0</v>
      </c>
      <c r="G472">
        <v>2</v>
      </c>
      <c r="H472" s="263" t="s">
        <v>436</v>
      </c>
      <c r="I472" s="264"/>
      <c r="J472" s="263" t="s">
        <v>437</v>
      </c>
    </row>
    <row r="473" spans="1:10" x14ac:dyDescent="0.15">
      <c r="A473" s="263" t="s">
        <v>1584</v>
      </c>
      <c r="B473" s="263" t="s">
        <v>1585</v>
      </c>
      <c r="C473" s="263" t="s">
        <v>81</v>
      </c>
      <c r="D473" s="263" t="s">
        <v>1586</v>
      </c>
      <c r="E473" s="263" t="s">
        <v>88</v>
      </c>
      <c r="F473">
        <v>0</v>
      </c>
      <c r="G473">
        <v>2</v>
      </c>
      <c r="H473" s="263" t="s">
        <v>436</v>
      </c>
      <c r="I473" s="264"/>
      <c r="J473" s="263" t="s">
        <v>437</v>
      </c>
    </row>
    <row r="474" spans="1:10" x14ac:dyDescent="0.15">
      <c r="A474" s="263" t="s">
        <v>9377</v>
      </c>
      <c r="B474" s="263" t="s">
        <v>1561</v>
      </c>
      <c r="C474" s="263" t="s">
        <v>98</v>
      </c>
      <c r="D474" s="263" t="s">
        <v>1562</v>
      </c>
      <c r="E474" s="263" t="s">
        <v>109</v>
      </c>
      <c r="F474">
        <v>0</v>
      </c>
      <c r="G474">
        <v>2</v>
      </c>
      <c r="H474" s="263" t="s">
        <v>436</v>
      </c>
      <c r="I474" s="264"/>
      <c r="J474" s="263" t="s">
        <v>437</v>
      </c>
    </row>
    <row r="475" spans="1:10" x14ac:dyDescent="0.15">
      <c r="A475" s="263" t="s">
        <v>1587</v>
      </c>
      <c r="B475" s="263" t="s">
        <v>1588</v>
      </c>
      <c r="C475" s="263" t="s">
        <v>89</v>
      </c>
      <c r="D475" s="263" t="s">
        <v>1589</v>
      </c>
      <c r="E475" s="263" t="s">
        <v>95</v>
      </c>
      <c r="F475">
        <v>0</v>
      </c>
      <c r="G475">
        <v>2</v>
      </c>
      <c r="H475" s="263" t="s">
        <v>436</v>
      </c>
      <c r="I475" s="264"/>
      <c r="J475" s="263" t="s">
        <v>437</v>
      </c>
    </row>
    <row r="476" spans="1:10" x14ac:dyDescent="0.15">
      <c r="A476" s="263" t="s">
        <v>1590</v>
      </c>
      <c r="B476" s="263" t="s">
        <v>1591</v>
      </c>
      <c r="C476" s="263" t="s">
        <v>94</v>
      </c>
      <c r="D476" s="263" t="s">
        <v>1592</v>
      </c>
      <c r="E476" s="263" t="s">
        <v>94</v>
      </c>
      <c r="F476">
        <v>0</v>
      </c>
      <c r="G476">
        <v>2</v>
      </c>
      <c r="H476" s="263" t="s">
        <v>436</v>
      </c>
      <c r="I476" s="264"/>
      <c r="J476" s="263" t="s">
        <v>437</v>
      </c>
    </row>
    <row r="477" spans="1:10" x14ac:dyDescent="0.15">
      <c r="A477" s="263" t="s">
        <v>1593</v>
      </c>
      <c r="B477" s="263" t="s">
        <v>1594</v>
      </c>
      <c r="C477" s="263" t="s">
        <v>96</v>
      </c>
      <c r="D477" s="263" t="s">
        <v>1595</v>
      </c>
      <c r="E477" s="263" t="s">
        <v>97</v>
      </c>
      <c r="F477">
        <v>0</v>
      </c>
      <c r="G477">
        <v>2</v>
      </c>
      <c r="H477" s="263" t="s">
        <v>436</v>
      </c>
      <c r="I477" s="264"/>
      <c r="J477" s="263" t="s">
        <v>437</v>
      </c>
    </row>
    <row r="478" spans="1:10" x14ac:dyDescent="0.15">
      <c r="A478" s="263" t="s">
        <v>1596</v>
      </c>
      <c r="B478" s="263" t="s">
        <v>1597</v>
      </c>
      <c r="C478" s="263" t="s">
        <v>81</v>
      </c>
      <c r="D478" s="263" t="s">
        <v>1598</v>
      </c>
      <c r="E478" s="263" t="s">
        <v>88</v>
      </c>
      <c r="F478">
        <v>0</v>
      </c>
      <c r="G478">
        <v>2</v>
      </c>
      <c r="H478" s="263" t="s">
        <v>436</v>
      </c>
      <c r="I478" s="264"/>
      <c r="J478" s="263" t="s">
        <v>437</v>
      </c>
    </row>
    <row r="479" spans="1:10" x14ac:dyDescent="0.15">
      <c r="A479" s="263" t="s">
        <v>1599</v>
      </c>
      <c r="B479" s="263" t="s">
        <v>1600</v>
      </c>
      <c r="C479" s="263" t="s">
        <v>96</v>
      </c>
      <c r="D479" s="263" t="s">
        <v>1601</v>
      </c>
      <c r="E479" s="263" t="s">
        <v>97</v>
      </c>
      <c r="F479">
        <v>0</v>
      </c>
      <c r="G479">
        <v>2</v>
      </c>
      <c r="H479" s="263" t="s">
        <v>436</v>
      </c>
      <c r="I479" s="264"/>
      <c r="J479" s="263" t="s">
        <v>437</v>
      </c>
    </row>
    <row r="480" spans="1:10" x14ac:dyDescent="0.15">
      <c r="A480" s="263" t="s">
        <v>1602</v>
      </c>
      <c r="B480" s="263" t="s">
        <v>1603</v>
      </c>
      <c r="C480" s="263" t="s">
        <v>99</v>
      </c>
      <c r="D480" s="263" t="s">
        <v>1604</v>
      </c>
      <c r="E480" s="263" t="s">
        <v>84</v>
      </c>
      <c r="F480">
        <v>0</v>
      </c>
      <c r="G480">
        <v>2</v>
      </c>
      <c r="H480" s="263" t="s">
        <v>436</v>
      </c>
      <c r="I480" s="264"/>
      <c r="J480" s="263" t="s">
        <v>437</v>
      </c>
    </row>
    <row r="481" spans="1:10" x14ac:dyDescent="0.15">
      <c r="A481" s="263" t="s">
        <v>1605</v>
      </c>
      <c r="B481" s="263" t="s">
        <v>1606</v>
      </c>
      <c r="C481" s="263" t="s">
        <v>98</v>
      </c>
      <c r="D481" s="263" t="s">
        <v>1607</v>
      </c>
      <c r="E481" s="263" t="s">
        <v>110</v>
      </c>
      <c r="F481">
        <v>0</v>
      </c>
      <c r="G481">
        <v>2</v>
      </c>
      <c r="H481" s="263" t="s">
        <v>436</v>
      </c>
      <c r="I481" s="264"/>
      <c r="J481" s="263" t="s">
        <v>437</v>
      </c>
    </row>
    <row r="482" spans="1:10" x14ac:dyDescent="0.15">
      <c r="A482" s="263" t="s">
        <v>9378</v>
      </c>
      <c r="B482" s="263" t="s">
        <v>1462</v>
      </c>
      <c r="C482" s="263" t="s">
        <v>98</v>
      </c>
      <c r="D482" s="263" t="s">
        <v>1463</v>
      </c>
      <c r="E482" s="263" t="s">
        <v>109</v>
      </c>
      <c r="F482">
        <v>0</v>
      </c>
      <c r="G482">
        <v>2</v>
      </c>
      <c r="H482" s="263" t="s">
        <v>436</v>
      </c>
      <c r="I482" s="264"/>
      <c r="J482" s="263" t="s">
        <v>437</v>
      </c>
    </row>
    <row r="483" spans="1:10" x14ac:dyDescent="0.15">
      <c r="A483" s="263" t="s">
        <v>9379</v>
      </c>
      <c r="B483" s="263" t="s">
        <v>1464</v>
      </c>
      <c r="C483" s="263" t="s">
        <v>98</v>
      </c>
      <c r="D483" s="263" t="s">
        <v>1465</v>
      </c>
      <c r="E483" s="263" t="s">
        <v>109</v>
      </c>
      <c r="F483">
        <v>0</v>
      </c>
      <c r="G483">
        <v>2</v>
      </c>
      <c r="H483" s="263" t="s">
        <v>436</v>
      </c>
      <c r="I483" s="264"/>
      <c r="J483" s="263" t="s">
        <v>437</v>
      </c>
    </row>
    <row r="484" spans="1:10" x14ac:dyDescent="0.15">
      <c r="A484" s="263" t="s">
        <v>1608</v>
      </c>
      <c r="B484" s="263" t="s">
        <v>1609</v>
      </c>
      <c r="C484" s="263" t="s">
        <v>105</v>
      </c>
      <c r="D484" s="263" t="s">
        <v>1610</v>
      </c>
      <c r="E484" s="263" t="s">
        <v>112</v>
      </c>
      <c r="F484">
        <v>0</v>
      </c>
      <c r="G484">
        <v>2</v>
      </c>
      <c r="H484" s="263" t="s">
        <v>1611</v>
      </c>
      <c r="I484" s="264"/>
      <c r="J484" s="263" t="s">
        <v>437</v>
      </c>
    </row>
    <row r="485" spans="1:10" x14ac:dyDescent="0.15">
      <c r="A485" s="263" t="s">
        <v>1612</v>
      </c>
      <c r="B485" s="263" t="s">
        <v>1613</v>
      </c>
      <c r="C485" s="263" t="s">
        <v>105</v>
      </c>
      <c r="D485" s="263" t="s">
        <v>1614</v>
      </c>
      <c r="E485" s="263" t="s">
        <v>112</v>
      </c>
      <c r="F485">
        <v>0</v>
      </c>
      <c r="G485">
        <v>2</v>
      </c>
      <c r="H485" s="263" t="s">
        <v>1611</v>
      </c>
      <c r="I485" s="264"/>
      <c r="J485" s="263" t="s">
        <v>437</v>
      </c>
    </row>
    <row r="486" spans="1:10" x14ac:dyDescent="0.15">
      <c r="A486" s="263" t="s">
        <v>1615</v>
      </c>
      <c r="B486" s="263" t="s">
        <v>1616</v>
      </c>
      <c r="C486" s="263" t="s">
        <v>105</v>
      </c>
      <c r="D486" s="263" t="s">
        <v>1617</v>
      </c>
      <c r="E486" s="263" t="s">
        <v>112</v>
      </c>
      <c r="F486">
        <v>0</v>
      </c>
      <c r="G486">
        <v>2</v>
      </c>
      <c r="H486" s="263" t="s">
        <v>1611</v>
      </c>
      <c r="I486" s="264"/>
      <c r="J486" s="263" t="s">
        <v>437</v>
      </c>
    </row>
    <row r="487" spans="1:10" x14ac:dyDescent="0.15">
      <c r="A487" s="263" t="s">
        <v>1618</v>
      </c>
      <c r="B487" s="263" t="s">
        <v>1619</v>
      </c>
      <c r="C487" s="263" t="s">
        <v>105</v>
      </c>
      <c r="D487" s="263" t="s">
        <v>1620</v>
      </c>
      <c r="E487" s="263" t="s">
        <v>112</v>
      </c>
      <c r="F487">
        <v>0</v>
      </c>
      <c r="G487">
        <v>2</v>
      </c>
      <c r="H487" s="263" t="s">
        <v>1611</v>
      </c>
      <c r="I487" s="264"/>
      <c r="J487" s="263" t="s">
        <v>437</v>
      </c>
    </row>
    <row r="488" spans="1:10" x14ac:dyDescent="0.15">
      <c r="A488" s="263" t="s">
        <v>1621</v>
      </c>
      <c r="B488" s="263" t="s">
        <v>1622</v>
      </c>
      <c r="C488" s="263" t="s">
        <v>105</v>
      </c>
      <c r="D488" s="263" t="s">
        <v>1623</v>
      </c>
      <c r="E488" s="263" t="s">
        <v>112</v>
      </c>
      <c r="F488">
        <v>0</v>
      </c>
      <c r="G488">
        <v>2</v>
      </c>
      <c r="H488" s="263" t="s">
        <v>1611</v>
      </c>
      <c r="I488" s="264"/>
      <c r="J488" s="263" t="s">
        <v>437</v>
      </c>
    </row>
    <row r="489" spans="1:10" x14ac:dyDescent="0.15">
      <c r="A489" s="263" t="s">
        <v>1624</v>
      </c>
      <c r="B489" s="263" t="s">
        <v>1609</v>
      </c>
      <c r="C489" s="263" t="s">
        <v>98</v>
      </c>
      <c r="D489" s="263" t="s">
        <v>1610</v>
      </c>
      <c r="E489" s="263" t="s">
        <v>110</v>
      </c>
      <c r="F489">
        <v>0</v>
      </c>
      <c r="G489">
        <v>2</v>
      </c>
      <c r="H489" s="263" t="s">
        <v>1611</v>
      </c>
      <c r="I489" s="264"/>
      <c r="J489" s="263" t="s">
        <v>437</v>
      </c>
    </row>
    <row r="490" spans="1:10" x14ac:dyDescent="0.15">
      <c r="A490" s="263" t="s">
        <v>1625</v>
      </c>
      <c r="B490" s="263" t="s">
        <v>1626</v>
      </c>
      <c r="C490" s="263" t="s">
        <v>98</v>
      </c>
      <c r="D490" s="263" t="s">
        <v>1627</v>
      </c>
      <c r="E490" s="263" t="s">
        <v>110</v>
      </c>
      <c r="F490">
        <v>0</v>
      </c>
      <c r="G490">
        <v>2</v>
      </c>
      <c r="H490" s="263" t="s">
        <v>1611</v>
      </c>
      <c r="I490" s="264"/>
      <c r="J490" s="263" t="s">
        <v>437</v>
      </c>
    </row>
    <row r="491" spans="1:10" x14ac:dyDescent="0.15">
      <c r="A491" s="263" t="s">
        <v>1628</v>
      </c>
      <c r="B491" s="263" t="s">
        <v>1629</v>
      </c>
      <c r="C491" s="263" t="s">
        <v>98</v>
      </c>
      <c r="D491" s="263" t="s">
        <v>1630</v>
      </c>
      <c r="E491" s="263" t="s">
        <v>110</v>
      </c>
      <c r="F491">
        <v>0</v>
      </c>
      <c r="G491">
        <v>2</v>
      </c>
      <c r="H491" s="263" t="s">
        <v>1611</v>
      </c>
      <c r="I491" s="264"/>
      <c r="J491" s="263" t="s">
        <v>437</v>
      </c>
    </row>
    <row r="492" spans="1:10" x14ac:dyDescent="0.15">
      <c r="A492" s="263" t="s">
        <v>1631</v>
      </c>
      <c r="B492" s="263" t="s">
        <v>1632</v>
      </c>
      <c r="C492" s="263" t="s">
        <v>98</v>
      </c>
      <c r="D492" s="263" t="s">
        <v>1633</v>
      </c>
      <c r="E492" s="263" t="s">
        <v>110</v>
      </c>
      <c r="F492">
        <v>0</v>
      </c>
      <c r="G492">
        <v>2</v>
      </c>
      <c r="H492" s="263" t="s">
        <v>1611</v>
      </c>
      <c r="I492" s="264"/>
      <c r="J492" s="263" t="s">
        <v>437</v>
      </c>
    </row>
    <row r="493" spans="1:10" x14ac:dyDescent="0.15">
      <c r="A493" s="263" t="s">
        <v>1634</v>
      </c>
      <c r="B493" s="263" t="s">
        <v>1635</v>
      </c>
      <c r="C493" s="263" t="s">
        <v>98</v>
      </c>
      <c r="D493" s="263" t="s">
        <v>1636</v>
      </c>
      <c r="E493" s="263" t="s">
        <v>110</v>
      </c>
      <c r="F493">
        <v>0</v>
      </c>
      <c r="G493">
        <v>2</v>
      </c>
      <c r="H493" s="263" t="s">
        <v>1611</v>
      </c>
      <c r="I493" s="264"/>
      <c r="J493" s="263" t="s">
        <v>437</v>
      </c>
    </row>
    <row r="494" spans="1:10" x14ac:dyDescent="0.15">
      <c r="A494" s="263" t="s">
        <v>1637</v>
      </c>
      <c r="B494" s="263" t="s">
        <v>1638</v>
      </c>
      <c r="C494" s="263" t="s">
        <v>98</v>
      </c>
      <c r="D494" s="263" t="s">
        <v>1639</v>
      </c>
      <c r="E494" s="263" t="s">
        <v>110</v>
      </c>
      <c r="F494">
        <v>0</v>
      </c>
      <c r="G494">
        <v>2</v>
      </c>
      <c r="H494" s="263" t="s">
        <v>1611</v>
      </c>
      <c r="I494" s="264"/>
      <c r="J494" s="263" t="s">
        <v>437</v>
      </c>
    </row>
    <row r="495" spans="1:10" x14ac:dyDescent="0.15">
      <c r="A495" s="263" t="s">
        <v>1640</v>
      </c>
      <c r="B495" s="263" t="s">
        <v>1641</v>
      </c>
      <c r="C495" s="263" t="s">
        <v>98</v>
      </c>
      <c r="D495" s="263" t="s">
        <v>1642</v>
      </c>
      <c r="E495" s="263" t="s">
        <v>110</v>
      </c>
      <c r="F495">
        <v>0</v>
      </c>
      <c r="G495">
        <v>2</v>
      </c>
      <c r="H495" s="263" t="s">
        <v>1611</v>
      </c>
      <c r="I495" s="264"/>
      <c r="J495" s="263" t="s">
        <v>437</v>
      </c>
    </row>
    <row r="496" spans="1:10" x14ac:dyDescent="0.15">
      <c r="A496" s="263" t="s">
        <v>1643</v>
      </c>
      <c r="B496" s="263" t="s">
        <v>1644</v>
      </c>
      <c r="C496" s="263" t="s">
        <v>98</v>
      </c>
      <c r="D496" s="263" t="s">
        <v>1645</v>
      </c>
      <c r="E496" s="263" t="s">
        <v>110</v>
      </c>
      <c r="F496">
        <v>0</v>
      </c>
      <c r="G496">
        <v>2</v>
      </c>
      <c r="H496" s="263" t="s">
        <v>1611</v>
      </c>
      <c r="I496" s="264"/>
      <c r="J496" s="263" t="s">
        <v>437</v>
      </c>
    </row>
    <row r="497" spans="1:10" x14ac:dyDescent="0.15">
      <c r="A497" s="263" t="s">
        <v>1646</v>
      </c>
      <c r="B497" s="263" t="s">
        <v>1647</v>
      </c>
      <c r="C497" s="263" t="s">
        <v>98</v>
      </c>
      <c r="D497" s="263" t="s">
        <v>1648</v>
      </c>
      <c r="E497" s="263" t="s">
        <v>110</v>
      </c>
      <c r="F497">
        <v>0</v>
      </c>
      <c r="G497">
        <v>2</v>
      </c>
      <c r="H497" s="263" t="s">
        <v>1611</v>
      </c>
      <c r="I497" s="264"/>
      <c r="J497" s="263" t="s">
        <v>437</v>
      </c>
    </row>
    <row r="498" spans="1:10" x14ac:dyDescent="0.15">
      <c r="A498" s="263" t="s">
        <v>1649</v>
      </c>
      <c r="B498" s="263" t="s">
        <v>1650</v>
      </c>
      <c r="C498" s="263" t="s">
        <v>98</v>
      </c>
      <c r="D498" s="263" t="s">
        <v>1651</v>
      </c>
      <c r="E498" s="263" t="s">
        <v>110</v>
      </c>
      <c r="F498">
        <v>0</v>
      </c>
      <c r="G498">
        <v>2</v>
      </c>
      <c r="H498" s="263" t="s">
        <v>1611</v>
      </c>
      <c r="I498" s="264"/>
      <c r="J498" s="263" t="s">
        <v>437</v>
      </c>
    </row>
    <row r="499" spans="1:10" x14ac:dyDescent="0.15">
      <c r="A499" s="263" t="s">
        <v>1652</v>
      </c>
      <c r="B499" s="263" t="s">
        <v>1653</v>
      </c>
      <c r="C499" s="263" t="s">
        <v>98</v>
      </c>
      <c r="D499" s="263" t="s">
        <v>1654</v>
      </c>
      <c r="E499" s="263" t="s">
        <v>110</v>
      </c>
      <c r="F499">
        <v>0</v>
      </c>
      <c r="G499">
        <v>2</v>
      </c>
      <c r="H499" s="263" t="s">
        <v>1611</v>
      </c>
      <c r="I499" s="264"/>
      <c r="J499" s="263" t="s">
        <v>437</v>
      </c>
    </row>
    <row r="500" spans="1:10" x14ac:dyDescent="0.15">
      <c r="A500" s="263" t="s">
        <v>1655</v>
      </c>
      <c r="B500" s="263" t="s">
        <v>1656</v>
      </c>
      <c r="C500" s="263" t="s">
        <v>98</v>
      </c>
      <c r="D500" s="263" t="s">
        <v>1657</v>
      </c>
      <c r="E500" s="263" t="s">
        <v>110</v>
      </c>
      <c r="F500">
        <v>0</v>
      </c>
      <c r="G500">
        <v>2</v>
      </c>
      <c r="H500" s="263" t="s">
        <v>1611</v>
      </c>
      <c r="I500" s="264"/>
      <c r="J500" s="263" t="s">
        <v>437</v>
      </c>
    </row>
    <row r="501" spans="1:10" x14ac:dyDescent="0.15">
      <c r="A501" s="263" t="s">
        <v>1658</v>
      </c>
      <c r="B501" s="263" t="s">
        <v>1659</v>
      </c>
      <c r="C501" s="263" t="s">
        <v>98</v>
      </c>
      <c r="D501" s="263" t="s">
        <v>1660</v>
      </c>
      <c r="E501" s="263" t="s">
        <v>110</v>
      </c>
      <c r="F501">
        <v>0</v>
      </c>
      <c r="G501">
        <v>2</v>
      </c>
      <c r="H501" s="263" t="s">
        <v>1611</v>
      </c>
      <c r="I501" s="264"/>
      <c r="J501" s="263" t="s">
        <v>437</v>
      </c>
    </row>
    <row r="502" spans="1:10" x14ac:dyDescent="0.15">
      <c r="A502" s="263" t="s">
        <v>1661</v>
      </c>
      <c r="B502" s="263" t="s">
        <v>1662</v>
      </c>
      <c r="C502" s="263" t="s">
        <v>98</v>
      </c>
      <c r="D502" s="263" t="s">
        <v>1663</v>
      </c>
      <c r="E502" s="263" t="s">
        <v>110</v>
      </c>
      <c r="F502">
        <v>0</v>
      </c>
      <c r="G502">
        <v>2</v>
      </c>
      <c r="H502" s="263" t="s">
        <v>1611</v>
      </c>
      <c r="I502" s="264"/>
      <c r="J502" s="263" t="s">
        <v>437</v>
      </c>
    </row>
    <row r="503" spans="1:10" x14ac:dyDescent="0.15">
      <c r="A503" s="263" t="s">
        <v>1664</v>
      </c>
      <c r="B503" s="263" t="s">
        <v>1665</v>
      </c>
      <c r="C503" s="263" t="s">
        <v>98</v>
      </c>
      <c r="D503" s="263" t="s">
        <v>1666</v>
      </c>
      <c r="E503" s="263" t="s">
        <v>110</v>
      </c>
      <c r="F503">
        <v>0</v>
      </c>
      <c r="G503">
        <v>2</v>
      </c>
      <c r="H503" s="263" t="s">
        <v>1611</v>
      </c>
      <c r="I503" s="264"/>
      <c r="J503" s="263" t="s">
        <v>437</v>
      </c>
    </row>
    <row r="504" spans="1:10" x14ac:dyDescent="0.15">
      <c r="A504" s="263" t="s">
        <v>1667</v>
      </c>
      <c r="B504" s="263" t="s">
        <v>1668</v>
      </c>
      <c r="C504" s="263" t="s">
        <v>98</v>
      </c>
      <c r="D504" s="263" t="s">
        <v>1669</v>
      </c>
      <c r="E504" s="263" t="s">
        <v>110</v>
      </c>
      <c r="F504">
        <v>0</v>
      </c>
      <c r="G504">
        <v>2</v>
      </c>
      <c r="H504" s="263" t="s">
        <v>1611</v>
      </c>
      <c r="I504" s="264"/>
      <c r="J504" s="263" t="s">
        <v>437</v>
      </c>
    </row>
    <row r="505" spans="1:10" x14ac:dyDescent="0.15">
      <c r="A505" s="263" t="s">
        <v>1670</v>
      </c>
      <c r="B505" s="263" t="s">
        <v>1671</v>
      </c>
      <c r="C505" s="263" t="s">
        <v>98</v>
      </c>
      <c r="D505" s="263" t="s">
        <v>1672</v>
      </c>
      <c r="E505" s="263" t="s">
        <v>110</v>
      </c>
      <c r="F505">
        <v>0</v>
      </c>
      <c r="G505">
        <v>2</v>
      </c>
      <c r="H505" s="263" t="s">
        <v>1611</v>
      </c>
      <c r="I505" s="264"/>
      <c r="J505" s="263" t="s">
        <v>437</v>
      </c>
    </row>
    <row r="506" spans="1:10" x14ac:dyDescent="0.15">
      <c r="A506" s="263" t="s">
        <v>1673</v>
      </c>
      <c r="B506" s="263" t="s">
        <v>1674</v>
      </c>
      <c r="C506" s="263" t="s">
        <v>98</v>
      </c>
      <c r="D506" s="263" t="s">
        <v>1675</v>
      </c>
      <c r="E506" s="263" t="s">
        <v>110</v>
      </c>
      <c r="F506">
        <v>0</v>
      </c>
      <c r="G506">
        <v>2</v>
      </c>
      <c r="H506" s="263" t="s">
        <v>1611</v>
      </c>
      <c r="I506" s="264"/>
      <c r="J506" s="263" t="s">
        <v>437</v>
      </c>
    </row>
    <row r="507" spans="1:10" x14ac:dyDescent="0.15">
      <c r="A507" s="263" t="s">
        <v>1676</v>
      </c>
      <c r="B507" s="263" t="s">
        <v>1677</v>
      </c>
      <c r="C507" s="263" t="s">
        <v>98</v>
      </c>
      <c r="D507" s="263" t="s">
        <v>1678</v>
      </c>
      <c r="E507" s="263" t="s">
        <v>110</v>
      </c>
      <c r="F507">
        <v>0</v>
      </c>
      <c r="G507">
        <v>2</v>
      </c>
      <c r="H507" s="263" t="s">
        <v>1611</v>
      </c>
      <c r="I507" s="264"/>
      <c r="J507" s="263" t="s">
        <v>437</v>
      </c>
    </row>
    <row r="508" spans="1:10" x14ac:dyDescent="0.15">
      <c r="A508" s="263" t="s">
        <v>1679</v>
      </c>
      <c r="B508" s="263" t="s">
        <v>1680</v>
      </c>
      <c r="C508" s="263" t="s">
        <v>98</v>
      </c>
      <c r="D508" s="263" t="s">
        <v>1681</v>
      </c>
      <c r="E508" s="263" t="s">
        <v>110</v>
      </c>
      <c r="F508">
        <v>0</v>
      </c>
      <c r="G508">
        <v>2</v>
      </c>
      <c r="H508" s="263" t="s">
        <v>1611</v>
      </c>
      <c r="I508" s="264"/>
      <c r="J508" s="263" t="s">
        <v>437</v>
      </c>
    </row>
    <row r="509" spans="1:10" x14ac:dyDescent="0.15">
      <c r="A509" s="263" t="s">
        <v>1682</v>
      </c>
      <c r="B509" s="263" t="s">
        <v>1683</v>
      </c>
      <c r="C509" s="263" t="s">
        <v>98</v>
      </c>
      <c r="D509" s="263" t="s">
        <v>1684</v>
      </c>
      <c r="E509" s="263" t="s">
        <v>110</v>
      </c>
      <c r="F509">
        <v>0</v>
      </c>
      <c r="G509">
        <v>2</v>
      </c>
      <c r="H509" s="263" t="s">
        <v>1611</v>
      </c>
      <c r="I509" s="264"/>
      <c r="J509" s="263" t="s">
        <v>437</v>
      </c>
    </row>
    <row r="510" spans="1:10" x14ac:dyDescent="0.15">
      <c r="A510" s="263" t="s">
        <v>1685</v>
      </c>
      <c r="B510" s="263" t="s">
        <v>1686</v>
      </c>
      <c r="C510" s="263" t="s">
        <v>98</v>
      </c>
      <c r="D510" s="263" t="s">
        <v>1687</v>
      </c>
      <c r="E510" s="263" t="s">
        <v>110</v>
      </c>
      <c r="F510">
        <v>0</v>
      </c>
      <c r="G510">
        <v>2</v>
      </c>
      <c r="H510" s="263" t="s">
        <v>1611</v>
      </c>
      <c r="I510" s="264"/>
      <c r="J510" s="263" t="s">
        <v>437</v>
      </c>
    </row>
    <row r="511" spans="1:10" x14ac:dyDescent="0.15">
      <c r="A511" s="263" t="s">
        <v>1688</v>
      </c>
      <c r="B511" s="263" t="s">
        <v>1689</v>
      </c>
      <c r="C511" s="263" t="s">
        <v>98</v>
      </c>
      <c r="D511" s="263" t="s">
        <v>1690</v>
      </c>
      <c r="E511" s="263" t="s">
        <v>110</v>
      </c>
      <c r="F511">
        <v>0</v>
      </c>
      <c r="G511">
        <v>2</v>
      </c>
      <c r="H511" s="263" t="s">
        <v>1611</v>
      </c>
      <c r="I511" s="264"/>
      <c r="J511" s="263" t="s">
        <v>437</v>
      </c>
    </row>
    <row r="512" spans="1:10" x14ac:dyDescent="0.15">
      <c r="A512" s="263" t="s">
        <v>1691</v>
      </c>
      <c r="B512" s="263" t="s">
        <v>1692</v>
      </c>
      <c r="C512" s="263" t="s">
        <v>98</v>
      </c>
      <c r="D512" s="263" t="s">
        <v>1693</v>
      </c>
      <c r="E512" s="263" t="s">
        <v>110</v>
      </c>
      <c r="F512">
        <v>0</v>
      </c>
      <c r="G512">
        <v>2</v>
      </c>
      <c r="H512" s="263" t="s">
        <v>1611</v>
      </c>
      <c r="I512" s="264"/>
      <c r="J512" s="263" t="s">
        <v>437</v>
      </c>
    </row>
    <row r="513" spans="1:10" x14ac:dyDescent="0.15">
      <c r="A513" s="263" t="s">
        <v>1694</v>
      </c>
      <c r="B513" s="263" t="s">
        <v>1695</v>
      </c>
      <c r="C513" s="263" t="s">
        <v>98</v>
      </c>
      <c r="D513" s="263" t="s">
        <v>1696</v>
      </c>
      <c r="E513" s="263" t="s">
        <v>110</v>
      </c>
      <c r="F513">
        <v>0</v>
      </c>
      <c r="G513">
        <v>2</v>
      </c>
      <c r="H513" s="263" t="s">
        <v>1611</v>
      </c>
      <c r="I513" s="264"/>
      <c r="J513" s="263" t="s">
        <v>437</v>
      </c>
    </row>
    <row r="514" spans="1:10" x14ac:dyDescent="0.15">
      <c r="A514" s="263" t="s">
        <v>1697</v>
      </c>
      <c r="B514" s="263" t="s">
        <v>1698</v>
      </c>
      <c r="C514" s="263" t="s">
        <v>98</v>
      </c>
      <c r="D514" s="263" t="s">
        <v>1699</v>
      </c>
      <c r="E514" s="263" t="s">
        <v>110</v>
      </c>
      <c r="F514">
        <v>0</v>
      </c>
      <c r="G514">
        <v>2</v>
      </c>
      <c r="H514" s="263" t="s">
        <v>1611</v>
      </c>
      <c r="I514" s="264"/>
      <c r="J514" s="263" t="s">
        <v>437</v>
      </c>
    </row>
    <row r="515" spans="1:10" x14ac:dyDescent="0.15">
      <c r="A515" s="263" t="s">
        <v>1700</v>
      </c>
      <c r="B515" s="263" t="s">
        <v>1609</v>
      </c>
      <c r="C515" s="263" t="s">
        <v>99</v>
      </c>
      <c r="D515" s="263" t="s">
        <v>1610</v>
      </c>
      <c r="E515" s="263" t="s">
        <v>84</v>
      </c>
      <c r="F515">
        <v>0</v>
      </c>
      <c r="G515">
        <v>2</v>
      </c>
      <c r="H515" s="263" t="s">
        <v>1611</v>
      </c>
      <c r="I515" s="264"/>
      <c r="J515" s="263" t="s">
        <v>437</v>
      </c>
    </row>
    <row r="516" spans="1:10" x14ac:dyDescent="0.15">
      <c r="A516" s="263" t="s">
        <v>1701</v>
      </c>
      <c r="B516" s="263" t="s">
        <v>1613</v>
      </c>
      <c r="C516" s="263" t="s">
        <v>99</v>
      </c>
      <c r="D516" s="263" t="s">
        <v>1614</v>
      </c>
      <c r="E516" s="263" t="s">
        <v>84</v>
      </c>
      <c r="F516">
        <v>0</v>
      </c>
      <c r="G516">
        <v>2</v>
      </c>
      <c r="H516" s="263" t="s">
        <v>1611</v>
      </c>
      <c r="I516" s="264"/>
      <c r="J516" s="263" t="s">
        <v>437</v>
      </c>
    </row>
    <row r="517" spans="1:10" x14ac:dyDescent="0.15">
      <c r="A517" s="263" t="s">
        <v>1702</v>
      </c>
      <c r="B517" s="263" t="s">
        <v>1616</v>
      </c>
      <c r="C517" s="263" t="s">
        <v>99</v>
      </c>
      <c r="D517" s="263" t="s">
        <v>1617</v>
      </c>
      <c r="E517" s="263" t="s">
        <v>84</v>
      </c>
      <c r="F517">
        <v>0</v>
      </c>
      <c r="G517">
        <v>2</v>
      </c>
      <c r="H517" s="263" t="s">
        <v>1611</v>
      </c>
      <c r="I517" s="264"/>
      <c r="J517" s="263" t="s">
        <v>437</v>
      </c>
    </row>
    <row r="518" spans="1:10" x14ac:dyDescent="0.15">
      <c r="A518" s="263" t="s">
        <v>1703</v>
      </c>
      <c r="B518" s="263" t="s">
        <v>1619</v>
      </c>
      <c r="C518" s="263" t="s">
        <v>99</v>
      </c>
      <c r="D518" s="263" t="s">
        <v>1620</v>
      </c>
      <c r="E518" s="263" t="s">
        <v>84</v>
      </c>
      <c r="F518">
        <v>0</v>
      </c>
      <c r="G518">
        <v>2</v>
      </c>
      <c r="H518" s="263" t="s">
        <v>1611</v>
      </c>
      <c r="I518" s="264"/>
      <c r="J518" s="263" t="s">
        <v>437</v>
      </c>
    </row>
    <row r="519" spans="1:10" x14ac:dyDescent="0.15">
      <c r="A519" s="263" t="s">
        <v>1704</v>
      </c>
      <c r="B519" s="263" t="s">
        <v>1622</v>
      </c>
      <c r="C519" s="263" t="s">
        <v>99</v>
      </c>
      <c r="D519" s="263" t="s">
        <v>1623</v>
      </c>
      <c r="E519" s="263" t="s">
        <v>84</v>
      </c>
      <c r="F519">
        <v>0</v>
      </c>
      <c r="G519">
        <v>2</v>
      </c>
      <c r="H519" s="263" t="s">
        <v>1611</v>
      </c>
      <c r="I519" s="264"/>
      <c r="J519" s="263" t="s">
        <v>437</v>
      </c>
    </row>
    <row r="520" spans="1:10" x14ac:dyDescent="0.15">
      <c r="A520" s="263" t="s">
        <v>1705</v>
      </c>
      <c r="B520" s="263" t="s">
        <v>1706</v>
      </c>
      <c r="C520" s="263" t="s">
        <v>105</v>
      </c>
      <c r="D520" s="263" t="s">
        <v>1707</v>
      </c>
      <c r="E520" s="263" t="s">
        <v>112</v>
      </c>
      <c r="F520">
        <v>0</v>
      </c>
      <c r="G520">
        <v>2</v>
      </c>
      <c r="H520" s="263" t="s">
        <v>1611</v>
      </c>
      <c r="I520" s="264"/>
      <c r="J520" s="263" t="s">
        <v>437</v>
      </c>
    </row>
    <row r="521" spans="1:10" x14ac:dyDescent="0.15">
      <c r="A521" s="263" t="s">
        <v>1708</v>
      </c>
      <c r="B521" s="263" t="s">
        <v>1709</v>
      </c>
      <c r="C521" s="263" t="s">
        <v>105</v>
      </c>
      <c r="D521" s="263" t="s">
        <v>1710</v>
      </c>
      <c r="E521" s="263" t="s">
        <v>112</v>
      </c>
      <c r="F521">
        <v>0</v>
      </c>
      <c r="G521">
        <v>2</v>
      </c>
      <c r="H521" s="263" t="s">
        <v>1611</v>
      </c>
      <c r="I521" s="264"/>
      <c r="J521" s="263" t="s">
        <v>437</v>
      </c>
    </row>
    <row r="522" spans="1:10" x14ac:dyDescent="0.15">
      <c r="A522" s="263" t="s">
        <v>1711</v>
      </c>
      <c r="B522" s="263" t="s">
        <v>1712</v>
      </c>
      <c r="C522" s="263" t="s">
        <v>105</v>
      </c>
      <c r="D522" s="263" t="s">
        <v>1713</v>
      </c>
      <c r="E522" s="263" t="s">
        <v>112</v>
      </c>
      <c r="F522">
        <v>0</v>
      </c>
      <c r="G522">
        <v>2</v>
      </c>
      <c r="H522" s="263" t="s">
        <v>1611</v>
      </c>
      <c r="I522" s="264"/>
      <c r="J522" s="263" t="s">
        <v>437</v>
      </c>
    </row>
    <row r="523" spans="1:10" x14ac:dyDescent="0.15">
      <c r="A523" s="263" t="s">
        <v>1714</v>
      </c>
      <c r="B523" s="263" t="s">
        <v>1715</v>
      </c>
      <c r="C523" s="263" t="s">
        <v>98</v>
      </c>
      <c r="D523" s="263" t="s">
        <v>1716</v>
      </c>
      <c r="E523" s="263" t="s">
        <v>110</v>
      </c>
      <c r="F523">
        <v>0</v>
      </c>
      <c r="G523">
        <v>2</v>
      </c>
      <c r="H523" s="263" t="s">
        <v>1611</v>
      </c>
      <c r="I523" s="264"/>
      <c r="J523" s="263" t="s">
        <v>437</v>
      </c>
    </row>
    <row r="524" spans="1:10" x14ac:dyDescent="0.15">
      <c r="A524" s="263" t="s">
        <v>1717</v>
      </c>
      <c r="B524" s="263" t="s">
        <v>1718</v>
      </c>
      <c r="C524" s="263" t="s">
        <v>98</v>
      </c>
      <c r="D524" s="263" t="s">
        <v>1719</v>
      </c>
      <c r="E524" s="263" t="s">
        <v>110</v>
      </c>
      <c r="F524">
        <v>0</v>
      </c>
      <c r="G524">
        <v>2</v>
      </c>
      <c r="H524" s="263" t="s">
        <v>1611</v>
      </c>
      <c r="I524" s="264"/>
      <c r="J524" s="263" t="s">
        <v>437</v>
      </c>
    </row>
    <row r="525" spans="1:10" x14ac:dyDescent="0.15">
      <c r="A525" s="263" t="s">
        <v>1720</v>
      </c>
      <c r="B525" s="263" t="s">
        <v>1721</v>
      </c>
      <c r="C525" s="263" t="s">
        <v>98</v>
      </c>
      <c r="D525" s="263" t="s">
        <v>1722</v>
      </c>
      <c r="E525" s="263" t="s">
        <v>110</v>
      </c>
      <c r="F525">
        <v>0</v>
      </c>
      <c r="G525">
        <v>2</v>
      </c>
      <c r="H525" s="263" t="s">
        <v>1611</v>
      </c>
      <c r="I525" s="264"/>
      <c r="J525" s="263" t="s">
        <v>437</v>
      </c>
    </row>
    <row r="526" spans="1:10" x14ac:dyDescent="0.15">
      <c r="A526" s="263" t="s">
        <v>1723</v>
      </c>
      <c r="B526" s="263" t="s">
        <v>1724</v>
      </c>
      <c r="C526" s="263" t="s">
        <v>98</v>
      </c>
      <c r="D526" s="263" t="s">
        <v>1725</v>
      </c>
      <c r="E526" s="263" t="s">
        <v>110</v>
      </c>
      <c r="F526">
        <v>0</v>
      </c>
      <c r="G526">
        <v>2</v>
      </c>
      <c r="H526" s="263" t="s">
        <v>1611</v>
      </c>
      <c r="I526" s="264"/>
      <c r="J526" s="263" t="s">
        <v>437</v>
      </c>
    </row>
    <row r="527" spans="1:10" x14ac:dyDescent="0.15">
      <c r="A527" s="263" t="s">
        <v>1726</v>
      </c>
      <c r="B527" s="263" t="s">
        <v>1727</v>
      </c>
      <c r="C527" s="263" t="s">
        <v>98</v>
      </c>
      <c r="D527" s="263" t="s">
        <v>1728</v>
      </c>
      <c r="E527" s="263" t="s">
        <v>110</v>
      </c>
      <c r="F527">
        <v>0</v>
      </c>
      <c r="G527">
        <v>2</v>
      </c>
      <c r="H527" s="263" t="s">
        <v>1611</v>
      </c>
      <c r="I527" s="264"/>
      <c r="J527" s="263" t="s">
        <v>437</v>
      </c>
    </row>
    <row r="528" spans="1:10" x14ac:dyDescent="0.15">
      <c r="A528" s="263" t="s">
        <v>1729</v>
      </c>
      <c r="B528" s="263" t="s">
        <v>1730</v>
      </c>
      <c r="C528" s="263" t="s">
        <v>98</v>
      </c>
      <c r="D528" s="263" t="s">
        <v>1731</v>
      </c>
      <c r="E528" s="263" t="s">
        <v>110</v>
      </c>
      <c r="F528">
        <v>0</v>
      </c>
      <c r="G528">
        <v>2</v>
      </c>
      <c r="H528" s="263" t="s">
        <v>1611</v>
      </c>
      <c r="I528" s="264"/>
      <c r="J528" s="263" t="s">
        <v>437</v>
      </c>
    </row>
    <row r="529" spans="1:10" x14ac:dyDescent="0.15">
      <c r="A529" s="263" t="s">
        <v>1732</v>
      </c>
      <c r="B529" s="263" t="s">
        <v>1733</v>
      </c>
      <c r="C529" s="263" t="s">
        <v>98</v>
      </c>
      <c r="D529" s="263" t="s">
        <v>1734</v>
      </c>
      <c r="E529" s="263" t="s">
        <v>110</v>
      </c>
      <c r="F529">
        <v>0</v>
      </c>
      <c r="G529">
        <v>2</v>
      </c>
      <c r="H529" s="263" t="s">
        <v>1611</v>
      </c>
      <c r="I529" s="264"/>
      <c r="J529" s="263" t="s">
        <v>437</v>
      </c>
    </row>
    <row r="530" spans="1:10" x14ac:dyDescent="0.15">
      <c r="A530" s="263" t="s">
        <v>1735</v>
      </c>
      <c r="B530" s="263" t="s">
        <v>1736</v>
      </c>
      <c r="C530" s="263" t="s">
        <v>98</v>
      </c>
      <c r="D530" s="263" t="s">
        <v>1737</v>
      </c>
      <c r="E530" s="263" t="s">
        <v>110</v>
      </c>
      <c r="F530">
        <v>0</v>
      </c>
      <c r="G530">
        <v>2</v>
      </c>
      <c r="H530" s="263" t="s">
        <v>1611</v>
      </c>
      <c r="I530" s="264"/>
      <c r="J530" s="263" t="s">
        <v>437</v>
      </c>
    </row>
    <row r="531" spans="1:10" x14ac:dyDescent="0.15">
      <c r="A531" s="263" t="s">
        <v>1738</v>
      </c>
      <c r="B531" s="263" t="s">
        <v>1739</v>
      </c>
      <c r="C531" s="263" t="s">
        <v>98</v>
      </c>
      <c r="D531" s="263" t="s">
        <v>1740</v>
      </c>
      <c r="E531" s="263" t="s">
        <v>110</v>
      </c>
      <c r="F531">
        <v>0</v>
      </c>
      <c r="G531">
        <v>2</v>
      </c>
      <c r="H531" s="263" t="s">
        <v>1611</v>
      </c>
      <c r="I531" s="264"/>
      <c r="J531" s="263" t="s">
        <v>437</v>
      </c>
    </row>
    <row r="532" spans="1:10" x14ac:dyDescent="0.15">
      <c r="A532" s="263" t="s">
        <v>1741</v>
      </c>
      <c r="B532" s="263" t="s">
        <v>1742</v>
      </c>
      <c r="C532" s="263" t="s">
        <v>98</v>
      </c>
      <c r="D532" s="263" t="s">
        <v>1743</v>
      </c>
      <c r="E532" s="263" t="s">
        <v>110</v>
      </c>
      <c r="F532">
        <v>0</v>
      </c>
      <c r="G532">
        <v>2</v>
      </c>
      <c r="H532" s="263" t="s">
        <v>1611</v>
      </c>
      <c r="I532" s="264"/>
      <c r="J532" s="263" t="s">
        <v>437</v>
      </c>
    </row>
    <row r="533" spans="1:10" x14ac:dyDescent="0.15">
      <c r="A533" s="263" t="s">
        <v>1744</v>
      </c>
      <c r="B533" s="263" t="s">
        <v>1706</v>
      </c>
      <c r="C533" s="263" t="s">
        <v>99</v>
      </c>
      <c r="D533" s="263" t="s">
        <v>1707</v>
      </c>
      <c r="E533" s="263" t="s">
        <v>84</v>
      </c>
      <c r="F533">
        <v>0</v>
      </c>
      <c r="G533">
        <v>2</v>
      </c>
      <c r="H533" s="263" t="s">
        <v>1611</v>
      </c>
      <c r="I533" s="264"/>
      <c r="J533" s="263" t="s">
        <v>437</v>
      </c>
    </row>
    <row r="534" spans="1:10" x14ac:dyDescent="0.15">
      <c r="A534" s="263" t="s">
        <v>1745</v>
      </c>
      <c r="B534" s="263" t="s">
        <v>1709</v>
      </c>
      <c r="C534" s="263" t="s">
        <v>99</v>
      </c>
      <c r="D534" s="263" t="s">
        <v>1710</v>
      </c>
      <c r="E534" s="263" t="s">
        <v>84</v>
      </c>
      <c r="F534">
        <v>0</v>
      </c>
      <c r="G534">
        <v>2</v>
      </c>
      <c r="H534" s="263" t="s">
        <v>1611</v>
      </c>
      <c r="I534" s="264"/>
      <c r="J534" s="263" t="s">
        <v>437</v>
      </c>
    </row>
    <row r="535" spans="1:10" x14ac:dyDescent="0.15">
      <c r="A535" s="263" t="s">
        <v>1746</v>
      </c>
      <c r="B535" s="263" t="s">
        <v>1712</v>
      </c>
      <c r="C535" s="263" t="s">
        <v>99</v>
      </c>
      <c r="D535" s="263" t="s">
        <v>1713</v>
      </c>
      <c r="E535" s="263" t="s">
        <v>84</v>
      </c>
      <c r="F535">
        <v>0</v>
      </c>
      <c r="G535">
        <v>2</v>
      </c>
      <c r="H535" s="263" t="s">
        <v>1611</v>
      </c>
      <c r="I535" s="264"/>
      <c r="J535" s="263" t="s">
        <v>437</v>
      </c>
    </row>
    <row r="536" spans="1:10" x14ac:dyDescent="0.15">
      <c r="A536" s="263" t="s">
        <v>1747</v>
      </c>
      <c r="B536" s="263" t="s">
        <v>1748</v>
      </c>
      <c r="C536" s="263" t="s">
        <v>105</v>
      </c>
      <c r="D536" s="263" t="s">
        <v>1749</v>
      </c>
      <c r="E536" s="263" t="s">
        <v>112</v>
      </c>
      <c r="F536">
        <v>0</v>
      </c>
      <c r="G536">
        <v>2</v>
      </c>
      <c r="H536" s="263" t="s">
        <v>1611</v>
      </c>
      <c r="I536" s="264"/>
      <c r="J536" s="263" t="s">
        <v>437</v>
      </c>
    </row>
    <row r="537" spans="1:10" x14ac:dyDescent="0.15">
      <c r="A537" s="263" t="s">
        <v>9380</v>
      </c>
      <c r="B537" s="263" t="s">
        <v>9381</v>
      </c>
      <c r="C537" s="263" t="s">
        <v>105</v>
      </c>
      <c r="D537" s="263" t="s">
        <v>9382</v>
      </c>
      <c r="E537" s="263" t="s">
        <v>112</v>
      </c>
      <c r="F537">
        <v>0</v>
      </c>
      <c r="G537">
        <v>2</v>
      </c>
      <c r="H537" s="263" t="s">
        <v>1611</v>
      </c>
      <c r="I537" s="264"/>
      <c r="J537" s="263" t="s">
        <v>437</v>
      </c>
    </row>
    <row r="538" spans="1:10" x14ac:dyDescent="0.15">
      <c r="A538" s="263" t="s">
        <v>9383</v>
      </c>
      <c r="B538" s="263" t="s">
        <v>9384</v>
      </c>
      <c r="C538" s="263" t="s">
        <v>105</v>
      </c>
      <c r="D538" s="263" t="s">
        <v>9385</v>
      </c>
      <c r="E538" s="263" t="s">
        <v>112</v>
      </c>
      <c r="F538">
        <v>0</v>
      </c>
      <c r="G538">
        <v>2</v>
      </c>
      <c r="H538" s="263" t="s">
        <v>1611</v>
      </c>
      <c r="I538" s="264"/>
      <c r="J538" s="263" t="s">
        <v>437</v>
      </c>
    </row>
    <row r="539" spans="1:10" x14ac:dyDescent="0.15">
      <c r="A539" s="263" t="s">
        <v>9386</v>
      </c>
      <c r="B539" s="263" t="s">
        <v>9387</v>
      </c>
      <c r="C539" s="263" t="s">
        <v>105</v>
      </c>
      <c r="D539" s="263" t="s">
        <v>9388</v>
      </c>
      <c r="E539" s="263" t="s">
        <v>112</v>
      </c>
      <c r="F539">
        <v>0</v>
      </c>
      <c r="G539">
        <v>2</v>
      </c>
      <c r="H539" s="263" t="s">
        <v>1611</v>
      </c>
      <c r="I539" s="264"/>
      <c r="J539" s="263" t="s">
        <v>437</v>
      </c>
    </row>
    <row r="540" spans="1:10" x14ac:dyDescent="0.15">
      <c r="A540" s="263" t="s">
        <v>9389</v>
      </c>
      <c r="B540" s="263" t="s">
        <v>1748</v>
      </c>
      <c r="C540" s="263" t="s">
        <v>98</v>
      </c>
      <c r="D540" s="263" t="s">
        <v>1749</v>
      </c>
      <c r="E540" s="263" t="s">
        <v>110</v>
      </c>
      <c r="F540">
        <v>0</v>
      </c>
      <c r="G540">
        <v>2</v>
      </c>
      <c r="H540" s="263" t="s">
        <v>1611</v>
      </c>
      <c r="I540" s="264"/>
      <c r="J540" s="263" t="s">
        <v>437</v>
      </c>
    </row>
    <row r="541" spans="1:10" x14ac:dyDescent="0.15">
      <c r="A541" s="263" t="s">
        <v>9390</v>
      </c>
      <c r="B541" s="263" t="s">
        <v>9391</v>
      </c>
      <c r="C541" s="263" t="s">
        <v>98</v>
      </c>
      <c r="D541" s="263" t="s">
        <v>9392</v>
      </c>
      <c r="E541" s="263" t="s">
        <v>110</v>
      </c>
      <c r="F541">
        <v>0</v>
      </c>
      <c r="G541">
        <v>2</v>
      </c>
      <c r="H541" s="263" t="s">
        <v>1611</v>
      </c>
      <c r="I541" s="264"/>
      <c r="J541" s="263" t="s">
        <v>437</v>
      </c>
    </row>
    <row r="542" spans="1:10" x14ac:dyDescent="0.15">
      <c r="A542" s="263" t="s">
        <v>9393</v>
      </c>
      <c r="B542" s="263" t="s">
        <v>9394</v>
      </c>
      <c r="C542" s="263" t="s">
        <v>98</v>
      </c>
      <c r="D542" s="263" t="s">
        <v>9395</v>
      </c>
      <c r="E542" s="263" t="s">
        <v>110</v>
      </c>
      <c r="F542">
        <v>0</v>
      </c>
      <c r="G542">
        <v>2</v>
      </c>
      <c r="H542" s="263" t="s">
        <v>1611</v>
      </c>
      <c r="I542" s="264"/>
      <c r="J542" s="263" t="s">
        <v>437</v>
      </c>
    </row>
    <row r="543" spans="1:10" x14ac:dyDescent="0.15">
      <c r="A543" s="263" t="s">
        <v>9396</v>
      </c>
      <c r="B543" s="263" t="s">
        <v>9397</v>
      </c>
      <c r="C543" s="263" t="s">
        <v>98</v>
      </c>
      <c r="D543" s="263" t="s">
        <v>9398</v>
      </c>
      <c r="E543" s="263" t="s">
        <v>110</v>
      </c>
      <c r="F543">
        <v>0</v>
      </c>
      <c r="G543">
        <v>2</v>
      </c>
      <c r="H543" s="263" t="s">
        <v>1611</v>
      </c>
      <c r="I543" s="264"/>
      <c r="J543" s="263" t="s">
        <v>437</v>
      </c>
    </row>
    <row r="544" spans="1:10" x14ac:dyDescent="0.15">
      <c r="A544" s="263" t="s">
        <v>9399</v>
      </c>
      <c r="B544" s="263" t="s">
        <v>9400</v>
      </c>
      <c r="C544" s="263" t="s">
        <v>98</v>
      </c>
      <c r="D544" s="263" t="s">
        <v>9401</v>
      </c>
      <c r="E544" s="263" t="s">
        <v>110</v>
      </c>
      <c r="F544">
        <v>0</v>
      </c>
      <c r="G544">
        <v>2</v>
      </c>
      <c r="H544" s="263" t="s">
        <v>1611</v>
      </c>
      <c r="I544" s="264"/>
      <c r="J544" s="263" t="s">
        <v>437</v>
      </c>
    </row>
    <row r="545" spans="1:10" x14ac:dyDescent="0.15">
      <c r="A545" s="263" t="s">
        <v>9402</v>
      </c>
      <c r="B545" s="263" t="s">
        <v>9403</v>
      </c>
      <c r="C545" s="263" t="s">
        <v>98</v>
      </c>
      <c r="D545" s="263" t="s">
        <v>9404</v>
      </c>
      <c r="E545" s="263" t="s">
        <v>110</v>
      </c>
      <c r="F545">
        <v>0</v>
      </c>
      <c r="G545">
        <v>2</v>
      </c>
      <c r="H545" s="263" t="s">
        <v>1611</v>
      </c>
      <c r="I545" s="264"/>
      <c r="J545" s="263" t="s">
        <v>437</v>
      </c>
    </row>
    <row r="546" spans="1:10" x14ac:dyDescent="0.15">
      <c r="A546" s="263" t="s">
        <v>9405</v>
      </c>
      <c r="B546" s="263" t="s">
        <v>9406</v>
      </c>
      <c r="C546" s="263" t="s">
        <v>98</v>
      </c>
      <c r="D546" s="263" t="s">
        <v>9407</v>
      </c>
      <c r="E546" s="263" t="s">
        <v>110</v>
      </c>
      <c r="F546">
        <v>0</v>
      </c>
      <c r="G546">
        <v>2</v>
      </c>
      <c r="H546" s="263" t="s">
        <v>1611</v>
      </c>
      <c r="I546" s="264"/>
      <c r="J546" s="263" t="s">
        <v>437</v>
      </c>
    </row>
    <row r="547" spans="1:10" x14ac:dyDescent="0.15">
      <c r="A547" s="263" t="s">
        <v>9408</v>
      </c>
      <c r="B547" s="263" t="s">
        <v>9409</v>
      </c>
      <c r="C547" s="263" t="s">
        <v>98</v>
      </c>
      <c r="D547" s="263" t="s">
        <v>9410</v>
      </c>
      <c r="E547" s="263" t="s">
        <v>110</v>
      </c>
      <c r="F547">
        <v>0</v>
      </c>
      <c r="G547">
        <v>2</v>
      </c>
      <c r="H547" s="263" t="s">
        <v>1611</v>
      </c>
      <c r="I547" s="264"/>
      <c r="J547" s="263" t="s">
        <v>437</v>
      </c>
    </row>
    <row r="548" spans="1:10" x14ac:dyDescent="0.15">
      <c r="A548" s="263" t="s">
        <v>9411</v>
      </c>
      <c r="B548" s="263" t="s">
        <v>9412</v>
      </c>
      <c r="C548" s="263" t="s">
        <v>98</v>
      </c>
      <c r="D548" s="263" t="s">
        <v>9413</v>
      </c>
      <c r="E548" s="263" t="s">
        <v>110</v>
      </c>
      <c r="F548">
        <v>0</v>
      </c>
      <c r="G548">
        <v>2</v>
      </c>
      <c r="H548" s="263" t="s">
        <v>1611</v>
      </c>
      <c r="I548" s="264"/>
      <c r="J548" s="263" t="s">
        <v>437</v>
      </c>
    </row>
    <row r="549" spans="1:10" x14ac:dyDescent="0.15">
      <c r="A549" s="263" t="s">
        <v>9414</v>
      </c>
      <c r="B549" s="263" t="s">
        <v>9415</v>
      </c>
      <c r="C549" s="263" t="s">
        <v>98</v>
      </c>
      <c r="D549" s="263" t="s">
        <v>9416</v>
      </c>
      <c r="E549" s="263" t="s">
        <v>110</v>
      </c>
      <c r="F549">
        <v>0</v>
      </c>
      <c r="G549">
        <v>2</v>
      </c>
      <c r="H549" s="263" t="s">
        <v>1611</v>
      </c>
      <c r="I549" s="264"/>
      <c r="J549" s="263" t="s">
        <v>437</v>
      </c>
    </row>
    <row r="550" spans="1:10" x14ac:dyDescent="0.15">
      <c r="A550" s="263" t="s">
        <v>1750</v>
      </c>
      <c r="B550" s="263" t="s">
        <v>9417</v>
      </c>
      <c r="C550" s="263" t="s">
        <v>98</v>
      </c>
      <c r="D550" s="263" t="s">
        <v>9418</v>
      </c>
      <c r="E550" s="263" t="s">
        <v>110</v>
      </c>
      <c r="F550">
        <v>0</v>
      </c>
      <c r="G550">
        <v>2</v>
      </c>
      <c r="H550" s="263" t="s">
        <v>1611</v>
      </c>
      <c r="I550" s="264"/>
      <c r="J550" s="263" t="s">
        <v>437</v>
      </c>
    </row>
    <row r="551" spans="1:10" x14ac:dyDescent="0.15">
      <c r="A551" s="263" t="s">
        <v>9419</v>
      </c>
      <c r="B551" s="263" t="s">
        <v>9420</v>
      </c>
      <c r="C551" s="263" t="s">
        <v>98</v>
      </c>
      <c r="D551" s="263" t="s">
        <v>9421</v>
      </c>
      <c r="E551" s="263" t="s">
        <v>110</v>
      </c>
      <c r="F551">
        <v>0</v>
      </c>
      <c r="G551">
        <v>2</v>
      </c>
      <c r="H551" s="263" t="s">
        <v>1611</v>
      </c>
      <c r="I551" s="264"/>
      <c r="J551" s="263" t="s">
        <v>437</v>
      </c>
    </row>
    <row r="552" spans="1:10" x14ac:dyDescent="0.15">
      <c r="A552" s="263" t="s">
        <v>9422</v>
      </c>
      <c r="B552" s="263" t="s">
        <v>9423</v>
      </c>
      <c r="C552" s="263" t="s">
        <v>98</v>
      </c>
      <c r="D552" s="263" t="s">
        <v>9424</v>
      </c>
      <c r="E552" s="263" t="s">
        <v>110</v>
      </c>
      <c r="F552">
        <v>0</v>
      </c>
      <c r="G552">
        <v>2</v>
      </c>
      <c r="H552" s="263" t="s">
        <v>1611</v>
      </c>
      <c r="I552" s="264"/>
      <c r="J552" s="263" t="s">
        <v>437</v>
      </c>
    </row>
    <row r="553" spans="1:10" x14ac:dyDescent="0.15">
      <c r="A553" s="263" t="s">
        <v>9425</v>
      </c>
      <c r="B553" s="263" t="s">
        <v>9426</v>
      </c>
      <c r="C553" s="263" t="s">
        <v>98</v>
      </c>
      <c r="D553" s="263" t="s">
        <v>9427</v>
      </c>
      <c r="E553" s="263" t="s">
        <v>110</v>
      </c>
      <c r="F553">
        <v>0</v>
      </c>
      <c r="G553">
        <v>2</v>
      </c>
      <c r="H553" s="263" t="s">
        <v>1611</v>
      </c>
      <c r="I553" s="264"/>
      <c r="J553" s="263" t="s">
        <v>437</v>
      </c>
    </row>
    <row r="554" spans="1:10" x14ac:dyDescent="0.15">
      <c r="A554" s="263" t="s">
        <v>9428</v>
      </c>
      <c r="B554" s="263" t="s">
        <v>9429</v>
      </c>
      <c r="C554" s="263" t="s">
        <v>98</v>
      </c>
      <c r="D554" s="263" t="s">
        <v>9430</v>
      </c>
      <c r="E554" s="263" t="s">
        <v>110</v>
      </c>
      <c r="F554">
        <v>0</v>
      </c>
      <c r="G554">
        <v>2</v>
      </c>
      <c r="H554" s="263" t="s">
        <v>1611</v>
      </c>
      <c r="I554" s="264"/>
      <c r="J554" s="263" t="s">
        <v>437</v>
      </c>
    </row>
    <row r="555" spans="1:10" x14ac:dyDescent="0.15">
      <c r="A555" s="263" t="s">
        <v>9431</v>
      </c>
      <c r="B555" s="263" t="s">
        <v>9432</v>
      </c>
      <c r="C555" s="263" t="s">
        <v>98</v>
      </c>
      <c r="D555" s="263" t="s">
        <v>9433</v>
      </c>
      <c r="E555" s="263" t="s">
        <v>110</v>
      </c>
      <c r="F555">
        <v>0</v>
      </c>
      <c r="G555">
        <v>2</v>
      </c>
      <c r="H555" s="263" t="s">
        <v>1611</v>
      </c>
      <c r="I555" s="264"/>
      <c r="J555" s="263" t="s">
        <v>437</v>
      </c>
    </row>
    <row r="556" spans="1:10" x14ac:dyDescent="0.15">
      <c r="A556" s="263" t="s">
        <v>1751</v>
      </c>
      <c r="B556" s="263" t="s">
        <v>1748</v>
      </c>
      <c r="C556" s="263" t="s">
        <v>99</v>
      </c>
      <c r="D556" s="263" t="s">
        <v>1749</v>
      </c>
      <c r="E556" s="263" t="s">
        <v>84</v>
      </c>
      <c r="F556">
        <v>0</v>
      </c>
      <c r="G556">
        <v>2</v>
      </c>
      <c r="H556" s="263" t="s">
        <v>1611</v>
      </c>
      <c r="I556" s="264"/>
      <c r="J556" s="263" t="s">
        <v>437</v>
      </c>
    </row>
    <row r="557" spans="1:10" x14ac:dyDescent="0.15">
      <c r="A557" s="263" t="s">
        <v>9434</v>
      </c>
      <c r="B557" s="263" t="s">
        <v>9381</v>
      </c>
      <c r="C557" s="263" t="s">
        <v>99</v>
      </c>
      <c r="D557" s="263" t="s">
        <v>9382</v>
      </c>
      <c r="E557" s="263" t="s">
        <v>84</v>
      </c>
      <c r="F557">
        <v>0</v>
      </c>
      <c r="G557">
        <v>2</v>
      </c>
      <c r="H557" s="263" t="s">
        <v>1611</v>
      </c>
      <c r="I557" s="264"/>
      <c r="J557" s="263" t="s">
        <v>437</v>
      </c>
    </row>
    <row r="558" spans="1:10" x14ac:dyDescent="0.15">
      <c r="A558" s="263" t="s">
        <v>9435</v>
      </c>
      <c r="B558" s="263" t="s">
        <v>9384</v>
      </c>
      <c r="C558" s="263" t="s">
        <v>99</v>
      </c>
      <c r="D558" s="263" t="s">
        <v>9385</v>
      </c>
      <c r="E558" s="263" t="s">
        <v>84</v>
      </c>
      <c r="F558">
        <v>0</v>
      </c>
      <c r="G558">
        <v>2</v>
      </c>
      <c r="H558" s="263" t="s">
        <v>1611</v>
      </c>
      <c r="I558" s="264"/>
      <c r="J558" s="263" t="s">
        <v>437</v>
      </c>
    </row>
    <row r="559" spans="1:10" x14ac:dyDescent="0.15">
      <c r="A559" s="263" t="s">
        <v>9436</v>
      </c>
      <c r="B559" s="263" t="s">
        <v>9387</v>
      </c>
      <c r="C559" s="263" t="s">
        <v>99</v>
      </c>
      <c r="D559" s="263" t="s">
        <v>9388</v>
      </c>
      <c r="E559" s="263" t="s">
        <v>84</v>
      </c>
      <c r="F559">
        <v>0</v>
      </c>
      <c r="G559">
        <v>2</v>
      </c>
      <c r="H559" s="263" t="s">
        <v>1611</v>
      </c>
      <c r="I559" s="264"/>
      <c r="J559" s="263" t="s">
        <v>437</v>
      </c>
    </row>
    <row r="560" spans="1:10" x14ac:dyDescent="0.15">
      <c r="A560" s="263" t="s">
        <v>1752</v>
      </c>
      <c r="B560" s="263" t="s">
        <v>1753</v>
      </c>
      <c r="C560" s="263" t="s">
        <v>99</v>
      </c>
      <c r="D560" s="263" t="s">
        <v>1754</v>
      </c>
      <c r="E560" s="263" t="s">
        <v>84</v>
      </c>
      <c r="F560">
        <v>0</v>
      </c>
      <c r="G560">
        <v>2</v>
      </c>
      <c r="H560" s="263" t="s">
        <v>436</v>
      </c>
      <c r="I560" s="264"/>
      <c r="J560" s="263" t="s">
        <v>437</v>
      </c>
    </row>
    <row r="561" spans="1:10" x14ac:dyDescent="0.15">
      <c r="A561" s="263" t="s">
        <v>1755</v>
      </c>
      <c r="B561" s="263" t="s">
        <v>1756</v>
      </c>
      <c r="C561" s="263" t="s">
        <v>99</v>
      </c>
      <c r="D561" s="263" t="s">
        <v>1757</v>
      </c>
      <c r="E561" s="263" t="s">
        <v>84</v>
      </c>
      <c r="F561">
        <v>0</v>
      </c>
      <c r="G561">
        <v>2</v>
      </c>
      <c r="H561" s="263" t="s">
        <v>436</v>
      </c>
      <c r="I561" s="264"/>
      <c r="J561" s="263" t="s">
        <v>437</v>
      </c>
    </row>
    <row r="562" spans="1:10" x14ac:dyDescent="0.15">
      <c r="A562" s="263" t="s">
        <v>1758</v>
      </c>
      <c r="B562" s="263" t="s">
        <v>1753</v>
      </c>
      <c r="C562" s="263" t="s">
        <v>105</v>
      </c>
      <c r="D562" s="263" t="s">
        <v>1754</v>
      </c>
      <c r="E562" s="263" t="s">
        <v>112</v>
      </c>
      <c r="F562">
        <v>0</v>
      </c>
      <c r="G562">
        <v>2</v>
      </c>
      <c r="H562" s="263" t="s">
        <v>436</v>
      </c>
      <c r="I562" s="264"/>
      <c r="J562" s="263" t="s">
        <v>437</v>
      </c>
    </row>
    <row r="563" spans="1:10" x14ac:dyDescent="0.15">
      <c r="A563" s="263" t="s">
        <v>1759</v>
      </c>
      <c r="B563" s="263" t="s">
        <v>1756</v>
      </c>
      <c r="C563" s="263" t="s">
        <v>105</v>
      </c>
      <c r="D563" s="263" t="s">
        <v>1757</v>
      </c>
      <c r="E563" s="263" t="s">
        <v>112</v>
      </c>
      <c r="F563">
        <v>0</v>
      </c>
      <c r="G563">
        <v>2</v>
      </c>
      <c r="H563" s="263" t="s">
        <v>436</v>
      </c>
      <c r="I563" s="264"/>
      <c r="J563" s="263" t="s">
        <v>437</v>
      </c>
    </row>
    <row r="564" spans="1:10" x14ac:dyDescent="0.15">
      <c r="A564" s="263" t="s">
        <v>1760</v>
      </c>
      <c r="B564" s="263" t="s">
        <v>1761</v>
      </c>
      <c r="C564" s="263" t="s">
        <v>105</v>
      </c>
      <c r="D564" s="263" t="s">
        <v>1762</v>
      </c>
      <c r="E564" s="263" t="s">
        <v>112</v>
      </c>
      <c r="F564">
        <v>0</v>
      </c>
      <c r="G564">
        <v>2</v>
      </c>
      <c r="H564" s="263" t="s">
        <v>436</v>
      </c>
      <c r="I564" s="264"/>
      <c r="J564" s="263" t="s">
        <v>437</v>
      </c>
    </row>
    <row r="565" spans="1:10" x14ac:dyDescent="0.15">
      <c r="A565" s="263" t="s">
        <v>1763</v>
      </c>
      <c r="B565" s="263" t="s">
        <v>1753</v>
      </c>
      <c r="C565" s="263" t="s">
        <v>98</v>
      </c>
      <c r="D565" s="263" t="s">
        <v>1754</v>
      </c>
      <c r="E565" s="263" t="s">
        <v>110</v>
      </c>
      <c r="F565">
        <v>0</v>
      </c>
      <c r="G565">
        <v>2</v>
      </c>
      <c r="H565" s="263" t="s">
        <v>436</v>
      </c>
      <c r="I565" s="264"/>
      <c r="J565" s="263" t="s">
        <v>437</v>
      </c>
    </row>
    <row r="566" spans="1:10" x14ac:dyDescent="0.15">
      <c r="A566" s="263" t="s">
        <v>1764</v>
      </c>
      <c r="B566" s="263" t="s">
        <v>1756</v>
      </c>
      <c r="C566" s="263" t="s">
        <v>98</v>
      </c>
      <c r="D566" s="263" t="s">
        <v>1757</v>
      </c>
      <c r="E566" s="263" t="s">
        <v>110</v>
      </c>
      <c r="F566">
        <v>0</v>
      </c>
      <c r="G566">
        <v>2</v>
      </c>
      <c r="H566" s="263" t="s">
        <v>436</v>
      </c>
      <c r="I566" s="264"/>
      <c r="J566" s="263" t="s">
        <v>437</v>
      </c>
    </row>
    <row r="567" spans="1:10" x14ac:dyDescent="0.15">
      <c r="A567" s="263" t="s">
        <v>1765</v>
      </c>
      <c r="B567" s="263" t="s">
        <v>1761</v>
      </c>
      <c r="C567" s="263" t="s">
        <v>98</v>
      </c>
      <c r="D567" s="263" t="s">
        <v>1762</v>
      </c>
      <c r="E567" s="263" t="s">
        <v>110</v>
      </c>
      <c r="F567">
        <v>0</v>
      </c>
      <c r="G567">
        <v>2</v>
      </c>
      <c r="H567" s="263" t="s">
        <v>436</v>
      </c>
      <c r="I567" s="264"/>
      <c r="J567" s="263" t="s">
        <v>437</v>
      </c>
    </row>
    <row r="568" spans="1:10" x14ac:dyDescent="0.15">
      <c r="A568" s="263" t="s">
        <v>1766</v>
      </c>
      <c r="B568" s="263" t="s">
        <v>1767</v>
      </c>
      <c r="C568" s="263" t="s">
        <v>98</v>
      </c>
      <c r="D568" s="263" t="s">
        <v>1768</v>
      </c>
      <c r="E568" s="263" t="s">
        <v>110</v>
      </c>
      <c r="F568">
        <v>0</v>
      </c>
      <c r="G568">
        <v>2</v>
      </c>
      <c r="H568" s="263" t="s">
        <v>436</v>
      </c>
      <c r="I568" s="264"/>
      <c r="J568" s="263" t="s">
        <v>437</v>
      </c>
    </row>
    <row r="569" spans="1:10" x14ac:dyDescent="0.15">
      <c r="A569" s="263" t="s">
        <v>1769</v>
      </c>
      <c r="B569" s="263" t="s">
        <v>1770</v>
      </c>
      <c r="C569" s="263" t="s">
        <v>98</v>
      </c>
      <c r="D569" s="263" t="s">
        <v>1771</v>
      </c>
      <c r="E569" s="263" t="s">
        <v>110</v>
      </c>
      <c r="F569">
        <v>0</v>
      </c>
      <c r="G569">
        <v>2</v>
      </c>
      <c r="H569" s="263" t="s">
        <v>436</v>
      </c>
      <c r="I569" s="264"/>
      <c r="J569" s="263" t="s">
        <v>437</v>
      </c>
    </row>
    <row r="570" spans="1:10" x14ac:dyDescent="0.15">
      <c r="A570" s="263" t="s">
        <v>1772</v>
      </c>
      <c r="B570" s="263" t="s">
        <v>1773</v>
      </c>
      <c r="C570" s="263" t="s">
        <v>99</v>
      </c>
      <c r="D570" s="263" t="s">
        <v>1774</v>
      </c>
      <c r="E570" s="263" t="s">
        <v>84</v>
      </c>
      <c r="F570">
        <v>0</v>
      </c>
      <c r="G570">
        <v>2</v>
      </c>
      <c r="H570" s="263" t="s">
        <v>436</v>
      </c>
      <c r="I570" s="264"/>
      <c r="J570" s="263" t="s">
        <v>437</v>
      </c>
    </row>
    <row r="571" spans="1:10" x14ac:dyDescent="0.15">
      <c r="A571" s="263" t="s">
        <v>1775</v>
      </c>
      <c r="B571" s="263" t="s">
        <v>1776</v>
      </c>
      <c r="C571" s="263" t="s">
        <v>90</v>
      </c>
      <c r="D571" s="263" t="s">
        <v>1777</v>
      </c>
      <c r="E571" s="263" t="s">
        <v>104</v>
      </c>
      <c r="F571">
        <v>2</v>
      </c>
      <c r="G571">
        <v>2</v>
      </c>
      <c r="H571" s="263" t="s">
        <v>436</v>
      </c>
      <c r="I571" s="264"/>
      <c r="J571" s="263" t="s">
        <v>437</v>
      </c>
    </row>
    <row r="572" spans="1:10" x14ac:dyDescent="0.15">
      <c r="A572" s="263" t="s">
        <v>1778</v>
      </c>
      <c r="B572" s="263" t="s">
        <v>1776</v>
      </c>
      <c r="C572" s="263" t="s">
        <v>96</v>
      </c>
      <c r="D572" s="263" t="s">
        <v>1777</v>
      </c>
      <c r="E572" s="263" t="s">
        <v>97</v>
      </c>
      <c r="F572">
        <v>0</v>
      </c>
      <c r="G572">
        <v>2</v>
      </c>
      <c r="H572" s="263" t="s">
        <v>436</v>
      </c>
      <c r="I572" s="264"/>
      <c r="J572" s="263" t="s">
        <v>437</v>
      </c>
    </row>
    <row r="573" spans="1:10" x14ac:dyDescent="0.15">
      <c r="A573" s="263" t="s">
        <v>1779</v>
      </c>
      <c r="B573" s="263" t="s">
        <v>1780</v>
      </c>
      <c r="C573" s="263" t="s">
        <v>99</v>
      </c>
      <c r="D573" s="263" t="s">
        <v>1781</v>
      </c>
      <c r="E573" s="263" t="s">
        <v>84</v>
      </c>
      <c r="F573">
        <v>0</v>
      </c>
      <c r="G573">
        <v>2</v>
      </c>
      <c r="H573" s="263" t="s">
        <v>436</v>
      </c>
      <c r="I573" s="264"/>
      <c r="J573" s="263" t="s">
        <v>437</v>
      </c>
    </row>
    <row r="574" spans="1:10" x14ac:dyDescent="0.15">
      <c r="A574" s="263" t="s">
        <v>1782</v>
      </c>
      <c r="B574" s="263" t="s">
        <v>1783</v>
      </c>
      <c r="C574" s="263" t="s">
        <v>90</v>
      </c>
      <c r="D574" s="263" t="s">
        <v>1784</v>
      </c>
      <c r="E574" s="263" t="s">
        <v>104</v>
      </c>
      <c r="F574">
        <v>2</v>
      </c>
      <c r="G574">
        <v>2</v>
      </c>
      <c r="H574" s="263" t="s">
        <v>436</v>
      </c>
      <c r="I574" s="264"/>
      <c r="J574" s="263" t="s">
        <v>437</v>
      </c>
    </row>
    <row r="575" spans="1:10" x14ac:dyDescent="0.15">
      <c r="A575" s="263" t="s">
        <v>1785</v>
      </c>
      <c r="B575" s="263" t="s">
        <v>1786</v>
      </c>
      <c r="C575" s="263" t="s">
        <v>90</v>
      </c>
      <c r="D575" s="263" t="s">
        <v>1787</v>
      </c>
      <c r="E575" s="263" t="s">
        <v>104</v>
      </c>
      <c r="F575">
        <v>2</v>
      </c>
      <c r="G575">
        <v>2</v>
      </c>
      <c r="H575" s="263" t="s">
        <v>436</v>
      </c>
      <c r="I575" s="264"/>
      <c r="J575" s="263" t="s">
        <v>437</v>
      </c>
    </row>
    <row r="576" spans="1:10" x14ac:dyDescent="0.15">
      <c r="A576" s="263" t="s">
        <v>1788</v>
      </c>
      <c r="B576" s="263" t="s">
        <v>1789</v>
      </c>
      <c r="C576" s="263" t="s">
        <v>90</v>
      </c>
      <c r="D576" s="263" t="s">
        <v>1790</v>
      </c>
      <c r="E576" s="263" t="s">
        <v>104</v>
      </c>
      <c r="F576">
        <v>2</v>
      </c>
      <c r="G576">
        <v>2</v>
      </c>
      <c r="H576" s="263" t="s">
        <v>436</v>
      </c>
      <c r="I576" s="264"/>
      <c r="J576" s="263" t="s">
        <v>437</v>
      </c>
    </row>
    <row r="577" spans="1:10" x14ac:dyDescent="0.15">
      <c r="A577" s="263" t="s">
        <v>1791</v>
      </c>
      <c r="B577" s="263" t="s">
        <v>1792</v>
      </c>
      <c r="C577" s="263" t="s">
        <v>90</v>
      </c>
      <c r="D577" s="263" t="s">
        <v>1793</v>
      </c>
      <c r="E577" s="263" t="s">
        <v>104</v>
      </c>
      <c r="F577">
        <v>2</v>
      </c>
      <c r="G577">
        <v>2</v>
      </c>
      <c r="H577" s="263" t="s">
        <v>436</v>
      </c>
      <c r="I577" s="264"/>
      <c r="J577" s="263" t="s">
        <v>437</v>
      </c>
    </row>
    <row r="578" spans="1:10" x14ac:dyDescent="0.15">
      <c r="A578" s="263" t="s">
        <v>1794</v>
      </c>
      <c r="B578" s="263" t="s">
        <v>1795</v>
      </c>
      <c r="C578" s="263" t="s">
        <v>90</v>
      </c>
      <c r="D578" s="263" t="s">
        <v>1796</v>
      </c>
      <c r="E578" s="263" t="s">
        <v>104</v>
      </c>
      <c r="F578">
        <v>2</v>
      </c>
      <c r="G578">
        <v>2</v>
      </c>
      <c r="H578" s="263" t="s">
        <v>436</v>
      </c>
      <c r="I578" s="264"/>
      <c r="J578" s="263" t="s">
        <v>437</v>
      </c>
    </row>
    <row r="579" spans="1:10" x14ac:dyDescent="0.15">
      <c r="A579" s="263" t="s">
        <v>1797</v>
      </c>
      <c r="B579" s="263" t="s">
        <v>1798</v>
      </c>
      <c r="C579" s="263" t="s">
        <v>90</v>
      </c>
      <c r="D579" s="263" t="s">
        <v>1799</v>
      </c>
      <c r="E579" s="263" t="s">
        <v>104</v>
      </c>
      <c r="F579">
        <v>2</v>
      </c>
      <c r="G579">
        <v>2</v>
      </c>
      <c r="H579" s="263" t="s">
        <v>436</v>
      </c>
      <c r="I579" s="264"/>
      <c r="J579" s="263" t="s">
        <v>437</v>
      </c>
    </row>
    <row r="580" spans="1:10" x14ac:dyDescent="0.15">
      <c r="A580" s="263" t="s">
        <v>1800</v>
      </c>
      <c r="B580" s="263" t="s">
        <v>1783</v>
      </c>
      <c r="C580" s="263" t="s">
        <v>96</v>
      </c>
      <c r="D580" s="263" t="s">
        <v>1784</v>
      </c>
      <c r="E580" s="263" t="s">
        <v>97</v>
      </c>
      <c r="F580">
        <v>0</v>
      </c>
      <c r="G580">
        <v>2</v>
      </c>
      <c r="H580" s="263" t="s">
        <v>436</v>
      </c>
      <c r="I580" s="264"/>
      <c r="J580" s="263" t="s">
        <v>437</v>
      </c>
    </row>
    <row r="581" spans="1:10" x14ac:dyDescent="0.15">
      <c r="A581" s="263" t="s">
        <v>1801</v>
      </c>
      <c r="B581" s="263" t="s">
        <v>1786</v>
      </c>
      <c r="C581" s="263" t="s">
        <v>96</v>
      </c>
      <c r="D581" s="263" t="s">
        <v>1787</v>
      </c>
      <c r="E581" s="263" t="s">
        <v>97</v>
      </c>
      <c r="F581">
        <v>0</v>
      </c>
      <c r="G581">
        <v>2</v>
      </c>
      <c r="H581" s="263" t="s">
        <v>436</v>
      </c>
      <c r="I581" s="264"/>
      <c r="J581" s="263" t="s">
        <v>437</v>
      </c>
    </row>
    <row r="582" spans="1:10" x14ac:dyDescent="0.15">
      <c r="A582" s="263" t="s">
        <v>1802</v>
      </c>
      <c r="B582" s="263" t="s">
        <v>1789</v>
      </c>
      <c r="C582" s="263" t="s">
        <v>96</v>
      </c>
      <c r="D582" s="263" t="s">
        <v>1790</v>
      </c>
      <c r="E582" s="263" t="s">
        <v>97</v>
      </c>
      <c r="F582">
        <v>0</v>
      </c>
      <c r="G582">
        <v>2</v>
      </c>
      <c r="H582" s="263" t="s">
        <v>436</v>
      </c>
      <c r="I582" s="264"/>
      <c r="J582" s="263" t="s">
        <v>437</v>
      </c>
    </row>
    <row r="583" spans="1:10" x14ac:dyDescent="0.15">
      <c r="A583" s="263" t="s">
        <v>1803</v>
      </c>
      <c r="B583" s="263" t="s">
        <v>1792</v>
      </c>
      <c r="C583" s="263" t="s">
        <v>96</v>
      </c>
      <c r="D583" s="263" t="s">
        <v>1793</v>
      </c>
      <c r="E583" s="263" t="s">
        <v>97</v>
      </c>
      <c r="F583">
        <v>0</v>
      </c>
      <c r="G583">
        <v>2</v>
      </c>
      <c r="H583" s="263" t="s">
        <v>436</v>
      </c>
      <c r="I583" s="264"/>
      <c r="J583" s="263" t="s">
        <v>437</v>
      </c>
    </row>
    <row r="584" spans="1:10" x14ac:dyDescent="0.15">
      <c r="A584" s="263" t="s">
        <v>1804</v>
      </c>
      <c r="B584" s="263" t="s">
        <v>1795</v>
      </c>
      <c r="C584" s="263" t="s">
        <v>96</v>
      </c>
      <c r="D584" s="263" t="s">
        <v>1796</v>
      </c>
      <c r="E584" s="263" t="s">
        <v>97</v>
      </c>
      <c r="F584">
        <v>0</v>
      </c>
      <c r="G584">
        <v>2</v>
      </c>
      <c r="H584" s="263" t="s">
        <v>436</v>
      </c>
      <c r="I584" s="264"/>
      <c r="J584" s="263" t="s">
        <v>437</v>
      </c>
    </row>
    <row r="585" spans="1:10" x14ac:dyDescent="0.15">
      <c r="A585" s="263" t="s">
        <v>1805</v>
      </c>
      <c r="B585" s="263" t="s">
        <v>1798</v>
      </c>
      <c r="C585" s="263" t="s">
        <v>96</v>
      </c>
      <c r="D585" s="263" t="s">
        <v>1799</v>
      </c>
      <c r="E585" s="263" t="s">
        <v>97</v>
      </c>
      <c r="F585">
        <v>0</v>
      </c>
      <c r="G585">
        <v>2</v>
      </c>
      <c r="H585" s="263" t="s">
        <v>436</v>
      </c>
      <c r="I585" s="264"/>
      <c r="J585" s="263" t="s">
        <v>437</v>
      </c>
    </row>
    <row r="586" spans="1:10" x14ac:dyDescent="0.15">
      <c r="A586" s="263" t="s">
        <v>1806</v>
      </c>
      <c r="B586" s="263" t="s">
        <v>1792</v>
      </c>
      <c r="C586" s="263" t="s">
        <v>98</v>
      </c>
      <c r="D586" s="263" t="s">
        <v>1793</v>
      </c>
      <c r="E586" s="263" t="s">
        <v>110</v>
      </c>
      <c r="F586">
        <v>0</v>
      </c>
      <c r="G586">
        <v>2</v>
      </c>
      <c r="H586" s="263" t="s">
        <v>436</v>
      </c>
      <c r="I586" s="264"/>
      <c r="J586" s="263" t="s">
        <v>437</v>
      </c>
    </row>
    <row r="587" spans="1:10" x14ac:dyDescent="0.15">
      <c r="A587" s="263" t="s">
        <v>1807</v>
      </c>
      <c r="B587" s="263" t="s">
        <v>1795</v>
      </c>
      <c r="C587" s="263" t="s">
        <v>98</v>
      </c>
      <c r="D587" s="263" t="s">
        <v>1796</v>
      </c>
      <c r="E587" s="263" t="s">
        <v>110</v>
      </c>
      <c r="F587">
        <v>0</v>
      </c>
      <c r="G587">
        <v>2</v>
      </c>
      <c r="H587" s="263" t="s">
        <v>436</v>
      </c>
      <c r="I587" s="264"/>
      <c r="J587" s="263" t="s">
        <v>437</v>
      </c>
    </row>
    <row r="588" spans="1:10" x14ac:dyDescent="0.15">
      <c r="A588" s="263" t="s">
        <v>1808</v>
      </c>
      <c r="B588" s="263" t="s">
        <v>1798</v>
      </c>
      <c r="C588" s="263" t="s">
        <v>98</v>
      </c>
      <c r="D588" s="263" t="s">
        <v>1799</v>
      </c>
      <c r="E588" s="263" t="s">
        <v>110</v>
      </c>
      <c r="F588">
        <v>0</v>
      </c>
      <c r="G588">
        <v>2</v>
      </c>
      <c r="H588" s="263" t="s">
        <v>436</v>
      </c>
      <c r="I588" s="264"/>
      <c r="J588" s="263" t="s">
        <v>437</v>
      </c>
    </row>
    <row r="589" spans="1:10" x14ac:dyDescent="0.15">
      <c r="A589" s="263" t="s">
        <v>1809</v>
      </c>
      <c r="B589" s="263" t="s">
        <v>1786</v>
      </c>
      <c r="C589" s="263" t="s">
        <v>98</v>
      </c>
      <c r="D589" s="263" t="s">
        <v>1787</v>
      </c>
      <c r="E589" s="263" t="s">
        <v>110</v>
      </c>
      <c r="F589">
        <v>0</v>
      </c>
      <c r="G589">
        <v>2</v>
      </c>
      <c r="H589" s="263" t="s">
        <v>436</v>
      </c>
      <c r="I589" s="264"/>
      <c r="J589" s="263" t="s">
        <v>437</v>
      </c>
    </row>
    <row r="590" spans="1:10" x14ac:dyDescent="0.15">
      <c r="A590" s="263" t="s">
        <v>1810</v>
      </c>
      <c r="B590" s="263" t="s">
        <v>1811</v>
      </c>
      <c r="C590" s="263" t="s">
        <v>90</v>
      </c>
      <c r="D590" s="263" t="s">
        <v>1812</v>
      </c>
      <c r="E590" s="263" t="s">
        <v>104</v>
      </c>
      <c r="F590">
        <v>2</v>
      </c>
      <c r="G590">
        <v>2</v>
      </c>
      <c r="H590" s="263" t="s">
        <v>436</v>
      </c>
      <c r="I590" s="264"/>
      <c r="J590" s="263" t="s">
        <v>437</v>
      </c>
    </row>
    <row r="591" spans="1:10" x14ac:dyDescent="0.15">
      <c r="A591" s="263" t="s">
        <v>1813</v>
      </c>
      <c r="B591" s="263" t="s">
        <v>1814</v>
      </c>
      <c r="C591" s="263" t="s">
        <v>90</v>
      </c>
      <c r="D591" s="263" t="s">
        <v>1815</v>
      </c>
      <c r="E591" s="263" t="s">
        <v>104</v>
      </c>
      <c r="F591">
        <v>2</v>
      </c>
      <c r="G591">
        <v>2</v>
      </c>
      <c r="H591" s="263" t="s">
        <v>436</v>
      </c>
      <c r="I591" s="264"/>
      <c r="J591" s="263" t="s">
        <v>437</v>
      </c>
    </row>
    <row r="592" spans="1:10" x14ac:dyDescent="0.15">
      <c r="A592" s="263" t="s">
        <v>1816</v>
      </c>
      <c r="B592" s="263" t="s">
        <v>1817</v>
      </c>
      <c r="C592" s="263" t="s">
        <v>90</v>
      </c>
      <c r="D592" s="263" t="s">
        <v>1818</v>
      </c>
      <c r="E592" s="263" t="s">
        <v>104</v>
      </c>
      <c r="F592">
        <v>2</v>
      </c>
      <c r="G592">
        <v>2</v>
      </c>
      <c r="H592" s="263" t="s">
        <v>436</v>
      </c>
      <c r="I592" s="264"/>
      <c r="J592" s="263" t="s">
        <v>437</v>
      </c>
    </row>
    <row r="593" spans="1:10" x14ac:dyDescent="0.15">
      <c r="A593" s="263" t="s">
        <v>1819</v>
      </c>
      <c r="B593" s="263" t="s">
        <v>1820</v>
      </c>
      <c r="C593" s="263" t="s">
        <v>90</v>
      </c>
      <c r="D593" s="263" t="s">
        <v>1821</v>
      </c>
      <c r="E593" s="263" t="s">
        <v>104</v>
      </c>
      <c r="F593">
        <v>2</v>
      </c>
      <c r="G593">
        <v>2</v>
      </c>
      <c r="H593" s="263" t="s">
        <v>436</v>
      </c>
      <c r="I593" s="264"/>
      <c r="J593" s="263" t="s">
        <v>437</v>
      </c>
    </row>
    <row r="594" spans="1:10" x14ac:dyDescent="0.15">
      <c r="A594" s="263" t="s">
        <v>1822</v>
      </c>
      <c r="B594" s="263" t="s">
        <v>1823</v>
      </c>
      <c r="C594" s="263" t="s">
        <v>90</v>
      </c>
      <c r="D594" s="263" t="s">
        <v>1824</v>
      </c>
      <c r="E594" s="263" t="s">
        <v>104</v>
      </c>
      <c r="F594">
        <v>2</v>
      </c>
      <c r="G594">
        <v>2</v>
      </c>
      <c r="H594" s="263" t="s">
        <v>436</v>
      </c>
      <c r="I594" s="264"/>
      <c r="J594" s="263" t="s">
        <v>437</v>
      </c>
    </row>
    <row r="595" spans="1:10" x14ac:dyDescent="0.15">
      <c r="A595" s="263" t="s">
        <v>1825</v>
      </c>
      <c r="B595" s="263" t="s">
        <v>1826</v>
      </c>
      <c r="C595" s="263" t="s">
        <v>90</v>
      </c>
      <c r="D595" s="263" t="s">
        <v>1827</v>
      </c>
      <c r="E595" s="263" t="s">
        <v>104</v>
      </c>
      <c r="F595">
        <v>2</v>
      </c>
      <c r="G595">
        <v>2</v>
      </c>
      <c r="H595" s="263" t="s">
        <v>436</v>
      </c>
      <c r="I595" s="264"/>
      <c r="J595" s="263" t="s">
        <v>437</v>
      </c>
    </row>
    <row r="596" spans="1:10" x14ac:dyDescent="0.15">
      <c r="A596" s="263" t="s">
        <v>9056</v>
      </c>
      <c r="B596" s="263" t="s">
        <v>1853</v>
      </c>
      <c r="C596" s="263" t="s">
        <v>90</v>
      </c>
      <c r="D596" s="263" t="s">
        <v>1854</v>
      </c>
      <c r="E596" s="263" t="s">
        <v>104</v>
      </c>
      <c r="F596">
        <v>2</v>
      </c>
      <c r="G596">
        <v>2</v>
      </c>
      <c r="H596" s="263" t="s">
        <v>436</v>
      </c>
      <c r="I596" s="264"/>
      <c r="J596" s="263" t="s">
        <v>437</v>
      </c>
    </row>
    <row r="597" spans="1:10" x14ac:dyDescent="0.15">
      <c r="A597" s="263" t="s">
        <v>1828</v>
      </c>
      <c r="B597" s="263" t="s">
        <v>1829</v>
      </c>
      <c r="C597" s="263" t="s">
        <v>90</v>
      </c>
      <c r="D597" s="263" t="s">
        <v>1830</v>
      </c>
      <c r="E597" s="263" t="s">
        <v>104</v>
      </c>
      <c r="F597">
        <v>2</v>
      </c>
      <c r="G597">
        <v>2</v>
      </c>
      <c r="H597" s="263" t="s">
        <v>436</v>
      </c>
      <c r="I597" s="264"/>
      <c r="J597" s="263" t="s">
        <v>437</v>
      </c>
    </row>
    <row r="598" spans="1:10" x14ac:dyDescent="0.15">
      <c r="A598" s="263" t="s">
        <v>1831</v>
      </c>
      <c r="B598" s="263" t="s">
        <v>1832</v>
      </c>
      <c r="C598" s="263" t="s">
        <v>90</v>
      </c>
      <c r="D598" s="263" t="s">
        <v>1833</v>
      </c>
      <c r="E598" s="263" t="s">
        <v>104</v>
      </c>
      <c r="F598">
        <v>2</v>
      </c>
      <c r="G598">
        <v>2</v>
      </c>
      <c r="H598" s="263" t="s">
        <v>436</v>
      </c>
      <c r="I598" s="264"/>
      <c r="J598" s="263" t="s">
        <v>437</v>
      </c>
    </row>
    <row r="599" spans="1:10" x14ac:dyDescent="0.15">
      <c r="A599" s="263" t="s">
        <v>1834</v>
      </c>
      <c r="B599" s="263" t="s">
        <v>1835</v>
      </c>
      <c r="C599" s="263" t="s">
        <v>90</v>
      </c>
      <c r="D599" s="263" t="s">
        <v>1836</v>
      </c>
      <c r="E599" s="263" t="s">
        <v>104</v>
      </c>
      <c r="F599">
        <v>2</v>
      </c>
      <c r="G599">
        <v>2</v>
      </c>
      <c r="H599" s="263" t="s">
        <v>436</v>
      </c>
      <c r="I599" s="264"/>
      <c r="J599" s="263" t="s">
        <v>437</v>
      </c>
    </row>
    <row r="600" spans="1:10" x14ac:dyDescent="0.15">
      <c r="A600" s="263" t="s">
        <v>1837</v>
      </c>
      <c r="B600" s="263" t="s">
        <v>1838</v>
      </c>
      <c r="C600" s="263" t="s">
        <v>90</v>
      </c>
      <c r="D600" s="263" t="s">
        <v>1839</v>
      </c>
      <c r="E600" s="263" t="s">
        <v>104</v>
      </c>
      <c r="F600">
        <v>2</v>
      </c>
      <c r="G600">
        <v>2</v>
      </c>
      <c r="H600" s="263" t="s">
        <v>436</v>
      </c>
      <c r="I600" s="264"/>
      <c r="J600" s="263" t="s">
        <v>437</v>
      </c>
    </row>
    <row r="601" spans="1:10" x14ac:dyDescent="0.15">
      <c r="A601" s="263" t="s">
        <v>1840</v>
      </c>
      <c r="B601" s="263" t="s">
        <v>1841</v>
      </c>
      <c r="C601" s="263" t="s">
        <v>90</v>
      </c>
      <c r="D601" s="263" t="s">
        <v>1842</v>
      </c>
      <c r="E601" s="263" t="s">
        <v>104</v>
      </c>
      <c r="F601">
        <v>2</v>
      </c>
      <c r="G601">
        <v>2</v>
      </c>
      <c r="H601" s="263" t="s">
        <v>436</v>
      </c>
      <c r="I601" s="264"/>
      <c r="J601" s="263" t="s">
        <v>437</v>
      </c>
    </row>
    <row r="602" spans="1:10" x14ac:dyDescent="0.15">
      <c r="A602" s="263" t="s">
        <v>1843</v>
      </c>
      <c r="B602" s="263" t="s">
        <v>1811</v>
      </c>
      <c r="C602" s="263" t="s">
        <v>98</v>
      </c>
      <c r="D602" s="263" t="s">
        <v>1812</v>
      </c>
      <c r="E602" s="263" t="s">
        <v>110</v>
      </c>
      <c r="F602">
        <v>0</v>
      </c>
      <c r="G602">
        <v>2</v>
      </c>
      <c r="H602" s="263" t="s">
        <v>436</v>
      </c>
      <c r="I602" s="264"/>
      <c r="J602" s="263" t="s">
        <v>437</v>
      </c>
    </row>
    <row r="603" spans="1:10" x14ac:dyDescent="0.15">
      <c r="A603" s="263" t="s">
        <v>1844</v>
      </c>
      <c r="B603" s="263" t="s">
        <v>1814</v>
      </c>
      <c r="C603" s="263" t="s">
        <v>98</v>
      </c>
      <c r="D603" s="263" t="s">
        <v>1815</v>
      </c>
      <c r="E603" s="263" t="s">
        <v>110</v>
      </c>
      <c r="F603">
        <v>0</v>
      </c>
      <c r="G603">
        <v>2</v>
      </c>
      <c r="H603" s="263" t="s">
        <v>436</v>
      </c>
      <c r="I603" s="264"/>
      <c r="J603" s="263" t="s">
        <v>437</v>
      </c>
    </row>
    <row r="604" spans="1:10" x14ac:dyDescent="0.15">
      <c r="A604" s="263" t="s">
        <v>1845</v>
      </c>
      <c r="B604" s="263" t="s">
        <v>1817</v>
      </c>
      <c r="C604" s="263" t="s">
        <v>98</v>
      </c>
      <c r="D604" s="263" t="s">
        <v>1818</v>
      </c>
      <c r="E604" s="263" t="s">
        <v>110</v>
      </c>
      <c r="F604">
        <v>0</v>
      </c>
      <c r="G604">
        <v>2</v>
      </c>
      <c r="H604" s="263" t="s">
        <v>436</v>
      </c>
      <c r="I604" s="264"/>
      <c r="J604" s="263" t="s">
        <v>437</v>
      </c>
    </row>
    <row r="605" spans="1:10" x14ac:dyDescent="0.15">
      <c r="A605" s="263" t="s">
        <v>1846</v>
      </c>
      <c r="B605" s="263" t="s">
        <v>1820</v>
      </c>
      <c r="C605" s="263" t="s">
        <v>98</v>
      </c>
      <c r="D605" s="263" t="s">
        <v>1821</v>
      </c>
      <c r="E605" s="263" t="s">
        <v>110</v>
      </c>
      <c r="F605">
        <v>0</v>
      </c>
      <c r="G605">
        <v>2</v>
      </c>
      <c r="H605" s="263" t="s">
        <v>436</v>
      </c>
      <c r="I605" s="264"/>
      <c r="J605" s="263" t="s">
        <v>437</v>
      </c>
    </row>
    <row r="606" spans="1:10" x14ac:dyDescent="0.15">
      <c r="A606" s="263" t="s">
        <v>1847</v>
      </c>
      <c r="B606" s="263" t="s">
        <v>1823</v>
      </c>
      <c r="C606" s="263" t="s">
        <v>98</v>
      </c>
      <c r="D606" s="263" t="s">
        <v>1824</v>
      </c>
      <c r="E606" s="263" t="s">
        <v>110</v>
      </c>
      <c r="F606">
        <v>0</v>
      </c>
      <c r="G606">
        <v>2</v>
      </c>
      <c r="H606" s="263" t="s">
        <v>436</v>
      </c>
      <c r="I606" s="264"/>
      <c r="J606" s="263" t="s">
        <v>437</v>
      </c>
    </row>
    <row r="607" spans="1:10" x14ac:dyDescent="0.15">
      <c r="A607" s="263" t="s">
        <v>1848</v>
      </c>
      <c r="B607" s="263" t="s">
        <v>1826</v>
      </c>
      <c r="C607" s="263" t="s">
        <v>98</v>
      </c>
      <c r="D607" s="263" t="s">
        <v>1827</v>
      </c>
      <c r="E607" s="263" t="s">
        <v>110</v>
      </c>
      <c r="F607">
        <v>0</v>
      </c>
      <c r="G607">
        <v>2</v>
      </c>
      <c r="H607" s="263" t="s">
        <v>436</v>
      </c>
      <c r="I607" s="264"/>
      <c r="J607" s="263" t="s">
        <v>437</v>
      </c>
    </row>
    <row r="608" spans="1:10" x14ac:dyDescent="0.15">
      <c r="A608" s="263" t="s">
        <v>1849</v>
      </c>
      <c r="B608" s="263" t="s">
        <v>1850</v>
      </c>
      <c r="C608" s="263" t="s">
        <v>98</v>
      </c>
      <c r="D608" s="263" t="s">
        <v>1851</v>
      </c>
      <c r="E608" s="263" t="s">
        <v>110</v>
      </c>
      <c r="F608">
        <v>0</v>
      </c>
      <c r="G608">
        <v>2</v>
      </c>
      <c r="H608" s="263" t="s">
        <v>436</v>
      </c>
      <c r="I608" s="264"/>
      <c r="J608" s="263" t="s">
        <v>437</v>
      </c>
    </row>
    <row r="609" spans="1:10" x14ac:dyDescent="0.15">
      <c r="A609" s="263" t="s">
        <v>1852</v>
      </c>
      <c r="B609" s="263" t="s">
        <v>1853</v>
      </c>
      <c r="C609" s="263" t="s">
        <v>98</v>
      </c>
      <c r="D609" s="263" t="s">
        <v>1854</v>
      </c>
      <c r="E609" s="263" t="s">
        <v>110</v>
      </c>
      <c r="F609">
        <v>0</v>
      </c>
      <c r="G609">
        <v>2</v>
      </c>
      <c r="H609" s="263" t="s">
        <v>436</v>
      </c>
      <c r="I609" s="264"/>
      <c r="J609" s="263" t="s">
        <v>437</v>
      </c>
    </row>
    <row r="610" spans="1:10" x14ac:dyDescent="0.15">
      <c r="A610" s="263" t="s">
        <v>9057</v>
      </c>
      <c r="B610" s="263" t="s">
        <v>9058</v>
      </c>
      <c r="C610" s="263" t="s">
        <v>98</v>
      </c>
      <c r="D610" s="263" t="s">
        <v>9059</v>
      </c>
      <c r="E610" s="263" t="s">
        <v>110</v>
      </c>
      <c r="F610">
        <v>0</v>
      </c>
      <c r="G610">
        <v>2</v>
      </c>
      <c r="H610" s="263" t="s">
        <v>436</v>
      </c>
      <c r="I610" s="264">
        <v>45496</v>
      </c>
      <c r="J610" s="263" t="s">
        <v>437</v>
      </c>
    </row>
    <row r="611" spans="1:10" x14ac:dyDescent="0.15">
      <c r="A611" s="263" t="s">
        <v>1855</v>
      </c>
      <c r="B611" s="263" t="s">
        <v>1829</v>
      </c>
      <c r="C611" s="263" t="s">
        <v>98</v>
      </c>
      <c r="D611" s="263" t="s">
        <v>1830</v>
      </c>
      <c r="E611" s="263" t="s">
        <v>110</v>
      </c>
      <c r="F611">
        <v>0</v>
      </c>
      <c r="G611">
        <v>2</v>
      </c>
      <c r="H611" s="263" t="s">
        <v>436</v>
      </c>
      <c r="I611" s="264"/>
      <c r="J611" s="263" t="s">
        <v>437</v>
      </c>
    </row>
    <row r="612" spans="1:10" x14ac:dyDescent="0.15">
      <c r="A612" s="263" t="s">
        <v>1856</v>
      </c>
      <c r="B612" s="263" t="s">
        <v>1832</v>
      </c>
      <c r="C612" s="263" t="s">
        <v>98</v>
      </c>
      <c r="D612" s="263" t="s">
        <v>1833</v>
      </c>
      <c r="E612" s="263" t="s">
        <v>110</v>
      </c>
      <c r="F612">
        <v>0</v>
      </c>
      <c r="G612">
        <v>2</v>
      </c>
      <c r="H612" s="263" t="s">
        <v>436</v>
      </c>
      <c r="I612" s="264"/>
      <c r="J612" s="263" t="s">
        <v>437</v>
      </c>
    </row>
    <row r="613" spans="1:10" x14ac:dyDescent="0.15">
      <c r="A613" s="263" t="s">
        <v>1857</v>
      </c>
      <c r="B613" s="263" t="s">
        <v>1835</v>
      </c>
      <c r="C613" s="263" t="s">
        <v>98</v>
      </c>
      <c r="D613" s="263" t="s">
        <v>1836</v>
      </c>
      <c r="E613" s="263" t="s">
        <v>110</v>
      </c>
      <c r="F613">
        <v>0</v>
      </c>
      <c r="G613">
        <v>2</v>
      </c>
      <c r="H613" s="263" t="s">
        <v>436</v>
      </c>
      <c r="I613" s="264"/>
      <c r="J613" s="263" t="s">
        <v>437</v>
      </c>
    </row>
    <row r="614" spans="1:10" x14ac:dyDescent="0.15">
      <c r="A614" s="263" t="s">
        <v>1858</v>
      </c>
      <c r="B614" s="263" t="s">
        <v>1838</v>
      </c>
      <c r="C614" s="263" t="s">
        <v>98</v>
      </c>
      <c r="D614" s="263" t="s">
        <v>1839</v>
      </c>
      <c r="E614" s="263" t="s">
        <v>110</v>
      </c>
      <c r="F614">
        <v>0</v>
      </c>
      <c r="G614">
        <v>2</v>
      </c>
      <c r="H614" s="263" t="s">
        <v>436</v>
      </c>
      <c r="I614" s="264"/>
      <c r="J614" s="263" t="s">
        <v>437</v>
      </c>
    </row>
    <row r="615" spans="1:10" x14ac:dyDescent="0.15">
      <c r="A615" s="263" t="s">
        <v>1859</v>
      </c>
      <c r="B615" s="263" t="s">
        <v>1841</v>
      </c>
      <c r="C615" s="263" t="s">
        <v>98</v>
      </c>
      <c r="D615" s="263" t="s">
        <v>1842</v>
      </c>
      <c r="E615" s="263" t="s">
        <v>110</v>
      </c>
      <c r="F615">
        <v>0</v>
      </c>
      <c r="G615">
        <v>2</v>
      </c>
      <c r="H615" s="263" t="s">
        <v>436</v>
      </c>
      <c r="I615" s="264"/>
      <c r="J615" s="263" t="s">
        <v>437</v>
      </c>
    </row>
    <row r="616" spans="1:10" x14ac:dyDescent="0.15">
      <c r="A616" s="263" t="s">
        <v>1860</v>
      </c>
      <c r="B616" s="263" t="s">
        <v>1861</v>
      </c>
      <c r="C616" s="263" t="s">
        <v>90</v>
      </c>
      <c r="D616" s="263" t="s">
        <v>1862</v>
      </c>
      <c r="E616" s="263" t="s">
        <v>104</v>
      </c>
      <c r="F616">
        <v>2</v>
      </c>
      <c r="G616">
        <v>2</v>
      </c>
      <c r="H616" s="263" t="s">
        <v>436</v>
      </c>
      <c r="I616" s="264"/>
      <c r="J616" s="263" t="s">
        <v>437</v>
      </c>
    </row>
    <row r="617" spans="1:10" x14ac:dyDescent="0.15">
      <c r="A617" s="263" t="s">
        <v>1863</v>
      </c>
      <c r="B617" s="263" t="s">
        <v>1864</v>
      </c>
      <c r="C617" s="263" t="s">
        <v>90</v>
      </c>
      <c r="D617" s="263" t="s">
        <v>1865</v>
      </c>
      <c r="E617" s="263" t="s">
        <v>104</v>
      </c>
      <c r="F617">
        <v>2</v>
      </c>
      <c r="G617">
        <v>2</v>
      </c>
      <c r="H617" s="263" t="s">
        <v>436</v>
      </c>
      <c r="I617" s="264"/>
      <c r="J617" s="263" t="s">
        <v>437</v>
      </c>
    </row>
    <row r="618" spans="1:10" x14ac:dyDescent="0.15">
      <c r="A618" s="263" t="s">
        <v>1866</v>
      </c>
      <c r="B618" s="263" t="s">
        <v>1867</v>
      </c>
      <c r="C618" s="263" t="s">
        <v>90</v>
      </c>
      <c r="D618" s="263" t="s">
        <v>1868</v>
      </c>
      <c r="E618" s="263" t="s">
        <v>104</v>
      </c>
      <c r="F618">
        <v>2</v>
      </c>
      <c r="G618">
        <v>2</v>
      </c>
      <c r="H618" s="263" t="s">
        <v>436</v>
      </c>
      <c r="I618" s="264"/>
      <c r="J618" s="263" t="s">
        <v>437</v>
      </c>
    </row>
    <row r="619" spans="1:10" x14ac:dyDescent="0.15">
      <c r="A619" s="263" t="s">
        <v>1869</v>
      </c>
      <c r="B619" s="263" t="s">
        <v>1870</v>
      </c>
      <c r="C619" s="263" t="s">
        <v>90</v>
      </c>
      <c r="D619" s="263" t="s">
        <v>1871</v>
      </c>
      <c r="E619" s="263" t="s">
        <v>104</v>
      </c>
      <c r="F619">
        <v>2</v>
      </c>
      <c r="G619">
        <v>2</v>
      </c>
      <c r="H619" s="263" t="s">
        <v>436</v>
      </c>
      <c r="I619" s="264"/>
      <c r="J619" s="263" t="s">
        <v>437</v>
      </c>
    </row>
    <row r="620" spans="1:10" x14ac:dyDescent="0.15">
      <c r="A620" s="263" t="s">
        <v>1872</v>
      </c>
      <c r="B620" s="263" t="s">
        <v>1873</v>
      </c>
      <c r="C620" s="263" t="s">
        <v>90</v>
      </c>
      <c r="D620" s="263" t="s">
        <v>1874</v>
      </c>
      <c r="E620" s="263" t="s">
        <v>104</v>
      </c>
      <c r="F620">
        <v>2</v>
      </c>
      <c r="G620">
        <v>2</v>
      </c>
      <c r="H620" s="263" t="s">
        <v>436</v>
      </c>
      <c r="I620" s="264"/>
      <c r="J620" s="263" t="s">
        <v>437</v>
      </c>
    </row>
    <row r="621" spans="1:10" x14ac:dyDescent="0.15">
      <c r="A621" s="263" t="s">
        <v>1875</v>
      </c>
      <c r="B621" s="263" t="s">
        <v>1861</v>
      </c>
      <c r="C621" s="263" t="s">
        <v>98</v>
      </c>
      <c r="D621" s="263" t="s">
        <v>1862</v>
      </c>
      <c r="E621" s="263" t="s">
        <v>110</v>
      </c>
      <c r="F621">
        <v>0</v>
      </c>
      <c r="G621">
        <v>2</v>
      </c>
      <c r="H621" s="263" t="s">
        <v>436</v>
      </c>
      <c r="I621" s="264"/>
      <c r="J621" s="263" t="s">
        <v>437</v>
      </c>
    </row>
    <row r="622" spans="1:10" x14ac:dyDescent="0.15">
      <c r="A622" s="263" t="s">
        <v>1876</v>
      </c>
      <c r="B622" s="263" t="s">
        <v>1864</v>
      </c>
      <c r="C622" s="263" t="s">
        <v>98</v>
      </c>
      <c r="D622" s="263" t="s">
        <v>1865</v>
      </c>
      <c r="E622" s="263" t="s">
        <v>110</v>
      </c>
      <c r="F622">
        <v>0</v>
      </c>
      <c r="G622">
        <v>2</v>
      </c>
      <c r="H622" s="263" t="s">
        <v>436</v>
      </c>
      <c r="I622" s="264"/>
      <c r="J622" s="263" t="s">
        <v>437</v>
      </c>
    </row>
    <row r="623" spans="1:10" x14ac:dyDescent="0.15">
      <c r="A623" s="263" t="s">
        <v>1877</v>
      </c>
      <c r="B623" s="263" t="s">
        <v>1867</v>
      </c>
      <c r="C623" s="263" t="s">
        <v>98</v>
      </c>
      <c r="D623" s="263" t="s">
        <v>1868</v>
      </c>
      <c r="E623" s="263" t="s">
        <v>110</v>
      </c>
      <c r="F623">
        <v>0</v>
      </c>
      <c r="G623">
        <v>2</v>
      </c>
      <c r="H623" s="263" t="s">
        <v>436</v>
      </c>
      <c r="I623" s="264"/>
      <c r="J623" s="263" t="s">
        <v>437</v>
      </c>
    </row>
    <row r="624" spans="1:10" x14ac:dyDescent="0.15">
      <c r="A624" s="263" t="s">
        <v>1878</v>
      </c>
      <c r="B624" s="263" t="s">
        <v>1870</v>
      </c>
      <c r="C624" s="263" t="s">
        <v>98</v>
      </c>
      <c r="D624" s="263" t="s">
        <v>1871</v>
      </c>
      <c r="E624" s="263" t="s">
        <v>110</v>
      </c>
      <c r="F624">
        <v>0</v>
      </c>
      <c r="G624">
        <v>2</v>
      </c>
      <c r="H624" s="263" t="s">
        <v>436</v>
      </c>
      <c r="I624" s="264"/>
      <c r="J624" s="263" t="s">
        <v>437</v>
      </c>
    </row>
    <row r="625" spans="1:10" x14ac:dyDescent="0.15">
      <c r="A625" s="263" t="s">
        <v>9060</v>
      </c>
      <c r="B625" s="263" t="s">
        <v>9061</v>
      </c>
      <c r="C625" s="263" t="s">
        <v>98</v>
      </c>
      <c r="D625" s="263" t="s">
        <v>9062</v>
      </c>
      <c r="E625" s="263" t="s">
        <v>110</v>
      </c>
      <c r="F625">
        <v>0</v>
      </c>
      <c r="G625">
        <v>2</v>
      </c>
      <c r="H625" s="263" t="s">
        <v>436</v>
      </c>
      <c r="I625" s="264"/>
      <c r="J625" s="263" t="s">
        <v>437</v>
      </c>
    </row>
    <row r="626" spans="1:10" x14ac:dyDescent="0.15">
      <c r="A626" s="263" t="s">
        <v>1879</v>
      </c>
      <c r="B626" s="263" t="s">
        <v>1873</v>
      </c>
      <c r="C626" s="263" t="s">
        <v>98</v>
      </c>
      <c r="D626" s="263" t="s">
        <v>1874</v>
      </c>
      <c r="E626" s="263" t="s">
        <v>110</v>
      </c>
      <c r="F626">
        <v>0</v>
      </c>
      <c r="G626">
        <v>2</v>
      </c>
      <c r="H626" s="263" t="s">
        <v>436</v>
      </c>
      <c r="I626" s="264"/>
      <c r="J626" s="263" t="s">
        <v>437</v>
      </c>
    </row>
    <row r="627" spans="1:10" x14ac:dyDescent="0.15">
      <c r="A627" s="263" t="s">
        <v>1880</v>
      </c>
      <c r="B627" s="263" t="s">
        <v>1881</v>
      </c>
      <c r="C627" s="263" t="s">
        <v>105</v>
      </c>
      <c r="D627" s="263" t="s">
        <v>1882</v>
      </c>
      <c r="E627" s="263" t="s">
        <v>112</v>
      </c>
      <c r="F627">
        <v>0</v>
      </c>
      <c r="G627">
        <v>2</v>
      </c>
      <c r="H627" s="263" t="s">
        <v>436</v>
      </c>
      <c r="I627" s="264"/>
      <c r="J627" s="263" t="s">
        <v>437</v>
      </c>
    </row>
    <row r="628" spans="1:10" x14ac:dyDescent="0.15">
      <c r="A628" s="263" t="s">
        <v>1883</v>
      </c>
      <c r="B628" s="263" t="s">
        <v>1884</v>
      </c>
      <c r="C628" s="263" t="s">
        <v>90</v>
      </c>
      <c r="D628" s="263" t="s">
        <v>1885</v>
      </c>
      <c r="E628" s="263" t="s">
        <v>104</v>
      </c>
      <c r="F628">
        <v>2</v>
      </c>
      <c r="G628">
        <v>2</v>
      </c>
      <c r="H628" s="263" t="s">
        <v>436</v>
      </c>
      <c r="I628" s="264"/>
      <c r="J628" s="263" t="s">
        <v>437</v>
      </c>
    </row>
    <row r="629" spans="1:10" x14ac:dyDescent="0.15">
      <c r="A629" s="263" t="s">
        <v>1886</v>
      </c>
      <c r="B629" s="263" t="s">
        <v>1887</v>
      </c>
      <c r="C629" s="263" t="s">
        <v>90</v>
      </c>
      <c r="D629" s="263" t="s">
        <v>1888</v>
      </c>
      <c r="E629" s="263" t="s">
        <v>104</v>
      </c>
      <c r="F629">
        <v>2</v>
      </c>
      <c r="G629">
        <v>2</v>
      </c>
      <c r="H629" s="263" t="s">
        <v>436</v>
      </c>
      <c r="I629" s="264"/>
      <c r="J629" s="263" t="s">
        <v>437</v>
      </c>
    </row>
    <row r="630" spans="1:10" x14ac:dyDescent="0.15">
      <c r="A630" s="263" t="s">
        <v>1889</v>
      </c>
      <c r="B630" s="263" t="s">
        <v>1890</v>
      </c>
      <c r="C630" s="263" t="s">
        <v>90</v>
      </c>
      <c r="D630" s="263" t="s">
        <v>1891</v>
      </c>
      <c r="E630" s="263" t="s">
        <v>104</v>
      </c>
      <c r="F630">
        <v>2</v>
      </c>
      <c r="G630">
        <v>2</v>
      </c>
      <c r="H630" s="263" t="s">
        <v>436</v>
      </c>
      <c r="I630" s="264"/>
      <c r="J630" s="263" t="s">
        <v>437</v>
      </c>
    </row>
    <row r="631" spans="1:10" x14ac:dyDescent="0.15">
      <c r="A631" s="263" t="s">
        <v>1892</v>
      </c>
      <c r="B631" s="263" t="s">
        <v>1893</v>
      </c>
      <c r="C631" s="263" t="s">
        <v>90</v>
      </c>
      <c r="D631" s="263" t="s">
        <v>1894</v>
      </c>
      <c r="E631" s="263" t="s">
        <v>104</v>
      </c>
      <c r="F631">
        <v>2</v>
      </c>
      <c r="G631">
        <v>2</v>
      </c>
      <c r="H631" s="263" t="s">
        <v>436</v>
      </c>
      <c r="I631" s="264"/>
      <c r="J631" s="263" t="s">
        <v>437</v>
      </c>
    </row>
    <row r="632" spans="1:10" x14ac:dyDescent="0.15">
      <c r="A632" s="263" t="s">
        <v>1895</v>
      </c>
      <c r="B632" s="263" t="s">
        <v>1896</v>
      </c>
      <c r="C632" s="263" t="s">
        <v>90</v>
      </c>
      <c r="D632" s="263" t="s">
        <v>1897</v>
      </c>
      <c r="E632" s="263" t="s">
        <v>104</v>
      </c>
      <c r="F632">
        <v>2</v>
      </c>
      <c r="G632">
        <v>2</v>
      </c>
      <c r="H632" s="263" t="s">
        <v>436</v>
      </c>
      <c r="I632" s="264"/>
      <c r="J632" s="263" t="s">
        <v>437</v>
      </c>
    </row>
    <row r="633" spans="1:10" x14ac:dyDescent="0.15">
      <c r="A633" s="263" t="s">
        <v>1898</v>
      </c>
      <c r="B633" s="263" t="s">
        <v>1884</v>
      </c>
      <c r="C633" s="263" t="s">
        <v>98</v>
      </c>
      <c r="D633" s="263" t="s">
        <v>1885</v>
      </c>
      <c r="E633" s="263" t="s">
        <v>110</v>
      </c>
      <c r="F633">
        <v>0</v>
      </c>
      <c r="G633">
        <v>2</v>
      </c>
      <c r="H633" s="263" t="s">
        <v>436</v>
      </c>
      <c r="I633" s="264"/>
      <c r="J633" s="263" t="s">
        <v>437</v>
      </c>
    </row>
    <row r="634" spans="1:10" x14ac:dyDescent="0.15">
      <c r="A634" s="263" t="s">
        <v>1899</v>
      </c>
      <c r="B634" s="263" t="s">
        <v>1887</v>
      </c>
      <c r="C634" s="263" t="s">
        <v>98</v>
      </c>
      <c r="D634" s="263" t="s">
        <v>1888</v>
      </c>
      <c r="E634" s="263" t="s">
        <v>110</v>
      </c>
      <c r="F634">
        <v>0</v>
      </c>
      <c r="G634">
        <v>2</v>
      </c>
      <c r="H634" s="263" t="s">
        <v>436</v>
      </c>
      <c r="I634" s="264"/>
      <c r="J634" s="263" t="s">
        <v>437</v>
      </c>
    </row>
    <row r="635" spans="1:10" x14ac:dyDescent="0.15">
      <c r="A635" s="263" t="s">
        <v>1900</v>
      </c>
      <c r="B635" s="263" t="s">
        <v>1890</v>
      </c>
      <c r="C635" s="263" t="s">
        <v>98</v>
      </c>
      <c r="D635" s="263" t="s">
        <v>1891</v>
      </c>
      <c r="E635" s="263" t="s">
        <v>110</v>
      </c>
      <c r="F635">
        <v>0</v>
      </c>
      <c r="G635">
        <v>2</v>
      </c>
      <c r="H635" s="263" t="s">
        <v>436</v>
      </c>
      <c r="I635" s="264"/>
      <c r="J635" s="263" t="s">
        <v>437</v>
      </c>
    </row>
    <row r="636" spans="1:10" x14ac:dyDescent="0.15">
      <c r="A636" s="263" t="s">
        <v>1901</v>
      </c>
      <c r="B636" s="263" t="s">
        <v>1893</v>
      </c>
      <c r="C636" s="263" t="s">
        <v>98</v>
      </c>
      <c r="D636" s="263" t="s">
        <v>1894</v>
      </c>
      <c r="E636" s="263" t="s">
        <v>110</v>
      </c>
      <c r="F636">
        <v>0</v>
      </c>
      <c r="G636">
        <v>2</v>
      </c>
      <c r="H636" s="263" t="s">
        <v>436</v>
      </c>
      <c r="I636" s="264"/>
      <c r="J636" s="263" t="s">
        <v>437</v>
      </c>
    </row>
    <row r="637" spans="1:10" x14ac:dyDescent="0.15">
      <c r="A637" s="263" t="s">
        <v>1902</v>
      </c>
      <c r="B637" s="263" t="s">
        <v>1896</v>
      </c>
      <c r="C637" s="263" t="s">
        <v>98</v>
      </c>
      <c r="D637" s="263" t="s">
        <v>1897</v>
      </c>
      <c r="E637" s="263" t="s">
        <v>110</v>
      </c>
      <c r="F637">
        <v>0</v>
      </c>
      <c r="G637">
        <v>2</v>
      </c>
      <c r="H637" s="263" t="s">
        <v>436</v>
      </c>
      <c r="I637" s="264"/>
      <c r="J637" s="263" t="s">
        <v>437</v>
      </c>
    </row>
    <row r="638" spans="1:10" x14ac:dyDescent="0.15">
      <c r="A638" s="263" t="s">
        <v>1903</v>
      </c>
      <c r="B638" s="263" t="s">
        <v>1904</v>
      </c>
      <c r="C638" s="263" t="s">
        <v>90</v>
      </c>
      <c r="D638" s="263" t="s">
        <v>1905</v>
      </c>
      <c r="E638" s="263" t="s">
        <v>104</v>
      </c>
      <c r="F638">
        <v>2</v>
      </c>
      <c r="G638">
        <v>2</v>
      </c>
      <c r="H638" s="263" t="s">
        <v>436</v>
      </c>
      <c r="I638" s="264"/>
      <c r="J638" s="263" t="s">
        <v>437</v>
      </c>
    </row>
    <row r="639" spans="1:10" x14ac:dyDescent="0.15">
      <c r="A639" s="263" t="s">
        <v>1906</v>
      </c>
      <c r="B639" s="263" t="s">
        <v>1907</v>
      </c>
      <c r="C639" s="263" t="s">
        <v>90</v>
      </c>
      <c r="D639" s="263" t="s">
        <v>1908</v>
      </c>
      <c r="E639" s="263" t="s">
        <v>104</v>
      </c>
      <c r="F639">
        <v>2</v>
      </c>
      <c r="G639">
        <v>2</v>
      </c>
      <c r="H639" s="263" t="s">
        <v>436</v>
      </c>
      <c r="I639" s="264"/>
      <c r="J639" s="263" t="s">
        <v>437</v>
      </c>
    </row>
    <row r="640" spans="1:10" x14ac:dyDescent="0.15">
      <c r="A640" s="263" t="s">
        <v>1909</v>
      </c>
      <c r="B640" s="263" t="s">
        <v>1910</v>
      </c>
      <c r="C640" s="263" t="s">
        <v>90</v>
      </c>
      <c r="D640" s="263" t="s">
        <v>1911</v>
      </c>
      <c r="E640" s="263" t="s">
        <v>104</v>
      </c>
      <c r="F640">
        <v>2</v>
      </c>
      <c r="G640">
        <v>2</v>
      </c>
      <c r="H640" s="263" t="s">
        <v>436</v>
      </c>
      <c r="I640" s="264"/>
      <c r="J640" s="263" t="s">
        <v>437</v>
      </c>
    </row>
    <row r="641" spans="1:10" x14ac:dyDescent="0.15">
      <c r="A641" s="263" t="s">
        <v>1912</v>
      </c>
      <c r="B641" s="263" t="s">
        <v>1913</v>
      </c>
      <c r="C641" s="263" t="s">
        <v>90</v>
      </c>
      <c r="D641" s="263" t="s">
        <v>1914</v>
      </c>
      <c r="E641" s="263" t="s">
        <v>104</v>
      </c>
      <c r="F641">
        <v>2</v>
      </c>
      <c r="G641">
        <v>2</v>
      </c>
      <c r="H641" s="263" t="s">
        <v>436</v>
      </c>
      <c r="I641" s="264"/>
      <c r="J641" s="263" t="s">
        <v>437</v>
      </c>
    </row>
    <row r="642" spans="1:10" x14ac:dyDescent="0.15">
      <c r="A642" s="263" t="s">
        <v>1915</v>
      </c>
      <c r="B642" s="263" t="s">
        <v>1916</v>
      </c>
      <c r="C642" s="263" t="s">
        <v>90</v>
      </c>
      <c r="D642" s="263" t="s">
        <v>1917</v>
      </c>
      <c r="E642" s="263" t="s">
        <v>104</v>
      </c>
      <c r="F642">
        <v>2</v>
      </c>
      <c r="G642">
        <v>2</v>
      </c>
      <c r="H642" s="263" t="s">
        <v>436</v>
      </c>
      <c r="I642" s="264"/>
      <c r="J642" s="263" t="s">
        <v>437</v>
      </c>
    </row>
    <row r="643" spans="1:10" x14ac:dyDescent="0.15">
      <c r="A643" s="263" t="s">
        <v>1918</v>
      </c>
      <c r="B643" s="263" t="s">
        <v>1904</v>
      </c>
      <c r="C643" s="263" t="s">
        <v>98</v>
      </c>
      <c r="D643" s="263" t="s">
        <v>1905</v>
      </c>
      <c r="E643" s="263" t="s">
        <v>110</v>
      </c>
      <c r="F643">
        <v>0</v>
      </c>
      <c r="G643">
        <v>2</v>
      </c>
      <c r="H643" s="263" t="s">
        <v>436</v>
      </c>
      <c r="I643" s="264"/>
      <c r="J643" s="263" t="s">
        <v>437</v>
      </c>
    </row>
    <row r="644" spans="1:10" x14ac:dyDescent="0.15">
      <c r="A644" s="263" t="s">
        <v>1919</v>
      </c>
      <c r="B644" s="263" t="s">
        <v>1907</v>
      </c>
      <c r="C644" s="263" t="s">
        <v>98</v>
      </c>
      <c r="D644" s="263" t="s">
        <v>1908</v>
      </c>
      <c r="E644" s="263" t="s">
        <v>110</v>
      </c>
      <c r="F644">
        <v>0</v>
      </c>
      <c r="G644">
        <v>2</v>
      </c>
      <c r="H644" s="263" t="s">
        <v>436</v>
      </c>
      <c r="I644" s="264"/>
      <c r="J644" s="263" t="s">
        <v>437</v>
      </c>
    </row>
    <row r="645" spans="1:10" x14ac:dyDescent="0.15">
      <c r="A645" s="263" t="s">
        <v>1920</v>
      </c>
      <c r="B645" s="263" t="s">
        <v>1910</v>
      </c>
      <c r="C645" s="263" t="s">
        <v>98</v>
      </c>
      <c r="D645" s="263" t="s">
        <v>1911</v>
      </c>
      <c r="E645" s="263" t="s">
        <v>110</v>
      </c>
      <c r="F645">
        <v>0</v>
      </c>
      <c r="G645">
        <v>2</v>
      </c>
      <c r="H645" s="263" t="s">
        <v>436</v>
      </c>
      <c r="I645" s="264"/>
      <c r="J645" s="263" t="s">
        <v>437</v>
      </c>
    </row>
    <row r="646" spans="1:10" x14ac:dyDescent="0.15">
      <c r="A646" s="263" t="s">
        <v>1921</v>
      </c>
      <c r="B646" s="263" t="s">
        <v>1913</v>
      </c>
      <c r="C646" s="263" t="s">
        <v>98</v>
      </c>
      <c r="D646" s="263" t="s">
        <v>1914</v>
      </c>
      <c r="E646" s="263" t="s">
        <v>110</v>
      </c>
      <c r="F646">
        <v>0</v>
      </c>
      <c r="G646">
        <v>2</v>
      </c>
      <c r="H646" s="263" t="s">
        <v>436</v>
      </c>
      <c r="I646" s="264"/>
      <c r="J646" s="263" t="s">
        <v>437</v>
      </c>
    </row>
    <row r="647" spans="1:10" x14ac:dyDescent="0.15">
      <c r="A647" s="263" t="s">
        <v>1922</v>
      </c>
      <c r="B647" s="263" t="s">
        <v>1916</v>
      </c>
      <c r="C647" s="263" t="s">
        <v>98</v>
      </c>
      <c r="D647" s="263" t="s">
        <v>1917</v>
      </c>
      <c r="E647" s="263" t="s">
        <v>110</v>
      </c>
      <c r="F647">
        <v>0</v>
      </c>
      <c r="G647">
        <v>2</v>
      </c>
      <c r="H647" s="263" t="s">
        <v>436</v>
      </c>
      <c r="I647" s="264"/>
      <c r="J647" s="263" t="s">
        <v>437</v>
      </c>
    </row>
    <row r="648" spans="1:10" x14ac:dyDescent="0.15">
      <c r="A648" s="263" t="s">
        <v>1923</v>
      </c>
      <c r="B648" s="263" t="s">
        <v>1323</v>
      </c>
      <c r="C648" s="263" t="s">
        <v>105</v>
      </c>
      <c r="D648" s="263" t="s">
        <v>1324</v>
      </c>
      <c r="E648" s="263" t="s">
        <v>112</v>
      </c>
      <c r="F648">
        <v>0</v>
      </c>
      <c r="G648">
        <v>2</v>
      </c>
      <c r="H648" s="263" t="s">
        <v>436</v>
      </c>
      <c r="I648" s="264"/>
      <c r="J648" s="263" t="s">
        <v>437</v>
      </c>
    </row>
    <row r="649" spans="1:10" x14ac:dyDescent="0.15">
      <c r="A649" s="263" t="s">
        <v>1924</v>
      </c>
      <c r="B649" s="263" t="s">
        <v>1925</v>
      </c>
      <c r="C649" s="263" t="s">
        <v>105</v>
      </c>
      <c r="D649" s="263" t="s">
        <v>1926</v>
      </c>
      <c r="E649" s="263" t="s">
        <v>112</v>
      </c>
      <c r="F649">
        <v>0</v>
      </c>
      <c r="G649">
        <v>2</v>
      </c>
      <c r="H649" s="263" t="s">
        <v>436</v>
      </c>
      <c r="I649" s="264"/>
      <c r="J649" s="263" t="s">
        <v>437</v>
      </c>
    </row>
    <row r="650" spans="1:10" x14ac:dyDescent="0.15">
      <c r="A650" s="263" t="s">
        <v>1927</v>
      </c>
      <c r="B650" s="263" t="s">
        <v>1329</v>
      </c>
      <c r="C650" s="263" t="s">
        <v>105</v>
      </c>
      <c r="D650" s="263" t="s">
        <v>1330</v>
      </c>
      <c r="E650" s="263" t="s">
        <v>112</v>
      </c>
      <c r="F650">
        <v>0</v>
      </c>
      <c r="G650">
        <v>2</v>
      </c>
      <c r="H650" s="263" t="s">
        <v>436</v>
      </c>
      <c r="I650" s="264"/>
      <c r="J650" s="263" t="s">
        <v>437</v>
      </c>
    </row>
    <row r="651" spans="1:10" x14ac:dyDescent="0.15">
      <c r="A651" s="263" t="s">
        <v>1928</v>
      </c>
      <c r="B651" s="263" t="s">
        <v>1929</v>
      </c>
      <c r="C651" s="263" t="s">
        <v>105</v>
      </c>
      <c r="D651" s="263" t="s">
        <v>1930</v>
      </c>
      <c r="E651" s="263" t="s">
        <v>112</v>
      </c>
      <c r="F651">
        <v>0</v>
      </c>
      <c r="G651">
        <v>2</v>
      </c>
      <c r="H651" s="263" t="s">
        <v>436</v>
      </c>
      <c r="I651" s="264"/>
      <c r="J651" s="263" t="s">
        <v>437</v>
      </c>
    </row>
    <row r="652" spans="1:10" x14ac:dyDescent="0.15">
      <c r="A652" s="263" t="s">
        <v>1931</v>
      </c>
      <c r="B652" s="263" t="s">
        <v>1932</v>
      </c>
      <c r="C652" s="263" t="s">
        <v>105</v>
      </c>
      <c r="D652" s="263" t="s">
        <v>1933</v>
      </c>
      <c r="E652" s="263" t="s">
        <v>112</v>
      </c>
      <c r="F652">
        <v>0</v>
      </c>
      <c r="G652">
        <v>2</v>
      </c>
      <c r="H652" s="263" t="s">
        <v>436</v>
      </c>
      <c r="I652" s="264"/>
      <c r="J652" s="263" t="s">
        <v>437</v>
      </c>
    </row>
    <row r="653" spans="1:10" x14ac:dyDescent="0.15">
      <c r="A653" s="263" t="s">
        <v>1934</v>
      </c>
      <c r="B653" s="263" t="s">
        <v>1935</v>
      </c>
      <c r="C653" s="263" t="s">
        <v>98</v>
      </c>
      <c r="D653" s="263" t="s">
        <v>1936</v>
      </c>
      <c r="E653" s="263" t="s">
        <v>110</v>
      </c>
      <c r="F653">
        <v>0</v>
      </c>
      <c r="G653">
        <v>2</v>
      </c>
      <c r="H653" s="263" t="s">
        <v>436</v>
      </c>
      <c r="I653" s="264"/>
      <c r="J653" s="263" t="s">
        <v>437</v>
      </c>
    </row>
    <row r="654" spans="1:10" x14ac:dyDescent="0.15">
      <c r="A654" s="263" t="s">
        <v>1937</v>
      </c>
      <c r="B654" s="263" t="s">
        <v>1935</v>
      </c>
      <c r="C654" s="263" t="s">
        <v>105</v>
      </c>
      <c r="D654" s="263" t="s">
        <v>1936</v>
      </c>
      <c r="E654" s="263" t="s">
        <v>112</v>
      </c>
      <c r="F654">
        <v>0</v>
      </c>
      <c r="G654">
        <v>2</v>
      </c>
      <c r="H654" s="263" t="s">
        <v>436</v>
      </c>
      <c r="I654" s="264"/>
      <c r="J654" s="263" t="s">
        <v>437</v>
      </c>
    </row>
    <row r="655" spans="1:10" x14ac:dyDescent="0.15">
      <c r="A655" s="263" t="s">
        <v>9437</v>
      </c>
      <c r="B655" s="263" t="s">
        <v>1935</v>
      </c>
      <c r="C655" s="263" t="s">
        <v>99</v>
      </c>
      <c r="D655" s="263" t="s">
        <v>1936</v>
      </c>
      <c r="E655" s="263" t="s">
        <v>84</v>
      </c>
      <c r="F655">
        <v>0</v>
      </c>
      <c r="G655">
        <v>2</v>
      </c>
      <c r="H655" s="263" t="s">
        <v>436</v>
      </c>
      <c r="I655" s="264"/>
      <c r="J655" s="263" t="s">
        <v>437</v>
      </c>
    </row>
    <row r="656" spans="1:10" x14ac:dyDescent="0.15">
      <c r="A656" s="263" t="s">
        <v>1938</v>
      </c>
      <c r="B656" s="263" t="s">
        <v>1925</v>
      </c>
      <c r="C656" s="263" t="s">
        <v>105</v>
      </c>
      <c r="D656" s="263" t="s">
        <v>1926</v>
      </c>
      <c r="E656" s="263" t="s">
        <v>112</v>
      </c>
      <c r="F656">
        <v>0</v>
      </c>
      <c r="G656">
        <v>2</v>
      </c>
      <c r="H656" s="263" t="s">
        <v>436</v>
      </c>
      <c r="I656" s="264"/>
      <c r="J656" s="263" t="s">
        <v>437</v>
      </c>
    </row>
    <row r="657" spans="1:10" x14ac:dyDescent="0.15">
      <c r="A657" s="263" t="s">
        <v>1939</v>
      </c>
      <c r="B657" s="263" t="s">
        <v>1329</v>
      </c>
      <c r="C657" s="263" t="s">
        <v>105</v>
      </c>
      <c r="D657" s="263" t="s">
        <v>1330</v>
      </c>
      <c r="E657" s="263" t="s">
        <v>112</v>
      </c>
      <c r="F657">
        <v>0</v>
      </c>
      <c r="G657">
        <v>2</v>
      </c>
      <c r="H657" s="263" t="s">
        <v>436</v>
      </c>
      <c r="I657" s="264"/>
      <c r="J657" s="263" t="s">
        <v>437</v>
      </c>
    </row>
    <row r="658" spans="1:10" x14ac:dyDescent="0.15">
      <c r="A658" s="263" t="s">
        <v>1940</v>
      </c>
      <c r="B658" s="263" t="s">
        <v>9438</v>
      </c>
      <c r="C658" s="263" t="s">
        <v>105</v>
      </c>
      <c r="D658" s="263" t="s">
        <v>9439</v>
      </c>
      <c r="E658" s="263" t="s">
        <v>112</v>
      </c>
      <c r="F658">
        <v>0</v>
      </c>
      <c r="G658">
        <v>2</v>
      </c>
      <c r="H658" s="263" t="s">
        <v>1611</v>
      </c>
      <c r="I658" s="264"/>
      <c r="J658" s="263" t="s">
        <v>437</v>
      </c>
    </row>
    <row r="659" spans="1:10" x14ac:dyDescent="0.15">
      <c r="A659" s="263" t="s">
        <v>1943</v>
      </c>
      <c r="B659" s="263" t="s">
        <v>9440</v>
      </c>
      <c r="C659" s="263" t="s">
        <v>105</v>
      </c>
      <c r="D659" s="263" t="s">
        <v>9441</v>
      </c>
      <c r="E659" s="263" t="s">
        <v>112</v>
      </c>
      <c r="F659">
        <v>0</v>
      </c>
      <c r="G659">
        <v>2</v>
      </c>
      <c r="H659" s="263" t="s">
        <v>1611</v>
      </c>
      <c r="I659" s="264"/>
      <c r="J659" s="263" t="s">
        <v>437</v>
      </c>
    </row>
    <row r="660" spans="1:10" x14ac:dyDescent="0.15">
      <c r="A660" s="263" t="s">
        <v>1944</v>
      </c>
      <c r="B660" s="263" t="s">
        <v>9442</v>
      </c>
      <c r="C660" s="263" t="s">
        <v>105</v>
      </c>
      <c r="D660" s="263" t="s">
        <v>9443</v>
      </c>
      <c r="E660" s="263" t="s">
        <v>112</v>
      </c>
      <c r="F660">
        <v>0</v>
      </c>
      <c r="G660">
        <v>2</v>
      </c>
      <c r="H660" s="263" t="s">
        <v>1611</v>
      </c>
      <c r="I660" s="264"/>
      <c r="J660" s="263" t="s">
        <v>437</v>
      </c>
    </row>
    <row r="661" spans="1:10" x14ac:dyDescent="0.15">
      <c r="A661" s="263" t="s">
        <v>1945</v>
      </c>
      <c r="B661" s="263" t="s">
        <v>9444</v>
      </c>
      <c r="C661" s="263" t="s">
        <v>105</v>
      </c>
      <c r="D661" s="263" t="s">
        <v>9445</v>
      </c>
      <c r="E661" s="263" t="s">
        <v>112</v>
      </c>
      <c r="F661">
        <v>0</v>
      </c>
      <c r="G661">
        <v>2</v>
      </c>
      <c r="H661" s="263" t="s">
        <v>1611</v>
      </c>
      <c r="I661" s="264"/>
      <c r="J661" s="263" t="s">
        <v>437</v>
      </c>
    </row>
    <row r="662" spans="1:10" x14ac:dyDescent="0.15">
      <c r="A662" s="263" t="s">
        <v>1946</v>
      </c>
      <c r="B662" s="263" t="s">
        <v>9446</v>
      </c>
      <c r="C662" s="263" t="s">
        <v>105</v>
      </c>
      <c r="D662" s="263" t="s">
        <v>9447</v>
      </c>
      <c r="E662" s="263" t="s">
        <v>112</v>
      </c>
      <c r="F662">
        <v>0</v>
      </c>
      <c r="G662">
        <v>2</v>
      </c>
      <c r="H662" s="263" t="s">
        <v>1611</v>
      </c>
      <c r="I662" s="264"/>
      <c r="J662" s="263" t="s">
        <v>437</v>
      </c>
    </row>
    <row r="663" spans="1:10" x14ac:dyDescent="0.15">
      <c r="A663" s="263" t="s">
        <v>1947</v>
      </c>
      <c r="B663" s="263" t="s">
        <v>9438</v>
      </c>
      <c r="C663" s="263" t="s">
        <v>98</v>
      </c>
      <c r="D663" s="263" t="s">
        <v>9439</v>
      </c>
      <c r="E663" s="263" t="s">
        <v>110</v>
      </c>
      <c r="F663">
        <v>0</v>
      </c>
      <c r="G663">
        <v>2</v>
      </c>
      <c r="H663" s="263" t="s">
        <v>1611</v>
      </c>
      <c r="I663" s="264"/>
      <c r="J663" s="263" t="s">
        <v>437</v>
      </c>
    </row>
    <row r="664" spans="1:10" x14ac:dyDescent="0.15">
      <c r="A664" s="263" t="s">
        <v>9448</v>
      </c>
      <c r="B664" s="263" t="s">
        <v>9440</v>
      </c>
      <c r="C664" s="263" t="s">
        <v>98</v>
      </c>
      <c r="D664" s="263" t="s">
        <v>9441</v>
      </c>
      <c r="E664" s="263" t="s">
        <v>110</v>
      </c>
      <c r="F664">
        <v>0</v>
      </c>
      <c r="G664">
        <v>2</v>
      </c>
      <c r="H664" s="263" t="s">
        <v>1611</v>
      </c>
      <c r="I664" s="264"/>
      <c r="J664" s="263" t="s">
        <v>437</v>
      </c>
    </row>
    <row r="665" spans="1:10" x14ac:dyDescent="0.15">
      <c r="A665" s="263" t="s">
        <v>9449</v>
      </c>
      <c r="B665" s="263" t="s">
        <v>9442</v>
      </c>
      <c r="C665" s="263" t="s">
        <v>98</v>
      </c>
      <c r="D665" s="263" t="s">
        <v>9443</v>
      </c>
      <c r="E665" s="263" t="s">
        <v>110</v>
      </c>
      <c r="F665">
        <v>0</v>
      </c>
      <c r="G665">
        <v>2</v>
      </c>
      <c r="H665" s="263" t="s">
        <v>1611</v>
      </c>
      <c r="I665" s="264"/>
      <c r="J665" s="263" t="s">
        <v>437</v>
      </c>
    </row>
    <row r="666" spans="1:10" x14ac:dyDescent="0.15">
      <c r="A666" s="263" t="s">
        <v>9450</v>
      </c>
      <c r="B666" s="263" t="s">
        <v>9444</v>
      </c>
      <c r="C666" s="263" t="s">
        <v>98</v>
      </c>
      <c r="D666" s="263" t="s">
        <v>9445</v>
      </c>
      <c r="E666" s="263" t="s">
        <v>110</v>
      </c>
      <c r="F666">
        <v>0</v>
      </c>
      <c r="G666">
        <v>2</v>
      </c>
      <c r="H666" s="263" t="s">
        <v>1611</v>
      </c>
      <c r="I666" s="264"/>
      <c r="J666" s="263" t="s">
        <v>437</v>
      </c>
    </row>
    <row r="667" spans="1:10" x14ac:dyDescent="0.15">
      <c r="A667" s="263" t="s">
        <v>9451</v>
      </c>
      <c r="B667" s="263" t="s">
        <v>9446</v>
      </c>
      <c r="C667" s="263" t="s">
        <v>98</v>
      </c>
      <c r="D667" s="263" t="s">
        <v>9447</v>
      </c>
      <c r="E667" s="263" t="s">
        <v>110</v>
      </c>
      <c r="F667">
        <v>0</v>
      </c>
      <c r="G667">
        <v>2</v>
      </c>
      <c r="H667" s="263" t="s">
        <v>1611</v>
      </c>
      <c r="I667" s="264"/>
      <c r="J667" s="263" t="s">
        <v>437</v>
      </c>
    </row>
    <row r="668" spans="1:10" x14ac:dyDescent="0.15">
      <c r="A668" s="263" t="s">
        <v>1948</v>
      </c>
      <c r="B668" s="263" t="s">
        <v>9438</v>
      </c>
      <c r="C668" s="263" t="s">
        <v>99</v>
      </c>
      <c r="D668" s="263" t="s">
        <v>9439</v>
      </c>
      <c r="E668" s="263" t="s">
        <v>84</v>
      </c>
      <c r="F668">
        <v>0</v>
      </c>
      <c r="G668">
        <v>2</v>
      </c>
      <c r="H668" s="263" t="s">
        <v>1611</v>
      </c>
      <c r="I668" s="264"/>
      <c r="J668" s="263" t="s">
        <v>437</v>
      </c>
    </row>
    <row r="669" spans="1:10" x14ac:dyDescent="0.15">
      <c r="A669" s="263" t="s">
        <v>9452</v>
      </c>
      <c r="B669" s="263" t="s">
        <v>1951</v>
      </c>
      <c r="C669" s="263" t="s">
        <v>99</v>
      </c>
      <c r="D669" s="263" t="s">
        <v>9441</v>
      </c>
      <c r="E669" s="263" t="s">
        <v>84</v>
      </c>
      <c r="F669">
        <v>0</v>
      </c>
      <c r="G669">
        <v>2</v>
      </c>
      <c r="H669" s="263" t="s">
        <v>1611</v>
      </c>
      <c r="I669" s="264"/>
      <c r="J669" s="263" t="s">
        <v>437</v>
      </c>
    </row>
    <row r="670" spans="1:10" x14ac:dyDescent="0.15">
      <c r="A670" s="263" t="s">
        <v>9453</v>
      </c>
      <c r="B670" s="263" t="s">
        <v>9442</v>
      </c>
      <c r="C670" s="263" t="s">
        <v>99</v>
      </c>
      <c r="D670" s="263" t="s">
        <v>9443</v>
      </c>
      <c r="E670" s="263" t="s">
        <v>84</v>
      </c>
      <c r="F670">
        <v>0</v>
      </c>
      <c r="G670">
        <v>2</v>
      </c>
      <c r="H670" s="263" t="s">
        <v>1611</v>
      </c>
      <c r="I670" s="264"/>
      <c r="J670" s="263" t="s">
        <v>437</v>
      </c>
    </row>
    <row r="671" spans="1:10" x14ac:dyDescent="0.15">
      <c r="A671" s="263" t="s">
        <v>9454</v>
      </c>
      <c r="B671" s="263" t="s">
        <v>9444</v>
      </c>
      <c r="C671" s="263" t="s">
        <v>99</v>
      </c>
      <c r="D671" s="263" t="s">
        <v>9445</v>
      </c>
      <c r="E671" s="263" t="s">
        <v>84</v>
      </c>
      <c r="F671">
        <v>0</v>
      </c>
      <c r="G671">
        <v>2</v>
      </c>
      <c r="H671" s="263" t="s">
        <v>1611</v>
      </c>
      <c r="I671" s="264"/>
      <c r="J671" s="263" t="s">
        <v>437</v>
      </c>
    </row>
    <row r="672" spans="1:10" x14ac:dyDescent="0.15">
      <c r="A672" s="263" t="s">
        <v>9455</v>
      </c>
      <c r="B672" s="263" t="s">
        <v>9446</v>
      </c>
      <c r="C672" s="263" t="s">
        <v>99</v>
      </c>
      <c r="D672" s="263" t="s">
        <v>9447</v>
      </c>
      <c r="E672" s="263" t="s">
        <v>84</v>
      </c>
      <c r="F672">
        <v>0</v>
      </c>
      <c r="G672">
        <v>2</v>
      </c>
      <c r="H672" s="263" t="s">
        <v>1611</v>
      </c>
      <c r="I672" s="264"/>
      <c r="J672" s="263" t="s">
        <v>437</v>
      </c>
    </row>
    <row r="673" spans="1:10" x14ac:dyDescent="0.15">
      <c r="A673" s="263" t="s">
        <v>1949</v>
      </c>
      <c r="B673" s="263" t="s">
        <v>1932</v>
      </c>
      <c r="C673" s="263" t="s">
        <v>105</v>
      </c>
      <c r="D673" s="263" t="s">
        <v>1933</v>
      </c>
      <c r="E673" s="263" t="s">
        <v>112</v>
      </c>
      <c r="F673">
        <v>0</v>
      </c>
      <c r="G673">
        <v>2</v>
      </c>
      <c r="H673" s="263" t="s">
        <v>1611</v>
      </c>
      <c r="I673" s="264"/>
      <c r="J673" s="263" t="s">
        <v>437</v>
      </c>
    </row>
    <row r="674" spans="1:10" x14ac:dyDescent="0.15">
      <c r="A674" s="263" t="s">
        <v>1950</v>
      </c>
      <c r="B674" s="263" t="s">
        <v>2224</v>
      </c>
      <c r="C674" s="263" t="s">
        <v>105</v>
      </c>
      <c r="D674" s="263" t="s">
        <v>2225</v>
      </c>
      <c r="E674" s="263" t="s">
        <v>112</v>
      </c>
      <c r="F674">
        <v>0</v>
      </c>
      <c r="G674">
        <v>2</v>
      </c>
      <c r="H674" s="263" t="s">
        <v>436</v>
      </c>
      <c r="I674" s="264"/>
      <c r="J674" s="263" t="s">
        <v>437</v>
      </c>
    </row>
    <row r="675" spans="1:10" x14ac:dyDescent="0.15">
      <c r="A675" s="263" t="s">
        <v>9456</v>
      </c>
      <c r="B675" s="263" t="s">
        <v>2226</v>
      </c>
      <c r="C675" s="263" t="s">
        <v>98</v>
      </c>
      <c r="D675" s="263" t="s">
        <v>2227</v>
      </c>
      <c r="E675" s="263" t="s">
        <v>110</v>
      </c>
      <c r="F675">
        <v>0</v>
      </c>
      <c r="G675">
        <v>2</v>
      </c>
      <c r="H675" s="263" t="s">
        <v>436</v>
      </c>
      <c r="I675" s="264"/>
      <c r="J675" s="263" t="s">
        <v>437</v>
      </c>
    </row>
    <row r="676" spans="1:10" x14ac:dyDescent="0.15">
      <c r="A676" s="263" t="s">
        <v>9457</v>
      </c>
      <c r="B676" s="263" t="s">
        <v>2228</v>
      </c>
      <c r="C676" s="263" t="s">
        <v>98</v>
      </c>
      <c r="D676" s="263" t="s">
        <v>2229</v>
      </c>
      <c r="E676" s="263" t="s">
        <v>110</v>
      </c>
      <c r="F676">
        <v>0</v>
      </c>
      <c r="G676">
        <v>2</v>
      </c>
      <c r="H676" s="263" t="s">
        <v>436</v>
      </c>
      <c r="I676" s="264"/>
      <c r="J676" s="263" t="s">
        <v>437</v>
      </c>
    </row>
    <row r="677" spans="1:10" x14ac:dyDescent="0.15">
      <c r="A677" s="263" t="s">
        <v>9458</v>
      </c>
      <c r="B677" s="263" t="s">
        <v>2230</v>
      </c>
      <c r="C677" s="263" t="s">
        <v>98</v>
      </c>
      <c r="D677" s="263" t="s">
        <v>2231</v>
      </c>
      <c r="E677" s="263" t="s">
        <v>110</v>
      </c>
      <c r="F677">
        <v>0</v>
      </c>
      <c r="G677">
        <v>2</v>
      </c>
      <c r="H677" s="263" t="s">
        <v>436</v>
      </c>
      <c r="I677" s="264"/>
      <c r="J677" s="263" t="s">
        <v>437</v>
      </c>
    </row>
    <row r="678" spans="1:10" x14ac:dyDescent="0.15">
      <c r="A678" s="263" t="s">
        <v>9459</v>
      </c>
      <c r="B678" s="263" t="s">
        <v>2232</v>
      </c>
      <c r="C678" s="263" t="s">
        <v>98</v>
      </c>
      <c r="D678" s="263" t="s">
        <v>2233</v>
      </c>
      <c r="E678" s="263" t="s">
        <v>110</v>
      </c>
      <c r="F678">
        <v>0</v>
      </c>
      <c r="G678">
        <v>2</v>
      </c>
      <c r="H678" s="263" t="s">
        <v>436</v>
      </c>
      <c r="I678" s="264"/>
      <c r="J678" s="263" t="s">
        <v>437</v>
      </c>
    </row>
    <row r="679" spans="1:10" x14ac:dyDescent="0.15">
      <c r="A679" s="263" t="s">
        <v>9460</v>
      </c>
      <c r="B679" s="263" t="s">
        <v>2234</v>
      </c>
      <c r="C679" s="263" t="s">
        <v>98</v>
      </c>
      <c r="D679" s="263" t="s">
        <v>2235</v>
      </c>
      <c r="E679" s="263" t="s">
        <v>110</v>
      </c>
      <c r="F679">
        <v>0</v>
      </c>
      <c r="G679">
        <v>2</v>
      </c>
      <c r="H679" s="263" t="s">
        <v>436</v>
      </c>
      <c r="I679" s="264"/>
      <c r="J679" s="263" t="s">
        <v>437</v>
      </c>
    </row>
    <row r="680" spans="1:10" x14ac:dyDescent="0.15">
      <c r="A680" s="263" t="s">
        <v>9461</v>
      </c>
      <c r="B680" s="263" t="s">
        <v>2236</v>
      </c>
      <c r="C680" s="263" t="s">
        <v>98</v>
      </c>
      <c r="D680" s="263" t="s">
        <v>2237</v>
      </c>
      <c r="E680" s="263" t="s">
        <v>110</v>
      </c>
      <c r="F680">
        <v>0</v>
      </c>
      <c r="G680">
        <v>2</v>
      </c>
      <c r="H680" s="263" t="s">
        <v>436</v>
      </c>
      <c r="I680" s="264"/>
      <c r="J680" s="263" t="s">
        <v>437</v>
      </c>
    </row>
    <row r="681" spans="1:10" x14ac:dyDescent="0.15">
      <c r="A681" s="263" t="s">
        <v>9462</v>
      </c>
      <c r="B681" s="263" t="s">
        <v>2238</v>
      </c>
      <c r="C681" s="263" t="s">
        <v>98</v>
      </c>
      <c r="D681" s="263" t="s">
        <v>2239</v>
      </c>
      <c r="E681" s="263" t="s">
        <v>110</v>
      </c>
      <c r="F681">
        <v>0</v>
      </c>
      <c r="G681">
        <v>2</v>
      </c>
      <c r="H681" s="263" t="s">
        <v>436</v>
      </c>
      <c r="I681" s="264"/>
      <c r="J681" s="263" t="s">
        <v>437</v>
      </c>
    </row>
    <row r="682" spans="1:10" x14ac:dyDescent="0.15">
      <c r="A682" s="263" t="s">
        <v>9463</v>
      </c>
      <c r="B682" s="263" t="s">
        <v>2240</v>
      </c>
      <c r="C682" s="263" t="s">
        <v>98</v>
      </c>
      <c r="D682" s="263" t="s">
        <v>2241</v>
      </c>
      <c r="E682" s="263" t="s">
        <v>110</v>
      </c>
      <c r="F682">
        <v>0</v>
      </c>
      <c r="G682">
        <v>2</v>
      </c>
      <c r="H682" s="263" t="s">
        <v>436</v>
      </c>
      <c r="I682" s="264"/>
      <c r="J682" s="263" t="s">
        <v>437</v>
      </c>
    </row>
    <row r="683" spans="1:10" x14ac:dyDescent="0.15">
      <c r="A683" s="263" t="s">
        <v>9464</v>
      </c>
      <c r="B683" s="263" t="s">
        <v>1932</v>
      </c>
      <c r="C683" s="263" t="s">
        <v>105</v>
      </c>
      <c r="D683" s="263" t="s">
        <v>1933</v>
      </c>
      <c r="E683" s="263" t="s">
        <v>112</v>
      </c>
      <c r="F683">
        <v>0</v>
      </c>
      <c r="G683">
        <v>2</v>
      </c>
      <c r="H683" s="263" t="s">
        <v>436</v>
      </c>
      <c r="I683" s="264"/>
      <c r="J683" s="263" t="s">
        <v>437</v>
      </c>
    </row>
    <row r="684" spans="1:10" x14ac:dyDescent="0.15">
      <c r="A684" s="263" t="s">
        <v>9465</v>
      </c>
      <c r="B684" s="263" t="s">
        <v>1925</v>
      </c>
      <c r="C684" s="263" t="s">
        <v>105</v>
      </c>
      <c r="D684" s="263" t="s">
        <v>1926</v>
      </c>
      <c r="E684" s="263" t="s">
        <v>112</v>
      </c>
      <c r="F684">
        <v>0</v>
      </c>
      <c r="G684">
        <v>2</v>
      </c>
      <c r="H684" s="263" t="s">
        <v>436</v>
      </c>
      <c r="I684" s="264"/>
      <c r="J684" s="263" t="s">
        <v>437</v>
      </c>
    </row>
    <row r="685" spans="1:10" x14ac:dyDescent="0.15">
      <c r="A685" s="263" t="s">
        <v>9466</v>
      </c>
      <c r="B685" s="263" t="s">
        <v>1323</v>
      </c>
      <c r="C685" s="263" t="s">
        <v>105</v>
      </c>
      <c r="D685" s="263" t="s">
        <v>1324</v>
      </c>
      <c r="E685" s="263" t="s">
        <v>112</v>
      </c>
      <c r="F685">
        <v>0</v>
      </c>
      <c r="G685">
        <v>2</v>
      </c>
      <c r="H685" s="263" t="s">
        <v>436</v>
      </c>
      <c r="I685" s="264"/>
      <c r="J685" s="263" t="s">
        <v>437</v>
      </c>
    </row>
    <row r="686" spans="1:10" x14ac:dyDescent="0.15">
      <c r="A686" s="263" t="s">
        <v>1952</v>
      </c>
      <c r="B686" s="263" t="s">
        <v>1953</v>
      </c>
      <c r="C686" s="263" t="s">
        <v>90</v>
      </c>
      <c r="D686" s="263" t="s">
        <v>1954</v>
      </c>
      <c r="E686" s="263" t="s">
        <v>104</v>
      </c>
      <c r="F686">
        <v>2</v>
      </c>
      <c r="G686">
        <v>2</v>
      </c>
      <c r="H686" s="263" t="s">
        <v>436</v>
      </c>
      <c r="I686" s="264"/>
      <c r="J686" s="263" t="s">
        <v>437</v>
      </c>
    </row>
    <row r="687" spans="1:10" x14ac:dyDescent="0.15">
      <c r="A687" s="263" t="s">
        <v>1955</v>
      </c>
      <c r="B687" s="263" t="s">
        <v>1956</v>
      </c>
      <c r="C687" s="263" t="s">
        <v>90</v>
      </c>
      <c r="D687" s="263" t="s">
        <v>1957</v>
      </c>
      <c r="E687" s="263" t="s">
        <v>104</v>
      </c>
      <c r="F687">
        <v>2</v>
      </c>
      <c r="G687">
        <v>2</v>
      </c>
      <c r="H687" s="263" t="s">
        <v>436</v>
      </c>
      <c r="I687" s="264"/>
      <c r="J687" s="263" t="s">
        <v>437</v>
      </c>
    </row>
    <row r="688" spans="1:10" x14ac:dyDescent="0.15">
      <c r="A688" s="263" t="s">
        <v>1958</v>
      </c>
      <c r="B688" s="263" t="s">
        <v>1953</v>
      </c>
      <c r="C688" s="263" t="s">
        <v>98</v>
      </c>
      <c r="D688" s="263" t="s">
        <v>1954</v>
      </c>
      <c r="E688" s="263" t="s">
        <v>110</v>
      </c>
      <c r="F688">
        <v>0</v>
      </c>
      <c r="G688">
        <v>2</v>
      </c>
      <c r="H688" s="263" t="s">
        <v>436</v>
      </c>
      <c r="I688" s="264"/>
      <c r="J688" s="263" t="s">
        <v>437</v>
      </c>
    </row>
    <row r="689" spans="1:10" x14ac:dyDescent="0.15">
      <c r="A689" s="263" t="s">
        <v>1959</v>
      </c>
      <c r="B689" s="263" t="s">
        <v>1956</v>
      </c>
      <c r="C689" s="263" t="s">
        <v>98</v>
      </c>
      <c r="D689" s="263" t="s">
        <v>1957</v>
      </c>
      <c r="E689" s="263" t="s">
        <v>110</v>
      </c>
      <c r="F689">
        <v>0</v>
      </c>
      <c r="G689">
        <v>2</v>
      </c>
      <c r="H689" s="263" t="s">
        <v>436</v>
      </c>
      <c r="I689" s="264"/>
      <c r="J689" s="263" t="s">
        <v>437</v>
      </c>
    </row>
    <row r="690" spans="1:10" x14ac:dyDescent="0.15">
      <c r="A690" s="263" t="s">
        <v>1960</v>
      </c>
      <c r="B690" s="263" t="s">
        <v>1932</v>
      </c>
      <c r="C690" s="263" t="s">
        <v>105</v>
      </c>
      <c r="D690" s="263" t="s">
        <v>1933</v>
      </c>
      <c r="E690" s="263" t="s">
        <v>112</v>
      </c>
      <c r="F690">
        <v>0</v>
      </c>
      <c r="G690">
        <v>2</v>
      </c>
      <c r="H690" s="263" t="s">
        <v>436</v>
      </c>
      <c r="I690" s="264"/>
      <c r="J690" s="263" t="s">
        <v>437</v>
      </c>
    </row>
    <row r="691" spans="1:10" x14ac:dyDescent="0.15">
      <c r="A691" s="263" t="s">
        <v>1961</v>
      </c>
      <c r="B691" s="263" t="s">
        <v>1323</v>
      </c>
      <c r="C691" s="263" t="s">
        <v>105</v>
      </c>
      <c r="D691" s="263" t="s">
        <v>1324</v>
      </c>
      <c r="E691" s="263" t="s">
        <v>112</v>
      </c>
      <c r="F691">
        <v>0</v>
      </c>
      <c r="G691">
        <v>2</v>
      </c>
      <c r="H691" s="263" t="s">
        <v>436</v>
      </c>
      <c r="I691" s="264"/>
      <c r="J691" s="263" t="s">
        <v>437</v>
      </c>
    </row>
    <row r="692" spans="1:10" x14ac:dyDescent="0.15">
      <c r="A692" s="263" t="s">
        <v>1962</v>
      </c>
      <c r="B692" s="263" t="s">
        <v>1925</v>
      </c>
      <c r="C692" s="263" t="s">
        <v>105</v>
      </c>
      <c r="D692" s="263" t="s">
        <v>1926</v>
      </c>
      <c r="E692" s="263" t="s">
        <v>112</v>
      </c>
      <c r="F692">
        <v>0</v>
      </c>
      <c r="G692">
        <v>2</v>
      </c>
      <c r="H692" s="263" t="s">
        <v>436</v>
      </c>
      <c r="I692" s="264"/>
      <c r="J692" s="263" t="s">
        <v>437</v>
      </c>
    </row>
    <row r="693" spans="1:10" x14ac:dyDescent="0.15">
      <c r="A693" s="263" t="s">
        <v>1963</v>
      </c>
      <c r="B693" s="263" t="s">
        <v>1964</v>
      </c>
      <c r="C693" s="263" t="s">
        <v>105</v>
      </c>
      <c r="D693" s="263" t="s">
        <v>1965</v>
      </c>
      <c r="E693" s="263" t="s">
        <v>112</v>
      </c>
      <c r="F693">
        <v>0</v>
      </c>
      <c r="G693">
        <v>2</v>
      </c>
      <c r="H693" s="263" t="s">
        <v>436</v>
      </c>
      <c r="I693" s="264"/>
      <c r="J693" s="263" t="s">
        <v>437</v>
      </c>
    </row>
    <row r="694" spans="1:10" x14ac:dyDescent="0.15">
      <c r="A694" s="263" t="s">
        <v>1966</v>
      </c>
      <c r="B694" s="263" t="s">
        <v>9467</v>
      </c>
      <c r="C694" s="263" t="s">
        <v>90</v>
      </c>
      <c r="D694" s="263" t="s">
        <v>9468</v>
      </c>
      <c r="E694" s="263" t="s">
        <v>104</v>
      </c>
      <c r="F694">
        <v>2</v>
      </c>
      <c r="G694">
        <v>2</v>
      </c>
      <c r="H694" s="263" t="s">
        <v>1611</v>
      </c>
      <c r="I694" s="264"/>
      <c r="J694" s="263" t="s">
        <v>437</v>
      </c>
    </row>
    <row r="695" spans="1:10" x14ac:dyDescent="0.15">
      <c r="A695" s="263" t="s">
        <v>1967</v>
      </c>
      <c r="B695" s="263" t="s">
        <v>1968</v>
      </c>
      <c r="C695" s="263" t="s">
        <v>90</v>
      </c>
      <c r="D695" s="263" t="s">
        <v>1969</v>
      </c>
      <c r="E695" s="263" t="s">
        <v>104</v>
      </c>
      <c r="F695">
        <v>2</v>
      </c>
      <c r="G695">
        <v>2</v>
      </c>
      <c r="H695" s="263" t="s">
        <v>436</v>
      </c>
      <c r="I695" s="264"/>
      <c r="J695" s="263" t="s">
        <v>437</v>
      </c>
    </row>
    <row r="696" spans="1:10" x14ac:dyDescent="0.15">
      <c r="A696" s="263" t="s">
        <v>1970</v>
      </c>
      <c r="B696" s="263" t="s">
        <v>9469</v>
      </c>
      <c r="C696" s="263" t="s">
        <v>90</v>
      </c>
      <c r="D696" s="263" t="s">
        <v>9470</v>
      </c>
      <c r="E696" s="263" t="s">
        <v>104</v>
      </c>
      <c r="F696">
        <v>2</v>
      </c>
      <c r="G696">
        <v>2</v>
      </c>
      <c r="H696" s="263" t="s">
        <v>1611</v>
      </c>
      <c r="I696" s="264"/>
      <c r="J696" s="263" t="s">
        <v>437</v>
      </c>
    </row>
    <row r="697" spans="1:10" x14ac:dyDescent="0.15">
      <c r="A697" s="263" t="s">
        <v>1971</v>
      </c>
      <c r="B697" s="263" t="s">
        <v>1972</v>
      </c>
      <c r="C697" s="263" t="s">
        <v>90</v>
      </c>
      <c r="D697" s="263" t="s">
        <v>1973</v>
      </c>
      <c r="E697" s="263" t="s">
        <v>104</v>
      </c>
      <c r="F697">
        <v>2</v>
      </c>
      <c r="G697">
        <v>2</v>
      </c>
      <c r="H697" s="263" t="s">
        <v>436</v>
      </c>
      <c r="I697" s="264"/>
      <c r="J697" s="263" t="s">
        <v>437</v>
      </c>
    </row>
    <row r="698" spans="1:10" x14ac:dyDescent="0.15">
      <c r="A698" s="263" t="s">
        <v>1974</v>
      </c>
      <c r="B698" s="263" t="s">
        <v>9467</v>
      </c>
      <c r="C698" s="263" t="s">
        <v>98</v>
      </c>
      <c r="D698" s="263" t="s">
        <v>9468</v>
      </c>
      <c r="E698" s="263" t="s">
        <v>110</v>
      </c>
      <c r="F698">
        <v>0</v>
      </c>
      <c r="G698">
        <v>2</v>
      </c>
      <c r="H698" s="263" t="s">
        <v>1611</v>
      </c>
      <c r="I698" s="264"/>
      <c r="J698" s="263" t="s">
        <v>437</v>
      </c>
    </row>
    <row r="699" spans="1:10" x14ac:dyDescent="0.15">
      <c r="A699" s="263" t="s">
        <v>1975</v>
      </c>
      <c r="B699" s="263" t="s">
        <v>1968</v>
      </c>
      <c r="C699" s="263" t="s">
        <v>98</v>
      </c>
      <c r="D699" s="263" t="s">
        <v>1969</v>
      </c>
      <c r="E699" s="263" t="s">
        <v>110</v>
      </c>
      <c r="F699">
        <v>0</v>
      </c>
      <c r="G699">
        <v>2</v>
      </c>
      <c r="H699" s="263" t="s">
        <v>436</v>
      </c>
      <c r="I699" s="264"/>
      <c r="J699" s="263" t="s">
        <v>437</v>
      </c>
    </row>
    <row r="700" spans="1:10" x14ac:dyDescent="0.15">
      <c r="A700" s="263" t="s">
        <v>1976</v>
      </c>
      <c r="B700" s="263" t="s">
        <v>9469</v>
      </c>
      <c r="C700" s="263" t="s">
        <v>98</v>
      </c>
      <c r="D700" s="263" t="s">
        <v>9470</v>
      </c>
      <c r="E700" s="263" t="s">
        <v>110</v>
      </c>
      <c r="F700">
        <v>0</v>
      </c>
      <c r="G700">
        <v>2</v>
      </c>
      <c r="H700" s="263" t="s">
        <v>1611</v>
      </c>
      <c r="I700" s="264"/>
      <c r="J700" s="263" t="s">
        <v>437</v>
      </c>
    </row>
    <row r="701" spans="1:10" x14ac:dyDescent="0.15">
      <c r="A701" s="263" t="s">
        <v>1977</v>
      </c>
      <c r="B701" s="263" t="s">
        <v>1972</v>
      </c>
      <c r="C701" s="263" t="s">
        <v>98</v>
      </c>
      <c r="D701" s="263" t="s">
        <v>1973</v>
      </c>
      <c r="E701" s="263" t="s">
        <v>110</v>
      </c>
      <c r="F701">
        <v>0</v>
      </c>
      <c r="G701">
        <v>2</v>
      </c>
      <c r="H701" s="263" t="s">
        <v>436</v>
      </c>
      <c r="I701" s="264"/>
      <c r="J701" s="263" t="s">
        <v>437</v>
      </c>
    </row>
    <row r="702" spans="1:10" x14ac:dyDescent="0.15">
      <c r="A702" s="263" t="s">
        <v>1978</v>
      </c>
      <c r="B702" s="263" t="s">
        <v>9467</v>
      </c>
      <c r="C702" s="263" t="s">
        <v>105</v>
      </c>
      <c r="D702" s="263" t="s">
        <v>9468</v>
      </c>
      <c r="E702" s="263" t="s">
        <v>112</v>
      </c>
      <c r="F702">
        <v>0</v>
      </c>
      <c r="G702">
        <v>2</v>
      </c>
      <c r="H702" s="263" t="s">
        <v>1611</v>
      </c>
      <c r="I702" s="264"/>
      <c r="J702" s="263" t="s">
        <v>437</v>
      </c>
    </row>
    <row r="703" spans="1:10" x14ac:dyDescent="0.15">
      <c r="A703" s="263" t="s">
        <v>1979</v>
      </c>
      <c r="B703" s="263" t="s">
        <v>9469</v>
      </c>
      <c r="C703" s="263" t="s">
        <v>105</v>
      </c>
      <c r="D703" s="263" t="s">
        <v>9470</v>
      </c>
      <c r="E703" s="263" t="s">
        <v>112</v>
      </c>
      <c r="F703">
        <v>0</v>
      </c>
      <c r="G703">
        <v>2</v>
      </c>
      <c r="H703" s="263" t="s">
        <v>436</v>
      </c>
      <c r="I703" s="264"/>
      <c r="J703" s="263" t="s">
        <v>437</v>
      </c>
    </row>
    <row r="704" spans="1:10" x14ac:dyDescent="0.15">
      <c r="A704" s="263" t="s">
        <v>1980</v>
      </c>
      <c r="B704" s="263" t="s">
        <v>1981</v>
      </c>
      <c r="C704" s="263" t="s">
        <v>105</v>
      </c>
      <c r="D704" s="263" t="s">
        <v>1982</v>
      </c>
      <c r="E704" s="263" t="s">
        <v>112</v>
      </c>
      <c r="F704">
        <v>0</v>
      </c>
      <c r="G704">
        <v>2</v>
      </c>
      <c r="H704" s="263" t="s">
        <v>436</v>
      </c>
      <c r="I704" s="264"/>
      <c r="J704" s="263" t="s">
        <v>437</v>
      </c>
    </row>
    <row r="705" spans="1:10" x14ac:dyDescent="0.15">
      <c r="A705" s="263" t="s">
        <v>1983</v>
      </c>
      <c r="B705" s="263" t="s">
        <v>1984</v>
      </c>
      <c r="C705" s="263" t="s">
        <v>90</v>
      </c>
      <c r="D705" s="263" t="s">
        <v>1985</v>
      </c>
      <c r="E705" s="263" t="s">
        <v>104</v>
      </c>
      <c r="F705">
        <v>2</v>
      </c>
      <c r="G705">
        <v>2</v>
      </c>
      <c r="H705" s="263" t="s">
        <v>436</v>
      </c>
      <c r="I705" s="264"/>
      <c r="J705" s="263" t="s">
        <v>437</v>
      </c>
    </row>
    <row r="706" spans="1:10" x14ac:dyDescent="0.15">
      <c r="A706" s="263" t="s">
        <v>1986</v>
      </c>
      <c r="B706" s="263" t="s">
        <v>1984</v>
      </c>
      <c r="C706" s="263" t="s">
        <v>98</v>
      </c>
      <c r="D706" s="263" t="s">
        <v>1985</v>
      </c>
      <c r="E706" s="263" t="s">
        <v>110</v>
      </c>
      <c r="F706">
        <v>0</v>
      </c>
      <c r="G706">
        <v>2</v>
      </c>
      <c r="H706" s="263" t="s">
        <v>436</v>
      </c>
      <c r="I706" s="264"/>
      <c r="J706" s="263" t="s">
        <v>437</v>
      </c>
    </row>
    <row r="707" spans="1:10" x14ac:dyDescent="0.15">
      <c r="A707" s="263" t="s">
        <v>1987</v>
      </c>
      <c r="B707" s="263" t="s">
        <v>1984</v>
      </c>
      <c r="C707" s="263" t="s">
        <v>92</v>
      </c>
      <c r="D707" s="263" t="s">
        <v>1985</v>
      </c>
      <c r="E707" s="263" t="s">
        <v>91</v>
      </c>
      <c r="F707">
        <v>0</v>
      </c>
      <c r="G707">
        <v>2</v>
      </c>
      <c r="H707" s="263" t="s">
        <v>436</v>
      </c>
      <c r="I707" s="264"/>
      <c r="J707" s="263" t="s">
        <v>437</v>
      </c>
    </row>
    <row r="708" spans="1:10" x14ac:dyDescent="0.15">
      <c r="A708" s="263" t="s">
        <v>1988</v>
      </c>
      <c r="B708" s="263" t="s">
        <v>9471</v>
      </c>
      <c r="C708" s="263" t="s">
        <v>105</v>
      </c>
      <c r="D708" s="263" t="s">
        <v>9472</v>
      </c>
      <c r="E708" s="263" t="s">
        <v>112</v>
      </c>
      <c r="F708">
        <v>0</v>
      </c>
      <c r="G708">
        <v>2</v>
      </c>
      <c r="H708" s="263" t="s">
        <v>436</v>
      </c>
      <c r="I708" s="264"/>
      <c r="J708" s="263" t="s">
        <v>437</v>
      </c>
    </row>
    <row r="709" spans="1:10" x14ac:dyDescent="0.15">
      <c r="A709" s="263" t="s">
        <v>1989</v>
      </c>
      <c r="B709" s="263" t="s">
        <v>1981</v>
      </c>
      <c r="C709" s="263" t="s">
        <v>105</v>
      </c>
      <c r="D709" s="263" t="s">
        <v>1982</v>
      </c>
      <c r="E709" s="263" t="s">
        <v>112</v>
      </c>
      <c r="F709">
        <v>0</v>
      </c>
      <c r="G709">
        <v>2</v>
      </c>
      <c r="H709" s="263" t="s">
        <v>436</v>
      </c>
      <c r="I709" s="264"/>
      <c r="J709" s="263" t="s">
        <v>437</v>
      </c>
    </row>
    <row r="710" spans="1:10" x14ac:dyDescent="0.15">
      <c r="A710" s="263" t="s">
        <v>1990</v>
      </c>
      <c r="B710" s="263" t="s">
        <v>1991</v>
      </c>
      <c r="C710" s="263" t="s">
        <v>105</v>
      </c>
      <c r="D710" s="263" t="s">
        <v>1992</v>
      </c>
      <c r="E710" s="263" t="s">
        <v>112</v>
      </c>
      <c r="F710">
        <v>0</v>
      </c>
      <c r="G710">
        <v>2</v>
      </c>
      <c r="H710" s="263" t="s">
        <v>436</v>
      </c>
      <c r="I710" s="264"/>
      <c r="J710" s="263" t="s">
        <v>437</v>
      </c>
    </row>
    <row r="711" spans="1:10" x14ac:dyDescent="0.15">
      <c r="A711" s="263" t="s">
        <v>1993</v>
      </c>
      <c r="B711" s="263" t="s">
        <v>1994</v>
      </c>
      <c r="C711" s="263" t="s">
        <v>105</v>
      </c>
      <c r="D711" s="263" t="s">
        <v>1995</v>
      </c>
      <c r="E711" s="263" t="s">
        <v>112</v>
      </c>
      <c r="F711">
        <v>0</v>
      </c>
      <c r="G711">
        <v>2</v>
      </c>
      <c r="H711" s="263" t="s">
        <v>436</v>
      </c>
      <c r="I711" s="264"/>
      <c r="J711" s="263" t="s">
        <v>437</v>
      </c>
    </row>
    <row r="712" spans="1:10" x14ac:dyDescent="0.15">
      <c r="A712" s="263" t="s">
        <v>1996</v>
      </c>
      <c r="B712" s="263" t="s">
        <v>1994</v>
      </c>
      <c r="C712" s="263" t="s">
        <v>98</v>
      </c>
      <c r="D712" s="263" t="s">
        <v>1995</v>
      </c>
      <c r="E712" s="263" t="s">
        <v>110</v>
      </c>
      <c r="F712">
        <v>0</v>
      </c>
      <c r="G712">
        <v>2</v>
      </c>
      <c r="H712" s="263" t="s">
        <v>436</v>
      </c>
      <c r="I712" s="264"/>
      <c r="J712" s="263" t="s">
        <v>437</v>
      </c>
    </row>
    <row r="713" spans="1:10" x14ac:dyDescent="0.15">
      <c r="A713" s="263" t="s">
        <v>1997</v>
      </c>
      <c r="B713" s="263" t="s">
        <v>1998</v>
      </c>
      <c r="C713" s="263" t="s">
        <v>98</v>
      </c>
      <c r="D713" s="263" t="s">
        <v>1999</v>
      </c>
      <c r="E713" s="263" t="s">
        <v>110</v>
      </c>
      <c r="F713">
        <v>0</v>
      </c>
      <c r="G713">
        <v>2</v>
      </c>
      <c r="H713" s="263" t="s">
        <v>436</v>
      </c>
      <c r="I713" s="264"/>
      <c r="J713" s="263" t="s">
        <v>437</v>
      </c>
    </row>
    <row r="714" spans="1:10" x14ac:dyDescent="0.15">
      <c r="A714" s="263" t="s">
        <v>2000</v>
      </c>
      <c r="B714" s="263" t="s">
        <v>2001</v>
      </c>
      <c r="C714" s="263" t="s">
        <v>98</v>
      </c>
      <c r="D714" s="263" t="s">
        <v>2002</v>
      </c>
      <c r="E714" s="263" t="s">
        <v>110</v>
      </c>
      <c r="F714">
        <v>0</v>
      </c>
      <c r="G714">
        <v>2</v>
      </c>
      <c r="H714" s="263" t="s">
        <v>436</v>
      </c>
      <c r="I714" s="264"/>
      <c r="J714" s="263" t="s">
        <v>437</v>
      </c>
    </row>
    <row r="715" spans="1:10" x14ac:dyDescent="0.15">
      <c r="A715" s="263" t="s">
        <v>2003</v>
      </c>
      <c r="B715" s="263" t="s">
        <v>2004</v>
      </c>
      <c r="C715" s="263" t="s">
        <v>98</v>
      </c>
      <c r="D715" s="263" t="s">
        <v>2005</v>
      </c>
      <c r="E715" s="263" t="s">
        <v>110</v>
      </c>
      <c r="F715">
        <v>0</v>
      </c>
      <c r="G715">
        <v>2</v>
      </c>
      <c r="H715" s="263" t="s">
        <v>436</v>
      </c>
      <c r="I715" s="264"/>
      <c r="J715" s="263" t="s">
        <v>437</v>
      </c>
    </row>
    <row r="716" spans="1:10" x14ac:dyDescent="0.15">
      <c r="A716" s="263" t="s">
        <v>2006</v>
      </c>
      <c r="B716" s="263" t="s">
        <v>2007</v>
      </c>
      <c r="C716" s="263" t="s">
        <v>98</v>
      </c>
      <c r="D716" s="263" t="s">
        <v>2008</v>
      </c>
      <c r="E716" s="263" t="s">
        <v>110</v>
      </c>
      <c r="F716">
        <v>0</v>
      </c>
      <c r="G716">
        <v>2</v>
      </c>
      <c r="H716" s="263" t="s">
        <v>436</v>
      </c>
      <c r="I716" s="264"/>
      <c r="J716" s="263" t="s">
        <v>437</v>
      </c>
    </row>
    <row r="717" spans="1:10" x14ac:dyDescent="0.15">
      <c r="A717" s="263" t="s">
        <v>2009</v>
      </c>
      <c r="B717" s="263" t="s">
        <v>2010</v>
      </c>
      <c r="C717" s="263" t="s">
        <v>98</v>
      </c>
      <c r="D717" s="263" t="s">
        <v>2011</v>
      </c>
      <c r="E717" s="263" t="s">
        <v>110</v>
      </c>
      <c r="F717">
        <v>0</v>
      </c>
      <c r="G717">
        <v>2</v>
      </c>
      <c r="H717" s="263" t="s">
        <v>436</v>
      </c>
      <c r="I717" s="264"/>
      <c r="J717" s="263" t="s">
        <v>437</v>
      </c>
    </row>
    <row r="718" spans="1:10" x14ac:dyDescent="0.15">
      <c r="A718" s="263" t="s">
        <v>2012</v>
      </c>
      <c r="B718" s="263" t="s">
        <v>2013</v>
      </c>
      <c r="C718" s="263" t="s">
        <v>98</v>
      </c>
      <c r="D718" s="263" t="s">
        <v>2014</v>
      </c>
      <c r="E718" s="263" t="s">
        <v>110</v>
      </c>
      <c r="F718">
        <v>0</v>
      </c>
      <c r="G718">
        <v>2</v>
      </c>
      <c r="H718" s="263" t="s">
        <v>436</v>
      </c>
      <c r="I718" s="264"/>
      <c r="J718" s="263" t="s">
        <v>437</v>
      </c>
    </row>
    <row r="719" spans="1:10" x14ac:dyDescent="0.15">
      <c r="A719" s="263" t="s">
        <v>2015</v>
      </c>
      <c r="B719" s="263" t="s">
        <v>2016</v>
      </c>
      <c r="C719" s="263" t="s">
        <v>98</v>
      </c>
      <c r="D719" s="263" t="s">
        <v>2017</v>
      </c>
      <c r="E719" s="263" t="s">
        <v>110</v>
      </c>
      <c r="F719">
        <v>0</v>
      </c>
      <c r="G719">
        <v>2</v>
      </c>
      <c r="H719" s="263" t="s">
        <v>436</v>
      </c>
      <c r="I719" s="264"/>
      <c r="J719" s="263" t="s">
        <v>437</v>
      </c>
    </row>
    <row r="720" spans="1:10" x14ac:dyDescent="0.15">
      <c r="A720" s="263" t="s">
        <v>2018</v>
      </c>
      <c r="B720" s="263" t="s">
        <v>2019</v>
      </c>
      <c r="C720" s="263" t="s">
        <v>98</v>
      </c>
      <c r="D720" s="263" t="s">
        <v>2020</v>
      </c>
      <c r="E720" s="263" t="s">
        <v>110</v>
      </c>
      <c r="F720">
        <v>0</v>
      </c>
      <c r="G720">
        <v>2</v>
      </c>
      <c r="H720" s="263" t="s">
        <v>436</v>
      </c>
      <c r="I720" s="264"/>
      <c r="J720" s="263" t="s">
        <v>437</v>
      </c>
    </row>
    <row r="721" spans="1:10" x14ac:dyDescent="0.15">
      <c r="A721" s="263" t="s">
        <v>2021</v>
      </c>
      <c r="B721" s="263" t="s">
        <v>2022</v>
      </c>
      <c r="C721" s="263" t="s">
        <v>98</v>
      </c>
      <c r="D721" s="263" t="s">
        <v>2023</v>
      </c>
      <c r="E721" s="263" t="s">
        <v>110</v>
      </c>
      <c r="F721">
        <v>0</v>
      </c>
      <c r="G721">
        <v>2</v>
      </c>
      <c r="H721" s="263" t="s">
        <v>436</v>
      </c>
      <c r="I721" s="264"/>
      <c r="J721" s="263" t="s">
        <v>437</v>
      </c>
    </row>
    <row r="722" spans="1:10" x14ac:dyDescent="0.15">
      <c r="A722" s="263" t="s">
        <v>2024</v>
      </c>
      <c r="B722" s="263" t="s">
        <v>2025</v>
      </c>
      <c r="C722" s="263" t="s">
        <v>98</v>
      </c>
      <c r="D722" s="263" t="s">
        <v>2026</v>
      </c>
      <c r="E722" s="263" t="s">
        <v>110</v>
      </c>
      <c r="F722">
        <v>0</v>
      </c>
      <c r="G722">
        <v>2</v>
      </c>
      <c r="H722" s="263" t="s">
        <v>436</v>
      </c>
      <c r="I722" s="264"/>
      <c r="J722" s="263" t="s">
        <v>437</v>
      </c>
    </row>
    <row r="723" spans="1:10" x14ac:dyDescent="0.15">
      <c r="A723" s="263" t="s">
        <v>2027</v>
      </c>
      <c r="B723" s="263" t="s">
        <v>1994</v>
      </c>
      <c r="C723" s="263" t="s">
        <v>99</v>
      </c>
      <c r="D723" s="263" t="s">
        <v>1995</v>
      </c>
      <c r="E723" s="263" t="s">
        <v>84</v>
      </c>
      <c r="F723">
        <v>0</v>
      </c>
      <c r="G723">
        <v>2</v>
      </c>
      <c r="H723" s="263" t="s">
        <v>436</v>
      </c>
      <c r="I723" s="264"/>
      <c r="J723" s="263" t="s">
        <v>437</v>
      </c>
    </row>
    <row r="724" spans="1:10" x14ac:dyDescent="0.15">
      <c r="A724" s="263" t="s">
        <v>2028</v>
      </c>
      <c r="B724" s="263" t="s">
        <v>2029</v>
      </c>
      <c r="C724" s="263" t="s">
        <v>105</v>
      </c>
      <c r="D724" s="263" t="s">
        <v>2030</v>
      </c>
      <c r="E724" s="263" t="s">
        <v>112</v>
      </c>
      <c r="F724">
        <v>0</v>
      </c>
      <c r="G724">
        <v>2</v>
      </c>
      <c r="H724" s="263" t="s">
        <v>436</v>
      </c>
      <c r="I724" s="264"/>
      <c r="J724" s="263" t="s">
        <v>437</v>
      </c>
    </row>
    <row r="725" spans="1:10" x14ac:dyDescent="0.15">
      <c r="A725" s="263" t="s">
        <v>2031</v>
      </c>
      <c r="B725" s="263" t="s">
        <v>2029</v>
      </c>
      <c r="C725" s="263" t="s">
        <v>99</v>
      </c>
      <c r="D725" s="263" t="s">
        <v>2030</v>
      </c>
      <c r="E725" s="263" t="s">
        <v>84</v>
      </c>
      <c r="F725">
        <v>0</v>
      </c>
      <c r="G725">
        <v>2</v>
      </c>
      <c r="H725" s="263" t="s">
        <v>436</v>
      </c>
      <c r="I725" s="264"/>
      <c r="J725" s="263" t="s">
        <v>437</v>
      </c>
    </row>
    <row r="726" spans="1:10" x14ac:dyDescent="0.15">
      <c r="A726" s="263" t="s">
        <v>2032</v>
      </c>
      <c r="B726" s="263" t="s">
        <v>2033</v>
      </c>
      <c r="C726" s="263" t="s">
        <v>105</v>
      </c>
      <c r="D726" s="263" t="s">
        <v>2034</v>
      </c>
      <c r="E726" s="263" t="s">
        <v>112</v>
      </c>
      <c r="F726">
        <v>0</v>
      </c>
      <c r="G726">
        <v>2</v>
      </c>
      <c r="H726" s="263" t="s">
        <v>436</v>
      </c>
      <c r="I726" s="264"/>
      <c r="J726" s="263" t="s">
        <v>437</v>
      </c>
    </row>
    <row r="727" spans="1:10" x14ac:dyDescent="0.15">
      <c r="A727" s="263" t="s">
        <v>9473</v>
      </c>
      <c r="B727" s="263" t="s">
        <v>1941</v>
      </c>
      <c r="C727" s="263" t="s">
        <v>98</v>
      </c>
      <c r="D727" s="263" t="s">
        <v>1942</v>
      </c>
      <c r="E727" s="263" t="s">
        <v>110</v>
      </c>
      <c r="F727">
        <v>0</v>
      </c>
      <c r="G727">
        <v>2</v>
      </c>
      <c r="H727" s="263" t="s">
        <v>436</v>
      </c>
      <c r="I727" s="264"/>
      <c r="J727" s="263" t="s">
        <v>437</v>
      </c>
    </row>
    <row r="728" spans="1:10" x14ac:dyDescent="0.15">
      <c r="A728" s="263" t="s">
        <v>9474</v>
      </c>
      <c r="B728" s="263" t="s">
        <v>9475</v>
      </c>
      <c r="C728" s="263" t="s">
        <v>98</v>
      </c>
      <c r="D728" s="263" t="s">
        <v>9476</v>
      </c>
      <c r="E728" s="263" t="s">
        <v>110</v>
      </c>
      <c r="F728">
        <v>0</v>
      </c>
      <c r="G728">
        <v>2</v>
      </c>
      <c r="H728" s="263" t="s">
        <v>436</v>
      </c>
      <c r="I728" s="264"/>
      <c r="J728" s="263" t="s">
        <v>437</v>
      </c>
    </row>
    <row r="729" spans="1:10" x14ac:dyDescent="0.15">
      <c r="A729" s="263" t="s">
        <v>9477</v>
      </c>
      <c r="B729" s="263" t="s">
        <v>9478</v>
      </c>
      <c r="C729" s="263" t="s">
        <v>98</v>
      </c>
      <c r="D729" s="263" t="s">
        <v>9479</v>
      </c>
      <c r="E729" s="263" t="s">
        <v>110</v>
      </c>
      <c r="F729">
        <v>0</v>
      </c>
      <c r="G729">
        <v>2</v>
      </c>
      <c r="H729" s="263" t="s">
        <v>436</v>
      </c>
      <c r="I729" s="264"/>
      <c r="J729" s="263" t="s">
        <v>437</v>
      </c>
    </row>
    <row r="730" spans="1:10" x14ac:dyDescent="0.15">
      <c r="A730" s="263" t="s">
        <v>9480</v>
      </c>
      <c r="B730" s="263" t="s">
        <v>9481</v>
      </c>
      <c r="C730" s="263" t="s">
        <v>98</v>
      </c>
      <c r="D730" s="263" t="s">
        <v>9482</v>
      </c>
      <c r="E730" s="263" t="s">
        <v>110</v>
      </c>
      <c r="F730">
        <v>0</v>
      </c>
      <c r="G730">
        <v>2</v>
      </c>
      <c r="H730" s="263" t="s">
        <v>436</v>
      </c>
      <c r="I730" s="264"/>
      <c r="J730" s="263" t="s">
        <v>437</v>
      </c>
    </row>
    <row r="731" spans="1:10" x14ac:dyDescent="0.15">
      <c r="A731" s="263" t="s">
        <v>9483</v>
      </c>
      <c r="B731" s="263" t="s">
        <v>9484</v>
      </c>
      <c r="C731" s="263" t="s">
        <v>98</v>
      </c>
      <c r="D731" s="263" t="s">
        <v>9485</v>
      </c>
      <c r="E731" s="263" t="s">
        <v>110</v>
      </c>
      <c r="F731">
        <v>0</v>
      </c>
      <c r="G731">
        <v>2</v>
      </c>
      <c r="H731" s="263" t="s">
        <v>436</v>
      </c>
      <c r="I731" s="264"/>
      <c r="J731" s="263" t="s">
        <v>437</v>
      </c>
    </row>
    <row r="732" spans="1:10" x14ac:dyDescent="0.15">
      <c r="A732" s="263" t="s">
        <v>9486</v>
      </c>
      <c r="B732" s="263" t="s">
        <v>9487</v>
      </c>
      <c r="C732" s="263" t="s">
        <v>98</v>
      </c>
      <c r="D732" s="263" t="s">
        <v>9488</v>
      </c>
      <c r="E732" s="263" t="s">
        <v>110</v>
      </c>
      <c r="F732">
        <v>0</v>
      </c>
      <c r="G732">
        <v>2</v>
      </c>
      <c r="H732" s="263" t="s">
        <v>436</v>
      </c>
      <c r="I732" s="264"/>
      <c r="J732" s="263" t="s">
        <v>437</v>
      </c>
    </row>
    <row r="733" spans="1:10" x14ac:dyDescent="0.15">
      <c r="A733" s="263" t="s">
        <v>9489</v>
      </c>
      <c r="B733" s="263" t="s">
        <v>9490</v>
      </c>
      <c r="C733" s="263" t="s">
        <v>98</v>
      </c>
      <c r="D733" s="263" t="s">
        <v>9491</v>
      </c>
      <c r="E733" s="263" t="s">
        <v>110</v>
      </c>
      <c r="F733">
        <v>0</v>
      </c>
      <c r="G733">
        <v>2</v>
      </c>
      <c r="H733" s="263" t="s">
        <v>436</v>
      </c>
      <c r="I733" s="264"/>
      <c r="J733" s="263" t="s">
        <v>437</v>
      </c>
    </row>
    <row r="734" spans="1:10" x14ac:dyDescent="0.15">
      <c r="A734" s="263" t="s">
        <v>9492</v>
      </c>
      <c r="B734" s="263" t="s">
        <v>9493</v>
      </c>
      <c r="C734" s="263" t="s">
        <v>98</v>
      </c>
      <c r="D734" s="263" t="s">
        <v>9494</v>
      </c>
      <c r="E734" s="263" t="s">
        <v>110</v>
      </c>
      <c r="F734">
        <v>0</v>
      </c>
      <c r="G734">
        <v>2</v>
      </c>
      <c r="H734" s="263" t="s">
        <v>436</v>
      </c>
      <c r="I734" s="264"/>
      <c r="J734" s="263" t="s">
        <v>437</v>
      </c>
    </row>
    <row r="735" spans="1:10" x14ac:dyDescent="0.15">
      <c r="A735" s="263" t="s">
        <v>9495</v>
      </c>
      <c r="B735" s="263" t="s">
        <v>9496</v>
      </c>
      <c r="C735" s="263" t="s">
        <v>98</v>
      </c>
      <c r="D735" s="263" t="s">
        <v>9497</v>
      </c>
      <c r="E735" s="263" t="s">
        <v>110</v>
      </c>
      <c r="F735">
        <v>0</v>
      </c>
      <c r="G735">
        <v>2</v>
      </c>
      <c r="H735" s="263" t="s">
        <v>436</v>
      </c>
      <c r="I735" s="264"/>
      <c r="J735" s="263" t="s">
        <v>437</v>
      </c>
    </row>
    <row r="736" spans="1:10" x14ac:dyDescent="0.15">
      <c r="A736" s="263" t="s">
        <v>9498</v>
      </c>
      <c r="B736" s="263" t="s">
        <v>1941</v>
      </c>
      <c r="C736" s="263" t="s">
        <v>99</v>
      </c>
      <c r="D736" s="263" t="s">
        <v>1942</v>
      </c>
      <c r="E736" s="263" t="s">
        <v>84</v>
      </c>
      <c r="F736">
        <v>0</v>
      </c>
      <c r="G736">
        <v>2</v>
      </c>
      <c r="H736" s="263" t="s">
        <v>436</v>
      </c>
      <c r="I736" s="264"/>
      <c r="J736" s="263" t="s">
        <v>437</v>
      </c>
    </row>
    <row r="737" spans="1:10" x14ac:dyDescent="0.15">
      <c r="A737" s="263" t="s">
        <v>9499</v>
      </c>
      <c r="B737" s="263" t="s">
        <v>9500</v>
      </c>
      <c r="C737" s="263" t="s">
        <v>99</v>
      </c>
      <c r="D737" s="263" t="s">
        <v>9501</v>
      </c>
      <c r="E737" s="263" t="s">
        <v>84</v>
      </c>
      <c r="F737">
        <v>0</v>
      </c>
      <c r="G737">
        <v>2</v>
      </c>
      <c r="H737" s="263" t="s">
        <v>436</v>
      </c>
      <c r="I737" s="264"/>
      <c r="J737" s="263" t="s">
        <v>437</v>
      </c>
    </row>
    <row r="738" spans="1:10" x14ac:dyDescent="0.15">
      <c r="A738" s="263" t="s">
        <v>9502</v>
      </c>
      <c r="B738" s="263" t="s">
        <v>9503</v>
      </c>
      <c r="C738" s="263" t="s">
        <v>99</v>
      </c>
      <c r="D738" s="263" t="s">
        <v>9504</v>
      </c>
      <c r="E738" s="263" t="s">
        <v>84</v>
      </c>
      <c r="F738">
        <v>0</v>
      </c>
      <c r="G738">
        <v>2</v>
      </c>
      <c r="H738" s="263" t="s">
        <v>436</v>
      </c>
      <c r="I738" s="264"/>
      <c r="J738" s="263" t="s">
        <v>437</v>
      </c>
    </row>
    <row r="739" spans="1:10" x14ac:dyDescent="0.15">
      <c r="A739" s="263" t="s">
        <v>9505</v>
      </c>
      <c r="B739" s="263" t="s">
        <v>1941</v>
      </c>
      <c r="C739" s="263" t="s">
        <v>105</v>
      </c>
      <c r="D739" s="263" t="s">
        <v>1942</v>
      </c>
      <c r="E739" s="263" t="s">
        <v>112</v>
      </c>
      <c r="F739">
        <v>0</v>
      </c>
      <c r="G739">
        <v>2</v>
      </c>
      <c r="H739" s="263" t="s">
        <v>436</v>
      </c>
      <c r="I739" s="264"/>
      <c r="J739" s="263" t="s">
        <v>437</v>
      </c>
    </row>
    <row r="740" spans="1:10" x14ac:dyDescent="0.15">
      <c r="A740" s="263" t="s">
        <v>9506</v>
      </c>
      <c r="B740" s="263" t="s">
        <v>9500</v>
      </c>
      <c r="C740" s="263" t="s">
        <v>105</v>
      </c>
      <c r="D740" s="263" t="s">
        <v>9501</v>
      </c>
      <c r="E740" s="263" t="s">
        <v>112</v>
      </c>
      <c r="F740">
        <v>0</v>
      </c>
      <c r="G740">
        <v>2</v>
      </c>
      <c r="H740" s="263" t="s">
        <v>436</v>
      </c>
      <c r="I740" s="264"/>
      <c r="J740" s="263" t="s">
        <v>437</v>
      </c>
    </row>
    <row r="741" spans="1:10" x14ac:dyDescent="0.15">
      <c r="A741" s="263" t="s">
        <v>9507</v>
      </c>
      <c r="B741" s="263" t="s">
        <v>9503</v>
      </c>
      <c r="C741" s="263" t="s">
        <v>105</v>
      </c>
      <c r="D741" s="263" t="s">
        <v>9504</v>
      </c>
      <c r="E741" s="263" t="s">
        <v>112</v>
      </c>
      <c r="F741">
        <v>0</v>
      </c>
      <c r="G741">
        <v>2</v>
      </c>
      <c r="H741" s="263" t="s">
        <v>436</v>
      </c>
      <c r="I741" s="264"/>
      <c r="J741" s="263" t="s">
        <v>437</v>
      </c>
    </row>
    <row r="742" spans="1:10" x14ac:dyDescent="0.15">
      <c r="A742" s="263" t="s">
        <v>9508</v>
      </c>
      <c r="B742" s="263" t="s">
        <v>1925</v>
      </c>
      <c r="C742" s="263" t="s">
        <v>105</v>
      </c>
      <c r="D742" s="263" t="s">
        <v>1926</v>
      </c>
      <c r="E742" s="263" t="s">
        <v>112</v>
      </c>
      <c r="F742">
        <v>0</v>
      </c>
      <c r="G742">
        <v>2</v>
      </c>
      <c r="H742" s="263" t="s">
        <v>436</v>
      </c>
      <c r="I742" s="264"/>
      <c r="J742" s="263" t="s">
        <v>437</v>
      </c>
    </row>
    <row r="743" spans="1:10" x14ac:dyDescent="0.15">
      <c r="A743" s="263" t="s">
        <v>2035</v>
      </c>
      <c r="B743" s="263" t="s">
        <v>2036</v>
      </c>
      <c r="C743" s="263" t="s">
        <v>105</v>
      </c>
      <c r="D743" s="263" t="s">
        <v>2037</v>
      </c>
      <c r="E743" s="263" t="s">
        <v>112</v>
      </c>
      <c r="F743">
        <v>0</v>
      </c>
      <c r="G743">
        <v>2</v>
      </c>
      <c r="H743" s="263" t="s">
        <v>2038</v>
      </c>
      <c r="I743" s="264"/>
      <c r="J743" s="263" t="s">
        <v>437</v>
      </c>
    </row>
    <row r="744" spans="1:10" x14ac:dyDescent="0.15">
      <c r="A744" s="263" t="s">
        <v>2039</v>
      </c>
      <c r="B744" s="263" t="s">
        <v>2040</v>
      </c>
      <c r="C744" s="263" t="s">
        <v>105</v>
      </c>
      <c r="D744" s="263" t="s">
        <v>2041</v>
      </c>
      <c r="E744" s="263" t="s">
        <v>112</v>
      </c>
      <c r="F744">
        <v>0</v>
      </c>
      <c r="G744">
        <v>2</v>
      </c>
      <c r="H744" s="263" t="s">
        <v>2038</v>
      </c>
      <c r="I744" s="264"/>
      <c r="J744" s="263" t="s">
        <v>437</v>
      </c>
    </row>
    <row r="745" spans="1:10" x14ac:dyDescent="0.15">
      <c r="A745" s="263" t="s">
        <v>2042</v>
      </c>
      <c r="B745" s="263" t="s">
        <v>2043</v>
      </c>
      <c r="C745" s="263" t="s">
        <v>105</v>
      </c>
      <c r="D745" s="263" t="s">
        <v>2044</v>
      </c>
      <c r="E745" s="263" t="s">
        <v>112</v>
      </c>
      <c r="F745">
        <v>0</v>
      </c>
      <c r="G745">
        <v>2</v>
      </c>
      <c r="H745" s="263" t="s">
        <v>2038</v>
      </c>
      <c r="I745" s="264"/>
      <c r="J745" s="263" t="s">
        <v>437</v>
      </c>
    </row>
    <row r="746" spans="1:10" x14ac:dyDescent="0.15">
      <c r="A746" s="263" t="s">
        <v>2045</v>
      </c>
      <c r="B746" s="263" t="s">
        <v>2046</v>
      </c>
      <c r="C746" s="263" t="s">
        <v>105</v>
      </c>
      <c r="D746" s="263" t="s">
        <v>2047</v>
      </c>
      <c r="E746" s="263" t="s">
        <v>112</v>
      </c>
      <c r="F746">
        <v>0</v>
      </c>
      <c r="G746">
        <v>2</v>
      </c>
      <c r="H746" s="263" t="s">
        <v>2038</v>
      </c>
      <c r="I746" s="264"/>
      <c r="J746" s="263" t="s">
        <v>437</v>
      </c>
    </row>
    <row r="747" spans="1:10" x14ac:dyDescent="0.15">
      <c r="A747" s="263" t="s">
        <v>2048</v>
      </c>
      <c r="B747" s="263" t="s">
        <v>2049</v>
      </c>
      <c r="C747" s="263" t="s">
        <v>105</v>
      </c>
      <c r="D747" s="263" t="s">
        <v>2050</v>
      </c>
      <c r="E747" s="263" t="s">
        <v>112</v>
      </c>
      <c r="F747">
        <v>0</v>
      </c>
      <c r="G747">
        <v>2</v>
      </c>
      <c r="H747" s="263" t="s">
        <v>2038</v>
      </c>
      <c r="I747" s="264"/>
      <c r="J747" s="263" t="s">
        <v>437</v>
      </c>
    </row>
    <row r="748" spans="1:10" x14ac:dyDescent="0.15">
      <c r="A748" s="263" t="s">
        <v>2051</v>
      </c>
      <c r="B748" s="263" t="s">
        <v>2052</v>
      </c>
      <c r="C748" s="263" t="s">
        <v>105</v>
      </c>
      <c r="D748" s="263" t="s">
        <v>2053</v>
      </c>
      <c r="E748" s="263" t="s">
        <v>112</v>
      </c>
      <c r="F748">
        <v>0</v>
      </c>
      <c r="G748">
        <v>2</v>
      </c>
      <c r="H748" s="263" t="s">
        <v>2038</v>
      </c>
      <c r="I748" s="264"/>
      <c r="J748" s="263" t="s">
        <v>437</v>
      </c>
    </row>
    <row r="749" spans="1:10" x14ac:dyDescent="0.15">
      <c r="A749" s="263" t="s">
        <v>2054</v>
      </c>
      <c r="B749" s="263" t="s">
        <v>2055</v>
      </c>
      <c r="C749" s="263" t="s">
        <v>105</v>
      </c>
      <c r="D749" s="263" t="s">
        <v>2056</v>
      </c>
      <c r="E749" s="263" t="s">
        <v>112</v>
      </c>
      <c r="F749">
        <v>0</v>
      </c>
      <c r="G749">
        <v>2</v>
      </c>
      <c r="H749" s="263" t="s">
        <v>2038</v>
      </c>
      <c r="I749" s="264"/>
      <c r="J749" s="263" t="s">
        <v>437</v>
      </c>
    </row>
    <row r="750" spans="1:10" x14ac:dyDescent="0.15">
      <c r="A750" s="263" t="s">
        <v>2057</v>
      </c>
      <c r="B750" s="263" t="s">
        <v>2058</v>
      </c>
      <c r="C750" s="263" t="s">
        <v>105</v>
      </c>
      <c r="D750" s="263" t="s">
        <v>2059</v>
      </c>
      <c r="E750" s="263" t="s">
        <v>112</v>
      </c>
      <c r="F750">
        <v>0</v>
      </c>
      <c r="G750">
        <v>2</v>
      </c>
      <c r="H750" s="263" t="s">
        <v>2038</v>
      </c>
      <c r="I750" s="264"/>
      <c r="J750" s="263" t="s">
        <v>437</v>
      </c>
    </row>
    <row r="751" spans="1:10" x14ac:dyDescent="0.15">
      <c r="A751" s="263" t="s">
        <v>2060</v>
      </c>
      <c r="B751" s="263" t="s">
        <v>2061</v>
      </c>
      <c r="C751" s="263" t="s">
        <v>105</v>
      </c>
      <c r="D751" s="263" t="s">
        <v>2062</v>
      </c>
      <c r="E751" s="263" t="s">
        <v>112</v>
      </c>
      <c r="F751">
        <v>0</v>
      </c>
      <c r="G751">
        <v>2</v>
      </c>
      <c r="H751" s="263" t="s">
        <v>2038</v>
      </c>
      <c r="I751" s="264"/>
      <c r="J751" s="263" t="s">
        <v>437</v>
      </c>
    </row>
    <row r="752" spans="1:10" x14ac:dyDescent="0.15">
      <c r="A752" s="263" t="s">
        <v>2063</v>
      </c>
      <c r="B752" s="263" t="s">
        <v>2064</v>
      </c>
      <c r="C752" s="263" t="s">
        <v>105</v>
      </c>
      <c r="D752" s="263" t="s">
        <v>2065</v>
      </c>
      <c r="E752" s="263" t="s">
        <v>112</v>
      </c>
      <c r="F752">
        <v>0</v>
      </c>
      <c r="G752">
        <v>2</v>
      </c>
      <c r="H752" s="263" t="s">
        <v>2038</v>
      </c>
      <c r="I752" s="264"/>
      <c r="J752" s="263" t="s">
        <v>437</v>
      </c>
    </row>
    <row r="753" spans="1:10" x14ac:dyDescent="0.15">
      <c r="A753" s="263" t="s">
        <v>2066</v>
      </c>
      <c r="B753" s="263" t="s">
        <v>2067</v>
      </c>
      <c r="C753" s="263" t="s">
        <v>105</v>
      </c>
      <c r="D753" s="263" t="s">
        <v>2068</v>
      </c>
      <c r="E753" s="263" t="s">
        <v>112</v>
      </c>
      <c r="F753">
        <v>0</v>
      </c>
      <c r="G753">
        <v>2</v>
      </c>
      <c r="H753" s="263" t="s">
        <v>2038</v>
      </c>
      <c r="I753" s="264"/>
      <c r="J753" s="263" t="s">
        <v>437</v>
      </c>
    </row>
    <row r="754" spans="1:10" x14ac:dyDescent="0.15">
      <c r="A754" s="263" t="s">
        <v>2069</v>
      </c>
      <c r="B754" s="263" t="s">
        <v>2070</v>
      </c>
      <c r="C754" s="263" t="s">
        <v>105</v>
      </c>
      <c r="D754" s="263" t="s">
        <v>2071</v>
      </c>
      <c r="E754" s="263" t="s">
        <v>112</v>
      </c>
      <c r="F754">
        <v>0</v>
      </c>
      <c r="G754">
        <v>2</v>
      </c>
      <c r="H754" s="263" t="s">
        <v>2038</v>
      </c>
      <c r="I754" s="264"/>
      <c r="J754" s="263" t="s">
        <v>437</v>
      </c>
    </row>
    <row r="755" spans="1:10" x14ac:dyDescent="0.15">
      <c r="A755" s="263" t="s">
        <v>2072</v>
      </c>
      <c r="B755" s="263" t="s">
        <v>2073</v>
      </c>
      <c r="C755" s="263" t="s">
        <v>105</v>
      </c>
      <c r="D755" s="263" t="s">
        <v>2074</v>
      </c>
      <c r="E755" s="263" t="s">
        <v>112</v>
      </c>
      <c r="F755">
        <v>0</v>
      </c>
      <c r="G755">
        <v>2</v>
      </c>
      <c r="H755" s="263" t="s">
        <v>2038</v>
      </c>
      <c r="I755" s="264"/>
      <c r="J755" s="263" t="s">
        <v>437</v>
      </c>
    </row>
    <row r="756" spans="1:10" x14ac:dyDescent="0.15">
      <c r="A756" s="263" t="s">
        <v>2075</v>
      </c>
      <c r="B756" s="263" t="s">
        <v>2076</v>
      </c>
      <c r="C756" s="263" t="s">
        <v>105</v>
      </c>
      <c r="D756" s="263" t="s">
        <v>2077</v>
      </c>
      <c r="E756" s="263" t="s">
        <v>112</v>
      </c>
      <c r="F756">
        <v>0</v>
      </c>
      <c r="G756">
        <v>2</v>
      </c>
      <c r="H756" s="263" t="s">
        <v>2038</v>
      </c>
      <c r="I756" s="264"/>
      <c r="J756" s="263" t="s">
        <v>437</v>
      </c>
    </row>
    <row r="757" spans="1:10" x14ac:dyDescent="0.15">
      <c r="A757" s="263" t="s">
        <v>2078</v>
      </c>
      <c r="B757" s="263" t="s">
        <v>2079</v>
      </c>
      <c r="C757" s="263" t="s">
        <v>105</v>
      </c>
      <c r="D757" s="263" t="s">
        <v>2080</v>
      </c>
      <c r="E757" s="263" t="s">
        <v>112</v>
      </c>
      <c r="F757">
        <v>0</v>
      </c>
      <c r="G757">
        <v>2</v>
      </c>
      <c r="H757" s="263" t="s">
        <v>2038</v>
      </c>
      <c r="I757" s="264"/>
      <c r="J757" s="263" t="s">
        <v>437</v>
      </c>
    </row>
    <row r="758" spans="1:10" x14ac:dyDescent="0.15">
      <c r="A758" s="263" t="s">
        <v>2081</v>
      </c>
      <c r="B758" s="263" t="s">
        <v>2082</v>
      </c>
      <c r="C758" s="263" t="s">
        <v>105</v>
      </c>
      <c r="D758" s="263" t="s">
        <v>2083</v>
      </c>
      <c r="E758" s="263" t="s">
        <v>112</v>
      </c>
      <c r="F758">
        <v>0</v>
      </c>
      <c r="G758">
        <v>2</v>
      </c>
      <c r="H758" s="263" t="s">
        <v>2038</v>
      </c>
      <c r="I758" s="264"/>
      <c r="J758" s="263" t="s">
        <v>437</v>
      </c>
    </row>
    <row r="759" spans="1:10" x14ac:dyDescent="0.15">
      <c r="A759" s="263" t="s">
        <v>2084</v>
      </c>
      <c r="B759" s="263" t="s">
        <v>2085</v>
      </c>
      <c r="C759" s="263" t="s">
        <v>105</v>
      </c>
      <c r="D759" s="263" t="s">
        <v>2086</v>
      </c>
      <c r="E759" s="263" t="s">
        <v>112</v>
      </c>
      <c r="F759">
        <v>0</v>
      </c>
      <c r="G759">
        <v>2</v>
      </c>
      <c r="H759" s="263" t="s">
        <v>436</v>
      </c>
      <c r="I759" s="264"/>
      <c r="J759" s="263" t="s">
        <v>437</v>
      </c>
    </row>
    <row r="760" spans="1:10" x14ac:dyDescent="0.15">
      <c r="A760" s="263" t="s">
        <v>2087</v>
      </c>
      <c r="B760" s="263" t="s">
        <v>2088</v>
      </c>
      <c r="C760" s="263" t="s">
        <v>105</v>
      </c>
      <c r="D760" s="263" t="s">
        <v>2089</v>
      </c>
      <c r="E760" s="263" t="s">
        <v>112</v>
      </c>
      <c r="F760">
        <v>0</v>
      </c>
      <c r="G760">
        <v>2</v>
      </c>
      <c r="H760" s="263" t="s">
        <v>436</v>
      </c>
      <c r="I760" s="264"/>
      <c r="J760" s="263" t="s">
        <v>437</v>
      </c>
    </row>
    <row r="761" spans="1:10" x14ac:dyDescent="0.15">
      <c r="A761" s="263" t="s">
        <v>2090</v>
      </c>
      <c r="B761" s="263" t="s">
        <v>2091</v>
      </c>
      <c r="C761" s="263" t="s">
        <v>105</v>
      </c>
      <c r="D761" s="263" t="s">
        <v>2092</v>
      </c>
      <c r="E761" s="263" t="s">
        <v>112</v>
      </c>
      <c r="F761">
        <v>0</v>
      </c>
      <c r="G761">
        <v>2</v>
      </c>
      <c r="H761" s="263" t="s">
        <v>436</v>
      </c>
      <c r="I761" s="264"/>
      <c r="J761" s="263" t="s">
        <v>437</v>
      </c>
    </row>
    <row r="762" spans="1:10" x14ac:dyDescent="0.15">
      <c r="A762" s="263" t="s">
        <v>2093</v>
      </c>
      <c r="B762" s="263" t="s">
        <v>2094</v>
      </c>
      <c r="C762" s="263" t="s">
        <v>105</v>
      </c>
      <c r="D762" s="263" t="s">
        <v>2095</v>
      </c>
      <c r="E762" s="263" t="s">
        <v>112</v>
      </c>
      <c r="F762">
        <v>0</v>
      </c>
      <c r="G762">
        <v>2</v>
      </c>
      <c r="H762" s="263" t="s">
        <v>436</v>
      </c>
      <c r="I762" s="264"/>
      <c r="J762" s="263" t="s">
        <v>437</v>
      </c>
    </row>
    <row r="763" spans="1:10" x14ac:dyDescent="0.15">
      <c r="A763" s="263" t="s">
        <v>2096</v>
      </c>
      <c r="B763" s="263" t="s">
        <v>2097</v>
      </c>
      <c r="C763" s="263" t="s">
        <v>105</v>
      </c>
      <c r="D763" s="263" t="s">
        <v>2098</v>
      </c>
      <c r="E763" s="263" t="s">
        <v>112</v>
      </c>
      <c r="F763">
        <v>0</v>
      </c>
      <c r="G763">
        <v>2</v>
      </c>
      <c r="H763" s="263" t="s">
        <v>436</v>
      </c>
      <c r="I763" s="264"/>
      <c r="J763" s="263" t="s">
        <v>437</v>
      </c>
    </row>
    <row r="764" spans="1:10" x14ac:dyDescent="0.15">
      <c r="A764" s="263" t="s">
        <v>2099</v>
      </c>
      <c r="B764" s="263" t="s">
        <v>2100</v>
      </c>
      <c r="C764" s="263" t="s">
        <v>105</v>
      </c>
      <c r="D764" s="263" t="s">
        <v>2101</v>
      </c>
      <c r="E764" s="263" t="s">
        <v>112</v>
      </c>
      <c r="F764">
        <v>0</v>
      </c>
      <c r="G764">
        <v>2</v>
      </c>
      <c r="H764" s="263" t="s">
        <v>436</v>
      </c>
      <c r="I764" s="264"/>
      <c r="J764" s="263" t="s">
        <v>437</v>
      </c>
    </row>
    <row r="765" spans="1:10" x14ac:dyDescent="0.15">
      <c r="A765" s="263" t="s">
        <v>2102</v>
      </c>
      <c r="B765" s="263" t="s">
        <v>2103</v>
      </c>
      <c r="C765" s="263" t="s">
        <v>105</v>
      </c>
      <c r="D765" s="263" t="s">
        <v>2104</v>
      </c>
      <c r="E765" s="263" t="s">
        <v>112</v>
      </c>
      <c r="F765">
        <v>0</v>
      </c>
      <c r="G765">
        <v>2</v>
      </c>
      <c r="H765" s="263" t="s">
        <v>436</v>
      </c>
      <c r="I765" s="264"/>
      <c r="J765" s="263" t="s">
        <v>437</v>
      </c>
    </row>
    <row r="766" spans="1:10" x14ac:dyDescent="0.15">
      <c r="A766" s="263" t="s">
        <v>2105</v>
      </c>
      <c r="B766" s="263" t="s">
        <v>2106</v>
      </c>
      <c r="C766" s="263" t="s">
        <v>105</v>
      </c>
      <c r="D766" s="263" t="s">
        <v>2107</v>
      </c>
      <c r="E766" s="263" t="s">
        <v>112</v>
      </c>
      <c r="F766">
        <v>0</v>
      </c>
      <c r="G766">
        <v>2</v>
      </c>
      <c r="H766" s="263" t="s">
        <v>436</v>
      </c>
      <c r="I766" s="264"/>
      <c r="J766" s="263" t="s">
        <v>437</v>
      </c>
    </row>
    <row r="767" spans="1:10" x14ac:dyDescent="0.15">
      <c r="A767" s="263" t="s">
        <v>2108</v>
      </c>
      <c r="B767" s="263" t="s">
        <v>2109</v>
      </c>
      <c r="C767" s="263" t="s">
        <v>105</v>
      </c>
      <c r="D767" s="263" t="s">
        <v>2110</v>
      </c>
      <c r="E767" s="263" t="s">
        <v>112</v>
      </c>
      <c r="F767">
        <v>0</v>
      </c>
      <c r="G767">
        <v>2</v>
      </c>
      <c r="H767" s="263" t="s">
        <v>436</v>
      </c>
      <c r="I767" s="264"/>
      <c r="J767" s="263" t="s">
        <v>437</v>
      </c>
    </row>
    <row r="768" spans="1:10" x14ac:dyDescent="0.15">
      <c r="A768" s="263" t="s">
        <v>2111</v>
      </c>
      <c r="B768" s="263" t="s">
        <v>2112</v>
      </c>
      <c r="C768" s="263" t="s">
        <v>94</v>
      </c>
      <c r="D768" s="263" t="s">
        <v>2113</v>
      </c>
      <c r="E768" s="263" t="s">
        <v>94</v>
      </c>
      <c r="F768">
        <v>0</v>
      </c>
      <c r="G768">
        <v>2</v>
      </c>
      <c r="H768" s="263" t="s">
        <v>2114</v>
      </c>
      <c r="I768" s="264"/>
      <c r="J768" s="263" t="s">
        <v>437</v>
      </c>
    </row>
    <row r="769" spans="1:10" x14ac:dyDescent="0.15">
      <c r="A769" s="263" t="s">
        <v>2115</v>
      </c>
      <c r="B769" s="263" t="s">
        <v>2116</v>
      </c>
      <c r="C769" s="263" t="s">
        <v>105</v>
      </c>
      <c r="D769" s="263" t="s">
        <v>2117</v>
      </c>
      <c r="E769" s="263" t="s">
        <v>112</v>
      </c>
      <c r="F769">
        <v>0</v>
      </c>
      <c r="G769">
        <v>2</v>
      </c>
      <c r="H769" s="263" t="s">
        <v>2038</v>
      </c>
      <c r="I769" s="264"/>
      <c r="J769" s="263" t="s">
        <v>437</v>
      </c>
    </row>
    <row r="770" spans="1:10" x14ac:dyDescent="0.15">
      <c r="A770" s="263" t="s">
        <v>2118</v>
      </c>
      <c r="B770" s="263" t="s">
        <v>2119</v>
      </c>
      <c r="C770" s="263" t="s">
        <v>105</v>
      </c>
      <c r="D770" s="263" t="s">
        <v>2120</v>
      </c>
      <c r="E770" s="263" t="s">
        <v>112</v>
      </c>
      <c r="F770">
        <v>0</v>
      </c>
      <c r="G770">
        <v>2</v>
      </c>
      <c r="H770" s="263" t="s">
        <v>2038</v>
      </c>
      <c r="I770" s="264"/>
      <c r="J770" s="263" t="s">
        <v>437</v>
      </c>
    </row>
    <row r="771" spans="1:10" x14ac:dyDescent="0.15">
      <c r="A771" s="263" t="s">
        <v>2121</v>
      </c>
      <c r="B771" s="263" t="s">
        <v>2122</v>
      </c>
      <c r="C771" s="263" t="s">
        <v>105</v>
      </c>
      <c r="D771" s="263" t="s">
        <v>2123</v>
      </c>
      <c r="E771" s="263" t="s">
        <v>112</v>
      </c>
      <c r="F771">
        <v>0</v>
      </c>
      <c r="G771">
        <v>2</v>
      </c>
      <c r="H771" s="263" t="s">
        <v>2038</v>
      </c>
      <c r="I771" s="264"/>
      <c r="J771" s="263" t="s">
        <v>437</v>
      </c>
    </row>
    <row r="772" spans="1:10" x14ac:dyDescent="0.15">
      <c r="A772" s="263" t="s">
        <v>2124</v>
      </c>
      <c r="B772" s="263" t="s">
        <v>2125</v>
      </c>
      <c r="C772" s="263" t="s">
        <v>105</v>
      </c>
      <c r="D772" s="263" t="s">
        <v>2126</v>
      </c>
      <c r="E772" s="263" t="s">
        <v>112</v>
      </c>
      <c r="F772">
        <v>0</v>
      </c>
      <c r="G772">
        <v>2</v>
      </c>
      <c r="H772" s="263" t="s">
        <v>2038</v>
      </c>
      <c r="I772" s="264"/>
      <c r="J772" s="263" t="s">
        <v>437</v>
      </c>
    </row>
    <row r="773" spans="1:10" x14ac:dyDescent="0.15">
      <c r="A773" s="263" t="s">
        <v>2127</v>
      </c>
      <c r="B773" s="263" t="s">
        <v>2128</v>
      </c>
      <c r="C773" s="263" t="s">
        <v>105</v>
      </c>
      <c r="D773" s="263" t="s">
        <v>2129</v>
      </c>
      <c r="E773" s="263" t="s">
        <v>112</v>
      </c>
      <c r="F773">
        <v>0</v>
      </c>
      <c r="G773">
        <v>2</v>
      </c>
      <c r="H773" s="263" t="s">
        <v>2038</v>
      </c>
      <c r="I773" s="264"/>
      <c r="J773" s="263" t="s">
        <v>437</v>
      </c>
    </row>
    <row r="774" spans="1:10" x14ac:dyDescent="0.15">
      <c r="A774" s="263" t="s">
        <v>2130</v>
      </c>
      <c r="B774" s="263" t="s">
        <v>2131</v>
      </c>
      <c r="C774" s="263" t="s">
        <v>105</v>
      </c>
      <c r="D774" s="263" t="s">
        <v>2132</v>
      </c>
      <c r="E774" s="263" t="s">
        <v>112</v>
      </c>
      <c r="F774">
        <v>0</v>
      </c>
      <c r="G774">
        <v>2</v>
      </c>
      <c r="H774" s="263" t="s">
        <v>2038</v>
      </c>
      <c r="I774" s="264"/>
      <c r="J774" s="263" t="s">
        <v>437</v>
      </c>
    </row>
    <row r="775" spans="1:10" x14ac:dyDescent="0.15">
      <c r="A775" s="263" t="s">
        <v>2133</v>
      </c>
      <c r="B775" s="263" t="s">
        <v>2134</v>
      </c>
      <c r="C775" s="263" t="s">
        <v>105</v>
      </c>
      <c r="D775" s="263" t="s">
        <v>2135</v>
      </c>
      <c r="E775" s="263" t="s">
        <v>112</v>
      </c>
      <c r="F775">
        <v>0</v>
      </c>
      <c r="G775">
        <v>2</v>
      </c>
      <c r="H775" s="263" t="s">
        <v>436</v>
      </c>
      <c r="I775" s="264"/>
      <c r="J775" s="263" t="s">
        <v>437</v>
      </c>
    </row>
    <row r="776" spans="1:10" x14ac:dyDescent="0.15">
      <c r="A776" s="263" t="s">
        <v>2136</v>
      </c>
      <c r="B776" s="263" t="s">
        <v>2137</v>
      </c>
      <c r="C776" s="263" t="s">
        <v>105</v>
      </c>
      <c r="D776" s="263" t="s">
        <v>2138</v>
      </c>
      <c r="E776" s="263" t="s">
        <v>112</v>
      </c>
      <c r="F776">
        <v>0</v>
      </c>
      <c r="G776">
        <v>2</v>
      </c>
      <c r="H776" s="263" t="s">
        <v>436</v>
      </c>
      <c r="I776" s="264"/>
      <c r="J776" s="263" t="s">
        <v>437</v>
      </c>
    </row>
    <row r="777" spans="1:10" x14ac:dyDescent="0.15">
      <c r="A777" s="263" t="s">
        <v>2139</v>
      </c>
      <c r="B777" s="263" t="s">
        <v>2100</v>
      </c>
      <c r="C777" s="263" t="s">
        <v>105</v>
      </c>
      <c r="D777" s="263" t="s">
        <v>2101</v>
      </c>
      <c r="E777" s="263" t="s">
        <v>112</v>
      </c>
      <c r="F777">
        <v>0</v>
      </c>
      <c r="G777">
        <v>2</v>
      </c>
      <c r="H777" s="263" t="s">
        <v>436</v>
      </c>
      <c r="I777" s="264"/>
      <c r="J777" s="263" t="s">
        <v>437</v>
      </c>
    </row>
    <row r="778" spans="1:10" x14ac:dyDescent="0.15">
      <c r="A778" s="263" t="s">
        <v>2140</v>
      </c>
      <c r="B778" s="263" t="s">
        <v>2103</v>
      </c>
      <c r="C778" s="263" t="s">
        <v>105</v>
      </c>
      <c r="D778" s="263" t="s">
        <v>2104</v>
      </c>
      <c r="E778" s="263" t="s">
        <v>112</v>
      </c>
      <c r="F778">
        <v>0</v>
      </c>
      <c r="G778">
        <v>2</v>
      </c>
      <c r="H778" s="263" t="s">
        <v>436</v>
      </c>
      <c r="I778" s="264"/>
      <c r="J778" s="263" t="s">
        <v>437</v>
      </c>
    </row>
    <row r="779" spans="1:10" x14ac:dyDescent="0.15">
      <c r="A779" s="263" t="s">
        <v>2141</v>
      </c>
      <c r="B779" s="263" t="s">
        <v>2106</v>
      </c>
      <c r="C779" s="263" t="s">
        <v>105</v>
      </c>
      <c r="D779" s="263" t="s">
        <v>2107</v>
      </c>
      <c r="E779" s="263" t="s">
        <v>112</v>
      </c>
      <c r="F779">
        <v>0</v>
      </c>
      <c r="G779">
        <v>2</v>
      </c>
      <c r="H779" s="263" t="s">
        <v>436</v>
      </c>
      <c r="I779" s="264"/>
      <c r="J779" s="263" t="s">
        <v>437</v>
      </c>
    </row>
    <row r="780" spans="1:10" x14ac:dyDescent="0.15">
      <c r="A780" s="263" t="s">
        <v>2142</v>
      </c>
      <c r="B780" s="263" t="s">
        <v>2109</v>
      </c>
      <c r="C780" s="263" t="s">
        <v>105</v>
      </c>
      <c r="D780" s="263" t="s">
        <v>2110</v>
      </c>
      <c r="E780" s="263" t="s">
        <v>112</v>
      </c>
      <c r="F780">
        <v>0</v>
      </c>
      <c r="G780">
        <v>2</v>
      </c>
      <c r="H780" s="263" t="s">
        <v>436</v>
      </c>
      <c r="I780" s="264"/>
      <c r="J780" s="263" t="s">
        <v>437</v>
      </c>
    </row>
    <row r="781" spans="1:10" x14ac:dyDescent="0.15">
      <c r="A781" s="263" t="s">
        <v>2143</v>
      </c>
      <c r="B781" s="263" t="s">
        <v>2112</v>
      </c>
      <c r="C781" s="263" t="s">
        <v>94</v>
      </c>
      <c r="D781" s="263" t="s">
        <v>2113</v>
      </c>
      <c r="E781" s="263" t="s">
        <v>94</v>
      </c>
      <c r="F781">
        <v>0</v>
      </c>
      <c r="G781">
        <v>2</v>
      </c>
      <c r="H781" s="263" t="s">
        <v>2114</v>
      </c>
      <c r="I781" s="264"/>
      <c r="J781" s="263" t="s">
        <v>437</v>
      </c>
    </row>
    <row r="782" spans="1:10" x14ac:dyDescent="0.15">
      <c r="A782" s="263" t="s">
        <v>2144</v>
      </c>
      <c r="B782" s="263" t="s">
        <v>2145</v>
      </c>
      <c r="C782" s="263" t="s">
        <v>105</v>
      </c>
      <c r="D782" s="263" t="s">
        <v>2146</v>
      </c>
      <c r="E782" s="263" t="s">
        <v>112</v>
      </c>
      <c r="F782">
        <v>0</v>
      </c>
      <c r="G782">
        <v>2</v>
      </c>
      <c r="H782" s="263" t="s">
        <v>436</v>
      </c>
      <c r="I782" s="264"/>
      <c r="J782" s="263" t="s">
        <v>437</v>
      </c>
    </row>
    <row r="783" spans="1:10" x14ac:dyDescent="0.15">
      <c r="A783" s="263" t="s">
        <v>2147</v>
      </c>
      <c r="B783" s="263" t="s">
        <v>2148</v>
      </c>
      <c r="C783" s="263" t="s">
        <v>105</v>
      </c>
      <c r="D783" s="263" t="s">
        <v>2149</v>
      </c>
      <c r="E783" s="263" t="s">
        <v>112</v>
      </c>
      <c r="F783">
        <v>0</v>
      </c>
      <c r="G783">
        <v>2</v>
      </c>
      <c r="H783" s="263" t="s">
        <v>436</v>
      </c>
      <c r="I783" s="264"/>
      <c r="J783" s="263" t="s">
        <v>437</v>
      </c>
    </row>
    <row r="784" spans="1:10" x14ac:dyDescent="0.15">
      <c r="A784" s="263" t="s">
        <v>2150</v>
      </c>
      <c r="B784" s="263" t="s">
        <v>2151</v>
      </c>
      <c r="C784" s="263" t="s">
        <v>105</v>
      </c>
      <c r="D784" s="263" t="s">
        <v>2152</v>
      </c>
      <c r="E784" s="263" t="s">
        <v>112</v>
      </c>
      <c r="F784">
        <v>0</v>
      </c>
      <c r="G784">
        <v>2</v>
      </c>
      <c r="H784" s="263" t="s">
        <v>436</v>
      </c>
      <c r="I784" s="264"/>
      <c r="J784" s="263" t="s">
        <v>437</v>
      </c>
    </row>
    <row r="785" spans="1:10" x14ac:dyDescent="0.15">
      <c r="A785" s="263" t="s">
        <v>2153</v>
      </c>
      <c r="B785" s="263" t="s">
        <v>2145</v>
      </c>
      <c r="C785" s="263" t="s">
        <v>98</v>
      </c>
      <c r="D785" s="263" t="s">
        <v>2146</v>
      </c>
      <c r="E785" s="263" t="s">
        <v>110</v>
      </c>
      <c r="F785">
        <v>0</v>
      </c>
      <c r="G785">
        <v>2</v>
      </c>
      <c r="H785" s="263" t="s">
        <v>436</v>
      </c>
      <c r="I785" s="264"/>
      <c r="J785" s="263" t="s">
        <v>437</v>
      </c>
    </row>
    <row r="786" spans="1:10" x14ac:dyDescent="0.15">
      <c r="A786" s="263" t="s">
        <v>2154</v>
      </c>
      <c r="B786" s="263" t="s">
        <v>2148</v>
      </c>
      <c r="C786" s="263" t="s">
        <v>98</v>
      </c>
      <c r="D786" s="263" t="s">
        <v>2149</v>
      </c>
      <c r="E786" s="263" t="s">
        <v>110</v>
      </c>
      <c r="F786">
        <v>0</v>
      </c>
      <c r="G786">
        <v>2</v>
      </c>
      <c r="H786" s="263" t="s">
        <v>436</v>
      </c>
      <c r="I786" s="264"/>
      <c r="J786" s="263" t="s">
        <v>437</v>
      </c>
    </row>
    <row r="787" spans="1:10" x14ac:dyDescent="0.15">
      <c r="A787" s="263" t="s">
        <v>2155</v>
      </c>
      <c r="B787" s="263" t="s">
        <v>2151</v>
      </c>
      <c r="C787" s="263" t="s">
        <v>98</v>
      </c>
      <c r="D787" s="263" t="s">
        <v>2152</v>
      </c>
      <c r="E787" s="263" t="s">
        <v>110</v>
      </c>
      <c r="F787">
        <v>0</v>
      </c>
      <c r="G787">
        <v>2</v>
      </c>
      <c r="H787" s="263" t="s">
        <v>436</v>
      </c>
      <c r="I787" s="264"/>
      <c r="J787" s="263" t="s">
        <v>437</v>
      </c>
    </row>
    <row r="788" spans="1:10" x14ac:dyDescent="0.15">
      <c r="A788" s="263" t="s">
        <v>2156</v>
      </c>
      <c r="B788" s="263" t="s">
        <v>2157</v>
      </c>
      <c r="C788" s="263" t="s">
        <v>105</v>
      </c>
      <c r="D788" s="263" t="s">
        <v>2158</v>
      </c>
      <c r="E788" s="263" t="s">
        <v>112</v>
      </c>
      <c r="F788">
        <v>0</v>
      </c>
      <c r="G788">
        <v>2</v>
      </c>
      <c r="H788" s="263" t="s">
        <v>436</v>
      </c>
      <c r="I788" s="264"/>
      <c r="J788" s="263" t="s">
        <v>437</v>
      </c>
    </row>
    <row r="789" spans="1:10" x14ac:dyDescent="0.15">
      <c r="A789" s="263" t="s">
        <v>2159</v>
      </c>
      <c r="B789" s="263" t="s">
        <v>2160</v>
      </c>
      <c r="C789" s="263" t="s">
        <v>105</v>
      </c>
      <c r="D789" s="263" t="s">
        <v>2161</v>
      </c>
      <c r="E789" s="263" t="s">
        <v>112</v>
      </c>
      <c r="F789">
        <v>0</v>
      </c>
      <c r="G789">
        <v>2</v>
      </c>
      <c r="H789" s="263" t="s">
        <v>436</v>
      </c>
      <c r="I789" s="264"/>
      <c r="J789" s="263" t="s">
        <v>437</v>
      </c>
    </row>
    <row r="790" spans="1:10" x14ac:dyDescent="0.15">
      <c r="A790" s="263" t="s">
        <v>9063</v>
      </c>
      <c r="B790" s="263" t="s">
        <v>2112</v>
      </c>
      <c r="C790" s="263" t="s">
        <v>94</v>
      </c>
      <c r="D790" s="263" t="s">
        <v>2113</v>
      </c>
      <c r="E790" s="263" t="s">
        <v>94</v>
      </c>
      <c r="F790">
        <v>0</v>
      </c>
      <c r="G790">
        <v>2</v>
      </c>
      <c r="H790" s="263" t="s">
        <v>2114</v>
      </c>
      <c r="I790" s="264"/>
      <c r="J790" s="263" t="s">
        <v>437</v>
      </c>
    </row>
    <row r="791" spans="1:10" x14ac:dyDescent="0.15">
      <c r="A791" s="263" t="s">
        <v>9509</v>
      </c>
      <c r="B791" s="263" t="s">
        <v>9064</v>
      </c>
      <c r="C791" s="263" t="s">
        <v>105</v>
      </c>
      <c r="D791" s="263" t="s">
        <v>9065</v>
      </c>
      <c r="E791" s="263" t="s">
        <v>112</v>
      </c>
      <c r="F791">
        <v>0</v>
      </c>
      <c r="G791">
        <v>2</v>
      </c>
      <c r="H791" s="263" t="s">
        <v>1611</v>
      </c>
      <c r="I791" s="264"/>
      <c r="J791" s="263" t="s">
        <v>437</v>
      </c>
    </row>
    <row r="792" spans="1:10" x14ac:dyDescent="0.15">
      <c r="A792" s="263" t="s">
        <v>9510</v>
      </c>
      <c r="B792" s="263" t="s">
        <v>9511</v>
      </c>
      <c r="C792" s="263" t="s">
        <v>105</v>
      </c>
      <c r="D792" s="263" t="s">
        <v>9512</v>
      </c>
      <c r="E792" s="263" t="s">
        <v>112</v>
      </c>
      <c r="F792">
        <v>0</v>
      </c>
      <c r="G792">
        <v>2</v>
      </c>
      <c r="H792" s="263" t="s">
        <v>1611</v>
      </c>
      <c r="I792" s="264"/>
      <c r="J792" s="263" t="s">
        <v>437</v>
      </c>
    </row>
    <row r="793" spans="1:10" x14ac:dyDescent="0.15">
      <c r="A793" s="263" t="s">
        <v>9513</v>
      </c>
      <c r="B793" s="263" t="s">
        <v>9514</v>
      </c>
      <c r="C793" s="263" t="s">
        <v>105</v>
      </c>
      <c r="D793" s="263" t="s">
        <v>9515</v>
      </c>
      <c r="E793" s="263" t="s">
        <v>112</v>
      </c>
      <c r="F793">
        <v>0</v>
      </c>
      <c r="G793">
        <v>2</v>
      </c>
      <c r="H793" s="263" t="s">
        <v>1611</v>
      </c>
      <c r="I793" s="264"/>
      <c r="J793" s="263" t="s">
        <v>437</v>
      </c>
    </row>
    <row r="794" spans="1:10" x14ac:dyDescent="0.15">
      <c r="A794" s="263" t="s">
        <v>9516</v>
      </c>
      <c r="B794" s="263" t="s">
        <v>9064</v>
      </c>
      <c r="C794" s="263" t="s">
        <v>98</v>
      </c>
      <c r="D794" s="263" t="s">
        <v>9065</v>
      </c>
      <c r="E794" s="263" t="s">
        <v>110</v>
      </c>
      <c r="F794">
        <v>0</v>
      </c>
      <c r="G794">
        <v>2</v>
      </c>
      <c r="H794" s="263" t="s">
        <v>1611</v>
      </c>
      <c r="I794" s="264"/>
      <c r="J794" s="263" t="s">
        <v>437</v>
      </c>
    </row>
    <row r="795" spans="1:10" x14ac:dyDescent="0.15">
      <c r="A795" s="263" t="s">
        <v>9517</v>
      </c>
      <c r="B795" s="263" t="s">
        <v>9511</v>
      </c>
      <c r="C795" s="263" t="s">
        <v>98</v>
      </c>
      <c r="D795" s="263" t="s">
        <v>9512</v>
      </c>
      <c r="E795" s="263" t="s">
        <v>110</v>
      </c>
      <c r="F795">
        <v>0</v>
      </c>
      <c r="G795">
        <v>2</v>
      </c>
      <c r="H795" s="263" t="s">
        <v>1611</v>
      </c>
      <c r="I795" s="264"/>
      <c r="J795" s="263" t="s">
        <v>437</v>
      </c>
    </row>
    <row r="796" spans="1:10" x14ac:dyDescent="0.15">
      <c r="A796" s="263" t="s">
        <v>9518</v>
      </c>
      <c r="B796" s="263" t="s">
        <v>9514</v>
      </c>
      <c r="C796" s="263" t="s">
        <v>98</v>
      </c>
      <c r="D796" s="263" t="s">
        <v>9515</v>
      </c>
      <c r="E796" s="263" t="s">
        <v>110</v>
      </c>
      <c r="F796">
        <v>0</v>
      </c>
      <c r="G796">
        <v>2</v>
      </c>
      <c r="H796" s="263" t="s">
        <v>1611</v>
      </c>
      <c r="I796" s="264"/>
      <c r="J796" s="263" t="s">
        <v>437</v>
      </c>
    </row>
    <row r="797" spans="1:10" x14ac:dyDescent="0.15">
      <c r="A797" s="263" t="s">
        <v>2162</v>
      </c>
      <c r="B797" s="263" t="s">
        <v>2163</v>
      </c>
      <c r="C797" s="263" t="s">
        <v>105</v>
      </c>
      <c r="D797" s="263" t="s">
        <v>2164</v>
      </c>
      <c r="E797" s="263" t="s">
        <v>112</v>
      </c>
      <c r="F797">
        <v>0</v>
      </c>
      <c r="G797">
        <v>2</v>
      </c>
      <c r="H797" s="263" t="s">
        <v>436</v>
      </c>
      <c r="I797" s="264"/>
      <c r="J797" s="263" t="s">
        <v>437</v>
      </c>
    </row>
    <row r="798" spans="1:10" x14ac:dyDescent="0.15">
      <c r="A798" s="263" t="s">
        <v>2165</v>
      </c>
      <c r="B798" s="263" t="s">
        <v>1929</v>
      </c>
      <c r="C798" s="263" t="s">
        <v>105</v>
      </c>
      <c r="D798" s="263" t="s">
        <v>1930</v>
      </c>
      <c r="E798" s="263" t="s">
        <v>112</v>
      </c>
      <c r="F798">
        <v>0</v>
      </c>
      <c r="G798">
        <v>2</v>
      </c>
      <c r="H798" s="263" t="s">
        <v>436</v>
      </c>
      <c r="I798" s="264"/>
      <c r="J798" s="263" t="s">
        <v>437</v>
      </c>
    </row>
    <row r="799" spans="1:10" x14ac:dyDescent="0.15">
      <c r="A799" s="263" t="s">
        <v>2166</v>
      </c>
      <c r="B799" s="263" t="s">
        <v>2100</v>
      </c>
      <c r="C799" s="263" t="s">
        <v>105</v>
      </c>
      <c r="D799" s="263" t="s">
        <v>2101</v>
      </c>
      <c r="E799" s="263" t="s">
        <v>112</v>
      </c>
      <c r="F799">
        <v>0</v>
      </c>
      <c r="G799">
        <v>2</v>
      </c>
      <c r="H799" s="263" t="s">
        <v>436</v>
      </c>
      <c r="I799" s="264"/>
      <c r="J799" s="263" t="s">
        <v>437</v>
      </c>
    </row>
    <row r="800" spans="1:10" x14ac:dyDescent="0.15">
      <c r="A800" s="263" t="s">
        <v>2167</v>
      </c>
      <c r="B800" s="263" t="s">
        <v>2103</v>
      </c>
      <c r="C800" s="263" t="s">
        <v>105</v>
      </c>
      <c r="D800" s="263" t="s">
        <v>2104</v>
      </c>
      <c r="E800" s="263" t="s">
        <v>112</v>
      </c>
      <c r="F800">
        <v>0</v>
      </c>
      <c r="G800">
        <v>2</v>
      </c>
      <c r="H800" s="263" t="s">
        <v>436</v>
      </c>
      <c r="I800" s="264"/>
      <c r="J800" s="263" t="s">
        <v>437</v>
      </c>
    </row>
    <row r="801" spans="1:10" x14ac:dyDescent="0.15">
      <c r="A801" s="263" t="s">
        <v>2168</v>
      </c>
      <c r="B801" s="263" t="s">
        <v>2106</v>
      </c>
      <c r="C801" s="263" t="s">
        <v>105</v>
      </c>
      <c r="D801" s="263" t="s">
        <v>2107</v>
      </c>
      <c r="E801" s="263" t="s">
        <v>112</v>
      </c>
      <c r="F801">
        <v>0</v>
      </c>
      <c r="G801">
        <v>2</v>
      </c>
      <c r="H801" s="263" t="s">
        <v>436</v>
      </c>
      <c r="I801" s="264"/>
      <c r="J801" s="263" t="s">
        <v>437</v>
      </c>
    </row>
    <row r="802" spans="1:10" x14ac:dyDescent="0.15">
      <c r="A802" s="263" t="s">
        <v>2169</v>
      </c>
      <c r="B802" s="263" t="s">
        <v>2109</v>
      </c>
      <c r="C802" s="263" t="s">
        <v>105</v>
      </c>
      <c r="D802" s="263" t="s">
        <v>2110</v>
      </c>
      <c r="E802" s="263" t="s">
        <v>112</v>
      </c>
      <c r="F802">
        <v>0</v>
      </c>
      <c r="G802">
        <v>2</v>
      </c>
      <c r="H802" s="263" t="s">
        <v>436</v>
      </c>
      <c r="I802" s="264"/>
      <c r="J802" s="263" t="s">
        <v>437</v>
      </c>
    </row>
    <row r="803" spans="1:10" x14ac:dyDescent="0.15">
      <c r="A803" s="263" t="s">
        <v>2170</v>
      </c>
      <c r="B803" s="263" t="s">
        <v>2171</v>
      </c>
      <c r="C803" s="263" t="s">
        <v>105</v>
      </c>
      <c r="D803" s="263" t="s">
        <v>2172</v>
      </c>
      <c r="E803" s="263" t="s">
        <v>112</v>
      </c>
      <c r="F803">
        <v>0</v>
      </c>
      <c r="G803">
        <v>2</v>
      </c>
      <c r="H803" s="263" t="s">
        <v>436</v>
      </c>
      <c r="I803" s="264"/>
      <c r="J803" s="263" t="s">
        <v>437</v>
      </c>
    </row>
    <row r="804" spans="1:10" x14ac:dyDescent="0.15">
      <c r="A804" s="263" t="s">
        <v>2173</v>
      </c>
      <c r="B804" s="263" t="s">
        <v>2171</v>
      </c>
      <c r="C804" s="263" t="s">
        <v>98</v>
      </c>
      <c r="D804" s="263" t="s">
        <v>2172</v>
      </c>
      <c r="E804" s="263" t="s">
        <v>110</v>
      </c>
      <c r="F804">
        <v>0</v>
      </c>
      <c r="G804">
        <v>2</v>
      </c>
      <c r="H804" s="263" t="s">
        <v>436</v>
      </c>
      <c r="I804" s="264"/>
      <c r="J804" s="263" t="s">
        <v>437</v>
      </c>
    </row>
    <row r="805" spans="1:10" x14ac:dyDescent="0.15">
      <c r="A805" s="263" t="s">
        <v>2174</v>
      </c>
      <c r="B805" s="263" t="s">
        <v>1964</v>
      </c>
      <c r="C805" s="263" t="s">
        <v>105</v>
      </c>
      <c r="D805" s="263" t="s">
        <v>1965</v>
      </c>
      <c r="E805" s="263" t="s">
        <v>112</v>
      </c>
      <c r="F805">
        <v>0</v>
      </c>
      <c r="G805">
        <v>2</v>
      </c>
      <c r="H805" s="263" t="s">
        <v>436</v>
      </c>
      <c r="I805" s="264"/>
      <c r="J805" s="263" t="s">
        <v>437</v>
      </c>
    </row>
    <row r="806" spans="1:10" x14ac:dyDescent="0.15">
      <c r="A806" s="263" t="s">
        <v>2175</v>
      </c>
      <c r="B806" s="263" t="s">
        <v>1964</v>
      </c>
      <c r="C806" s="263" t="s">
        <v>98</v>
      </c>
      <c r="D806" s="263" t="s">
        <v>1965</v>
      </c>
      <c r="E806" s="263" t="s">
        <v>110</v>
      </c>
      <c r="F806">
        <v>0</v>
      </c>
      <c r="G806">
        <v>2</v>
      </c>
      <c r="H806" s="263" t="s">
        <v>436</v>
      </c>
      <c r="I806" s="264"/>
      <c r="J806" s="263" t="s">
        <v>437</v>
      </c>
    </row>
    <row r="807" spans="1:10" x14ac:dyDescent="0.15">
      <c r="A807" s="263" t="s">
        <v>2176</v>
      </c>
      <c r="B807" s="263" t="s">
        <v>2177</v>
      </c>
      <c r="C807" s="263" t="s">
        <v>105</v>
      </c>
      <c r="D807" s="263" t="s">
        <v>2178</v>
      </c>
      <c r="E807" s="263" t="s">
        <v>112</v>
      </c>
      <c r="F807">
        <v>0</v>
      </c>
      <c r="G807">
        <v>2</v>
      </c>
      <c r="H807" s="263" t="s">
        <v>1611</v>
      </c>
      <c r="I807" s="264"/>
      <c r="J807" s="263" t="s">
        <v>437</v>
      </c>
    </row>
    <row r="808" spans="1:10" x14ac:dyDescent="0.15">
      <c r="A808" s="263" t="s">
        <v>2179</v>
      </c>
      <c r="B808" s="263" t="s">
        <v>2180</v>
      </c>
      <c r="C808" s="263" t="s">
        <v>105</v>
      </c>
      <c r="D808" s="263" t="s">
        <v>2181</v>
      </c>
      <c r="E808" s="263" t="s">
        <v>112</v>
      </c>
      <c r="F808">
        <v>0</v>
      </c>
      <c r="G808">
        <v>2</v>
      </c>
      <c r="H808" s="263" t="s">
        <v>1611</v>
      </c>
      <c r="I808" s="264"/>
      <c r="J808" s="263" t="s">
        <v>437</v>
      </c>
    </row>
    <row r="809" spans="1:10" x14ac:dyDescent="0.15">
      <c r="A809" s="263" t="s">
        <v>2182</v>
      </c>
      <c r="B809" s="263" t="s">
        <v>2183</v>
      </c>
      <c r="C809" s="263" t="s">
        <v>105</v>
      </c>
      <c r="D809" s="263" t="s">
        <v>2184</v>
      </c>
      <c r="E809" s="263" t="s">
        <v>112</v>
      </c>
      <c r="F809">
        <v>0</v>
      </c>
      <c r="G809">
        <v>2</v>
      </c>
      <c r="H809" s="263" t="s">
        <v>1611</v>
      </c>
      <c r="I809" s="264"/>
      <c r="J809" s="263" t="s">
        <v>437</v>
      </c>
    </row>
    <row r="810" spans="1:10" x14ac:dyDescent="0.15">
      <c r="A810" s="263" t="s">
        <v>2185</v>
      </c>
      <c r="B810" s="263" t="s">
        <v>2186</v>
      </c>
      <c r="C810" s="263" t="s">
        <v>105</v>
      </c>
      <c r="D810" s="263" t="s">
        <v>2187</v>
      </c>
      <c r="E810" s="263" t="s">
        <v>112</v>
      </c>
      <c r="F810">
        <v>0</v>
      </c>
      <c r="G810">
        <v>2</v>
      </c>
      <c r="H810" s="263" t="s">
        <v>1611</v>
      </c>
      <c r="I810" s="264"/>
      <c r="J810" s="263" t="s">
        <v>437</v>
      </c>
    </row>
    <row r="811" spans="1:10" x14ac:dyDescent="0.15">
      <c r="A811" s="263" t="s">
        <v>2188</v>
      </c>
      <c r="B811" s="263" t="s">
        <v>2189</v>
      </c>
      <c r="C811" s="263" t="s">
        <v>105</v>
      </c>
      <c r="D811" s="263" t="s">
        <v>2190</v>
      </c>
      <c r="E811" s="263" t="s">
        <v>112</v>
      </c>
      <c r="F811">
        <v>0</v>
      </c>
      <c r="G811">
        <v>2</v>
      </c>
      <c r="H811" s="263" t="s">
        <v>1611</v>
      </c>
      <c r="I811" s="264"/>
      <c r="J811" s="263" t="s">
        <v>437</v>
      </c>
    </row>
    <row r="812" spans="1:10" x14ac:dyDescent="0.15">
      <c r="A812" s="263" t="s">
        <v>2191</v>
      </c>
      <c r="B812" s="263" t="s">
        <v>2192</v>
      </c>
      <c r="C812" s="263" t="s">
        <v>105</v>
      </c>
      <c r="D812" s="263" t="s">
        <v>2193</v>
      </c>
      <c r="E812" s="263" t="s">
        <v>112</v>
      </c>
      <c r="F812">
        <v>0</v>
      </c>
      <c r="G812">
        <v>2</v>
      </c>
      <c r="H812" s="263" t="s">
        <v>1611</v>
      </c>
      <c r="I812" s="264"/>
      <c r="J812" s="263" t="s">
        <v>437</v>
      </c>
    </row>
    <row r="813" spans="1:10" x14ac:dyDescent="0.15">
      <c r="A813" s="263" t="s">
        <v>2194</v>
      </c>
      <c r="B813" s="263" t="s">
        <v>2195</v>
      </c>
      <c r="C813" s="263" t="s">
        <v>105</v>
      </c>
      <c r="D813" s="263" t="s">
        <v>2196</v>
      </c>
      <c r="E813" s="263" t="s">
        <v>112</v>
      </c>
      <c r="F813">
        <v>0</v>
      </c>
      <c r="G813">
        <v>2</v>
      </c>
      <c r="H813" s="263" t="s">
        <v>1611</v>
      </c>
      <c r="I813" s="264"/>
      <c r="J813" s="263" t="s">
        <v>437</v>
      </c>
    </row>
    <row r="814" spans="1:10" x14ac:dyDescent="0.15">
      <c r="A814" s="263" t="s">
        <v>2197</v>
      </c>
      <c r="B814" s="263" t="s">
        <v>2198</v>
      </c>
      <c r="C814" s="263" t="s">
        <v>105</v>
      </c>
      <c r="D814" s="263" t="s">
        <v>2199</v>
      </c>
      <c r="E814" s="263" t="s">
        <v>112</v>
      </c>
      <c r="F814">
        <v>0</v>
      </c>
      <c r="G814">
        <v>2</v>
      </c>
      <c r="H814" s="263" t="s">
        <v>1611</v>
      </c>
      <c r="I814" s="264"/>
      <c r="J814" s="263" t="s">
        <v>437</v>
      </c>
    </row>
    <row r="815" spans="1:10" x14ac:dyDescent="0.15">
      <c r="A815" s="263" t="s">
        <v>2200</v>
      </c>
      <c r="B815" s="263" t="s">
        <v>2201</v>
      </c>
      <c r="C815" s="263" t="s">
        <v>105</v>
      </c>
      <c r="D815" s="263" t="s">
        <v>2202</v>
      </c>
      <c r="E815" s="263" t="s">
        <v>112</v>
      </c>
      <c r="F815">
        <v>0</v>
      </c>
      <c r="G815">
        <v>2</v>
      </c>
      <c r="H815" s="263" t="s">
        <v>1611</v>
      </c>
      <c r="I815" s="264"/>
      <c r="J815" s="263" t="s">
        <v>437</v>
      </c>
    </row>
    <row r="816" spans="1:10" x14ac:dyDescent="0.15">
      <c r="A816" s="263" t="s">
        <v>2203</v>
      </c>
      <c r="B816" s="263" t="s">
        <v>2204</v>
      </c>
      <c r="C816" s="263" t="s">
        <v>105</v>
      </c>
      <c r="D816" s="263" t="s">
        <v>2205</v>
      </c>
      <c r="E816" s="263" t="s">
        <v>112</v>
      </c>
      <c r="F816">
        <v>0</v>
      </c>
      <c r="G816">
        <v>2</v>
      </c>
      <c r="H816" s="263" t="s">
        <v>1611</v>
      </c>
      <c r="I816" s="264"/>
      <c r="J816" s="263" t="s">
        <v>437</v>
      </c>
    </row>
    <row r="817" spans="1:10" x14ac:dyDescent="0.15">
      <c r="A817" s="263" t="s">
        <v>2206</v>
      </c>
      <c r="B817" s="263" t="s">
        <v>2177</v>
      </c>
      <c r="C817" s="263" t="s">
        <v>98</v>
      </c>
      <c r="D817" s="263" t="s">
        <v>2178</v>
      </c>
      <c r="E817" s="263" t="s">
        <v>110</v>
      </c>
      <c r="F817">
        <v>0</v>
      </c>
      <c r="G817">
        <v>2</v>
      </c>
      <c r="H817" s="263" t="s">
        <v>1611</v>
      </c>
      <c r="I817" s="264"/>
      <c r="J817" s="263" t="s">
        <v>437</v>
      </c>
    </row>
    <row r="818" spans="1:10" x14ac:dyDescent="0.15">
      <c r="A818" s="263" t="s">
        <v>2207</v>
      </c>
      <c r="B818" s="263" t="s">
        <v>2180</v>
      </c>
      <c r="C818" s="263" t="s">
        <v>98</v>
      </c>
      <c r="D818" s="263" t="s">
        <v>2181</v>
      </c>
      <c r="E818" s="263" t="s">
        <v>110</v>
      </c>
      <c r="F818">
        <v>0</v>
      </c>
      <c r="G818">
        <v>2</v>
      </c>
      <c r="H818" s="263" t="s">
        <v>1611</v>
      </c>
      <c r="I818" s="264"/>
      <c r="J818" s="263" t="s">
        <v>437</v>
      </c>
    </row>
    <row r="819" spans="1:10" x14ac:dyDescent="0.15">
      <c r="A819" s="263" t="s">
        <v>2208</v>
      </c>
      <c r="B819" s="263" t="s">
        <v>2183</v>
      </c>
      <c r="C819" s="263" t="s">
        <v>98</v>
      </c>
      <c r="D819" s="263" t="s">
        <v>2184</v>
      </c>
      <c r="E819" s="263" t="s">
        <v>110</v>
      </c>
      <c r="F819">
        <v>0</v>
      </c>
      <c r="G819">
        <v>2</v>
      </c>
      <c r="H819" s="263" t="s">
        <v>1611</v>
      </c>
      <c r="I819" s="264"/>
      <c r="J819" s="263" t="s">
        <v>437</v>
      </c>
    </row>
    <row r="820" spans="1:10" x14ac:dyDescent="0.15">
      <c r="A820" s="263" t="s">
        <v>2209</v>
      </c>
      <c r="B820" s="263" t="s">
        <v>2186</v>
      </c>
      <c r="C820" s="263" t="s">
        <v>98</v>
      </c>
      <c r="D820" s="263" t="s">
        <v>2187</v>
      </c>
      <c r="E820" s="263" t="s">
        <v>110</v>
      </c>
      <c r="F820">
        <v>0</v>
      </c>
      <c r="G820">
        <v>2</v>
      </c>
      <c r="H820" s="263" t="s">
        <v>1611</v>
      </c>
      <c r="I820" s="264"/>
      <c r="J820" s="263" t="s">
        <v>437</v>
      </c>
    </row>
    <row r="821" spans="1:10" x14ac:dyDescent="0.15">
      <c r="A821" s="263" t="s">
        <v>2210</v>
      </c>
      <c r="B821" s="263" t="s">
        <v>2211</v>
      </c>
      <c r="C821" s="263" t="s">
        <v>98</v>
      </c>
      <c r="D821" s="263" t="s">
        <v>2212</v>
      </c>
      <c r="E821" s="263" t="s">
        <v>110</v>
      </c>
      <c r="F821">
        <v>0</v>
      </c>
      <c r="G821">
        <v>2</v>
      </c>
      <c r="H821" s="263" t="s">
        <v>1611</v>
      </c>
      <c r="I821" s="264"/>
      <c r="J821" s="263" t="s">
        <v>437</v>
      </c>
    </row>
    <row r="822" spans="1:10" x14ac:dyDescent="0.15">
      <c r="A822" s="263" t="s">
        <v>2213</v>
      </c>
      <c r="B822" s="263" t="s">
        <v>2214</v>
      </c>
      <c r="C822" s="263" t="s">
        <v>98</v>
      </c>
      <c r="D822" s="263" t="s">
        <v>2215</v>
      </c>
      <c r="E822" s="263" t="s">
        <v>110</v>
      </c>
      <c r="F822">
        <v>0</v>
      </c>
      <c r="G822">
        <v>2</v>
      </c>
      <c r="H822" s="263" t="s">
        <v>1611</v>
      </c>
      <c r="I822" s="264"/>
      <c r="J822" s="263" t="s">
        <v>437</v>
      </c>
    </row>
    <row r="823" spans="1:10" x14ac:dyDescent="0.15">
      <c r="A823" s="263" t="s">
        <v>2216</v>
      </c>
      <c r="B823" s="263" t="s">
        <v>2217</v>
      </c>
      <c r="C823" s="263" t="s">
        <v>98</v>
      </c>
      <c r="D823" s="263" t="s">
        <v>2218</v>
      </c>
      <c r="E823" s="263" t="s">
        <v>110</v>
      </c>
      <c r="F823">
        <v>0</v>
      </c>
      <c r="G823">
        <v>2</v>
      </c>
      <c r="H823" s="263" t="s">
        <v>1611</v>
      </c>
      <c r="I823" s="264"/>
      <c r="J823" s="263" t="s">
        <v>437</v>
      </c>
    </row>
    <row r="824" spans="1:10" x14ac:dyDescent="0.15">
      <c r="A824" s="263" t="s">
        <v>2219</v>
      </c>
      <c r="B824" s="263" t="s">
        <v>1929</v>
      </c>
      <c r="C824" s="263" t="s">
        <v>105</v>
      </c>
      <c r="D824" s="263" t="s">
        <v>1930</v>
      </c>
      <c r="E824" s="263" t="s">
        <v>112</v>
      </c>
      <c r="F824">
        <v>0</v>
      </c>
      <c r="G824">
        <v>2</v>
      </c>
      <c r="H824" s="263" t="s">
        <v>436</v>
      </c>
      <c r="I824" s="264"/>
      <c r="J824" s="263" t="s">
        <v>437</v>
      </c>
    </row>
    <row r="825" spans="1:10" x14ac:dyDescent="0.15">
      <c r="A825" s="263" t="s">
        <v>2220</v>
      </c>
      <c r="B825" s="263" t="s">
        <v>1932</v>
      </c>
      <c r="C825" s="263" t="s">
        <v>105</v>
      </c>
      <c r="D825" s="263" t="s">
        <v>1933</v>
      </c>
      <c r="E825" s="263" t="s">
        <v>112</v>
      </c>
      <c r="F825">
        <v>0</v>
      </c>
      <c r="G825">
        <v>2</v>
      </c>
      <c r="H825" s="263" t="s">
        <v>436</v>
      </c>
      <c r="I825" s="264"/>
      <c r="J825" s="263" t="s">
        <v>437</v>
      </c>
    </row>
    <row r="826" spans="1:10" x14ac:dyDescent="0.15">
      <c r="A826" s="263" t="s">
        <v>2221</v>
      </c>
      <c r="B826" s="263" t="s">
        <v>1964</v>
      </c>
      <c r="C826" s="263" t="s">
        <v>105</v>
      </c>
      <c r="D826" s="263" t="s">
        <v>1965</v>
      </c>
      <c r="E826" s="263" t="s">
        <v>112</v>
      </c>
      <c r="F826">
        <v>0</v>
      </c>
      <c r="G826">
        <v>2</v>
      </c>
      <c r="H826" s="263" t="s">
        <v>436</v>
      </c>
      <c r="I826" s="264"/>
      <c r="J826" s="263" t="s">
        <v>437</v>
      </c>
    </row>
    <row r="827" spans="1:10" x14ac:dyDescent="0.15">
      <c r="A827" s="263" t="s">
        <v>2222</v>
      </c>
      <c r="B827" s="263" t="s">
        <v>1964</v>
      </c>
      <c r="C827" s="263" t="s">
        <v>98</v>
      </c>
      <c r="D827" s="263" t="s">
        <v>1965</v>
      </c>
      <c r="E827" s="263" t="s">
        <v>110</v>
      </c>
      <c r="F827">
        <v>0</v>
      </c>
      <c r="G827">
        <v>2</v>
      </c>
      <c r="H827" s="263" t="s">
        <v>436</v>
      </c>
      <c r="I827" s="264"/>
      <c r="J827" s="263" t="s">
        <v>437</v>
      </c>
    </row>
    <row r="828" spans="1:10" x14ac:dyDescent="0.15">
      <c r="A828" s="263" t="s">
        <v>2223</v>
      </c>
      <c r="B828" s="263" t="s">
        <v>9519</v>
      </c>
      <c r="C828" s="263" t="s">
        <v>105</v>
      </c>
      <c r="D828" s="263" t="s">
        <v>9520</v>
      </c>
      <c r="E828" s="263" t="s">
        <v>112</v>
      </c>
      <c r="F828">
        <v>0</v>
      </c>
      <c r="G828">
        <v>2</v>
      </c>
      <c r="H828" s="263" t="s">
        <v>436</v>
      </c>
      <c r="I828" s="264"/>
      <c r="J828" s="263" t="s">
        <v>437</v>
      </c>
    </row>
    <row r="829" spans="1:10" x14ac:dyDescent="0.15">
      <c r="A829" s="263" t="s">
        <v>9521</v>
      </c>
      <c r="B829" s="263" t="s">
        <v>9519</v>
      </c>
      <c r="C829" s="263" t="s">
        <v>98</v>
      </c>
      <c r="D829" s="263" t="s">
        <v>9520</v>
      </c>
      <c r="E829" s="263" t="s">
        <v>110</v>
      </c>
      <c r="F829">
        <v>0</v>
      </c>
      <c r="G829">
        <v>2</v>
      </c>
      <c r="H829" s="263" t="s">
        <v>436</v>
      </c>
      <c r="I829" s="264"/>
      <c r="J829" s="263" t="s">
        <v>437</v>
      </c>
    </row>
    <row r="830" spans="1:10" x14ac:dyDescent="0.15">
      <c r="A830" s="263" t="s">
        <v>2242</v>
      </c>
      <c r="B830" s="263" t="s">
        <v>2375</v>
      </c>
      <c r="C830" s="263" t="s">
        <v>105</v>
      </c>
      <c r="D830" s="263" t="s">
        <v>2376</v>
      </c>
      <c r="E830" s="263" t="s">
        <v>112</v>
      </c>
      <c r="F830">
        <v>0</v>
      </c>
      <c r="G830">
        <v>2</v>
      </c>
      <c r="H830" s="263" t="s">
        <v>436</v>
      </c>
      <c r="I830" s="264"/>
      <c r="J830" s="263" t="s">
        <v>437</v>
      </c>
    </row>
    <row r="831" spans="1:10" x14ac:dyDescent="0.15">
      <c r="A831" s="263" t="s">
        <v>2243</v>
      </c>
      <c r="B831" s="263" t="s">
        <v>2244</v>
      </c>
      <c r="C831" s="263" t="s">
        <v>98</v>
      </c>
      <c r="D831" s="263" t="s">
        <v>2245</v>
      </c>
      <c r="E831" s="263" t="s">
        <v>110</v>
      </c>
      <c r="F831">
        <v>0</v>
      </c>
      <c r="G831">
        <v>2</v>
      </c>
      <c r="H831" s="263" t="s">
        <v>436</v>
      </c>
      <c r="I831" s="264"/>
      <c r="J831" s="263" t="s">
        <v>437</v>
      </c>
    </row>
    <row r="832" spans="1:10" x14ac:dyDescent="0.15">
      <c r="A832" s="263" t="s">
        <v>2246</v>
      </c>
      <c r="B832" s="263" t="s">
        <v>2247</v>
      </c>
      <c r="C832" s="263" t="s">
        <v>98</v>
      </c>
      <c r="D832" s="263" t="s">
        <v>2248</v>
      </c>
      <c r="E832" s="263" t="s">
        <v>110</v>
      </c>
      <c r="F832">
        <v>0</v>
      </c>
      <c r="G832">
        <v>2</v>
      </c>
      <c r="H832" s="263" t="s">
        <v>436</v>
      </c>
      <c r="I832" s="264"/>
      <c r="J832" s="263" t="s">
        <v>437</v>
      </c>
    </row>
    <row r="833" spans="1:10" x14ac:dyDescent="0.15">
      <c r="A833" s="263" t="s">
        <v>2249</v>
      </c>
      <c r="B833" s="263" t="s">
        <v>2250</v>
      </c>
      <c r="C833" s="263" t="s">
        <v>98</v>
      </c>
      <c r="D833" s="263" t="s">
        <v>2251</v>
      </c>
      <c r="E833" s="263" t="s">
        <v>110</v>
      </c>
      <c r="F833">
        <v>0</v>
      </c>
      <c r="G833">
        <v>2</v>
      </c>
      <c r="H833" s="263" t="s">
        <v>436</v>
      </c>
      <c r="I833" s="264"/>
      <c r="J833" s="263" t="s">
        <v>437</v>
      </c>
    </row>
    <row r="834" spans="1:10" x14ac:dyDescent="0.15">
      <c r="A834" s="263" t="s">
        <v>2252</v>
      </c>
      <c r="B834" s="263" t="s">
        <v>2244</v>
      </c>
      <c r="C834" s="263" t="s">
        <v>105</v>
      </c>
      <c r="D834" s="263" t="s">
        <v>2245</v>
      </c>
      <c r="E834" s="263" t="s">
        <v>112</v>
      </c>
      <c r="F834">
        <v>0</v>
      </c>
      <c r="G834">
        <v>2</v>
      </c>
      <c r="H834" s="263" t="s">
        <v>436</v>
      </c>
      <c r="I834" s="264"/>
      <c r="J834" s="263" t="s">
        <v>437</v>
      </c>
    </row>
    <row r="835" spans="1:10" x14ac:dyDescent="0.15">
      <c r="A835" s="263" t="s">
        <v>2253</v>
      </c>
      <c r="B835" s="263" t="s">
        <v>2247</v>
      </c>
      <c r="C835" s="263" t="s">
        <v>105</v>
      </c>
      <c r="D835" s="263" t="s">
        <v>2248</v>
      </c>
      <c r="E835" s="263" t="s">
        <v>112</v>
      </c>
      <c r="F835">
        <v>0</v>
      </c>
      <c r="G835">
        <v>2</v>
      </c>
      <c r="H835" s="263" t="s">
        <v>436</v>
      </c>
      <c r="I835" s="264"/>
      <c r="J835" s="263" t="s">
        <v>437</v>
      </c>
    </row>
    <row r="836" spans="1:10" x14ac:dyDescent="0.15">
      <c r="A836" s="263" t="s">
        <v>2254</v>
      </c>
      <c r="B836" s="263" t="s">
        <v>2250</v>
      </c>
      <c r="C836" s="263" t="s">
        <v>105</v>
      </c>
      <c r="D836" s="263" t="s">
        <v>2251</v>
      </c>
      <c r="E836" s="263" t="s">
        <v>112</v>
      </c>
      <c r="F836">
        <v>0</v>
      </c>
      <c r="G836">
        <v>2</v>
      </c>
      <c r="H836" s="263" t="s">
        <v>436</v>
      </c>
      <c r="I836" s="264"/>
      <c r="J836" s="263" t="s">
        <v>437</v>
      </c>
    </row>
    <row r="837" spans="1:10" x14ac:dyDescent="0.15">
      <c r="A837" s="263" t="s">
        <v>2255</v>
      </c>
      <c r="B837" s="263" t="s">
        <v>2256</v>
      </c>
      <c r="C837" s="263" t="s">
        <v>98</v>
      </c>
      <c r="D837" s="263" t="s">
        <v>2257</v>
      </c>
      <c r="E837" s="263" t="s">
        <v>110</v>
      </c>
      <c r="F837">
        <v>0</v>
      </c>
      <c r="G837">
        <v>2</v>
      </c>
      <c r="H837" s="263" t="s">
        <v>436</v>
      </c>
      <c r="I837" s="264"/>
      <c r="J837" s="263" t="s">
        <v>437</v>
      </c>
    </row>
    <row r="838" spans="1:10" x14ac:dyDescent="0.15">
      <c r="A838" s="263" t="s">
        <v>2258</v>
      </c>
      <c r="B838" s="263" t="s">
        <v>2259</v>
      </c>
      <c r="C838" s="263" t="s">
        <v>98</v>
      </c>
      <c r="D838" s="263" t="s">
        <v>2260</v>
      </c>
      <c r="E838" s="263" t="s">
        <v>110</v>
      </c>
      <c r="F838">
        <v>0</v>
      </c>
      <c r="G838">
        <v>2</v>
      </c>
      <c r="H838" s="263" t="s">
        <v>436</v>
      </c>
      <c r="I838" s="264"/>
      <c r="J838" s="263" t="s">
        <v>437</v>
      </c>
    </row>
    <row r="839" spans="1:10" x14ac:dyDescent="0.15">
      <c r="A839" s="263" t="s">
        <v>2261</v>
      </c>
      <c r="B839" s="263" t="s">
        <v>2262</v>
      </c>
      <c r="C839" s="263" t="s">
        <v>98</v>
      </c>
      <c r="D839" s="263" t="s">
        <v>2263</v>
      </c>
      <c r="E839" s="263" t="s">
        <v>110</v>
      </c>
      <c r="F839">
        <v>0</v>
      </c>
      <c r="G839">
        <v>2</v>
      </c>
      <c r="H839" s="263" t="s">
        <v>436</v>
      </c>
      <c r="I839" s="264"/>
      <c r="J839" s="263" t="s">
        <v>437</v>
      </c>
    </row>
    <row r="840" spans="1:10" x14ac:dyDescent="0.15">
      <c r="A840" s="263" t="s">
        <v>2264</v>
      </c>
      <c r="B840" s="263" t="s">
        <v>2265</v>
      </c>
      <c r="C840" s="263" t="s">
        <v>105</v>
      </c>
      <c r="D840" s="263" t="s">
        <v>2266</v>
      </c>
      <c r="E840" s="263" t="s">
        <v>112</v>
      </c>
      <c r="F840">
        <v>0</v>
      </c>
      <c r="G840">
        <v>2</v>
      </c>
      <c r="H840" s="263" t="s">
        <v>436</v>
      </c>
      <c r="I840" s="264"/>
      <c r="J840" s="263" t="s">
        <v>437</v>
      </c>
    </row>
    <row r="841" spans="1:10" x14ac:dyDescent="0.15">
      <c r="A841" s="263" t="s">
        <v>2267</v>
      </c>
      <c r="B841" s="263" t="s">
        <v>2268</v>
      </c>
      <c r="C841" s="263" t="s">
        <v>105</v>
      </c>
      <c r="D841" s="263" t="s">
        <v>2269</v>
      </c>
      <c r="E841" s="263" t="s">
        <v>112</v>
      </c>
      <c r="F841">
        <v>0</v>
      </c>
      <c r="G841">
        <v>2</v>
      </c>
      <c r="H841" s="263" t="s">
        <v>436</v>
      </c>
      <c r="I841" s="264"/>
      <c r="J841" s="263" t="s">
        <v>437</v>
      </c>
    </row>
    <row r="842" spans="1:10" x14ac:dyDescent="0.15">
      <c r="A842" s="263" t="s">
        <v>2270</v>
      </c>
      <c r="B842" s="263" t="s">
        <v>2271</v>
      </c>
      <c r="C842" s="263" t="s">
        <v>105</v>
      </c>
      <c r="D842" s="263" t="s">
        <v>2272</v>
      </c>
      <c r="E842" s="263" t="s">
        <v>112</v>
      </c>
      <c r="F842">
        <v>0</v>
      </c>
      <c r="G842">
        <v>2</v>
      </c>
      <c r="H842" s="263" t="s">
        <v>436</v>
      </c>
      <c r="I842" s="264"/>
      <c r="J842" s="263" t="s">
        <v>437</v>
      </c>
    </row>
    <row r="843" spans="1:10" x14ac:dyDescent="0.15">
      <c r="A843" s="263" t="s">
        <v>2273</v>
      </c>
      <c r="B843" s="263" t="s">
        <v>2265</v>
      </c>
      <c r="C843" s="263" t="s">
        <v>98</v>
      </c>
      <c r="D843" s="263" t="s">
        <v>2266</v>
      </c>
      <c r="E843" s="263" t="s">
        <v>110</v>
      </c>
      <c r="F843">
        <v>0</v>
      </c>
      <c r="G843">
        <v>2</v>
      </c>
      <c r="H843" s="263" t="s">
        <v>436</v>
      </c>
      <c r="I843" s="264"/>
      <c r="J843" s="263" t="s">
        <v>437</v>
      </c>
    </row>
    <row r="844" spans="1:10" x14ac:dyDescent="0.15">
      <c r="A844" s="263" t="s">
        <v>2274</v>
      </c>
      <c r="B844" s="263" t="s">
        <v>2268</v>
      </c>
      <c r="C844" s="263" t="s">
        <v>98</v>
      </c>
      <c r="D844" s="263" t="s">
        <v>2269</v>
      </c>
      <c r="E844" s="263" t="s">
        <v>110</v>
      </c>
      <c r="F844">
        <v>0</v>
      </c>
      <c r="G844">
        <v>2</v>
      </c>
      <c r="H844" s="263" t="s">
        <v>436</v>
      </c>
      <c r="I844" s="264"/>
      <c r="J844" s="263" t="s">
        <v>437</v>
      </c>
    </row>
    <row r="845" spans="1:10" x14ac:dyDescent="0.15">
      <c r="A845" s="263" t="s">
        <v>2275</v>
      </c>
      <c r="B845" s="263" t="s">
        <v>2271</v>
      </c>
      <c r="C845" s="263" t="s">
        <v>98</v>
      </c>
      <c r="D845" s="263" t="s">
        <v>2272</v>
      </c>
      <c r="E845" s="263" t="s">
        <v>110</v>
      </c>
      <c r="F845">
        <v>0</v>
      </c>
      <c r="G845">
        <v>2</v>
      </c>
      <c r="H845" s="263" t="s">
        <v>436</v>
      </c>
      <c r="I845" s="264"/>
      <c r="J845" s="263" t="s">
        <v>437</v>
      </c>
    </row>
    <row r="846" spans="1:10" x14ac:dyDescent="0.15">
      <c r="A846" s="263" t="s">
        <v>2276</v>
      </c>
      <c r="B846" s="263" t="s">
        <v>1964</v>
      </c>
      <c r="C846" s="263" t="s">
        <v>105</v>
      </c>
      <c r="D846" s="263" t="s">
        <v>1965</v>
      </c>
      <c r="E846" s="263" t="s">
        <v>112</v>
      </c>
      <c r="F846">
        <v>0</v>
      </c>
      <c r="G846">
        <v>2</v>
      </c>
      <c r="H846" s="263" t="s">
        <v>436</v>
      </c>
      <c r="I846" s="264"/>
      <c r="J846" s="263" t="s">
        <v>437</v>
      </c>
    </row>
    <row r="847" spans="1:10" x14ac:dyDescent="0.15">
      <c r="A847" s="263" t="s">
        <v>2277</v>
      </c>
      <c r="B847" s="263" t="s">
        <v>2278</v>
      </c>
      <c r="C847" s="263" t="s">
        <v>105</v>
      </c>
      <c r="D847" s="263" t="s">
        <v>2279</v>
      </c>
      <c r="E847" s="263" t="s">
        <v>112</v>
      </c>
      <c r="F847">
        <v>0</v>
      </c>
      <c r="G847">
        <v>2</v>
      </c>
      <c r="H847" s="263" t="s">
        <v>436</v>
      </c>
      <c r="I847" s="264"/>
      <c r="J847" s="263" t="s">
        <v>437</v>
      </c>
    </row>
    <row r="848" spans="1:10" x14ac:dyDescent="0.15">
      <c r="A848" s="263" t="s">
        <v>2280</v>
      </c>
      <c r="B848" s="263" t="s">
        <v>2281</v>
      </c>
      <c r="C848" s="263" t="s">
        <v>105</v>
      </c>
      <c r="D848" s="263" t="s">
        <v>2282</v>
      </c>
      <c r="E848" s="263" t="s">
        <v>112</v>
      </c>
      <c r="F848">
        <v>0</v>
      </c>
      <c r="G848">
        <v>2</v>
      </c>
      <c r="H848" s="263" t="s">
        <v>436</v>
      </c>
      <c r="I848" s="264"/>
      <c r="J848" s="263" t="s">
        <v>437</v>
      </c>
    </row>
    <row r="849" spans="1:10" x14ac:dyDescent="0.15">
      <c r="A849" s="263" t="s">
        <v>2283</v>
      </c>
      <c r="B849" s="263" t="s">
        <v>2281</v>
      </c>
      <c r="C849" s="263" t="s">
        <v>92</v>
      </c>
      <c r="D849" s="263" t="s">
        <v>2282</v>
      </c>
      <c r="E849" s="263" t="s">
        <v>91</v>
      </c>
      <c r="F849">
        <v>0</v>
      </c>
      <c r="G849">
        <v>2</v>
      </c>
      <c r="H849" s="263" t="s">
        <v>436</v>
      </c>
      <c r="I849" s="264"/>
      <c r="J849" s="263" t="s">
        <v>437</v>
      </c>
    </row>
    <row r="850" spans="1:10" x14ac:dyDescent="0.15">
      <c r="A850" s="263" t="s">
        <v>2284</v>
      </c>
      <c r="B850" s="263" t="s">
        <v>2285</v>
      </c>
      <c r="C850" s="263" t="s">
        <v>98</v>
      </c>
      <c r="D850" s="263" t="s">
        <v>2286</v>
      </c>
      <c r="E850" s="263" t="s">
        <v>110</v>
      </c>
      <c r="F850">
        <v>0</v>
      </c>
      <c r="G850">
        <v>2</v>
      </c>
      <c r="H850" s="263" t="s">
        <v>436</v>
      </c>
      <c r="I850" s="264"/>
      <c r="J850" s="263" t="s">
        <v>437</v>
      </c>
    </row>
    <row r="851" spans="1:10" x14ac:dyDescent="0.15">
      <c r="A851" s="263" t="s">
        <v>2287</v>
      </c>
      <c r="B851" s="263" t="s">
        <v>2288</v>
      </c>
      <c r="C851" s="263" t="s">
        <v>98</v>
      </c>
      <c r="D851" s="263" t="s">
        <v>2289</v>
      </c>
      <c r="E851" s="263" t="s">
        <v>110</v>
      </c>
      <c r="F851">
        <v>0</v>
      </c>
      <c r="G851">
        <v>2</v>
      </c>
      <c r="H851" s="263" t="s">
        <v>436</v>
      </c>
      <c r="I851" s="264"/>
      <c r="J851" s="263" t="s">
        <v>437</v>
      </c>
    </row>
    <row r="852" spans="1:10" x14ac:dyDescent="0.15">
      <c r="A852" s="263" t="s">
        <v>2290</v>
      </c>
      <c r="B852" s="263" t="s">
        <v>2291</v>
      </c>
      <c r="C852" s="263" t="s">
        <v>98</v>
      </c>
      <c r="D852" s="263" t="s">
        <v>2292</v>
      </c>
      <c r="E852" s="263" t="s">
        <v>110</v>
      </c>
      <c r="F852">
        <v>0</v>
      </c>
      <c r="G852">
        <v>2</v>
      </c>
      <c r="H852" s="263" t="s">
        <v>436</v>
      </c>
      <c r="I852" s="264"/>
      <c r="J852" s="263" t="s">
        <v>437</v>
      </c>
    </row>
    <row r="853" spans="1:10" x14ac:dyDescent="0.15">
      <c r="A853" s="263" t="s">
        <v>2293</v>
      </c>
      <c r="B853" s="263" t="s">
        <v>2294</v>
      </c>
      <c r="C853" s="263" t="s">
        <v>98</v>
      </c>
      <c r="D853" s="263" t="s">
        <v>2295</v>
      </c>
      <c r="E853" s="263" t="s">
        <v>110</v>
      </c>
      <c r="F853">
        <v>0</v>
      </c>
      <c r="G853">
        <v>2</v>
      </c>
      <c r="H853" s="263" t="s">
        <v>436</v>
      </c>
      <c r="I853" s="264"/>
      <c r="J853" s="263" t="s">
        <v>437</v>
      </c>
    </row>
    <row r="854" spans="1:10" x14ac:dyDescent="0.15">
      <c r="A854" s="263" t="s">
        <v>2296</v>
      </c>
      <c r="B854" s="263" t="s">
        <v>2297</v>
      </c>
      <c r="C854" s="263" t="s">
        <v>98</v>
      </c>
      <c r="D854" s="263" t="s">
        <v>2298</v>
      </c>
      <c r="E854" s="263" t="s">
        <v>110</v>
      </c>
      <c r="F854">
        <v>0</v>
      </c>
      <c r="G854">
        <v>2</v>
      </c>
      <c r="H854" s="263" t="s">
        <v>436</v>
      </c>
      <c r="I854" s="264"/>
      <c r="J854" s="263" t="s">
        <v>437</v>
      </c>
    </row>
    <row r="855" spans="1:10" x14ac:dyDescent="0.15">
      <c r="A855" s="263" t="s">
        <v>2299</v>
      </c>
      <c r="B855" s="263" t="s">
        <v>2300</v>
      </c>
      <c r="C855" s="263" t="s">
        <v>98</v>
      </c>
      <c r="D855" s="263" t="s">
        <v>2301</v>
      </c>
      <c r="E855" s="263" t="s">
        <v>110</v>
      </c>
      <c r="F855">
        <v>0</v>
      </c>
      <c r="G855">
        <v>2</v>
      </c>
      <c r="H855" s="263" t="s">
        <v>436</v>
      </c>
      <c r="I855" s="264"/>
      <c r="J855" s="263" t="s">
        <v>437</v>
      </c>
    </row>
    <row r="856" spans="1:10" x14ac:dyDescent="0.15">
      <c r="A856" s="263" t="s">
        <v>2302</v>
      </c>
      <c r="B856" s="263" t="s">
        <v>2303</v>
      </c>
      <c r="C856" s="263" t="s">
        <v>98</v>
      </c>
      <c r="D856" s="263" t="s">
        <v>2304</v>
      </c>
      <c r="E856" s="263" t="s">
        <v>110</v>
      </c>
      <c r="F856">
        <v>0</v>
      </c>
      <c r="G856">
        <v>2</v>
      </c>
      <c r="H856" s="263" t="s">
        <v>436</v>
      </c>
      <c r="I856" s="264"/>
      <c r="J856" s="263" t="s">
        <v>437</v>
      </c>
    </row>
    <row r="857" spans="1:10" x14ac:dyDescent="0.15">
      <c r="A857" s="263" t="s">
        <v>2305</v>
      </c>
      <c r="B857" s="263" t="s">
        <v>2306</v>
      </c>
      <c r="C857" s="263" t="s">
        <v>98</v>
      </c>
      <c r="D857" s="263" t="s">
        <v>2307</v>
      </c>
      <c r="E857" s="263" t="s">
        <v>110</v>
      </c>
      <c r="F857">
        <v>0</v>
      </c>
      <c r="G857">
        <v>2</v>
      </c>
      <c r="H857" s="263" t="s">
        <v>436</v>
      </c>
      <c r="I857" s="264"/>
      <c r="J857" s="263" t="s">
        <v>437</v>
      </c>
    </row>
    <row r="858" spans="1:10" x14ac:dyDescent="0.15">
      <c r="A858" s="263" t="s">
        <v>2308</v>
      </c>
      <c r="B858" s="263" t="s">
        <v>2309</v>
      </c>
      <c r="C858" s="263" t="s">
        <v>98</v>
      </c>
      <c r="D858" s="263" t="s">
        <v>2310</v>
      </c>
      <c r="E858" s="263" t="s">
        <v>110</v>
      </c>
      <c r="F858">
        <v>0</v>
      </c>
      <c r="G858">
        <v>2</v>
      </c>
      <c r="H858" s="263" t="s">
        <v>436</v>
      </c>
      <c r="I858" s="264"/>
      <c r="J858" s="263" t="s">
        <v>437</v>
      </c>
    </row>
    <row r="859" spans="1:10" x14ac:dyDescent="0.15">
      <c r="A859" s="263" t="s">
        <v>2311</v>
      </c>
      <c r="B859" s="263" t="s">
        <v>2312</v>
      </c>
      <c r="C859" s="263" t="s">
        <v>98</v>
      </c>
      <c r="D859" s="263" t="s">
        <v>2313</v>
      </c>
      <c r="E859" s="263" t="s">
        <v>110</v>
      </c>
      <c r="F859">
        <v>0</v>
      </c>
      <c r="G859">
        <v>2</v>
      </c>
      <c r="H859" s="263" t="s">
        <v>436</v>
      </c>
      <c r="I859" s="264"/>
      <c r="J859" s="263" t="s">
        <v>437</v>
      </c>
    </row>
    <row r="860" spans="1:10" x14ac:dyDescent="0.15">
      <c r="A860" s="263" t="s">
        <v>2314</v>
      </c>
      <c r="B860" s="263" t="s">
        <v>2315</v>
      </c>
      <c r="C860" s="263" t="s">
        <v>98</v>
      </c>
      <c r="D860" s="263" t="s">
        <v>2316</v>
      </c>
      <c r="E860" s="263" t="s">
        <v>110</v>
      </c>
      <c r="F860">
        <v>0</v>
      </c>
      <c r="G860">
        <v>2</v>
      </c>
      <c r="H860" s="263" t="s">
        <v>436</v>
      </c>
      <c r="I860" s="264"/>
      <c r="J860" s="263" t="s">
        <v>437</v>
      </c>
    </row>
    <row r="861" spans="1:10" x14ac:dyDescent="0.15">
      <c r="A861" s="263" t="s">
        <v>2317</v>
      </c>
      <c r="B861" s="263" t="s">
        <v>2318</v>
      </c>
      <c r="C861" s="263" t="s">
        <v>98</v>
      </c>
      <c r="D861" s="263" t="s">
        <v>2319</v>
      </c>
      <c r="E861" s="263" t="s">
        <v>110</v>
      </c>
      <c r="F861">
        <v>0</v>
      </c>
      <c r="G861">
        <v>2</v>
      </c>
      <c r="H861" s="263" t="s">
        <v>436</v>
      </c>
      <c r="I861" s="264"/>
      <c r="J861" s="263" t="s">
        <v>437</v>
      </c>
    </row>
    <row r="862" spans="1:10" x14ac:dyDescent="0.15">
      <c r="A862" s="263" t="s">
        <v>2320</v>
      </c>
      <c r="B862" s="263" t="s">
        <v>2321</v>
      </c>
      <c r="C862" s="263" t="s">
        <v>98</v>
      </c>
      <c r="D862" s="263" t="s">
        <v>2322</v>
      </c>
      <c r="E862" s="263" t="s">
        <v>110</v>
      </c>
      <c r="F862">
        <v>0</v>
      </c>
      <c r="G862">
        <v>2</v>
      </c>
      <c r="H862" s="263" t="s">
        <v>436</v>
      </c>
      <c r="I862" s="264"/>
      <c r="J862" s="263" t="s">
        <v>437</v>
      </c>
    </row>
    <row r="863" spans="1:10" x14ac:dyDescent="0.15">
      <c r="A863" s="263" t="s">
        <v>2323</v>
      </c>
      <c r="B863" s="263" t="s">
        <v>2285</v>
      </c>
      <c r="C863" s="263" t="s">
        <v>90</v>
      </c>
      <c r="D863" s="263" t="s">
        <v>2286</v>
      </c>
      <c r="E863" s="263" t="s">
        <v>104</v>
      </c>
      <c r="F863">
        <v>2</v>
      </c>
      <c r="G863">
        <v>2</v>
      </c>
      <c r="H863" s="263" t="s">
        <v>436</v>
      </c>
      <c r="I863" s="264"/>
      <c r="J863" s="263" t="s">
        <v>437</v>
      </c>
    </row>
    <row r="864" spans="1:10" x14ac:dyDescent="0.15">
      <c r="A864" s="263" t="s">
        <v>9522</v>
      </c>
      <c r="B864" s="263" t="s">
        <v>9523</v>
      </c>
      <c r="C864" s="263" t="s">
        <v>98</v>
      </c>
      <c r="D864" s="263" t="s">
        <v>9524</v>
      </c>
      <c r="E864" s="263" t="s">
        <v>110</v>
      </c>
      <c r="F864">
        <v>0</v>
      </c>
      <c r="G864">
        <v>2</v>
      </c>
      <c r="H864" s="263" t="s">
        <v>436</v>
      </c>
      <c r="I864" s="264"/>
      <c r="J864" s="263" t="s">
        <v>437</v>
      </c>
    </row>
    <row r="865" spans="1:10" x14ac:dyDescent="0.15">
      <c r="A865" s="263" t="s">
        <v>9525</v>
      </c>
      <c r="B865" s="263" t="s">
        <v>9523</v>
      </c>
      <c r="C865" s="263" t="s">
        <v>90</v>
      </c>
      <c r="D865" s="263" t="s">
        <v>9524</v>
      </c>
      <c r="E865" s="263" t="s">
        <v>104</v>
      </c>
      <c r="F865">
        <v>2</v>
      </c>
      <c r="G865">
        <v>2</v>
      </c>
      <c r="H865" s="263" t="s">
        <v>436</v>
      </c>
      <c r="I865" s="264"/>
      <c r="J865" s="263" t="s">
        <v>437</v>
      </c>
    </row>
    <row r="866" spans="1:10" x14ac:dyDescent="0.15">
      <c r="A866" s="263" t="s">
        <v>2324</v>
      </c>
      <c r="B866" s="263" t="s">
        <v>2325</v>
      </c>
      <c r="C866" s="263" t="s">
        <v>96</v>
      </c>
      <c r="D866" s="263" t="s">
        <v>2326</v>
      </c>
      <c r="E866" s="263" t="s">
        <v>97</v>
      </c>
      <c r="F866">
        <v>0</v>
      </c>
      <c r="G866">
        <v>2</v>
      </c>
      <c r="H866" s="263" t="s">
        <v>436</v>
      </c>
      <c r="I866" s="264"/>
      <c r="J866" s="263" t="s">
        <v>437</v>
      </c>
    </row>
    <row r="867" spans="1:10" x14ac:dyDescent="0.15">
      <c r="A867" s="263" t="s">
        <v>2327</v>
      </c>
      <c r="B867" s="263" t="s">
        <v>2328</v>
      </c>
      <c r="C867" s="263" t="s">
        <v>96</v>
      </c>
      <c r="D867" s="263" t="s">
        <v>2329</v>
      </c>
      <c r="E867" s="263" t="s">
        <v>97</v>
      </c>
      <c r="F867">
        <v>0</v>
      </c>
      <c r="G867">
        <v>2</v>
      </c>
      <c r="H867" s="263" t="s">
        <v>436</v>
      </c>
      <c r="I867" s="264"/>
      <c r="J867" s="263" t="s">
        <v>437</v>
      </c>
    </row>
    <row r="868" spans="1:10" x14ac:dyDescent="0.15">
      <c r="A868" s="263" t="s">
        <v>2330</v>
      </c>
      <c r="B868" s="263" t="s">
        <v>2331</v>
      </c>
      <c r="C868" s="263" t="s">
        <v>96</v>
      </c>
      <c r="D868" s="263" t="s">
        <v>2332</v>
      </c>
      <c r="E868" s="263" t="s">
        <v>97</v>
      </c>
      <c r="F868">
        <v>0</v>
      </c>
      <c r="G868">
        <v>2</v>
      </c>
      <c r="H868" s="263" t="s">
        <v>436</v>
      </c>
      <c r="I868" s="264"/>
      <c r="J868" s="263" t="s">
        <v>437</v>
      </c>
    </row>
    <row r="869" spans="1:10" x14ac:dyDescent="0.15">
      <c r="A869" s="263" t="s">
        <v>2333</v>
      </c>
      <c r="B869" s="263" t="s">
        <v>2325</v>
      </c>
      <c r="C869" s="263" t="s">
        <v>90</v>
      </c>
      <c r="D869" s="263" t="s">
        <v>2326</v>
      </c>
      <c r="E869" s="263" t="s">
        <v>104</v>
      </c>
      <c r="F869">
        <v>1</v>
      </c>
      <c r="G869">
        <v>2</v>
      </c>
      <c r="H869" s="263" t="s">
        <v>436</v>
      </c>
      <c r="I869" s="264"/>
      <c r="J869" s="263" t="s">
        <v>437</v>
      </c>
    </row>
    <row r="870" spans="1:10" x14ac:dyDescent="0.15">
      <c r="A870" s="263" t="s">
        <v>2334</v>
      </c>
      <c r="B870" s="263" t="s">
        <v>2328</v>
      </c>
      <c r="C870" s="263" t="s">
        <v>90</v>
      </c>
      <c r="D870" s="263" t="s">
        <v>2329</v>
      </c>
      <c r="E870" s="263" t="s">
        <v>104</v>
      </c>
      <c r="F870">
        <v>1</v>
      </c>
      <c r="G870">
        <v>2</v>
      </c>
      <c r="H870" s="263" t="s">
        <v>436</v>
      </c>
      <c r="I870" s="264"/>
      <c r="J870" s="263" t="s">
        <v>437</v>
      </c>
    </row>
    <row r="871" spans="1:10" x14ac:dyDescent="0.15">
      <c r="A871" s="263" t="s">
        <v>2335</v>
      </c>
      <c r="B871" s="263" t="s">
        <v>2331</v>
      </c>
      <c r="C871" s="263" t="s">
        <v>90</v>
      </c>
      <c r="D871" s="263" t="s">
        <v>2332</v>
      </c>
      <c r="E871" s="263" t="s">
        <v>104</v>
      </c>
      <c r="F871">
        <v>1</v>
      </c>
      <c r="G871">
        <v>2</v>
      </c>
      <c r="H871" s="263" t="s">
        <v>436</v>
      </c>
      <c r="I871" s="264"/>
      <c r="J871" s="263" t="s">
        <v>437</v>
      </c>
    </row>
    <row r="872" spans="1:10" x14ac:dyDescent="0.15">
      <c r="A872" s="263" t="s">
        <v>2336</v>
      </c>
      <c r="B872" s="263" t="s">
        <v>2337</v>
      </c>
      <c r="C872" s="263" t="s">
        <v>98</v>
      </c>
      <c r="D872" s="263" t="s">
        <v>2338</v>
      </c>
      <c r="E872" s="263" t="s">
        <v>110</v>
      </c>
      <c r="F872">
        <v>0</v>
      </c>
      <c r="G872">
        <v>2</v>
      </c>
      <c r="H872" s="263" t="s">
        <v>436</v>
      </c>
      <c r="I872" s="264"/>
      <c r="J872" s="263" t="s">
        <v>437</v>
      </c>
    </row>
    <row r="873" spans="1:10" x14ac:dyDescent="0.15">
      <c r="A873" s="263" t="s">
        <v>2339</v>
      </c>
      <c r="B873" s="263" t="s">
        <v>1929</v>
      </c>
      <c r="C873" s="263" t="s">
        <v>105</v>
      </c>
      <c r="D873" s="263" t="s">
        <v>1930</v>
      </c>
      <c r="E873" s="263" t="s">
        <v>112</v>
      </c>
      <c r="F873">
        <v>0</v>
      </c>
      <c r="G873">
        <v>2</v>
      </c>
      <c r="H873" s="263" t="s">
        <v>436</v>
      </c>
      <c r="I873" s="264"/>
      <c r="J873" s="263" t="s">
        <v>437</v>
      </c>
    </row>
    <row r="874" spans="1:10" x14ac:dyDescent="0.15">
      <c r="A874" s="263" t="s">
        <v>2340</v>
      </c>
      <c r="B874" s="263" t="s">
        <v>2341</v>
      </c>
      <c r="C874" s="263" t="s">
        <v>105</v>
      </c>
      <c r="D874" s="263" t="s">
        <v>2342</v>
      </c>
      <c r="E874" s="263" t="s">
        <v>112</v>
      </c>
      <c r="F874">
        <v>0</v>
      </c>
      <c r="G874">
        <v>2</v>
      </c>
      <c r="H874" s="263" t="s">
        <v>436</v>
      </c>
      <c r="I874" s="264"/>
      <c r="J874" s="263" t="s">
        <v>437</v>
      </c>
    </row>
    <row r="875" spans="1:10" x14ac:dyDescent="0.15">
      <c r="A875" s="263" t="s">
        <v>2343</v>
      </c>
      <c r="B875" s="263" t="s">
        <v>2344</v>
      </c>
      <c r="C875" s="263" t="s">
        <v>105</v>
      </c>
      <c r="D875" s="263" t="s">
        <v>2345</v>
      </c>
      <c r="E875" s="263" t="s">
        <v>112</v>
      </c>
      <c r="F875">
        <v>0</v>
      </c>
      <c r="G875">
        <v>2</v>
      </c>
      <c r="H875" s="263" t="s">
        <v>436</v>
      </c>
      <c r="I875" s="264"/>
      <c r="J875" s="263" t="s">
        <v>437</v>
      </c>
    </row>
    <row r="876" spans="1:10" x14ac:dyDescent="0.15">
      <c r="A876" s="263" t="s">
        <v>2346</v>
      </c>
      <c r="B876" s="263" t="s">
        <v>1932</v>
      </c>
      <c r="C876" s="263" t="s">
        <v>105</v>
      </c>
      <c r="D876" s="263" t="s">
        <v>1933</v>
      </c>
      <c r="E876" s="263" t="s">
        <v>112</v>
      </c>
      <c r="F876">
        <v>0</v>
      </c>
      <c r="G876">
        <v>2</v>
      </c>
      <c r="H876" s="263" t="s">
        <v>436</v>
      </c>
      <c r="I876" s="264"/>
      <c r="J876" s="263" t="s">
        <v>437</v>
      </c>
    </row>
    <row r="877" spans="1:10" x14ac:dyDescent="0.15">
      <c r="A877" s="263" t="s">
        <v>2347</v>
      </c>
      <c r="B877" s="263" t="s">
        <v>2109</v>
      </c>
      <c r="C877" s="263" t="s">
        <v>105</v>
      </c>
      <c r="D877" s="263" t="s">
        <v>2110</v>
      </c>
      <c r="E877" s="263" t="s">
        <v>112</v>
      </c>
      <c r="F877">
        <v>0</v>
      </c>
      <c r="G877">
        <v>2</v>
      </c>
      <c r="H877" s="263" t="s">
        <v>436</v>
      </c>
      <c r="I877" s="264"/>
      <c r="J877" s="263" t="s">
        <v>437</v>
      </c>
    </row>
    <row r="878" spans="1:10" x14ac:dyDescent="0.15">
      <c r="A878" s="263" t="s">
        <v>2348</v>
      </c>
      <c r="B878" s="263" t="s">
        <v>2349</v>
      </c>
      <c r="C878" s="263" t="s">
        <v>105</v>
      </c>
      <c r="D878" s="263" t="s">
        <v>2350</v>
      </c>
      <c r="E878" s="263" t="s">
        <v>112</v>
      </c>
      <c r="F878">
        <v>0</v>
      </c>
      <c r="G878">
        <v>2</v>
      </c>
      <c r="H878" s="263" t="s">
        <v>436</v>
      </c>
      <c r="I878" s="264"/>
      <c r="J878" s="263" t="s">
        <v>437</v>
      </c>
    </row>
    <row r="879" spans="1:10" x14ac:dyDescent="0.15">
      <c r="A879" s="263" t="s">
        <v>2351</v>
      </c>
      <c r="B879" s="263" t="s">
        <v>2352</v>
      </c>
      <c r="C879" s="263" t="s">
        <v>98</v>
      </c>
      <c r="D879" s="263" t="s">
        <v>2353</v>
      </c>
      <c r="E879" s="263" t="s">
        <v>110</v>
      </c>
      <c r="F879">
        <v>0</v>
      </c>
      <c r="G879">
        <v>2</v>
      </c>
      <c r="H879" s="263" t="s">
        <v>436</v>
      </c>
      <c r="I879" s="264"/>
      <c r="J879" s="263" t="s">
        <v>437</v>
      </c>
    </row>
    <row r="880" spans="1:10" x14ac:dyDescent="0.15">
      <c r="A880" s="263" t="s">
        <v>2354</v>
      </c>
      <c r="B880" s="263" t="s">
        <v>2355</v>
      </c>
      <c r="C880" s="263" t="s">
        <v>98</v>
      </c>
      <c r="D880" s="263" t="s">
        <v>2356</v>
      </c>
      <c r="E880" s="263" t="s">
        <v>110</v>
      </c>
      <c r="F880">
        <v>0</v>
      </c>
      <c r="G880">
        <v>2</v>
      </c>
      <c r="H880" s="263" t="s">
        <v>436</v>
      </c>
      <c r="I880" s="264"/>
      <c r="J880" s="263" t="s">
        <v>437</v>
      </c>
    </row>
    <row r="881" spans="1:10" x14ac:dyDescent="0.15">
      <c r="A881" s="263" t="s">
        <v>2357</v>
      </c>
      <c r="B881" s="263" t="s">
        <v>2358</v>
      </c>
      <c r="C881" s="263" t="s">
        <v>98</v>
      </c>
      <c r="D881" s="263" t="s">
        <v>2359</v>
      </c>
      <c r="E881" s="263" t="s">
        <v>110</v>
      </c>
      <c r="F881">
        <v>0</v>
      </c>
      <c r="G881">
        <v>2</v>
      </c>
      <c r="H881" s="263" t="s">
        <v>436</v>
      </c>
      <c r="I881" s="264"/>
      <c r="J881" s="263" t="s">
        <v>437</v>
      </c>
    </row>
    <row r="882" spans="1:10" x14ac:dyDescent="0.15">
      <c r="A882" s="263" t="s">
        <v>2360</v>
      </c>
      <c r="B882" s="263" t="s">
        <v>2358</v>
      </c>
      <c r="C882" s="263" t="s">
        <v>105</v>
      </c>
      <c r="D882" s="263" t="s">
        <v>2359</v>
      </c>
      <c r="E882" s="263" t="s">
        <v>112</v>
      </c>
      <c r="F882">
        <v>0</v>
      </c>
      <c r="G882">
        <v>2</v>
      </c>
      <c r="H882" s="263" t="s">
        <v>436</v>
      </c>
      <c r="I882" s="264"/>
      <c r="J882" s="263" t="s">
        <v>437</v>
      </c>
    </row>
    <row r="883" spans="1:10" x14ac:dyDescent="0.15">
      <c r="A883" s="263" t="s">
        <v>2361</v>
      </c>
      <c r="B883" s="263" t="s">
        <v>2362</v>
      </c>
      <c r="C883" s="263" t="s">
        <v>98</v>
      </c>
      <c r="D883" s="263" t="s">
        <v>2363</v>
      </c>
      <c r="E883" s="263" t="s">
        <v>110</v>
      </c>
      <c r="F883">
        <v>0</v>
      </c>
      <c r="G883">
        <v>2</v>
      </c>
      <c r="H883" s="263" t="s">
        <v>436</v>
      </c>
      <c r="I883" s="264"/>
      <c r="J883" s="263" t="s">
        <v>437</v>
      </c>
    </row>
    <row r="884" spans="1:10" x14ac:dyDescent="0.15">
      <c r="A884" s="263" t="s">
        <v>2364</v>
      </c>
      <c r="B884" s="263" t="s">
        <v>2365</v>
      </c>
      <c r="C884" s="263" t="s">
        <v>98</v>
      </c>
      <c r="D884" s="263" t="s">
        <v>2366</v>
      </c>
      <c r="E884" s="263" t="s">
        <v>110</v>
      </c>
      <c r="F884">
        <v>0</v>
      </c>
      <c r="G884">
        <v>2</v>
      </c>
      <c r="H884" s="263" t="s">
        <v>436</v>
      </c>
      <c r="I884" s="264"/>
      <c r="J884" s="263" t="s">
        <v>437</v>
      </c>
    </row>
    <row r="885" spans="1:10" x14ac:dyDescent="0.15">
      <c r="A885" s="263" t="s">
        <v>2367</v>
      </c>
      <c r="B885" s="263" t="s">
        <v>1932</v>
      </c>
      <c r="C885" s="263" t="s">
        <v>105</v>
      </c>
      <c r="D885" s="263" t="s">
        <v>1933</v>
      </c>
      <c r="E885" s="263" t="s">
        <v>112</v>
      </c>
      <c r="F885">
        <v>0</v>
      </c>
      <c r="G885">
        <v>2</v>
      </c>
      <c r="H885" s="263" t="s">
        <v>436</v>
      </c>
      <c r="I885" s="264"/>
      <c r="J885" s="263" t="s">
        <v>437</v>
      </c>
    </row>
    <row r="886" spans="1:10" x14ac:dyDescent="0.15">
      <c r="A886" s="263" t="s">
        <v>2368</v>
      </c>
      <c r="B886" s="263" t="s">
        <v>2369</v>
      </c>
      <c r="C886" s="263" t="s">
        <v>105</v>
      </c>
      <c r="D886" s="263" t="s">
        <v>2370</v>
      </c>
      <c r="E886" s="263" t="s">
        <v>112</v>
      </c>
      <c r="F886">
        <v>0</v>
      </c>
      <c r="G886">
        <v>2</v>
      </c>
      <c r="H886" s="263" t="s">
        <v>436</v>
      </c>
      <c r="I886" s="264"/>
      <c r="J886" s="263" t="s">
        <v>437</v>
      </c>
    </row>
    <row r="887" spans="1:10" x14ac:dyDescent="0.15">
      <c r="A887" s="263" t="s">
        <v>2371</v>
      </c>
      <c r="B887" s="263" t="s">
        <v>1964</v>
      </c>
      <c r="C887" s="263" t="s">
        <v>105</v>
      </c>
      <c r="D887" s="263" t="s">
        <v>1965</v>
      </c>
      <c r="E887" s="263" t="s">
        <v>112</v>
      </c>
      <c r="F887">
        <v>0</v>
      </c>
      <c r="G887">
        <v>2</v>
      </c>
      <c r="H887" s="263" t="s">
        <v>436</v>
      </c>
      <c r="I887" s="264"/>
      <c r="J887" s="263" t="s">
        <v>437</v>
      </c>
    </row>
    <row r="888" spans="1:10" x14ac:dyDescent="0.15">
      <c r="A888" s="263" t="s">
        <v>2372</v>
      </c>
      <c r="B888" s="263" t="s">
        <v>2373</v>
      </c>
      <c r="C888" s="263" t="s">
        <v>98</v>
      </c>
      <c r="D888" s="263" t="s">
        <v>2374</v>
      </c>
      <c r="E888" s="263" t="s">
        <v>110</v>
      </c>
      <c r="F888">
        <v>0</v>
      </c>
      <c r="G888">
        <v>2</v>
      </c>
      <c r="H888" s="263" t="s">
        <v>436</v>
      </c>
      <c r="I888" s="264"/>
      <c r="J888" s="263" t="s">
        <v>437</v>
      </c>
    </row>
    <row r="889" spans="1:10" x14ac:dyDescent="0.15">
      <c r="A889" s="263" t="s">
        <v>2377</v>
      </c>
      <c r="B889" s="263" t="s">
        <v>2378</v>
      </c>
      <c r="C889" s="263" t="s">
        <v>98</v>
      </c>
      <c r="D889" s="263" t="s">
        <v>2379</v>
      </c>
      <c r="E889" s="263" t="s">
        <v>110</v>
      </c>
      <c r="F889">
        <v>0</v>
      </c>
      <c r="G889">
        <v>2</v>
      </c>
      <c r="H889" s="263" t="s">
        <v>436</v>
      </c>
      <c r="I889" s="264"/>
      <c r="J889" s="263" t="s">
        <v>437</v>
      </c>
    </row>
    <row r="890" spans="1:10" x14ac:dyDescent="0.15">
      <c r="A890" s="263" t="s">
        <v>2380</v>
      </c>
      <c r="B890" s="263" t="s">
        <v>9526</v>
      </c>
      <c r="C890" s="263" t="s">
        <v>98</v>
      </c>
      <c r="D890" s="263" t="s">
        <v>2381</v>
      </c>
      <c r="E890" s="263" t="s">
        <v>110</v>
      </c>
      <c r="F890">
        <v>0</v>
      </c>
      <c r="G890">
        <v>2</v>
      </c>
      <c r="H890" s="263" t="s">
        <v>436</v>
      </c>
      <c r="I890" s="264"/>
      <c r="J890" s="263" t="s">
        <v>437</v>
      </c>
    </row>
    <row r="891" spans="1:10" x14ac:dyDescent="0.15">
      <c r="A891" s="263" t="s">
        <v>2382</v>
      </c>
      <c r="B891" s="263" t="s">
        <v>2383</v>
      </c>
      <c r="C891" s="263" t="s">
        <v>98</v>
      </c>
      <c r="D891" s="263" t="s">
        <v>2384</v>
      </c>
      <c r="E891" s="263" t="s">
        <v>110</v>
      </c>
      <c r="F891">
        <v>0</v>
      </c>
      <c r="G891">
        <v>2</v>
      </c>
      <c r="H891" s="263" t="s">
        <v>436</v>
      </c>
      <c r="I891" s="264"/>
      <c r="J891" s="263" t="s">
        <v>437</v>
      </c>
    </row>
    <row r="892" spans="1:10" x14ac:dyDescent="0.15">
      <c r="A892" s="263" t="s">
        <v>2385</v>
      </c>
      <c r="B892" s="263" t="s">
        <v>2386</v>
      </c>
      <c r="C892" s="263" t="s">
        <v>98</v>
      </c>
      <c r="D892" s="263" t="s">
        <v>2387</v>
      </c>
      <c r="E892" s="263" t="s">
        <v>110</v>
      </c>
      <c r="F892">
        <v>0</v>
      </c>
      <c r="G892">
        <v>2</v>
      </c>
      <c r="H892" s="263" t="s">
        <v>436</v>
      </c>
      <c r="I892" s="264"/>
      <c r="J892" s="263" t="s">
        <v>437</v>
      </c>
    </row>
    <row r="893" spans="1:10" x14ac:dyDescent="0.15">
      <c r="A893" s="263" t="s">
        <v>2388</v>
      </c>
      <c r="B893" s="263" t="s">
        <v>2389</v>
      </c>
      <c r="C893" s="263" t="s">
        <v>98</v>
      </c>
      <c r="D893" s="263" t="s">
        <v>2390</v>
      </c>
      <c r="E893" s="263" t="s">
        <v>110</v>
      </c>
      <c r="F893">
        <v>0</v>
      </c>
      <c r="G893">
        <v>2</v>
      </c>
      <c r="H893" s="263" t="s">
        <v>436</v>
      </c>
      <c r="I893" s="264"/>
      <c r="J893" s="263" t="s">
        <v>437</v>
      </c>
    </row>
    <row r="894" spans="1:10" x14ac:dyDescent="0.15">
      <c r="A894" s="263" t="s">
        <v>2391</v>
      </c>
      <c r="B894" s="263" t="s">
        <v>2392</v>
      </c>
      <c r="C894" s="263" t="s">
        <v>98</v>
      </c>
      <c r="D894" s="263" t="s">
        <v>2393</v>
      </c>
      <c r="E894" s="263" t="s">
        <v>110</v>
      </c>
      <c r="F894">
        <v>0</v>
      </c>
      <c r="G894">
        <v>2</v>
      </c>
      <c r="H894" s="263" t="s">
        <v>436</v>
      </c>
      <c r="I894" s="264"/>
      <c r="J894" s="263" t="s">
        <v>437</v>
      </c>
    </row>
    <row r="895" spans="1:10" x14ac:dyDescent="0.15">
      <c r="A895" s="263" t="s">
        <v>2394</v>
      </c>
      <c r="B895" s="263" t="s">
        <v>2395</v>
      </c>
      <c r="C895" s="263" t="s">
        <v>98</v>
      </c>
      <c r="D895" s="263" t="s">
        <v>2396</v>
      </c>
      <c r="E895" s="263" t="s">
        <v>110</v>
      </c>
      <c r="F895">
        <v>0</v>
      </c>
      <c r="G895">
        <v>2</v>
      </c>
      <c r="H895" s="263" t="s">
        <v>436</v>
      </c>
      <c r="I895" s="264"/>
      <c r="J895" s="263" t="s">
        <v>437</v>
      </c>
    </row>
    <row r="896" spans="1:10" x14ac:dyDescent="0.15">
      <c r="A896" s="263" t="s">
        <v>2397</v>
      </c>
      <c r="B896" s="263" t="s">
        <v>2398</v>
      </c>
      <c r="C896" s="263" t="s">
        <v>98</v>
      </c>
      <c r="D896" s="263" t="s">
        <v>2399</v>
      </c>
      <c r="E896" s="263" t="s">
        <v>110</v>
      </c>
      <c r="F896">
        <v>0</v>
      </c>
      <c r="G896">
        <v>2</v>
      </c>
      <c r="H896" s="263" t="s">
        <v>436</v>
      </c>
      <c r="I896" s="264"/>
      <c r="J896" s="263" t="s">
        <v>437</v>
      </c>
    </row>
    <row r="897" spans="1:10" x14ac:dyDescent="0.15">
      <c r="A897" s="263" t="s">
        <v>2400</v>
      </c>
      <c r="B897" s="263" t="s">
        <v>2401</v>
      </c>
      <c r="C897" s="263" t="s">
        <v>98</v>
      </c>
      <c r="D897" s="263" t="s">
        <v>2402</v>
      </c>
      <c r="E897" s="263" t="s">
        <v>110</v>
      </c>
      <c r="F897">
        <v>0</v>
      </c>
      <c r="G897">
        <v>2</v>
      </c>
      <c r="H897" s="263" t="s">
        <v>436</v>
      </c>
      <c r="I897" s="264"/>
      <c r="J897" s="263" t="s">
        <v>437</v>
      </c>
    </row>
    <row r="898" spans="1:10" x14ac:dyDescent="0.15">
      <c r="A898" s="263" t="s">
        <v>2403</v>
      </c>
      <c r="B898" s="263" t="s">
        <v>2404</v>
      </c>
      <c r="C898" s="263" t="s">
        <v>98</v>
      </c>
      <c r="D898" s="263" t="s">
        <v>2405</v>
      </c>
      <c r="E898" s="263" t="s">
        <v>110</v>
      </c>
      <c r="F898">
        <v>0</v>
      </c>
      <c r="G898">
        <v>2</v>
      </c>
      <c r="H898" s="263" t="s">
        <v>436</v>
      </c>
      <c r="I898" s="264"/>
      <c r="J898" s="263" t="s">
        <v>437</v>
      </c>
    </row>
    <row r="899" spans="1:10" x14ac:dyDescent="0.15">
      <c r="A899" s="263" t="s">
        <v>2406</v>
      </c>
      <c r="B899" s="263" t="s">
        <v>2407</v>
      </c>
      <c r="C899" s="263" t="s">
        <v>98</v>
      </c>
      <c r="D899" s="263" t="s">
        <v>2408</v>
      </c>
      <c r="E899" s="263" t="s">
        <v>110</v>
      </c>
      <c r="F899">
        <v>0</v>
      </c>
      <c r="G899">
        <v>2</v>
      </c>
      <c r="H899" s="263" t="s">
        <v>436</v>
      </c>
      <c r="I899" s="264"/>
      <c r="J899" s="263" t="s">
        <v>437</v>
      </c>
    </row>
    <row r="900" spans="1:10" x14ac:dyDescent="0.15">
      <c r="A900" s="263" t="s">
        <v>2409</v>
      </c>
      <c r="B900" s="263" t="s">
        <v>2410</v>
      </c>
      <c r="C900" s="263" t="s">
        <v>98</v>
      </c>
      <c r="D900" s="263" t="s">
        <v>2411</v>
      </c>
      <c r="E900" s="263" t="s">
        <v>110</v>
      </c>
      <c r="F900">
        <v>0</v>
      </c>
      <c r="G900">
        <v>2</v>
      </c>
      <c r="H900" s="263" t="s">
        <v>436</v>
      </c>
      <c r="I900" s="264"/>
      <c r="J900" s="263" t="s">
        <v>437</v>
      </c>
    </row>
    <row r="901" spans="1:10" x14ac:dyDescent="0.15">
      <c r="A901" s="263" t="s">
        <v>2412</v>
      </c>
      <c r="B901" s="263" t="s">
        <v>2413</v>
      </c>
      <c r="C901" s="263" t="s">
        <v>98</v>
      </c>
      <c r="D901" s="263" t="s">
        <v>2414</v>
      </c>
      <c r="E901" s="263" t="s">
        <v>110</v>
      </c>
      <c r="F901">
        <v>0</v>
      </c>
      <c r="G901">
        <v>2</v>
      </c>
      <c r="H901" s="263" t="s">
        <v>436</v>
      </c>
      <c r="I901" s="264"/>
      <c r="J901" s="263" t="s">
        <v>437</v>
      </c>
    </row>
    <row r="902" spans="1:10" x14ac:dyDescent="0.15">
      <c r="A902" s="263" t="s">
        <v>2415</v>
      </c>
      <c r="B902" s="263" t="s">
        <v>2416</v>
      </c>
      <c r="C902" s="263" t="s">
        <v>98</v>
      </c>
      <c r="D902" s="263" t="s">
        <v>2417</v>
      </c>
      <c r="E902" s="263" t="s">
        <v>110</v>
      </c>
      <c r="F902">
        <v>0</v>
      </c>
      <c r="G902">
        <v>2</v>
      </c>
      <c r="H902" s="263" t="s">
        <v>436</v>
      </c>
      <c r="I902" s="264"/>
      <c r="J902" s="263" t="s">
        <v>437</v>
      </c>
    </row>
    <row r="903" spans="1:10" x14ac:dyDescent="0.15">
      <c r="A903" s="263" t="s">
        <v>2418</v>
      </c>
      <c r="B903" s="263" t="s">
        <v>2419</v>
      </c>
      <c r="C903" s="263" t="s">
        <v>98</v>
      </c>
      <c r="D903" s="263" t="s">
        <v>2420</v>
      </c>
      <c r="E903" s="263" t="s">
        <v>110</v>
      </c>
      <c r="F903">
        <v>0</v>
      </c>
      <c r="G903">
        <v>2</v>
      </c>
      <c r="H903" s="263" t="s">
        <v>436</v>
      </c>
      <c r="I903" s="264"/>
      <c r="J903" s="263" t="s">
        <v>437</v>
      </c>
    </row>
    <row r="904" spans="1:10" x14ac:dyDescent="0.15">
      <c r="A904" s="263" t="s">
        <v>2421</v>
      </c>
      <c r="B904" s="263" t="s">
        <v>2422</v>
      </c>
      <c r="C904" s="263" t="s">
        <v>98</v>
      </c>
      <c r="D904" s="263" t="s">
        <v>2423</v>
      </c>
      <c r="E904" s="263" t="s">
        <v>110</v>
      </c>
      <c r="F904">
        <v>0</v>
      </c>
      <c r="G904">
        <v>2</v>
      </c>
      <c r="H904" s="263" t="s">
        <v>436</v>
      </c>
      <c r="I904" s="264"/>
      <c r="J904" s="263" t="s">
        <v>437</v>
      </c>
    </row>
    <row r="905" spans="1:10" x14ac:dyDescent="0.15">
      <c r="A905" s="263" t="s">
        <v>2424</v>
      </c>
      <c r="B905" s="263" t="s">
        <v>9527</v>
      </c>
      <c r="C905" s="263" t="s">
        <v>98</v>
      </c>
      <c r="D905" s="263" t="s">
        <v>9528</v>
      </c>
      <c r="E905" s="263" t="s">
        <v>110</v>
      </c>
      <c r="F905">
        <v>0</v>
      </c>
      <c r="G905">
        <v>2</v>
      </c>
      <c r="H905" s="263" t="s">
        <v>436</v>
      </c>
      <c r="I905" s="264"/>
      <c r="J905" s="263" t="s">
        <v>437</v>
      </c>
    </row>
    <row r="906" spans="1:10" x14ac:dyDescent="0.15">
      <c r="A906" s="263" t="s">
        <v>2425</v>
      </c>
      <c r="B906" s="263" t="s">
        <v>2426</v>
      </c>
      <c r="C906" s="263" t="s">
        <v>96</v>
      </c>
      <c r="D906" s="263" t="s">
        <v>2427</v>
      </c>
      <c r="E906" s="263" t="s">
        <v>97</v>
      </c>
      <c r="F906">
        <v>0</v>
      </c>
      <c r="G906">
        <v>2</v>
      </c>
      <c r="H906" s="263" t="s">
        <v>436</v>
      </c>
      <c r="I906" s="264"/>
      <c r="J906" s="263" t="s">
        <v>437</v>
      </c>
    </row>
    <row r="907" spans="1:10" x14ac:dyDescent="0.15">
      <c r="A907" s="263" t="s">
        <v>2428</v>
      </c>
      <c r="B907" s="263" t="s">
        <v>1564</v>
      </c>
      <c r="C907" s="263" t="s">
        <v>99</v>
      </c>
      <c r="D907" s="263" t="s">
        <v>1565</v>
      </c>
      <c r="E907" s="263" t="s">
        <v>82</v>
      </c>
      <c r="F907">
        <v>0</v>
      </c>
      <c r="G907">
        <v>2</v>
      </c>
      <c r="H907" s="263" t="s">
        <v>436</v>
      </c>
      <c r="I907" s="264"/>
      <c r="J907" s="263" t="s">
        <v>437</v>
      </c>
    </row>
    <row r="908" spans="1:10" x14ac:dyDescent="0.15">
      <c r="A908" s="263" t="s">
        <v>2429</v>
      </c>
      <c r="B908" s="263" t="s">
        <v>9529</v>
      </c>
      <c r="C908" s="263" t="s">
        <v>81</v>
      </c>
      <c r="D908" s="263" t="s">
        <v>9530</v>
      </c>
      <c r="E908" s="263" t="s">
        <v>88</v>
      </c>
      <c r="F908">
        <v>0</v>
      </c>
      <c r="G908">
        <v>2</v>
      </c>
      <c r="H908" s="263" t="s">
        <v>436</v>
      </c>
      <c r="I908" s="264"/>
      <c r="J908" s="263" t="s">
        <v>437</v>
      </c>
    </row>
    <row r="909" spans="1:10" x14ac:dyDescent="0.15">
      <c r="A909" s="263" t="s">
        <v>2430</v>
      </c>
      <c r="B909" s="263" t="s">
        <v>2431</v>
      </c>
      <c r="C909" s="263" t="s">
        <v>98</v>
      </c>
      <c r="D909" s="263" t="s">
        <v>2432</v>
      </c>
      <c r="E909" s="263" t="s">
        <v>110</v>
      </c>
      <c r="F909">
        <v>0</v>
      </c>
      <c r="G909">
        <v>2</v>
      </c>
      <c r="H909" s="263" t="s">
        <v>436</v>
      </c>
      <c r="I909" s="264"/>
      <c r="J909" s="263" t="s">
        <v>437</v>
      </c>
    </row>
    <row r="910" spans="1:10" x14ac:dyDescent="0.15">
      <c r="A910" s="263" t="s">
        <v>9531</v>
      </c>
      <c r="B910" s="263" t="s">
        <v>2433</v>
      </c>
      <c r="C910" s="263" t="s">
        <v>98</v>
      </c>
      <c r="D910" s="263" t="s">
        <v>2434</v>
      </c>
      <c r="E910" s="263" t="s">
        <v>110</v>
      </c>
      <c r="F910">
        <v>0</v>
      </c>
      <c r="G910">
        <v>2</v>
      </c>
      <c r="H910" s="263" t="s">
        <v>436</v>
      </c>
      <c r="I910" s="264"/>
      <c r="J910" s="263" t="s">
        <v>437</v>
      </c>
    </row>
    <row r="911" spans="1:10" x14ac:dyDescent="0.15">
      <c r="A911" s="263" t="s">
        <v>9532</v>
      </c>
      <c r="B911" s="263" t="s">
        <v>2436</v>
      </c>
      <c r="C911" s="263" t="s">
        <v>98</v>
      </c>
      <c r="D911" s="263" t="s">
        <v>2437</v>
      </c>
      <c r="E911" s="263" t="s">
        <v>110</v>
      </c>
      <c r="F911">
        <v>0</v>
      </c>
      <c r="G911">
        <v>2</v>
      </c>
      <c r="H911" s="263" t="s">
        <v>436</v>
      </c>
      <c r="I911" s="264"/>
      <c r="J911" s="263" t="s">
        <v>437</v>
      </c>
    </row>
    <row r="912" spans="1:10" x14ac:dyDescent="0.15">
      <c r="A912" s="263" t="s">
        <v>9533</v>
      </c>
      <c r="B912" s="263" t="s">
        <v>2438</v>
      </c>
      <c r="C912" s="263" t="s">
        <v>98</v>
      </c>
      <c r="D912" s="263" t="s">
        <v>2439</v>
      </c>
      <c r="E912" s="263" t="s">
        <v>110</v>
      </c>
      <c r="F912">
        <v>0</v>
      </c>
      <c r="G912">
        <v>2</v>
      </c>
      <c r="H912" s="263" t="s">
        <v>436</v>
      </c>
      <c r="I912" s="264"/>
      <c r="J912" s="263" t="s">
        <v>437</v>
      </c>
    </row>
    <row r="913" spans="1:10" x14ac:dyDescent="0.15">
      <c r="A913" s="263" t="s">
        <v>9534</v>
      </c>
      <c r="B913" s="263" t="s">
        <v>9535</v>
      </c>
      <c r="C913" s="263" t="s">
        <v>98</v>
      </c>
      <c r="D913" s="263" t="s">
        <v>9536</v>
      </c>
      <c r="E913" s="263" t="s">
        <v>110</v>
      </c>
      <c r="F913">
        <v>0</v>
      </c>
      <c r="G913">
        <v>2</v>
      </c>
      <c r="H913" s="263" t="s">
        <v>436</v>
      </c>
      <c r="I913" s="264"/>
      <c r="J913" s="263" t="s">
        <v>437</v>
      </c>
    </row>
    <row r="914" spans="1:10" x14ac:dyDescent="0.15">
      <c r="A914" s="263" t="s">
        <v>2435</v>
      </c>
      <c r="B914" s="263" t="s">
        <v>9537</v>
      </c>
      <c r="C914" s="263" t="s">
        <v>81</v>
      </c>
      <c r="D914" s="263" t="s">
        <v>9538</v>
      </c>
      <c r="E914" s="263" t="s">
        <v>88</v>
      </c>
      <c r="F914">
        <v>0</v>
      </c>
      <c r="G914">
        <v>2</v>
      </c>
      <c r="H914" s="263" t="s">
        <v>436</v>
      </c>
      <c r="I914" s="264"/>
      <c r="J914" s="263" t="s">
        <v>437</v>
      </c>
    </row>
    <row r="915" spans="1:10" x14ac:dyDescent="0.15">
      <c r="A915" s="263" t="s">
        <v>2440</v>
      </c>
      <c r="B915" s="263" t="s">
        <v>2441</v>
      </c>
      <c r="C915" s="263" t="s">
        <v>96</v>
      </c>
      <c r="D915" s="263" t="s">
        <v>2442</v>
      </c>
      <c r="E915" s="263" t="s">
        <v>97</v>
      </c>
      <c r="F915">
        <v>0</v>
      </c>
      <c r="G915">
        <v>2</v>
      </c>
      <c r="H915" s="263" t="s">
        <v>436</v>
      </c>
      <c r="I915" s="264"/>
      <c r="J915" s="263" t="s">
        <v>437</v>
      </c>
    </row>
    <row r="916" spans="1:10" x14ac:dyDescent="0.15">
      <c r="A916" s="263" t="s">
        <v>2443</v>
      </c>
      <c r="B916" s="263" t="s">
        <v>2444</v>
      </c>
      <c r="C916" s="263" t="s">
        <v>96</v>
      </c>
      <c r="D916" s="263" t="s">
        <v>2445</v>
      </c>
      <c r="E916" s="263" t="s">
        <v>97</v>
      </c>
      <c r="F916">
        <v>0</v>
      </c>
      <c r="G916">
        <v>2</v>
      </c>
      <c r="H916" s="263" t="s">
        <v>436</v>
      </c>
      <c r="I916" s="264"/>
      <c r="J916" s="263" t="s">
        <v>437</v>
      </c>
    </row>
    <row r="917" spans="1:10" x14ac:dyDescent="0.15">
      <c r="A917" s="263" t="s">
        <v>2446</v>
      </c>
      <c r="B917" s="263" t="s">
        <v>2447</v>
      </c>
      <c r="C917" s="263" t="s">
        <v>96</v>
      </c>
      <c r="D917" s="263" t="s">
        <v>2448</v>
      </c>
      <c r="E917" s="263" t="s">
        <v>97</v>
      </c>
      <c r="F917">
        <v>0</v>
      </c>
      <c r="G917">
        <v>2</v>
      </c>
      <c r="H917" s="263" t="s">
        <v>436</v>
      </c>
      <c r="I917" s="264"/>
      <c r="J917" s="263" t="s">
        <v>437</v>
      </c>
    </row>
    <row r="918" spans="1:10" x14ac:dyDescent="0.15">
      <c r="A918" s="263" t="s">
        <v>2449</v>
      </c>
      <c r="B918" s="263" t="s">
        <v>2450</v>
      </c>
      <c r="C918" s="263" t="s">
        <v>96</v>
      </c>
      <c r="D918" s="263" t="s">
        <v>2451</v>
      </c>
      <c r="E918" s="263" t="s">
        <v>97</v>
      </c>
      <c r="F918">
        <v>0</v>
      </c>
      <c r="G918">
        <v>2</v>
      </c>
      <c r="H918" s="263" t="s">
        <v>436</v>
      </c>
      <c r="I918" s="264"/>
      <c r="J918" s="263" t="s">
        <v>437</v>
      </c>
    </row>
    <row r="919" spans="1:10" x14ac:dyDescent="0.15">
      <c r="A919" s="263" t="s">
        <v>2452</v>
      </c>
      <c r="B919" s="263" t="s">
        <v>2453</v>
      </c>
      <c r="C919" s="263" t="s">
        <v>96</v>
      </c>
      <c r="D919" s="263" t="s">
        <v>2454</v>
      </c>
      <c r="E919" s="263" t="s">
        <v>97</v>
      </c>
      <c r="F919">
        <v>0</v>
      </c>
      <c r="G919">
        <v>2</v>
      </c>
      <c r="H919" s="263" t="s">
        <v>436</v>
      </c>
      <c r="I919" s="264"/>
      <c r="J919" s="263" t="s">
        <v>437</v>
      </c>
    </row>
    <row r="920" spans="1:10" x14ac:dyDescent="0.15">
      <c r="A920" s="263" t="s">
        <v>2455</v>
      </c>
      <c r="B920" s="263" t="s">
        <v>2456</v>
      </c>
      <c r="C920" s="263" t="s">
        <v>96</v>
      </c>
      <c r="D920" s="263" t="s">
        <v>2457</v>
      </c>
      <c r="E920" s="263" t="s">
        <v>97</v>
      </c>
      <c r="F920">
        <v>0</v>
      </c>
      <c r="G920">
        <v>2</v>
      </c>
      <c r="H920" s="263" t="s">
        <v>436</v>
      </c>
      <c r="I920" s="264"/>
      <c r="J920" s="263" t="s">
        <v>437</v>
      </c>
    </row>
    <row r="921" spans="1:10" x14ac:dyDescent="0.15">
      <c r="A921" s="263" t="s">
        <v>2458</v>
      </c>
      <c r="B921" s="263" t="s">
        <v>2459</v>
      </c>
      <c r="C921" s="263" t="s">
        <v>96</v>
      </c>
      <c r="D921" s="263" t="s">
        <v>2460</v>
      </c>
      <c r="E921" s="263" t="s">
        <v>97</v>
      </c>
      <c r="F921">
        <v>0</v>
      </c>
      <c r="G921">
        <v>2</v>
      </c>
      <c r="H921" s="263" t="s">
        <v>436</v>
      </c>
      <c r="I921" s="264"/>
      <c r="J921" s="263" t="s">
        <v>437</v>
      </c>
    </row>
    <row r="922" spans="1:10" x14ac:dyDescent="0.15">
      <c r="A922" s="263" t="s">
        <v>2461</v>
      </c>
      <c r="B922" s="263" t="s">
        <v>2462</v>
      </c>
      <c r="C922" s="263" t="s">
        <v>96</v>
      </c>
      <c r="D922" s="263" t="s">
        <v>2463</v>
      </c>
      <c r="E922" s="263" t="s">
        <v>97</v>
      </c>
      <c r="F922">
        <v>0</v>
      </c>
      <c r="G922">
        <v>2</v>
      </c>
      <c r="H922" s="263" t="s">
        <v>436</v>
      </c>
      <c r="I922" s="264"/>
      <c r="J922" s="263" t="s">
        <v>437</v>
      </c>
    </row>
    <row r="923" spans="1:10" x14ac:dyDescent="0.15">
      <c r="A923" s="263" t="s">
        <v>2464</v>
      </c>
      <c r="B923" s="263" t="s">
        <v>2465</v>
      </c>
      <c r="C923" s="263" t="s">
        <v>96</v>
      </c>
      <c r="D923" s="263" t="s">
        <v>2466</v>
      </c>
      <c r="E923" s="263" t="s">
        <v>97</v>
      </c>
      <c r="F923">
        <v>0</v>
      </c>
      <c r="G923">
        <v>2</v>
      </c>
      <c r="H923" s="263" t="s">
        <v>436</v>
      </c>
      <c r="I923" s="264"/>
      <c r="J923" s="263" t="s">
        <v>437</v>
      </c>
    </row>
    <row r="924" spans="1:10" x14ac:dyDescent="0.15">
      <c r="A924" s="263" t="s">
        <v>2467</v>
      </c>
      <c r="B924" s="263" t="s">
        <v>2468</v>
      </c>
      <c r="C924" s="263" t="s">
        <v>96</v>
      </c>
      <c r="D924" s="263" t="s">
        <v>2469</v>
      </c>
      <c r="E924" s="263" t="s">
        <v>97</v>
      </c>
      <c r="F924">
        <v>0</v>
      </c>
      <c r="G924">
        <v>2</v>
      </c>
      <c r="H924" s="263" t="s">
        <v>436</v>
      </c>
      <c r="I924" s="264"/>
      <c r="J924" s="263" t="s">
        <v>437</v>
      </c>
    </row>
    <row r="925" spans="1:10" x14ac:dyDescent="0.15">
      <c r="A925" s="263" t="s">
        <v>2470</v>
      </c>
      <c r="B925" s="263" t="s">
        <v>2471</v>
      </c>
      <c r="C925" s="263" t="s">
        <v>96</v>
      </c>
      <c r="D925" s="263" t="s">
        <v>2472</v>
      </c>
      <c r="E925" s="263" t="s">
        <v>97</v>
      </c>
      <c r="F925">
        <v>0</v>
      </c>
      <c r="G925">
        <v>2</v>
      </c>
      <c r="H925" s="263" t="s">
        <v>436</v>
      </c>
      <c r="I925" s="264"/>
      <c r="J925" s="263" t="s">
        <v>437</v>
      </c>
    </row>
    <row r="926" spans="1:10" x14ac:dyDescent="0.15">
      <c r="A926" s="263" t="s">
        <v>2473</v>
      </c>
      <c r="B926" s="263" t="s">
        <v>2474</v>
      </c>
      <c r="C926" s="263" t="s">
        <v>96</v>
      </c>
      <c r="D926" s="263" t="s">
        <v>2475</v>
      </c>
      <c r="E926" s="263" t="s">
        <v>97</v>
      </c>
      <c r="F926">
        <v>0</v>
      </c>
      <c r="G926">
        <v>2</v>
      </c>
      <c r="H926" s="263" t="s">
        <v>436</v>
      </c>
      <c r="I926" s="264"/>
      <c r="J926" s="263" t="s">
        <v>437</v>
      </c>
    </row>
    <row r="927" spans="1:10" x14ac:dyDescent="0.15">
      <c r="A927" s="263" t="s">
        <v>2476</v>
      </c>
      <c r="B927" s="263" t="s">
        <v>2477</v>
      </c>
      <c r="C927" s="263" t="s">
        <v>96</v>
      </c>
      <c r="D927" s="263" t="s">
        <v>2478</v>
      </c>
      <c r="E927" s="263" t="s">
        <v>97</v>
      </c>
      <c r="F927">
        <v>0</v>
      </c>
      <c r="G927">
        <v>2</v>
      </c>
      <c r="H927" s="263" t="s">
        <v>436</v>
      </c>
      <c r="I927" s="264"/>
      <c r="J927" s="263" t="s">
        <v>437</v>
      </c>
    </row>
    <row r="928" spans="1:10" x14ac:dyDescent="0.15">
      <c r="A928" s="263" t="s">
        <v>2479</v>
      </c>
      <c r="B928" s="263" t="s">
        <v>2480</v>
      </c>
      <c r="C928" s="263" t="s">
        <v>96</v>
      </c>
      <c r="D928" s="263" t="s">
        <v>2481</v>
      </c>
      <c r="E928" s="263" t="s">
        <v>97</v>
      </c>
      <c r="F928">
        <v>0</v>
      </c>
      <c r="G928">
        <v>2</v>
      </c>
      <c r="H928" s="263" t="s">
        <v>436</v>
      </c>
      <c r="I928" s="264"/>
      <c r="J928" s="263" t="s">
        <v>437</v>
      </c>
    </row>
    <row r="929" spans="1:10" x14ac:dyDescent="0.15">
      <c r="A929" s="263" t="s">
        <v>2482</v>
      </c>
      <c r="B929" s="263" t="s">
        <v>2483</v>
      </c>
      <c r="C929" s="263" t="s">
        <v>96</v>
      </c>
      <c r="D929" s="263" t="s">
        <v>2484</v>
      </c>
      <c r="E929" s="263" t="s">
        <v>97</v>
      </c>
      <c r="F929">
        <v>0</v>
      </c>
      <c r="G929">
        <v>2</v>
      </c>
      <c r="H929" s="263" t="s">
        <v>436</v>
      </c>
      <c r="I929" s="264"/>
      <c r="J929" s="263" t="s">
        <v>437</v>
      </c>
    </row>
    <row r="930" spans="1:10" x14ac:dyDescent="0.15">
      <c r="A930" s="263" t="s">
        <v>2485</v>
      </c>
      <c r="B930" s="263" t="s">
        <v>2486</v>
      </c>
      <c r="C930" s="263" t="s">
        <v>96</v>
      </c>
      <c r="D930" s="263" t="s">
        <v>2487</v>
      </c>
      <c r="E930" s="263" t="s">
        <v>97</v>
      </c>
      <c r="F930">
        <v>0</v>
      </c>
      <c r="G930">
        <v>2</v>
      </c>
      <c r="H930" s="263" t="s">
        <v>436</v>
      </c>
      <c r="I930" s="264"/>
      <c r="J930" s="263" t="s">
        <v>437</v>
      </c>
    </row>
    <row r="931" spans="1:10" x14ac:dyDescent="0.15">
      <c r="A931" s="263" t="s">
        <v>2488</v>
      </c>
      <c r="B931" s="263" t="s">
        <v>2489</v>
      </c>
      <c r="C931" s="263" t="s">
        <v>96</v>
      </c>
      <c r="D931" s="263" t="s">
        <v>2490</v>
      </c>
      <c r="E931" s="263" t="s">
        <v>97</v>
      </c>
      <c r="F931">
        <v>0</v>
      </c>
      <c r="G931">
        <v>2</v>
      </c>
      <c r="H931" s="263" t="s">
        <v>436</v>
      </c>
      <c r="I931" s="264"/>
      <c r="J931" s="263" t="s">
        <v>437</v>
      </c>
    </row>
    <row r="932" spans="1:10" x14ac:dyDescent="0.15">
      <c r="A932" s="263" t="s">
        <v>2491</v>
      </c>
      <c r="B932" s="263" t="s">
        <v>2492</v>
      </c>
      <c r="C932" s="263" t="s">
        <v>96</v>
      </c>
      <c r="D932" s="263" t="s">
        <v>2493</v>
      </c>
      <c r="E932" s="263" t="s">
        <v>97</v>
      </c>
      <c r="F932">
        <v>0</v>
      </c>
      <c r="G932">
        <v>2</v>
      </c>
      <c r="H932" s="263" t="s">
        <v>436</v>
      </c>
      <c r="I932" s="264"/>
      <c r="J932" s="263" t="s">
        <v>437</v>
      </c>
    </row>
    <row r="933" spans="1:10" x14ac:dyDescent="0.15">
      <c r="A933" s="263" t="s">
        <v>2494</v>
      </c>
      <c r="B933" s="263" t="s">
        <v>2495</v>
      </c>
      <c r="C933" s="263" t="s">
        <v>96</v>
      </c>
      <c r="D933" s="263" t="s">
        <v>2496</v>
      </c>
      <c r="E933" s="263" t="s">
        <v>97</v>
      </c>
      <c r="F933">
        <v>0</v>
      </c>
      <c r="G933">
        <v>2</v>
      </c>
      <c r="H933" s="263" t="s">
        <v>436</v>
      </c>
      <c r="I933" s="264"/>
      <c r="J933" s="263" t="s">
        <v>437</v>
      </c>
    </row>
    <row r="934" spans="1:10" x14ac:dyDescent="0.15">
      <c r="A934" s="263" t="s">
        <v>2497</v>
      </c>
      <c r="B934" s="263" t="s">
        <v>2498</v>
      </c>
      <c r="C934" s="263" t="s">
        <v>96</v>
      </c>
      <c r="D934" s="263" t="s">
        <v>9539</v>
      </c>
      <c r="E934" s="263" t="s">
        <v>97</v>
      </c>
      <c r="F934">
        <v>0</v>
      </c>
      <c r="G934">
        <v>2</v>
      </c>
      <c r="H934" s="263" t="s">
        <v>436</v>
      </c>
      <c r="I934" s="264"/>
      <c r="J934" s="263" t="s">
        <v>437</v>
      </c>
    </row>
    <row r="935" spans="1:10" x14ac:dyDescent="0.15">
      <c r="A935" s="263" t="s">
        <v>2499</v>
      </c>
      <c r="B935" s="263" t="s">
        <v>2500</v>
      </c>
      <c r="C935" s="263" t="s">
        <v>96</v>
      </c>
      <c r="D935" s="263" t="s">
        <v>2501</v>
      </c>
      <c r="E935" s="263" t="s">
        <v>97</v>
      </c>
      <c r="F935">
        <v>0</v>
      </c>
      <c r="G935">
        <v>2</v>
      </c>
      <c r="H935" s="263" t="s">
        <v>436</v>
      </c>
      <c r="I935" s="264"/>
      <c r="J935" s="263" t="s">
        <v>437</v>
      </c>
    </row>
    <row r="936" spans="1:10" x14ac:dyDescent="0.15">
      <c r="A936" s="263" t="s">
        <v>2502</v>
      </c>
      <c r="B936" s="263" t="s">
        <v>2503</v>
      </c>
      <c r="C936" s="263" t="s">
        <v>96</v>
      </c>
      <c r="D936" s="263" t="s">
        <v>2504</v>
      </c>
      <c r="E936" s="263" t="s">
        <v>97</v>
      </c>
      <c r="F936">
        <v>0</v>
      </c>
      <c r="G936">
        <v>2</v>
      </c>
      <c r="H936" s="263" t="s">
        <v>436</v>
      </c>
      <c r="I936" s="264"/>
      <c r="J936" s="263" t="s">
        <v>437</v>
      </c>
    </row>
    <row r="937" spans="1:10" x14ac:dyDescent="0.15">
      <c r="A937" s="263" t="s">
        <v>2505</v>
      </c>
      <c r="B937" s="263" t="s">
        <v>2506</v>
      </c>
      <c r="C937" s="263" t="s">
        <v>96</v>
      </c>
      <c r="D937" s="263" t="s">
        <v>2507</v>
      </c>
      <c r="E937" s="263" t="s">
        <v>97</v>
      </c>
      <c r="F937">
        <v>0</v>
      </c>
      <c r="G937">
        <v>2</v>
      </c>
      <c r="H937" s="263" t="s">
        <v>436</v>
      </c>
      <c r="I937" s="264"/>
      <c r="J937" s="263" t="s">
        <v>437</v>
      </c>
    </row>
    <row r="938" spans="1:10" x14ac:dyDescent="0.15">
      <c r="A938" s="263" t="s">
        <v>2508</v>
      </c>
      <c r="B938" s="263" t="s">
        <v>2509</v>
      </c>
      <c r="C938" s="263" t="s">
        <v>96</v>
      </c>
      <c r="D938" s="263" t="s">
        <v>2510</v>
      </c>
      <c r="E938" s="263" t="s">
        <v>97</v>
      </c>
      <c r="F938">
        <v>0</v>
      </c>
      <c r="G938">
        <v>2</v>
      </c>
      <c r="H938" s="263" t="s">
        <v>436</v>
      </c>
      <c r="I938" s="264"/>
      <c r="J938" s="263" t="s">
        <v>437</v>
      </c>
    </row>
    <row r="939" spans="1:10" x14ac:dyDescent="0.15">
      <c r="A939" s="263" t="s">
        <v>2511</v>
      </c>
      <c r="B939" s="263" t="s">
        <v>2468</v>
      </c>
      <c r="C939" s="263" t="s">
        <v>81</v>
      </c>
      <c r="D939" s="263" t="s">
        <v>2469</v>
      </c>
      <c r="E939" s="263" t="s">
        <v>88</v>
      </c>
      <c r="F939">
        <v>0</v>
      </c>
      <c r="G939">
        <v>2</v>
      </c>
      <c r="H939" s="263" t="s">
        <v>436</v>
      </c>
      <c r="I939" s="264"/>
      <c r="J939" s="263" t="s">
        <v>437</v>
      </c>
    </row>
    <row r="940" spans="1:10" x14ac:dyDescent="0.15">
      <c r="A940" s="263" t="s">
        <v>2512</v>
      </c>
      <c r="B940" s="263" t="s">
        <v>2500</v>
      </c>
      <c r="C940" s="263" t="s">
        <v>81</v>
      </c>
      <c r="D940" s="263" t="s">
        <v>2501</v>
      </c>
      <c r="E940" s="263" t="s">
        <v>88</v>
      </c>
      <c r="F940">
        <v>0</v>
      </c>
      <c r="G940">
        <v>2</v>
      </c>
      <c r="H940" s="263" t="s">
        <v>436</v>
      </c>
      <c r="I940" s="264"/>
      <c r="J940" s="263" t="s">
        <v>437</v>
      </c>
    </row>
    <row r="941" spans="1:10" x14ac:dyDescent="0.15">
      <c r="A941" s="263" t="s">
        <v>2513</v>
      </c>
      <c r="B941" s="263" t="s">
        <v>2503</v>
      </c>
      <c r="C941" s="263" t="s">
        <v>81</v>
      </c>
      <c r="D941" s="263" t="s">
        <v>2504</v>
      </c>
      <c r="E941" s="263" t="s">
        <v>88</v>
      </c>
      <c r="F941">
        <v>0</v>
      </c>
      <c r="G941">
        <v>2</v>
      </c>
      <c r="H941" s="263" t="s">
        <v>436</v>
      </c>
      <c r="I941" s="264"/>
      <c r="J941" s="263" t="s">
        <v>437</v>
      </c>
    </row>
    <row r="942" spans="1:10" x14ac:dyDescent="0.15">
      <c r="A942" s="263" t="s">
        <v>2514</v>
      </c>
      <c r="B942" s="263" t="s">
        <v>2506</v>
      </c>
      <c r="C942" s="263" t="s">
        <v>81</v>
      </c>
      <c r="D942" s="263" t="s">
        <v>2507</v>
      </c>
      <c r="E942" s="263" t="s">
        <v>88</v>
      </c>
      <c r="F942">
        <v>0</v>
      </c>
      <c r="G942">
        <v>2</v>
      </c>
      <c r="H942" s="263" t="s">
        <v>436</v>
      </c>
      <c r="I942" s="264"/>
      <c r="J942" s="263" t="s">
        <v>437</v>
      </c>
    </row>
    <row r="943" spans="1:10" x14ac:dyDescent="0.15">
      <c r="A943" s="263" t="s">
        <v>2515</v>
      </c>
      <c r="B943" s="263" t="s">
        <v>2509</v>
      </c>
      <c r="C943" s="263" t="s">
        <v>98</v>
      </c>
      <c r="D943" s="263" t="s">
        <v>2510</v>
      </c>
      <c r="E943" s="263" t="s">
        <v>110</v>
      </c>
      <c r="F943">
        <v>0</v>
      </c>
      <c r="G943">
        <v>2</v>
      </c>
      <c r="H943" s="263" t="s">
        <v>436</v>
      </c>
      <c r="I943" s="264"/>
      <c r="J943" s="263" t="s">
        <v>437</v>
      </c>
    </row>
    <row r="944" spans="1:10" x14ac:dyDescent="0.15">
      <c r="A944" s="263" t="s">
        <v>2516</v>
      </c>
      <c r="B944" s="263" t="s">
        <v>2517</v>
      </c>
      <c r="C944" s="263" t="s">
        <v>81</v>
      </c>
      <c r="D944" s="263" t="s">
        <v>2518</v>
      </c>
      <c r="E944" s="263" t="s">
        <v>88</v>
      </c>
      <c r="F944">
        <v>0</v>
      </c>
      <c r="G944">
        <v>2</v>
      </c>
      <c r="H944" s="263" t="s">
        <v>436</v>
      </c>
      <c r="I944" s="264"/>
      <c r="J944" s="263" t="s">
        <v>437</v>
      </c>
    </row>
    <row r="945" spans="1:10" x14ac:dyDescent="0.15">
      <c r="A945" s="263" t="s">
        <v>2519</v>
      </c>
      <c r="B945" s="263" t="s">
        <v>2520</v>
      </c>
      <c r="C945" s="263" t="s">
        <v>81</v>
      </c>
      <c r="D945" s="263" t="s">
        <v>2521</v>
      </c>
      <c r="E945" s="263" t="s">
        <v>88</v>
      </c>
      <c r="F945">
        <v>0</v>
      </c>
      <c r="G945">
        <v>2</v>
      </c>
      <c r="H945" s="263" t="s">
        <v>436</v>
      </c>
      <c r="I945" s="264"/>
      <c r="J945" s="263" t="s">
        <v>437</v>
      </c>
    </row>
    <row r="946" spans="1:10" x14ac:dyDescent="0.15">
      <c r="A946" s="263" t="s">
        <v>2522</v>
      </c>
      <c r="B946" s="263" t="s">
        <v>2517</v>
      </c>
      <c r="C946" s="263" t="s">
        <v>94</v>
      </c>
      <c r="D946" s="263" t="s">
        <v>2518</v>
      </c>
      <c r="E946" s="263" t="s">
        <v>94</v>
      </c>
      <c r="F946">
        <v>0</v>
      </c>
      <c r="G946">
        <v>2</v>
      </c>
      <c r="H946" s="263" t="s">
        <v>436</v>
      </c>
      <c r="I946" s="264"/>
      <c r="J946" s="263" t="s">
        <v>437</v>
      </c>
    </row>
    <row r="947" spans="1:10" x14ac:dyDescent="0.15">
      <c r="A947" s="263" t="s">
        <v>2523</v>
      </c>
      <c r="B947" s="263" t="s">
        <v>2520</v>
      </c>
      <c r="C947" s="263" t="s">
        <v>94</v>
      </c>
      <c r="D947" s="263" t="s">
        <v>2521</v>
      </c>
      <c r="E947" s="263" t="s">
        <v>94</v>
      </c>
      <c r="F947">
        <v>0</v>
      </c>
      <c r="G947">
        <v>2</v>
      </c>
      <c r="H947" s="263" t="s">
        <v>436</v>
      </c>
      <c r="I947" s="264"/>
      <c r="J947" s="263" t="s">
        <v>437</v>
      </c>
    </row>
    <row r="948" spans="1:10" x14ac:dyDescent="0.15">
      <c r="A948" s="263" t="s">
        <v>2524</v>
      </c>
      <c r="B948" s="263" t="s">
        <v>2509</v>
      </c>
      <c r="C948" s="263" t="s">
        <v>94</v>
      </c>
      <c r="D948" s="263" t="s">
        <v>2510</v>
      </c>
      <c r="E948" s="263" t="s">
        <v>94</v>
      </c>
      <c r="F948">
        <v>0</v>
      </c>
      <c r="G948">
        <v>2</v>
      </c>
      <c r="H948" s="263" t="s">
        <v>436</v>
      </c>
      <c r="I948" s="264"/>
      <c r="J948" s="263" t="s">
        <v>437</v>
      </c>
    </row>
    <row r="949" spans="1:10" x14ac:dyDescent="0.15">
      <c r="A949" s="263" t="s">
        <v>2525</v>
      </c>
      <c r="B949" s="263" t="s">
        <v>2526</v>
      </c>
      <c r="C949" s="263" t="s">
        <v>96</v>
      </c>
      <c r="D949" s="263" t="s">
        <v>2527</v>
      </c>
      <c r="E949" s="263" t="s">
        <v>97</v>
      </c>
      <c r="F949">
        <v>0</v>
      </c>
      <c r="G949">
        <v>2</v>
      </c>
      <c r="H949" s="263" t="s">
        <v>436</v>
      </c>
      <c r="I949" s="264"/>
      <c r="J949" s="263" t="s">
        <v>437</v>
      </c>
    </row>
    <row r="950" spans="1:10" x14ac:dyDescent="0.15">
      <c r="A950" s="263" t="s">
        <v>2528</v>
      </c>
      <c r="B950" s="263" t="s">
        <v>2529</v>
      </c>
      <c r="C950" s="263" t="s">
        <v>96</v>
      </c>
      <c r="D950" s="263" t="s">
        <v>2530</v>
      </c>
      <c r="E950" s="263" t="s">
        <v>97</v>
      </c>
      <c r="F950">
        <v>0</v>
      </c>
      <c r="G950">
        <v>2</v>
      </c>
      <c r="H950" s="263" t="s">
        <v>436</v>
      </c>
      <c r="I950" s="264"/>
      <c r="J950" s="263" t="s">
        <v>437</v>
      </c>
    </row>
    <row r="951" spans="1:10" x14ac:dyDescent="0.15">
      <c r="A951" s="263" t="s">
        <v>2531</v>
      </c>
      <c r="B951" s="263" t="s">
        <v>2532</v>
      </c>
      <c r="C951" s="263" t="s">
        <v>81</v>
      </c>
      <c r="D951" s="263" t="s">
        <v>2533</v>
      </c>
      <c r="E951" s="263" t="s">
        <v>88</v>
      </c>
      <c r="F951">
        <v>0</v>
      </c>
      <c r="G951">
        <v>2</v>
      </c>
      <c r="H951" s="263" t="s">
        <v>436</v>
      </c>
      <c r="I951" s="264"/>
      <c r="J951" s="263" t="s">
        <v>437</v>
      </c>
    </row>
    <row r="952" spans="1:10" x14ac:dyDescent="0.15">
      <c r="A952" s="263" t="s">
        <v>2534</v>
      </c>
      <c r="B952" s="263" t="s">
        <v>2526</v>
      </c>
      <c r="C952" s="263" t="s">
        <v>81</v>
      </c>
      <c r="D952" s="263" t="s">
        <v>2527</v>
      </c>
      <c r="E952" s="263" t="s">
        <v>88</v>
      </c>
      <c r="F952">
        <v>0</v>
      </c>
      <c r="G952">
        <v>2</v>
      </c>
      <c r="H952" s="263" t="s">
        <v>436</v>
      </c>
      <c r="I952" s="264"/>
      <c r="J952" s="263" t="s">
        <v>437</v>
      </c>
    </row>
    <row r="953" spans="1:10" x14ac:dyDescent="0.15">
      <c r="A953" s="263" t="s">
        <v>2535</v>
      </c>
      <c r="B953" s="263" t="s">
        <v>2536</v>
      </c>
      <c r="C953" s="263" t="s">
        <v>96</v>
      </c>
      <c r="D953" s="263" t="s">
        <v>2537</v>
      </c>
      <c r="E953" s="263" t="s">
        <v>97</v>
      </c>
      <c r="F953">
        <v>0</v>
      </c>
      <c r="G953">
        <v>2</v>
      </c>
      <c r="H953" s="263" t="s">
        <v>436</v>
      </c>
      <c r="I953" s="264"/>
      <c r="J953" s="263" t="s">
        <v>437</v>
      </c>
    </row>
    <row r="954" spans="1:10" x14ac:dyDescent="0.15">
      <c r="A954" s="263" t="s">
        <v>2538</v>
      </c>
      <c r="B954" s="263" t="s">
        <v>2536</v>
      </c>
      <c r="C954" s="263" t="s">
        <v>81</v>
      </c>
      <c r="D954" s="263" t="s">
        <v>2537</v>
      </c>
      <c r="E954" s="263" t="s">
        <v>88</v>
      </c>
      <c r="F954">
        <v>0</v>
      </c>
      <c r="G954">
        <v>2</v>
      </c>
      <c r="H954" s="263" t="s">
        <v>436</v>
      </c>
      <c r="I954" s="264"/>
      <c r="J954" s="263" t="s">
        <v>437</v>
      </c>
    </row>
    <row r="955" spans="1:10" x14ac:dyDescent="0.15">
      <c r="A955" s="263" t="s">
        <v>2539</v>
      </c>
      <c r="B955" s="263" t="s">
        <v>2540</v>
      </c>
      <c r="C955" s="263" t="s">
        <v>81</v>
      </c>
      <c r="D955" s="263" t="s">
        <v>2541</v>
      </c>
      <c r="E955" s="263" t="s">
        <v>88</v>
      </c>
      <c r="F955">
        <v>0</v>
      </c>
      <c r="G955">
        <v>2</v>
      </c>
      <c r="H955" s="263" t="s">
        <v>436</v>
      </c>
      <c r="I955" s="264"/>
      <c r="J955" s="263" t="s">
        <v>437</v>
      </c>
    </row>
    <row r="956" spans="1:10" x14ac:dyDescent="0.15">
      <c r="A956" s="263" t="s">
        <v>2542</v>
      </c>
      <c r="B956" s="263" t="s">
        <v>2543</v>
      </c>
      <c r="C956" s="263" t="s">
        <v>99</v>
      </c>
      <c r="D956" s="263" t="s">
        <v>2544</v>
      </c>
      <c r="E956" s="263" t="s">
        <v>84</v>
      </c>
      <c r="F956">
        <v>0</v>
      </c>
      <c r="G956">
        <v>2</v>
      </c>
      <c r="H956" s="263" t="s">
        <v>436</v>
      </c>
      <c r="I956" s="264"/>
      <c r="J956" s="263" t="s">
        <v>437</v>
      </c>
    </row>
    <row r="957" spans="1:10" x14ac:dyDescent="0.15">
      <c r="A957" s="263" t="s">
        <v>2545</v>
      </c>
      <c r="B957" s="263" t="s">
        <v>2546</v>
      </c>
      <c r="C957" s="263" t="s">
        <v>99</v>
      </c>
      <c r="D957" s="263" t="s">
        <v>2547</v>
      </c>
      <c r="E957" s="263" t="s">
        <v>84</v>
      </c>
      <c r="F957">
        <v>0</v>
      </c>
      <c r="G957">
        <v>2</v>
      </c>
      <c r="H957" s="263" t="s">
        <v>436</v>
      </c>
      <c r="I957" s="264"/>
      <c r="J957" s="263" t="s">
        <v>437</v>
      </c>
    </row>
    <row r="958" spans="1:10" x14ac:dyDescent="0.15">
      <c r="A958" s="263" t="s">
        <v>2548</v>
      </c>
      <c r="B958" s="263" t="s">
        <v>2549</v>
      </c>
      <c r="C958" s="263" t="s">
        <v>99</v>
      </c>
      <c r="D958" s="263" t="s">
        <v>2550</v>
      </c>
      <c r="E958" s="263" t="s">
        <v>84</v>
      </c>
      <c r="F958">
        <v>0</v>
      </c>
      <c r="G958">
        <v>2</v>
      </c>
      <c r="H958" s="263" t="s">
        <v>436</v>
      </c>
      <c r="I958" s="264"/>
      <c r="J958" s="263" t="s">
        <v>437</v>
      </c>
    </row>
    <row r="959" spans="1:10" x14ac:dyDescent="0.15">
      <c r="A959" s="263" t="s">
        <v>2551</v>
      </c>
      <c r="B959" s="263" t="s">
        <v>2552</v>
      </c>
      <c r="C959" s="263" t="s">
        <v>99</v>
      </c>
      <c r="D959" s="263" t="s">
        <v>2553</v>
      </c>
      <c r="E959" s="263" t="s">
        <v>84</v>
      </c>
      <c r="F959">
        <v>0</v>
      </c>
      <c r="G959">
        <v>2</v>
      </c>
      <c r="H959" s="263" t="s">
        <v>436</v>
      </c>
      <c r="I959" s="264"/>
      <c r="J959" s="263" t="s">
        <v>437</v>
      </c>
    </row>
    <row r="960" spans="1:10" x14ac:dyDescent="0.15">
      <c r="A960" s="263" t="s">
        <v>2554</v>
      </c>
      <c r="B960" s="263" t="s">
        <v>2555</v>
      </c>
      <c r="C960" s="263" t="s">
        <v>99</v>
      </c>
      <c r="D960" s="263" t="s">
        <v>2556</v>
      </c>
      <c r="E960" s="263" t="s">
        <v>84</v>
      </c>
      <c r="F960">
        <v>0</v>
      </c>
      <c r="G960">
        <v>2</v>
      </c>
      <c r="H960" s="263" t="s">
        <v>436</v>
      </c>
      <c r="I960" s="264"/>
      <c r="J960" s="263" t="s">
        <v>437</v>
      </c>
    </row>
    <row r="961" spans="1:10" x14ac:dyDescent="0.15">
      <c r="A961" s="263" t="s">
        <v>2557</v>
      </c>
      <c r="B961" s="263" t="s">
        <v>2558</v>
      </c>
      <c r="C961" s="263" t="s">
        <v>99</v>
      </c>
      <c r="D961" s="263" t="s">
        <v>2559</v>
      </c>
      <c r="E961" s="263" t="s">
        <v>84</v>
      </c>
      <c r="F961">
        <v>0</v>
      </c>
      <c r="G961">
        <v>2</v>
      </c>
      <c r="H961" s="263" t="s">
        <v>436</v>
      </c>
      <c r="I961" s="264"/>
      <c r="J961" s="263" t="s">
        <v>437</v>
      </c>
    </row>
    <row r="962" spans="1:10" x14ac:dyDescent="0.15">
      <c r="A962" s="263" t="s">
        <v>2560</v>
      </c>
      <c r="B962" s="263" t="s">
        <v>2561</v>
      </c>
      <c r="C962" s="263" t="s">
        <v>99</v>
      </c>
      <c r="D962" s="263" t="s">
        <v>2562</v>
      </c>
      <c r="E962" s="263" t="s">
        <v>84</v>
      </c>
      <c r="F962">
        <v>0</v>
      </c>
      <c r="G962">
        <v>2</v>
      </c>
      <c r="H962" s="263" t="s">
        <v>436</v>
      </c>
      <c r="I962" s="264"/>
      <c r="J962" s="263" t="s">
        <v>437</v>
      </c>
    </row>
    <row r="963" spans="1:10" x14ac:dyDescent="0.15">
      <c r="A963" s="263" t="s">
        <v>2563</v>
      </c>
      <c r="B963" s="263" t="s">
        <v>9540</v>
      </c>
      <c r="C963" s="263" t="s">
        <v>99</v>
      </c>
      <c r="D963" s="263" t="s">
        <v>9541</v>
      </c>
      <c r="E963" s="263" t="s">
        <v>84</v>
      </c>
      <c r="F963">
        <v>0</v>
      </c>
      <c r="G963">
        <v>2</v>
      </c>
      <c r="H963" s="263" t="s">
        <v>436</v>
      </c>
      <c r="I963" s="264"/>
      <c r="J963" s="263" t="s">
        <v>437</v>
      </c>
    </row>
    <row r="964" spans="1:10" x14ac:dyDescent="0.15">
      <c r="A964" s="263" t="s">
        <v>2604</v>
      </c>
      <c r="B964" s="263" t="s">
        <v>2605</v>
      </c>
      <c r="C964" s="263" t="s">
        <v>98</v>
      </c>
      <c r="D964" s="263" t="s">
        <v>2606</v>
      </c>
      <c r="E964" s="263" t="s">
        <v>110</v>
      </c>
      <c r="F964">
        <v>0</v>
      </c>
      <c r="G964">
        <v>2</v>
      </c>
      <c r="H964" s="263" t="s">
        <v>436</v>
      </c>
      <c r="I964" s="264"/>
      <c r="J964" s="263" t="s">
        <v>437</v>
      </c>
    </row>
    <row r="965" spans="1:10" x14ac:dyDescent="0.15">
      <c r="A965" s="263" t="s">
        <v>2607</v>
      </c>
      <c r="B965" s="263" t="s">
        <v>2608</v>
      </c>
      <c r="C965" s="263" t="s">
        <v>89</v>
      </c>
      <c r="D965" s="263" t="s">
        <v>2609</v>
      </c>
      <c r="E965" s="263" t="s">
        <v>95</v>
      </c>
      <c r="F965">
        <v>0</v>
      </c>
      <c r="G965">
        <v>2</v>
      </c>
      <c r="H965" s="263" t="s">
        <v>436</v>
      </c>
      <c r="I965" s="264"/>
      <c r="J965" s="263" t="s">
        <v>437</v>
      </c>
    </row>
    <row r="966" spans="1:10" x14ac:dyDescent="0.15">
      <c r="A966" s="263" t="s">
        <v>2610</v>
      </c>
      <c r="B966" s="263" t="s">
        <v>2611</v>
      </c>
      <c r="C966" s="263" t="s">
        <v>96</v>
      </c>
      <c r="D966" s="263" t="s">
        <v>2612</v>
      </c>
      <c r="E966" s="263" t="s">
        <v>97</v>
      </c>
      <c r="F966">
        <v>0</v>
      </c>
      <c r="G966">
        <v>2</v>
      </c>
      <c r="H966" s="263" t="s">
        <v>436</v>
      </c>
      <c r="I966" s="264"/>
      <c r="J966" s="263" t="s">
        <v>437</v>
      </c>
    </row>
    <row r="967" spans="1:10" x14ac:dyDescent="0.15">
      <c r="A967" s="263" t="s">
        <v>2613</v>
      </c>
      <c r="B967" s="263" t="s">
        <v>2614</v>
      </c>
      <c r="C967" s="263" t="s">
        <v>94</v>
      </c>
      <c r="D967" s="263" t="s">
        <v>2615</v>
      </c>
      <c r="E967" s="263" t="s">
        <v>94</v>
      </c>
      <c r="F967">
        <v>0</v>
      </c>
      <c r="G967">
        <v>2</v>
      </c>
      <c r="H967" s="263" t="s">
        <v>436</v>
      </c>
      <c r="I967" s="264"/>
      <c r="J967" s="263" t="s">
        <v>437</v>
      </c>
    </row>
    <row r="968" spans="1:10" x14ac:dyDescent="0.15">
      <c r="A968" s="263" t="s">
        <v>2616</v>
      </c>
      <c r="B968" s="263" t="s">
        <v>2617</v>
      </c>
      <c r="C968" s="263" t="s">
        <v>81</v>
      </c>
      <c r="D968" s="263" t="s">
        <v>2618</v>
      </c>
      <c r="E968" s="263" t="s">
        <v>88</v>
      </c>
      <c r="F968">
        <v>0</v>
      </c>
      <c r="G968">
        <v>2</v>
      </c>
      <c r="H968" s="263" t="s">
        <v>436</v>
      </c>
      <c r="I968" s="264"/>
      <c r="J968" s="263" t="s">
        <v>437</v>
      </c>
    </row>
    <row r="969" spans="1:10" x14ac:dyDescent="0.15">
      <c r="A969" s="263" t="s">
        <v>2619</v>
      </c>
      <c r="B969" s="263" t="s">
        <v>2620</v>
      </c>
      <c r="C969" s="263" t="s">
        <v>81</v>
      </c>
      <c r="D969" s="263" t="s">
        <v>2621</v>
      </c>
      <c r="E969" s="263" t="s">
        <v>88</v>
      </c>
      <c r="F969">
        <v>0</v>
      </c>
      <c r="G969">
        <v>2</v>
      </c>
      <c r="H969" s="263" t="s">
        <v>436</v>
      </c>
      <c r="I969" s="264"/>
      <c r="J969" s="263" t="s">
        <v>437</v>
      </c>
    </row>
    <row r="970" spans="1:10" x14ac:dyDescent="0.15">
      <c r="A970" s="263" t="s">
        <v>2622</v>
      </c>
      <c r="B970" s="263" t="s">
        <v>2623</v>
      </c>
      <c r="C970" s="263" t="s">
        <v>81</v>
      </c>
      <c r="D970" s="263" t="s">
        <v>2624</v>
      </c>
      <c r="E970" s="263" t="s">
        <v>88</v>
      </c>
      <c r="F970">
        <v>0</v>
      </c>
      <c r="G970">
        <v>2</v>
      </c>
      <c r="H970" s="263" t="s">
        <v>436</v>
      </c>
      <c r="I970" s="264"/>
      <c r="J970" s="263" t="s">
        <v>437</v>
      </c>
    </row>
    <row r="971" spans="1:10" x14ac:dyDescent="0.15">
      <c r="A971" s="263" t="s">
        <v>2625</v>
      </c>
      <c r="B971" s="263" t="s">
        <v>2626</v>
      </c>
      <c r="C971" s="263" t="s">
        <v>81</v>
      </c>
      <c r="D971" s="263" t="s">
        <v>2627</v>
      </c>
      <c r="E971" s="263" t="s">
        <v>88</v>
      </c>
      <c r="F971">
        <v>0</v>
      </c>
      <c r="G971">
        <v>2</v>
      </c>
      <c r="H971" s="263" t="s">
        <v>436</v>
      </c>
      <c r="I971" s="264"/>
      <c r="J971" s="263" t="s">
        <v>437</v>
      </c>
    </row>
    <row r="972" spans="1:10" x14ac:dyDescent="0.15">
      <c r="A972" s="263" t="s">
        <v>2628</v>
      </c>
      <c r="B972" s="263" t="s">
        <v>2629</v>
      </c>
      <c r="C972" s="263" t="s">
        <v>81</v>
      </c>
      <c r="D972" s="263" t="s">
        <v>2630</v>
      </c>
      <c r="E972" s="263" t="s">
        <v>88</v>
      </c>
      <c r="F972">
        <v>0</v>
      </c>
      <c r="G972">
        <v>2</v>
      </c>
      <c r="H972" s="263" t="s">
        <v>436</v>
      </c>
      <c r="I972" s="264"/>
      <c r="J972" s="263" t="s">
        <v>437</v>
      </c>
    </row>
    <row r="973" spans="1:10" x14ac:dyDescent="0.15">
      <c r="A973" s="263" t="s">
        <v>2631</v>
      </c>
      <c r="B973" s="263" t="s">
        <v>9542</v>
      </c>
      <c r="C973" s="263" t="s">
        <v>81</v>
      </c>
      <c r="D973" s="263" t="s">
        <v>9543</v>
      </c>
      <c r="E973" s="263" t="s">
        <v>88</v>
      </c>
      <c r="F973">
        <v>0</v>
      </c>
      <c r="G973">
        <v>2</v>
      </c>
      <c r="H973" s="263" t="s">
        <v>436</v>
      </c>
      <c r="I973" s="264"/>
      <c r="J973" s="263" t="s">
        <v>437</v>
      </c>
    </row>
    <row r="974" spans="1:10" x14ac:dyDescent="0.15">
      <c r="A974" s="263" t="s">
        <v>2632</v>
      </c>
      <c r="B974" s="263" t="s">
        <v>9544</v>
      </c>
      <c r="C974" s="263" t="s">
        <v>81</v>
      </c>
      <c r="D974" s="263" t="s">
        <v>9545</v>
      </c>
      <c r="E974" s="263" t="s">
        <v>88</v>
      </c>
      <c r="F974">
        <v>0</v>
      </c>
      <c r="G974">
        <v>2</v>
      </c>
      <c r="H974" s="263" t="s">
        <v>436</v>
      </c>
      <c r="I974" s="264"/>
      <c r="J974" s="263" t="s">
        <v>437</v>
      </c>
    </row>
    <row r="975" spans="1:10" x14ac:dyDescent="0.15">
      <c r="A975" s="263" t="s">
        <v>2633</v>
      </c>
      <c r="B975" s="263" t="s">
        <v>2617</v>
      </c>
      <c r="C975" s="263" t="s">
        <v>96</v>
      </c>
      <c r="D975" s="263" t="s">
        <v>2618</v>
      </c>
      <c r="E975" s="263" t="s">
        <v>97</v>
      </c>
      <c r="F975">
        <v>0</v>
      </c>
      <c r="G975">
        <v>2</v>
      </c>
      <c r="H975" s="263" t="s">
        <v>436</v>
      </c>
      <c r="I975" s="264"/>
      <c r="J975" s="263" t="s">
        <v>437</v>
      </c>
    </row>
    <row r="976" spans="1:10" x14ac:dyDescent="0.15">
      <c r="A976" s="263" t="s">
        <v>2634</v>
      </c>
      <c r="B976" s="263" t="s">
        <v>2635</v>
      </c>
      <c r="C976" s="263" t="s">
        <v>96</v>
      </c>
      <c r="D976" s="263" t="s">
        <v>2636</v>
      </c>
      <c r="E976" s="263" t="s">
        <v>97</v>
      </c>
      <c r="F976">
        <v>0</v>
      </c>
      <c r="G976">
        <v>2</v>
      </c>
      <c r="H976" s="263" t="s">
        <v>436</v>
      </c>
      <c r="I976" s="264"/>
      <c r="J976" s="263" t="s">
        <v>437</v>
      </c>
    </row>
    <row r="977" spans="1:10" x14ac:dyDescent="0.15">
      <c r="A977" s="263" t="s">
        <v>2637</v>
      </c>
      <c r="B977" s="263" t="s">
        <v>2638</v>
      </c>
      <c r="C977" s="263" t="s">
        <v>96</v>
      </c>
      <c r="D977" s="263" t="s">
        <v>2639</v>
      </c>
      <c r="E977" s="263" t="s">
        <v>97</v>
      </c>
      <c r="F977">
        <v>0</v>
      </c>
      <c r="G977">
        <v>2</v>
      </c>
      <c r="H977" s="263" t="s">
        <v>436</v>
      </c>
      <c r="I977" s="264"/>
      <c r="J977" s="263" t="s">
        <v>437</v>
      </c>
    </row>
    <row r="978" spans="1:10" x14ac:dyDescent="0.15">
      <c r="A978" s="263" t="s">
        <v>2640</v>
      </c>
      <c r="B978" s="263" t="s">
        <v>2641</v>
      </c>
      <c r="C978" s="263" t="s">
        <v>96</v>
      </c>
      <c r="D978" s="263" t="s">
        <v>2642</v>
      </c>
      <c r="E978" s="263" t="s">
        <v>97</v>
      </c>
      <c r="F978">
        <v>0</v>
      </c>
      <c r="G978">
        <v>2</v>
      </c>
      <c r="H978" s="263" t="s">
        <v>436</v>
      </c>
      <c r="I978" s="264"/>
      <c r="J978" s="263" t="s">
        <v>437</v>
      </c>
    </row>
    <row r="979" spans="1:10" x14ac:dyDescent="0.15">
      <c r="A979" s="263" t="s">
        <v>2643</v>
      </c>
      <c r="B979" s="263" t="s">
        <v>2644</v>
      </c>
      <c r="C979" s="263" t="s">
        <v>96</v>
      </c>
      <c r="D979" s="263" t="s">
        <v>2645</v>
      </c>
      <c r="E979" s="263" t="s">
        <v>97</v>
      </c>
      <c r="F979">
        <v>0</v>
      </c>
      <c r="G979">
        <v>2</v>
      </c>
      <c r="H979" s="263" t="s">
        <v>436</v>
      </c>
      <c r="I979" s="264"/>
      <c r="J979" s="263" t="s">
        <v>437</v>
      </c>
    </row>
    <row r="980" spans="1:10" x14ac:dyDescent="0.15">
      <c r="A980" s="263" t="s">
        <v>2646</v>
      </c>
      <c r="B980" s="263" t="s">
        <v>2647</v>
      </c>
      <c r="C980" s="263" t="s">
        <v>96</v>
      </c>
      <c r="D980" s="263" t="s">
        <v>2648</v>
      </c>
      <c r="E980" s="263" t="s">
        <v>97</v>
      </c>
      <c r="F980">
        <v>0</v>
      </c>
      <c r="G980">
        <v>2</v>
      </c>
      <c r="H980" s="263" t="s">
        <v>436</v>
      </c>
      <c r="I980" s="264"/>
      <c r="J980" s="263" t="s">
        <v>437</v>
      </c>
    </row>
    <row r="981" spans="1:10" x14ac:dyDescent="0.15">
      <c r="A981" s="263" t="s">
        <v>2649</v>
      </c>
      <c r="B981" s="263" t="s">
        <v>2650</v>
      </c>
      <c r="C981" s="263" t="s">
        <v>96</v>
      </c>
      <c r="D981" s="263" t="s">
        <v>2651</v>
      </c>
      <c r="E981" s="263" t="s">
        <v>97</v>
      </c>
      <c r="F981">
        <v>0</v>
      </c>
      <c r="G981">
        <v>2</v>
      </c>
      <c r="H981" s="263" t="s">
        <v>436</v>
      </c>
      <c r="I981" s="264"/>
      <c r="J981" s="263" t="s">
        <v>437</v>
      </c>
    </row>
    <row r="982" spans="1:10" x14ac:dyDescent="0.15">
      <c r="A982" s="263" t="s">
        <v>2652</v>
      </c>
      <c r="B982" s="263" t="s">
        <v>2653</v>
      </c>
      <c r="C982" s="263" t="s">
        <v>96</v>
      </c>
      <c r="D982" s="263" t="s">
        <v>2654</v>
      </c>
      <c r="E982" s="263" t="s">
        <v>97</v>
      </c>
      <c r="F982">
        <v>0</v>
      </c>
      <c r="G982">
        <v>2</v>
      </c>
      <c r="H982" s="263" t="s">
        <v>436</v>
      </c>
      <c r="I982" s="264"/>
      <c r="J982" s="263" t="s">
        <v>437</v>
      </c>
    </row>
    <row r="983" spans="1:10" x14ac:dyDescent="0.15">
      <c r="A983" s="263" t="s">
        <v>2655</v>
      </c>
      <c r="B983" s="263" t="s">
        <v>2656</v>
      </c>
      <c r="C983" s="263" t="s">
        <v>96</v>
      </c>
      <c r="D983" s="263" t="s">
        <v>2657</v>
      </c>
      <c r="E983" s="263" t="s">
        <v>97</v>
      </c>
      <c r="F983">
        <v>0</v>
      </c>
      <c r="G983">
        <v>2</v>
      </c>
      <c r="H983" s="263" t="s">
        <v>436</v>
      </c>
      <c r="I983" s="264"/>
      <c r="J983" s="263" t="s">
        <v>437</v>
      </c>
    </row>
    <row r="984" spans="1:10" x14ac:dyDescent="0.15">
      <c r="A984" s="263" t="s">
        <v>2658</v>
      </c>
      <c r="B984" s="263" t="s">
        <v>2659</v>
      </c>
      <c r="C984" s="263" t="s">
        <v>96</v>
      </c>
      <c r="D984" s="263" t="s">
        <v>2660</v>
      </c>
      <c r="E984" s="263" t="s">
        <v>97</v>
      </c>
      <c r="F984">
        <v>0</v>
      </c>
      <c r="G984">
        <v>2</v>
      </c>
      <c r="H984" s="263" t="s">
        <v>436</v>
      </c>
      <c r="I984" s="264"/>
      <c r="J984" s="263" t="s">
        <v>437</v>
      </c>
    </row>
    <row r="985" spans="1:10" x14ac:dyDescent="0.15">
      <c r="A985" s="263" t="s">
        <v>2661</v>
      </c>
      <c r="B985" s="263" t="s">
        <v>2662</v>
      </c>
      <c r="C985" s="263" t="s">
        <v>96</v>
      </c>
      <c r="D985" s="263" t="s">
        <v>2663</v>
      </c>
      <c r="E985" s="263" t="s">
        <v>97</v>
      </c>
      <c r="F985">
        <v>0</v>
      </c>
      <c r="G985">
        <v>2</v>
      </c>
      <c r="H985" s="263" t="s">
        <v>436</v>
      </c>
      <c r="I985" s="264"/>
      <c r="J985" s="263" t="s">
        <v>437</v>
      </c>
    </row>
    <row r="986" spans="1:10" x14ac:dyDescent="0.15">
      <c r="A986" s="263" t="s">
        <v>2664</v>
      </c>
      <c r="B986" s="263" t="s">
        <v>2665</v>
      </c>
      <c r="C986" s="263" t="s">
        <v>96</v>
      </c>
      <c r="D986" s="263" t="s">
        <v>2666</v>
      </c>
      <c r="E986" s="263" t="s">
        <v>97</v>
      </c>
      <c r="F986">
        <v>0</v>
      </c>
      <c r="G986">
        <v>2</v>
      </c>
      <c r="H986" s="263" t="s">
        <v>436</v>
      </c>
      <c r="I986" s="264"/>
      <c r="J986" s="263" t="s">
        <v>437</v>
      </c>
    </row>
    <row r="987" spans="1:10" x14ac:dyDescent="0.15">
      <c r="A987" s="263" t="s">
        <v>2667</v>
      </c>
      <c r="B987" s="263" t="s">
        <v>2668</v>
      </c>
      <c r="C987" s="263" t="s">
        <v>96</v>
      </c>
      <c r="D987" s="263" t="s">
        <v>2669</v>
      </c>
      <c r="E987" s="263" t="s">
        <v>97</v>
      </c>
      <c r="F987">
        <v>0</v>
      </c>
      <c r="G987">
        <v>2</v>
      </c>
      <c r="H987" s="263" t="s">
        <v>436</v>
      </c>
      <c r="I987" s="264"/>
      <c r="J987" s="263" t="s">
        <v>437</v>
      </c>
    </row>
    <row r="988" spans="1:10" x14ac:dyDescent="0.15">
      <c r="A988" s="263" t="s">
        <v>2670</v>
      </c>
      <c r="B988" s="263" t="s">
        <v>9546</v>
      </c>
      <c r="C988" s="263" t="s">
        <v>96</v>
      </c>
      <c r="D988" s="263" t="s">
        <v>9547</v>
      </c>
      <c r="E988" s="263" t="s">
        <v>97</v>
      </c>
      <c r="F988">
        <v>0</v>
      </c>
      <c r="G988">
        <v>2</v>
      </c>
      <c r="H988" s="263" t="s">
        <v>436</v>
      </c>
      <c r="I988" s="264"/>
      <c r="J988" s="263" t="s">
        <v>437</v>
      </c>
    </row>
    <row r="989" spans="1:10" x14ac:dyDescent="0.15">
      <c r="A989" s="263" t="s">
        <v>2671</v>
      </c>
      <c r="B989" s="263" t="s">
        <v>9548</v>
      </c>
      <c r="C989" s="263" t="s">
        <v>96</v>
      </c>
      <c r="D989" s="263" t="s">
        <v>9549</v>
      </c>
      <c r="E989" s="263" t="s">
        <v>97</v>
      </c>
      <c r="F989">
        <v>0</v>
      </c>
      <c r="G989">
        <v>2</v>
      </c>
      <c r="H989" s="263" t="s">
        <v>436</v>
      </c>
      <c r="I989" s="264"/>
      <c r="J989" s="263" t="s">
        <v>437</v>
      </c>
    </row>
    <row r="990" spans="1:10" x14ac:dyDescent="0.15">
      <c r="A990" s="263" t="s">
        <v>2672</v>
      </c>
      <c r="B990" s="263" t="s">
        <v>9550</v>
      </c>
      <c r="C990" s="263" t="s">
        <v>96</v>
      </c>
      <c r="D990" s="263" t="s">
        <v>9551</v>
      </c>
      <c r="E990" s="263" t="s">
        <v>97</v>
      </c>
      <c r="F990">
        <v>0</v>
      </c>
      <c r="G990">
        <v>2</v>
      </c>
      <c r="H990" s="263" t="s">
        <v>436</v>
      </c>
      <c r="I990" s="264"/>
      <c r="J990" s="263" t="s">
        <v>437</v>
      </c>
    </row>
    <row r="991" spans="1:10" x14ac:dyDescent="0.15">
      <c r="A991" s="263" t="s">
        <v>2673</v>
      </c>
      <c r="B991" s="263" t="s">
        <v>9552</v>
      </c>
      <c r="C991" s="263" t="s">
        <v>96</v>
      </c>
      <c r="D991" s="263" t="s">
        <v>9553</v>
      </c>
      <c r="E991" s="263" t="s">
        <v>97</v>
      </c>
      <c r="F991">
        <v>0</v>
      </c>
      <c r="G991">
        <v>2</v>
      </c>
      <c r="H991" s="263" t="s">
        <v>436</v>
      </c>
      <c r="I991" s="264"/>
      <c r="J991" s="263" t="s">
        <v>437</v>
      </c>
    </row>
    <row r="992" spans="1:10" x14ac:dyDescent="0.15">
      <c r="A992" s="263" t="s">
        <v>2674</v>
      </c>
      <c r="B992" s="263" t="s">
        <v>9554</v>
      </c>
      <c r="C992" s="263" t="s">
        <v>96</v>
      </c>
      <c r="D992" s="263" t="s">
        <v>9555</v>
      </c>
      <c r="E992" s="263" t="s">
        <v>97</v>
      </c>
      <c r="F992">
        <v>0</v>
      </c>
      <c r="G992">
        <v>2</v>
      </c>
      <c r="H992" s="263" t="s">
        <v>436</v>
      </c>
      <c r="I992" s="264"/>
      <c r="J992" s="263" t="s">
        <v>437</v>
      </c>
    </row>
    <row r="993" spans="1:10" x14ac:dyDescent="0.15">
      <c r="A993" s="263" t="s">
        <v>2675</v>
      </c>
      <c r="B993" s="263" t="s">
        <v>9556</v>
      </c>
      <c r="C993" s="263" t="s">
        <v>96</v>
      </c>
      <c r="D993" s="263" t="s">
        <v>9557</v>
      </c>
      <c r="E993" s="263" t="s">
        <v>97</v>
      </c>
      <c r="F993">
        <v>0</v>
      </c>
      <c r="G993">
        <v>2</v>
      </c>
      <c r="H993" s="263" t="s">
        <v>436</v>
      </c>
      <c r="I993" s="264"/>
      <c r="J993" s="263" t="s">
        <v>437</v>
      </c>
    </row>
    <row r="994" spans="1:10" x14ac:dyDescent="0.15">
      <c r="A994" s="263" t="s">
        <v>2676</v>
      </c>
      <c r="B994" s="263" t="s">
        <v>9558</v>
      </c>
      <c r="C994" s="263" t="s">
        <v>96</v>
      </c>
      <c r="D994" s="263" t="s">
        <v>9559</v>
      </c>
      <c r="E994" s="263" t="s">
        <v>97</v>
      </c>
      <c r="F994">
        <v>0</v>
      </c>
      <c r="G994">
        <v>2</v>
      </c>
      <c r="H994" s="263" t="s">
        <v>436</v>
      </c>
      <c r="I994" s="264"/>
      <c r="J994" s="263" t="s">
        <v>437</v>
      </c>
    </row>
    <row r="995" spans="1:10" x14ac:dyDescent="0.15">
      <c r="A995" s="263" t="s">
        <v>2677</v>
      </c>
      <c r="B995" s="263" t="s">
        <v>9560</v>
      </c>
      <c r="C995" s="263" t="s">
        <v>96</v>
      </c>
      <c r="D995" s="263" t="s">
        <v>9561</v>
      </c>
      <c r="E995" s="263" t="s">
        <v>97</v>
      </c>
      <c r="F995">
        <v>0</v>
      </c>
      <c r="G995">
        <v>2</v>
      </c>
      <c r="H995" s="263" t="s">
        <v>436</v>
      </c>
      <c r="I995" s="264"/>
      <c r="J995" s="263" t="s">
        <v>437</v>
      </c>
    </row>
    <row r="996" spans="1:10" x14ac:dyDescent="0.15">
      <c r="A996" s="263" t="s">
        <v>2678</v>
      </c>
      <c r="B996" s="263" t="s">
        <v>9562</v>
      </c>
      <c r="C996" s="263" t="s">
        <v>96</v>
      </c>
      <c r="D996" s="263" t="s">
        <v>9563</v>
      </c>
      <c r="E996" s="263" t="s">
        <v>97</v>
      </c>
      <c r="F996">
        <v>0</v>
      </c>
      <c r="G996">
        <v>2</v>
      </c>
      <c r="H996" s="263" t="s">
        <v>436</v>
      </c>
      <c r="I996" s="264"/>
      <c r="J996" s="263" t="s">
        <v>437</v>
      </c>
    </row>
    <row r="997" spans="1:10" x14ac:dyDescent="0.15">
      <c r="A997" s="263" t="s">
        <v>2679</v>
      </c>
      <c r="B997" s="263" t="s">
        <v>9564</v>
      </c>
      <c r="C997" s="263" t="s">
        <v>96</v>
      </c>
      <c r="D997" s="263" t="s">
        <v>9565</v>
      </c>
      <c r="E997" s="263" t="s">
        <v>97</v>
      </c>
      <c r="F997">
        <v>0</v>
      </c>
      <c r="G997">
        <v>2</v>
      </c>
      <c r="H997" s="263" t="s">
        <v>436</v>
      </c>
      <c r="I997" s="264"/>
      <c r="J997" s="263" t="s">
        <v>437</v>
      </c>
    </row>
    <row r="998" spans="1:10" x14ac:dyDescent="0.15">
      <c r="A998" s="263" t="s">
        <v>2680</v>
      </c>
      <c r="B998" s="263" t="s">
        <v>9566</v>
      </c>
      <c r="C998" s="263" t="s">
        <v>96</v>
      </c>
      <c r="D998" s="263" t="s">
        <v>9567</v>
      </c>
      <c r="E998" s="263" t="s">
        <v>97</v>
      </c>
      <c r="F998">
        <v>0</v>
      </c>
      <c r="G998">
        <v>2</v>
      </c>
      <c r="H998" s="263" t="s">
        <v>436</v>
      </c>
      <c r="I998" s="264"/>
      <c r="J998" s="263" t="s">
        <v>437</v>
      </c>
    </row>
    <row r="999" spans="1:10" x14ac:dyDescent="0.15">
      <c r="A999" s="263" t="s">
        <v>2681</v>
      </c>
      <c r="B999" s="263" t="s">
        <v>9568</v>
      </c>
      <c r="C999" s="263" t="s">
        <v>96</v>
      </c>
      <c r="D999" s="263" t="s">
        <v>9569</v>
      </c>
      <c r="E999" s="263" t="s">
        <v>97</v>
      </c>
      <c r="F999">
        <v>0</v>
      </c>
      <c r="G999">
        <v>2</v>
      </c>
      <c r="H999" s="263" t="s">
        <v>436</v>
      </c>
      <c r="I999" s="264"/>
      <c r="J999" s="263" t="s">
        <v>437</v>
      </c>
    </row>
    <row r="1000" spans="1:10" x14ac:dyDescent="0.15">
      <c r="A1000" s="263" t="s">
        <v>2682</v>
      </c>
      <c r="B1000" s="263" t="s">
        <v>9570</v>
      </c>
      <c r="C1000" s="263" t="s">
        <v>96</v>
      </c>
      <c r="D1000" s="263" t="s">
        <v>9571</v>
      </c>
      <c r="E1000" s="263" t="s">
        <v>97</v>
      </c>
      <c r="F1000">
        <v>0</v>
      </c>
      <c r="G1000">
        <v>2</v>
      </c>
      <c r="H1000" s="263" t="s">
        <v>436</v>
      </c>
      <c r="I1000" s="264"/>
      <c r="J1000" s="263" t="s">
        <v>437</v>
      </c>
    </row>
    <row r="1001" spans="1:10" x14ac:dyDescent="0.15">
      <c r="A1001" s="263" t="s">
        <v>2683</v>
      </c>
      <c r="B1001" s="263" t="s">
        <v>9572</v>
      </c>
      <c r="C1001" s="263" t="s">
        <v>96</v>
      </c>
      <c r="D1001" s="263" t="s">
        <v>9573</v>
      </c>
      <c r="E1001" s="263" t="s">
        <v>97</v>
      </c>
      <c r="F1001">
        <v>0</v>
      </c>
      <c r="G1001">
        <v>2</v>
      </c>
      <c r="H1001" s="263" t="s">
        <v>436</v>
      </c>
      <c r="I1001" s="264"/>
      <c r="J1001" s="263" t="s">
        <v>437</v>
      </c>
    </row>
    <row r="1002" spans="1:10" x14ac:dyDescent="0.15">
      <c r="A1002" s="263" t="s">
        <v>2684</v>
      </c>
      <c r="B1002" s="263" t="s">
        <v>9574</v>
      </c>
      <c r="C1002" s="263" t="s">
        <v>96</v>
      </c>
      <c r="D1002" s="263" t="s">
        <v>9575</v>
      </c>
      <c r="E1002" s="263" t="s">
        <v>97</v>
      </c>
      <c r="F1002">
        <v>0</v>
      </c>
      <c r="G1002">
        <v>2</v>
      </c>
      <c r="H1002" s="263" t="s">
        <v>436</v>
      </c>
      <c r="I1002" s="264"/>
      <c r="J1002" s="263" t="s">
        <v>437</v>
      </c>
    </row>
    <row r="1003" spans="1:10" x14ac:dyDescent="0.15">
      <c r="A1003" s="263" t="s">
        <v>2685</v>
      </c>
      <c r="B1003" s="263" t="s">
        <v>9576</v>
      </c>
      <c r="C1003" s="263" t="s">
        <v>96</v>
      </c>
      <c r="D1003" s="263" t="s">
        <v>9577</v>
      </c>
      <c r="E1003" s="263" t="s">
        <v>97</v>
      </c>
      <c r="F1003">
        <v>0</v>
      </c>
      <c r="G1003">
        <v>2</v>
      </c>
      <c r="H1003" s="263" t="s">
        <v>436</v>
      </c>
      <c r="I1003" s="264"/>
      <c r="J1003" s="263" t="s">
        <v>437</v>
      </c>
    </row>
    <row r="1004" spans="1:10" x14ac:dyDescent="0.15">
      <c r="A1004" s="263" t="s">
        <v>2686</v>
      </c>
      <c r="B1004" s="263" t="s">
        <v>9578</v>
      </c>
      <c r="C1004" s="263" t="s">
        <v>96</v>
      </c>
      <c r="D1004" s="263" t="s">
        <v>9579</v>
      </c>
      <c r="E1004" s="263" t="s">
        <v>97</v>
      </c>
      <c r="F1004">
        <v>0</v>
      </c>
      <c r="G1004">
        <v>2</v>
      </c>
      <c r="H1004" s="263" t="s">
        <v>436</v>
      </c>
      <c r="I1004" s="264"/>
      <c r="J1004" s="263" t="s">
        <v>437</v>
      </c>
    </row>
    <row r="1005" spans="1:10" x14ac:dyDescent="0.15">
      <c r="A1005" s="263" t="s">
        <v>2687</v>
      </c>
      <c r="B1005" s="263" t="s">
        <v>2620</v>
      </c>
      <c r="C1005" s="263" t="s">
        <v>96</v>
      </c>
      <c r="D1005" s="263" t="s">
        <v>2621</v>
      </c>
      <c r="E1005" s="263" t="s">
        <v>97</v>
      </c>
      <c r="F1005">
        <v>0</v>
      </c>
      <c r="G1005">
        <v>2</v>
      </c>
      <c r="H1005" s="263" t="s">
        <v>436</v>
      </c>
      <c r="I1005" s="264"/>
      <c r="J1005" s="263" t="s">
        <v>437</v>
      </c>
    </row>
    <row r="1006" spans="1:10" x14ac:dyDescent="0.15">
      <c r="A1006" s="263" t="s">
        <v>2688</v>
      </c>
      <c r="B1006" s="263" t="s">
        <v>2623</v>
      </c>
      <c r="C1006" s="263" t="s">
        <v>96</v>
      </c>
      <c r="D1006" s="263" t="s">
        <v>2624</v>
      </c>
      <c r="E1006" s="263" t="s">
        <v>97</v>
      </c>
      <c r="F1006">
        <v>0</v>
      </c>
      <c r="G1006">
        <v>2</v>
      </c>
      <c r="H1006" s="263" t="s">
        <v>436</v>
      </c>
      <c r="I1006" s="264"/>
      <c r="J1006" s="263" t="s">
        <v>437</v>
      </c>
    </row>
    <row r="1007" spans="1:10" x14ac:dyDescent="0.15">
      <c r="A1007" s="263" t="s">
        <v>2689</v>
      </c>
      <c r="B1007" s="263" t="s">
        <v>2626</v>
      </c>
      <c r="C1007" s="263" t="s">
        <v>96</v>
      </c>
      <c r="D1007" s="263" t="s">
        <v>2627</v>
      </c>
      <c r="E1007" s="263" t="s">
        <v>97</v>
      </c>
      <c r="F1007">
        <v>0</v>
      </c>
      <c r="G1007">
        <v>2</v>
      </c>
      <c r="H1007" s="263" t="s">
        <v>436</v>
      </c>
      <c r="I1007" s="264"/>
      <c r="J1007" s="263" t="s">
        <v>437</v>
      </c>
    </row>
    <row r="1008" spans="1:10" x14ac:dyDescent="0.15">
      <c r="A1008" s="263" t="s">
        <v>2690</v>
      </c>
      <c r="B1008" s="263" t="s">
        <v>2629</v>
      </c>
      <c r="C1008" s="263" t="s">
        <v>96</v>
      </c>
      <c r="D1008" s="263" t="s">
        <v>2630</v>
      </c>
      <c r="E1008" s="263" t="s">
        <v>97</v>
      </c>
      <c r="F1008">
        <v>0</v>
      </c>
      <c r="G1008">
        <v>2</v>
      </c>
      <c r="H1008" s="263" t="s">
        <v>436</v>
      </c>
      <c r="I1008" s="264"/>
      <c r="J1008" s="263" t="s">
        <v>437</v>
      </c>
    </row>
    <row r="1009" spans="1:10" x14ac:dyDescent="0.15">
      <c r="A1009" s="263" t="s">
        <v>2691</v>
      </c>
      <c r="B1009" s="263" t="s">
        <v>9542</v>
      </c>
      <c r="C1009" s="263" t="s">
        <v>96</v>
      </c>
      <c r="D1009" s="263" t="s">
        <v>9543</v>
      </c>
      <c r="E1009" s="263" t="s">
        <v>97</v>
      </c>
      <c r="F1009">
        <v>0</v>
      </c>
      <c r="G1009">
        <v>2</v>
      </c>
      <c r="H1009" s="263" t="s">
        <v>436</v>
      </c>
      <c r="I1009" s="264"/>
      <c r="J1009" s="263" t="s">
        <v>437</v>
      </c>
    </row>
    <row r="1010" spans="1:10" x14ac:dyDescent="0.15">
      <c r="A1010" s="263" t="s">
        <v>2692</v>
      </c>
      <c r="B1010" s="263" t="s">
        <v>9544</v>
      </c>
      <c r="C1010" s="263" t="s">
        <v>96</v>
      </c>
      <c r="D1010" s="263" t="s">
        <v>9545</v>
      </c>
      <c r="E1010" s="263" t="s">
        <v>97</v>
      </c>
      <c r="F1010">
        <v>0</v>
      </c>
      <c r="G1010">
        <v>2</v>
      </c>
      <c r="H1010" s="263" t="s">
        <v>436</v>
      </c>
      <c r="I1010" s="264"/>
      <c r="J1010" s="263" t="s">
        <v>437</v>
      </c>
    </row>
    <row r="1011" spans="1:10" x14ac:dyDescent="0.15">
      <c r="A1011" s="263" t="s">
        <v>2693</v>
      </c>
      <c r="B1011" s="263" t="s">
        <v>2694</v>
      </c>
      <c r="C1011" s="263" t="s">
        <v>94</v>
      </c>
      <c r="D1011" s="263" t="s">
        <v>2695</v>
      </c>
      <c r="E1011" s="263" t="s">
        <v>94</v>
      </c>
      <c r="F1011">
        <v>0</v>
      </c>
      <c r="G1011">
        <v>2</v>
      </c>
      <c r="H1011" s="263" t="s">
        <v>436</v>
      </c>
      <c r="I1011" s="264"/>
      <c r="J1011" s="263" t="s">
        <v>437</v>
      </c>
    </row>
    <row r="1012" spans="1:10" x14ac:dyDescent="0.15">
      <c r="A1012" s="263" t="s">
        <v>2696</v>
      </c>
      <c r="B1012" s="263" t="s">
        <v>2697</v>
      </c>
      <c r="C1012" s="263" t="s">
        <v>96</v>
      </c>
      <c r="D1012" s="263" t="s">
        <v>2698</v>
      </c>
      <c r="E1012" s="263" t="s">
        <v>97</v>
      </c>
      <c r="F1012">
        <v>0</v>
      </c>
      <c r="G1012">
        <v>2</v>
      </c>
      <c r="H1012" s="263" t="s">
        <v>436</v>
      </c>
      <c r="I1012" s="264"/>
      <c r="J1012" s="263" t="s">
        <v>437</v>
      </c>
    </row>
    <row r="1013" spans="1:10" x14ac:dyDescent="0.15">
      <c r="A1013" s="263" t="s">
        <v>2699</v>
      </c>
      <c r="B1013" s="263" t="s">
        <v>2700</v>
      </c>
      <c r="C1013" s="263" t="s">
        <v>81</v>
      </c>
      <c r="D1013" s="263" t="s">
        <v>2701</v>
      </c>
      <c r="E1013" s="263" t="s">
        <v>88</v>
      </c>
      <c r="F1013">
        <v>0</v>
      </c>
      <c r="G1013">
        <v>2</v>
      </c>
      <c r="H1013" s="263" t="s">
        <v>436</v>
      </c>
      <c r="I1013" s="264"/>
      <c r="J1013" s="263" t="s">
        <v>437</v>
      </c>
    </row>
    <row r="1014" spans="1:10" x14ac:dyDescent="0.15">
      <c r="A1014" s="263" t="s">
        <v>2702</v>
      </c>
      <c r="B1014" s="263" t="s">
        <v>2703</v>
      </c>
      <c r="C1014" s="263" t="s">
        <v>89</v>
      </c>
      <c r="D1014" s="263" t="s">
        <v>2704</v>
      </c>
      <c r="E1014" s="263" t="s">
        <v>95</v>
      </c>
      <c r="F1014">
        <v>0</v>
      </c>
      <c r="G1014">
        <v>2</v>
      </c>
      <c r="H1014" s="263" t="s">
        <v>436</v>
      </c>
      <c r="I1014" s="264"/>
      <c r="J1014" s="263" t="s">
        <v>437</v>
      </c>
    </row>
    <row r="1015" spans="1:10" x14ac:dyDescent="0.15">
      <c r="A1015" s="263" t="s">
        <v>2705</v>
      </c>
      <c r="B1015" s="263" t="s">
        <v>9580</v>
      </c>
      <c r="C1015" s="263" t="s">
        <v>89</v>
      </c>
      <c r="D1015" s="263" t="s">
        <v>9581</v>
      </c>
      <c r="E1015" s="263" t="s">
        <v>95</v>
      </c>
      <c r="F1015">
        <v>0</v>
      </c>
      <c r="G1015">
        <v>2</v>
      </c>
      <c r="H1015" s="263" t="s">
        <v>436</v>
      </c>
      <c r="I1015" s="264"/>
      <c r="J1015" s="263" t="s">
        <v>437</v>
      </c>
    </row>
    <row r="1016" spans="1:10" x14ac:dyDescent="0.15">
      <c r="A1016" s="263" t="s">
        <v>2706</v>
      </c>
      <c r="B1016" s="263" t="s">
        <v>2707</v>
      </c>
      <c r="C1016" s="263" t="s">
        <v>89</v>
      </c>
      <c r="D1016" s="263" t="s">
        <v>2708</v>
      </c>
      <c r="E1016" s="263" t="s">
        <v>95</v>
      </c>
      <c r="F1016">
        <v>0</v>
      </c>
      <c r="G1016">
        <v>2</v>
      </c>
      <c r="H1016" s="263" t="s">
        <v>436</v>
      </c>
      <c r="I1016" s="264"/>
      <c r="J1016" s="263" t="s">
        <v>437</v>
      </c>
    </row>
    <row r="1017" spans="1:10" x14ac:dyDescent="0.15">
      <c r="A1017" s="263" t="s">
        <v>2709</v>
      </c>
      <c r="B1017" s="263" t="s">
        <v>2710</v>
      </c>
      <c r="C1017" s="263" t="s">
        <v>89</v>
      </c>
      <c r="D1017" s="263" t="s">
        <v>2711</v>
      </c>
      <c r="E1017" s="263" t="s">
        <v>95</v>
      </c>
      <c r="F1017">
        <v>0</v>
      </c>
      <c r="G1017">
        <v>2</v>
      </c>
      <c r="H1017" s="263" t="s">
        <v>436</v>
      </c>
      <c r="I1017" s="264"/>
      <c r="J1017" s="263" t="s">
        <v>437</v>
      </c>
    </row>
    <row r="1018" spans="1:10" x14ac:dyDescent="0.15">
      <c r="A1018" s="263" t="s">
        <v>2712</v>
      </c>
      <c r="B1018" s="263" t="s">
        <v>9582</v>
      </c>
      <c r="C1018" s="263" t="s">
        <v>89</v>
      </c>
      <c r="D1018" s="263" t="s">
        <v>9583</v>
      </c>
      <c r="E1018" s="263" t="s">
        <v>95</v>
      </c>
      <c r="F1018">
        <v>0</v>
      </c>
      <c r="G1018">
        <v>2</v>
      </c>
      <c r="H1018" s="263" t="s">
        <v>436</v>
      </c>
      <c r="I1018" s="264"/>
      <c r="J1018" s="263" t="s">
        <v>437</v>
      </c>
    </row>
    <row r="1019" spans="1:10" x14ac:dyDescent="0.15">
      <c r="A1019" s="263" t="s">
        <v>2713</v>
      </c>
      <c r="B1019" s="263" t="s">
        <v>2714</v>
      </c>
      <c r="C1019" s="263" t="s">
        <v>94</v>
      </c>
      <c r="D1019" s="263" t="s">
        <v>2715</v>
      </c>
      <c r="E1019" s="263" t="s">
        <v>94</v>
      </c>
      <c r="F1019">
        <v>0</v>
      </c>
      <c r="G1019">
        <v>2</v>
      </c>
      <c r="H1019" s="263" t="s">
        <v>436</v>
      </c>
      <c r="I1019" s="264"/>
      <c r="J1019" s="263" t="s">
        <v>437</v>
      </c>
    </row>
    <row r="1020" spans="1:10" x14ac:dyDescent="0.15">
      <c r="A1020" s="263" t="s">
        <v>2716</v>
      </c>
      <c r="B1020" s="263" t="s">
        <v>2717</v>
      </c>
      <c r="C1020" s="263" t="s">
        <v>94</v>
      </c>
      <c r="D1020" s="263" t="s">
        <v>2718</v>
      </c>
      <c r="E1020" s="263" t="s">
        <v>94</v>
      </c>
      <c r="F1020">
        <v>0</v>
      </c>
      <c r="G1020">
        <v>2</v>
      </c>
      <c r="H1020" s="263" t="s">
        <v>436</v>
      </c>
      <c r="I1020" s="264"/>
      <c r="J1020" s="263" t="s">
        <v>437</v>
      </c>
    </row>
    <row r="1021" spans="1:10" x14ac:dyDescent="0.15">
      <c r="A1021" s="263" t="s">
        <v>2719</v>
      </c>
      <c r="B1021" s="263" t="s">
        <v>2720</v>
      </c>
      <c r="C1021" s="263" t="s">
        <v>94</v>
      </c>
      <c r="D1021" s="263" t="s">
        <v>2721</v>
      </c>
      <c r="E1021" s="263" t="s">
        <v>94</v>
      </c>
      <c r="F1021">
        <v>0</v>
      </c>
      <c r="G1021">
        <v>2</v>
      </c>
      <c r="H1021" s="263" t="s">
        <v>436</v>
      </c>
      <c r="I1021" s="264"/>
      <c r="J1021" s="263" t="s">
        <v>437</v>
      </c>
    </row>
    <row r="1022" spans="1:10" x14ac:dyDescent="0.15">
      <c r="A1022" s="263" t="s">
        <v>2722</v>
      </c>
      <c r="B1022" s="263" t="s">
        <v>2723</v>
      </c>
      <c r="C1022" s="263" t="s">
        <v>94</v>
      </c>
      <c r="D1022" s="263" t="s">
        <v>2724</v>
      </c>
      <c r="E1022" s="263" t="s">
        <v>94</v>
      </c>
      <c r="F1022">
        <v>0</v>
      </c>
      <c r="G1022">
        <v>2</v>
      </c>
      <c r="H1022" s="263" t="s">
        <v>436</v>
      </c>
      <c r="I1022" s="264"/>
      <c r="J1022" s="263" t="s">
        <v>437</v>
      </c>
    </row>
    <row r="1023" spans="1:10" x14ac:dyDescent="0.15">
      <c r="A1023" s="263" t="s">
        <v>2725</v>
      </c>
      <c r="B1023" s="263" t="s">
        <v>9584</v>
      </c>
      <c r="C1023" s="263" t="s">
        <v>89</v>
      </c>
      <c r="D1023" s="263" t="s">
        <v>9585</v>
      </c>
      <c r="E1023" s="263" t="s">
        <v>95</v>
      </c>
      <c r="F1023">
        <v>0</v>
      </c>
      <c r="G1023">
        <v>2</v>
      </c>
      <c r="H1023" s="263" t="s">
        <v>436</v>
      </c>
      <c r="I1023" s="264"/>
      <c r="J1023" s="263" t="s">
        <v>437</v>
      </c>
    </row>
    <row r="1024" spans="1:10" x14ac:dyDescent="0.15">
      <c r="A1024" s="263" t="s">
        <v>2726</v>
      </c>
      <c r="B1024" s="263" t="s">
        <v>9586</v>
      </c>
      <c r="C1024" s="263" t="s">
        <v>94</v>
      </c>
      <c r="D1024" s="263" t="s">
        <v>9587</v>
      </c>
      <c r="E1024" s="263" t="s">
        <v>94</v>
      </c>
      <c r="F1024">
        <v>0</v>
      </c>
      <c r="G1024">
        <v>2</v>
      </c>
      <c r="H1024" s="263" t="s">
        <v>436</v>
      </c>
      <c r="I1024" s="264"/>
      <c r="J1024" s="263" t="s">
        <v>437</v>
      </c>
    </row>
    <row r="1025" spans="1:10" x14ac:dyDescent="0.15">
      <c r="A1025" s="263" t="s">
        <v>2729</v>
      </c>
      <c r="B1025" s="263" t="s">
        <v>2730</v>
      </c>
      <c r="C1025" s="263" t="s">
        <v>81</v>
      </c>
      <c r="D1025" s="263" t="s">
        <v>2731</v>
      </c>
      <c r="E1025" s="263" t="s">
        <v>88</v>
      </c>
      <c r="F1025">
        <v>0</v>
      </c>
      <c r="G1025">
        <v>2</v>
      </c>
      <c r="H1025" s="263" t="s">
        <v>436</v>
      </c>
      <c r="I1025" s="264"/>
      <c r="J1025" s="263" t="s">
        <v>437</v>
      </c>
    </row>
    <row r="1026" spans="1:10" x14ac:dyDescent="0.15">
      <c r="A1026" s="263" t="s">
        <v>2732</v>
      </c>
      <c r="B1026" s="263" t="s">
        <v>2733</v>
      </c>
      <c r="C1026" s="263" t="s">
        <v>81</v>
      </c>
      <c r="D1026" s="263" t="s">
        <v>2734</v>
      </c>
      <c r="E1026" s="263" t="s">
        <v>88</v>
      </c>
      <c r="F1026">
        <v>0</v>
      </c>
      <c r="G1026">
        <v>2</v>
      </c>
      <c r="H1026" s="263" t="s">
        <v>436</v>
      </c>
      <c r="I1026" s="264"/>
      <c r="J1026" s="263" t="s">
        <v>437</v>
      </c>
    </row>
    <row r="1027" spans="1:10" x14ac:dyDescent="0.15">
      <c r="A1027" s="263" t="s">
        <v>2735</v>
      </c>
      <c r="B1027" s="263" t="s">
        <v>2736</v>
      </c>
      <c r="C1027" s="263" t="s">
        <v>96</v>
      </c>
      <c r="D1027" s="263" t="s">
        <v>2737</v>
      </c>
      <c r="E1027" s="263" t="s">
        <v>97</v>
      </c>
      <c r="F1027">
        <v>0</v>
      </c>
      <c r="G1027">
        <v>2</v>
      </c>
      <c r="H1027" s="263" t="s">
        <v>436</v>
      </c>
      <c r="I1027" s="264"/>
      <c r="J1027" s="263" t="s">
        <v>437</v>
      </c>
    </row>
    <row r="1028" spans="1:10" x14ac:dyDescent="0.15">
      <c r="A1028" s="263" t="s">
        <v>2738</v>
      </c>
      <c r="B1028" s="263" t="s">
        <v>2739</v>
      </c>
      <c r="C1028" s="263" t="s">
        <v>96</v>
      </c>
      <c r="D1028" s="263" t="s">
        <v>2740</v>
      </c>
      <c r="E1028" s="263" t="s">
        <v>97</v>
      </c>
      <c r="F1028">
        <v>0</v>
      </c>
      <c r="G1028">
        <v>2</v>
      </c>
      <c r="H1028" s="263" t="s">
        <v>436</v>
      </c>
      <c r="I1028" s="264"/>
      <c r="J1028" s="263" t="s">
        <v>437</v>
      </c>
    </row>
    <row r="1029" spans="1:10" x14ac:dyDescent="0.15">
      <c r="A1029" s="263" t="s">
        <v>2741</v>
      </c>
      <c r="B1029" s="263" t="s">
        <v>2742</v>
      </c>
      <c r="C1029" s="263" t="s">
        <v>96</v>
      </c>
      <c r="D1029" s="263" t="s">
        <v>2743</v>
      </c>
      <c r="E1029" s="263" t="s">
        <v>97</v>
      </c>
      <c r="F1029">
        <v>0</v>
      </c>
      <c r="G1029">
        <v>2</v>
      </c>
      <c r="H1029" s="263" t="s">
        <v>436</v>
      </c>
      <c r="I1029" s="264"/>
      <c r="J1029" s="263" t="s">
        <v>437</v>
      </c>
    </row>
    <row r="1030" spans="1:10" x14ac:dyDescent="0.15">
      <c r="A1030" s="263" t="s">
        <v>2744</v>
      </c>
      <c r="B1030" s="263" t="s">
        <v>2745</v>
      </c>
      <c r="C1030" s="263" t="s">
        <v>96</v>
      </c>
      <c r="D1030" s="263" t="s">
        <v>2746</v>
      </c>
      <c r="E1030" s="263" t="s">
        <v>97</v>
      </c>
      <c r="F1030">
        <v>0</v>
      </c>
      <c r="G1030">
        <v>2</v>
      </c>
      <c r="H1030" s="263" t="s">
        <v>436</v>
      </c>
      <c r="I1030" s="264"/>
      <c r="J1030" s="263" t="s">
        <v>437</v>
      </c>
    </row>
    <row r="1031" spans="1:10" x14ac:dyDescent="0.15">
      <c r="A1031" s="263" t="s">
        <v>2747</v>
      </c>
      <c r="B1031" s="263" t="s">
        <v>2748</v>
      </c>
      <c r="C1031" s="263" t="s">
        <v>96</v>
      </c>
      <c r="D1031" s="263" t="s">
        <v>2749</v>
      </c>
      <c r="E1031" s="263" t="s">
        <v>97</v>
      </c>
      <c r="F1031">
        <v>0</v>
      </c>
      <c r="G1031">
        <v>2</v>
      </c>
      <c r="H1031" s="263" t="s">
        <v>436</v>
      </c>
      <c r="I1031" s="264"/>
      <c r="J1031" s="263" t="s">
        <v>437</v>
      </c>
    </row>
    <row r="1032" spans="1:10" x14ac:dyDescent="0.15">
      <c r="A1032" s="263" t="s">
        <v>2750</v>
      </c>
      <c r="B1032" s="263" t="s">
        <v>2751</v>
      </c>
      <c r="C1032" s="263" t="s">
        <v>96</v>
      </c>
      <c r="D1032" s="263" t="s">
        <v>2752</v>
      </c>
      <c r="E1032" s="263" t="s">
        <v>97</v>
      </c>
      <c r="F1032">
        <v>0</v>
      </c>
      <c r="G1032">
        <v>2</v>
      </c>
      <c r="H1032" s="263" t="s">
        <v>436</v>
      </c>
      <c r="I1032" s="264"/>
      <c r="J1032" s="263" t="s">
        <v>437</v>
      </c>
    </row>
    <row r="1033" spans="1:10" x14ac:dyDescent="0.15">
      <c r="A1033" s="263" t="s">
        <v>2753</v>
      </c>
      <c r="B1033" s="263" t="s">
        <v>2754</v>
      </c>
      <c r="C1033" s="263" t="s">
        <v>96</v>
      </c>
      <c r="D1033" s="263" t="s">
        <v>2755</v>
      </c>
      <c r="E1033" s="263" t="s">
        <v>97</v>
      </c>
      <c r="F1033">
        <v>0</v>
      </c>
      <c r="G1033">
        <v>2</v>
      </c>
      <c r="H1033" s="263" t="s">
        <v>436</v>
      </c>
      <c r="I1033" s="264"/>
      <c r="J1033" s="263" t="s">
        <v>437</v>
      </c>
    </row>
    <row r="1034" spans="1:10" x14ac:dyDescent="0.15">
      <c r="A1034" s="263" t="s">
        <v>2756</v>
      </c>
      <c r="B1034" s="263" t="s">
        <v>2757</v>
      </c>
      <c r="C1034" s="263" t="s">
        <v>96</v>
      </c>
      <c r="D1034" s="263" t="s">
        <v>2758</v>
      </c>
      <c r="E1034" s="263" t="s">
        <v>97</v>
      </c>
      <c r="F1034">
        <v>0</v>
      </c>
      <c r="G1034">
        <v>2</v>
      </c>
      <c r="H1034" s="263" t="s">
        <v>436</v>
      </c>
      <c r="I1034" s="264"/>
      <c r="J1034" s="263" t="s">
        <v>437</v>
      </c>
    </row>
    <row r="1035" spans="1:10" x14ac:dyDescent="0.15">
      <c r="A1035" s="263" t="s">
        <v>2759</v>
      </c>
      <c r="B1035" s="263" t="s">
        <v>2760</v>
      </c>
      <c r="C1035" s="263" t="s">
        <v>96</v>
      </c>
      <c r="D1035" s="263" t="s">
        <v>2761</v>
      </c>
      <c r="E1035" s="263" t="s">
        <v>97</v>
      </c>
      <c r="F1035">
        <v>0</v>
      </c>
      <c r="G1035">
        <v>2</v>
      </c>
      <c r="H1035" s="263" t="s">
        <v>436</v>
      </c>
      <c r="I1035" s="264"/>
      <c r="J1035" s="263" t="s">
        <v>437</v>
      </c>
    </row>
    <row r="1036" spans="1:10" x14ac:dyDescent="0.15">
      <c r="A1036" s="263" t="s">
        <v>2762</v>
      </c>
      <c r="B1036" s="263" t="s">
        <v>2763</v>
      </c>
      <c r="C1036" s="263" t="s">
        <v>96</v>
      </c>
      <c r="D1036" s="263" t="s">
        <v>2764</v>
      </c>
      <c r="E1036" s="263" t="s">
        <v>97</v>
      </c>
      <c r="F1036">
        <v>0</v>
      </c>
      <c r="G1036">
        <v>2</v>
      </c>
      <c r="H1036" s="263" t="s">
        <v>436</v>
      </c>
      <c r="I1036" s="264"/>
      <c r="J1036" s="263" t="s">
        <v>437</v>
      </c>
    </row>
    <row r="1037" spans="1:10" x14ac:dyDescent="0.15">
      <c r="A1037" s="263" t="s">
        <v>2765</v>
      </c>
      <c r="B1037" s="263" t="s">
        <v>2766</v>
      </c>
      <c r="C1037" s="263" t="s">
        <v>96</v>
      </c>
      <c r="D1037" s="263" t="s">
        <v>2767</v>
      </c>
      <c r="E1037" s="263" t="s">
        <v>97</v>
      </c>
      <c r="F1037">
        <v>0</v>
      </c>
      <c r="G1037">
        <v>2</v>
      </c>
      <c r="H1037" s="263" t="s">
        <v>436</v>
      </c>
      <c r="I1037" s="264"/>
      <c r="J1037" s="263" t="s">
        <v>437</v>
      </c>
    </row>
    <row r="1038" spans="1:10" x14ac:dyDescent="0.15">
      <c r="A1038" s="263" t="s">
        <v>2768</v>
      </c>
      <c r="B1038" s="263" t="s">
        <v>2769</v>
      </c>
      <c r="C1038" s="263" t="s">
        <v>96</v>
      </c>
      <c r="D1038" s="263" t="s">
        <v>2770</v>
      </c>
      <c r="E1038" s="263" t="s">
        <v>97</v>
      </c>
      <c r="F1038">
        <v>0</v>
      </c>
      <c r="G1038">
        <v>2</v>
      </c>
      <c r="H1038" s="263" t="s">
        <v>436</v>
      </c>
      <c r="I1038" s="264"/>
      <c r="J1038" s="263" t="s">
        <v>437</v>
      </c>
    </row>
    <row r="1039" spans="1:10" x14ac:dyDescent="0.15">
      <c r="A1039" s="263" t="s">
        <v>2771</v>
      </c>
      <c r="B1039" s="263" t="s">
        <v>2772</v>
      </c>
      <c r="C1039" s="263" t="s">
        <v>96</v>
      </c>
      <c r="D1039" s="263" t="s">
        <v>2773</v>
      </c>
      <c r="E1039" s="263" t="s">
        <v>97</v>
      </c>
      <c r="F1039">
        <v>0</v>
      </c>
      <c r="G1039">
        <v>2</v>
      </c>
      <c r="H1039" s="263" t="s">
        <v>436</v>
      </c>
      <c r="I1039" s="264"/>
      <c r="J1039" s="263" t="s">
        <v>437</v>
      </c>
    </row>
    <row r="1040" spans="1:10" x14ac:dyDescent="0.15">
      <c r="A1040" s="263" t="s">
        <v>2774</v>
      </c>
      <c r="B1040" s="263" t="s">
        <v>2775</v>
      </c>
      <c r="C1040" s="263" t="s">
        <v>96</v>
      </c>
      <c r="D1040" s="263" t="s">
        <v>2776</v>
      </c>
      <c r="E1040" s="263" t="s">
        <v>97</v>
      </c>
      <c r="F1040">
        <v>0</v>
      </c>
      <c r="G1040">
        <v>2</v>
      </c>
      <c r="H1040" s="263" t="s">
        <v>436</v>
      </c>
      <c r="I1040" s="264"/>
      <c r="J1040" s="263" t="s">
        <v>437</v>
      </c>
    </row>
    <row r="1041" spans="1:10" x14ac:dyDescent="0.15">
      <c r="A1041" s="263" t="s">
        <v>2777</v>
      </c>
      <c r="B1041" s="263" t="s">
        <v>2778</v>
      </c>
      <c r="C1041" s="263" t="s">
        <v>96</v>
      </c>
      <c r="D1041" s="263" t="s">
        <v>2779</v>
      </c>
      <c r="E1041" s="263" t="s">
        <v>97</v>
      </c>
      <c r="F1041">
        <v>0</v>
      </c>
      <c r="G1041">
        <v>2</v>
      </c>
      <c r="H1041" s="263" t="s">
        <v>436</v>
      </c>
      <c r="I1041" s="264"/>
      <c r="J1041" s="263" t="s">
        <v>437</v>
      </c>
    </row>
    <row r="1042" spans="1:10" x14ac:dyDescent="0.15">
      <c r="A1042" s="263" t="s">
        <v>2780</v>
      </c>
      <c r="B1042" s="263" t="s">
        <v>2778</v>
      </c>
      <c r="C1042" s="263" t="s">
        <v>94</v>
      </c>
      <c r="D1042" s="263" t="s">
        <v>2779</v>
      </c>
      <c r="E1042" s="263" t="s">
        <v>94</v>
      </c>
      <c r="F1042">
        <v>0</v>
      </c>
      <c r="G1042">
        <v>2</v>
      </c>
      <c r="H1042" s="263" t="s">
        <v>436</v>
      </c>
      <c r="I1042" s="264"/>
      <c r="J1042" s="263" t="s">
        <v>437</v>
      </c>
    </row>
    <row r="1043" spans="1:10" x14ac:dyDescent="0.15">
      <c r="A1043" s="263" t="s">
        <v>2781</v>
      </c>
      <c r="B1043" s="263" t="s">
        <v>2782</v>
      </c>
      <c r="C1043" s="263" t="s">
        <v>99</v>
      </c>
      <c r="D1043" s="263" t="s">
        <v>2783</v>
      </c>
      <c r="E1043" s="263" t="s">
        <v>100</v>
      </c>
      <c r="F1043">
        <v>0</v>
      </c>
      <c r="G1043">
        <v>2</v>
      </c>
      <c r="H1043" s="263" t="s">
        <v>436</v>
      </c>
      <c r="I1043" s="264"/>
      <c r="J1043" s="263" t="s">
        <v>437</v>
      </c>
    </row>
    <row r="1044" spans="1:10" x14ac:dyDescent="0.15">
      <c r="A1044" s="263" t="s">
        <v>2784</v>
      </c>
      <c r="B1044" s="263" t="s">
        <v>2785</v>
      </c>
      <c r="C1044" s="263" t="s">
        <v>99</v>
      </c>
      <c r="D1044" s="263" t="s">
        <v>2786</v>
      </c>
      <c r="E1044" s="263" t="s">
        <v>100</v>
      </c>
      <c r="F1044">
        <v>0</v>
      </c>
      <c r="G1044">
        <v>2</v>
      </c>
      <c r="H1044" s="263" t="s">
        <v>436</v>
      </c>
      <c r="I1044" s="264"/>
      <c r="J1044" s="263" t="s">
        <v>437</v>
      </c>
    </row>
    <row r="1045" spans="1:10" x14ac:dyDescent="0.15">
      <c r="A1045" s="263" t="s">
        <v>2787</v>
      </c>
      <c r="B1045" s="263" t="s">
        <v>2788</v>
      </c>
      <c r="C1045" s="263" t="s">
        <v>99</v>
      </c>
      <c r="D1045" s="263" t="s">
        <v>2789</v>
      </c>
      <c r="E1045" s="263" t="s">
        <v>100</v>
      </c>
      <c r="F1045">
        <v>0</v>
      </c>
      <c r="G1045">
        <v>2</v>
      </c>
      <c r="H1045" s="263" t="s">
        <v>436</v>
      </c>
      <c r="I1045" s="264"/>
      <c r="J1045" s="263" t="s">
        <v>437</v>
      </c>
    </row>
    <row r="1046" spans="1:10" x14ac:dyDescent="0.15">
      <c r="A1046" s="263" t="s">
        <v>2790</v>
      </c>
      <c r="B1046" s="263" t="s">
        <v>2791</v>
      </c>
      <c r="C1046" s="263" t="s">
        <v>96</v>
      </c>
      <c r="D1046" s="263" t="s">
        <v>2792</v>
      </c>
      <c r="E1046" s="263" t="s">
        <v>97</v>
      </c>
      <c r="F1046">
        <v>0</v>
      </c>
      <c r="G1046">
        <v>2</v>
      </c>
      <c r="H1046" s="263" t="s">
        <v>436</v>
      </c>
      <c r="I1046" s="264"/>
      <c r="J1046" s="263" t="s">
        <v>437</v>
      </c>
    </row>
    <row r="1047" spans="1:10" x14ac:dyDescent="0.15">
      <c r="A1047" s="263" t="s">
        <v>2793</v>
      </c>
      <c r="B1047" s="263" t="s">
        <v>2794</v>
      </c>
      <c r="C1047" s="263" t="s">
        <v>98</v>
      </c>
      <c r="D1047" s="263" t="s">
        <v>2795</v>
      </c>
      <c r="E1047" s="263" t="s">
        <v>110</v>
      </c>
      <c r="F1047">
        <v>0</v>
      </c>
      <c r="G1047">
        <v>2</v>
      </c>
      <c r="H1047" s="263" t="s">
        <v>436</v>
      </c>
      <c r="I1047" s="264"/>
      <c r="J1047" s="263" t="s">
        <v>437</v>
      </c>
    </row>
    <row r="1048" spans="1:10" x14ac:dyDescent="0.15">
      <c r="A1048" s="263" t="s">
        <v>2796</v>
      </c>
      <c r="B1048" s="263" t="s">
        <v>2797</v>
      </c>
      <c r="C1048" s="263" t="s">
        <v>98</v>
      </c>
      <c r="D1048" s="263" t="s">
        <v>2798</v>
      </c>
      <c r="E1048" s="263" t="s">
        <v>110</v>
      </c>
      <c r="F1048">
        <v>0</v>
      </c>
      <c r="G1048">
        <v>2</v>
      </c>
      <c r="H1048" s="263" t="s">
        <v>436</v>
      </c>
      <c r="I1048" s="264"/>
      <c r="J1048" s="263" t="s">
        <v>437</v>
      </c>
    </row>
    <row r="1049" spans="1:10" x14ac:dyDescent="0.15">
      <c r="A1049" s="263" t="s">
        <v>2799</v>
      </c>
      <c r="B1049" s="263" t="s">
        <v>2782</v>
      </c>
      <c r="C1049" s="263" t="s">
        <v>94</v>
      </c>
      <c r="D1049" s="263" t="s">
        <v>2783</v>
      </c>
      <c r="E1049" s="263" t="s">
        <v>94</v>
      </c>
      <c r="F1049">
        <v>0</v>
      </c>
      <c r="G1049">
        <v>2</v>
      </c>
      <c r="H1049" s="263" t="s">
        <v>436</v>
      </c>
      <c r="I1049" s="264"/>
      <c r="J1049" s="263" t="s">
        <v>437</v>
      </c>
    </row>
    <row r="1050" spans="1:10" x14ac:dyDescent="0.15">
      <c r="A1050" s="263" t="s">
        <v>2800</v>
      </c>
      <c r="B1050" s="263" t="s">
        <v>2785</v>
      </c>
      <c r="C1050" s="263" t="s">
        <v>94</v>
      </c>
      <c r="D1050" s="263" t="s">
        <v>2786</v>
      </c>
      <c r="E1050" s="263" t="s">
        <v>94</v>
      </c>
      <c r="F1050">
        <v>0</v>
      </c>
      <c r="G1050">
        <v>2</v>
      </c>
      <c r="H1050" s="263" t="s">
        <v>436</v>
      </c>
      <c r="I1050" s="264"/>
      <c r="J1050" s="263" t="s">
        <v>437</v>
      </c>
    </row>
    <row r="1051" spans="1:10" x14ac:dyDescent="0.15">
      <c r="A1051" s="263" t="s">
        <v>2801</v>
      </c>
      <c r="B1051" s="263" t="s">
        <v>2802</v>
      </c>
      <c r="C1051" s="263" t="s">
        <v>81</v>
      </c>
      <c r="D1051" s="263" t="s">
        <v>2803</v>
      </c>
      <c r="E1051" s="263" t="s">
        <v>88</v>
      </c>
      <c r="F1051">
        <v>0</v>
      </c>
      <c r="G1051">
        <v>2</v>
      </c>
      <c r="H1051" s="263" t="s">
        <v>436</v>
      </c>
      <c r="I1051" s="264"/>
      <c r="J1051" s="263" t="s">
        <v>437</v>
      </c>
    </row>
    <row r="1052" spans="1:10" x14ac:dyDescent="0.15">
      <c r="A1052" s="263" t="s">
        <v>2804</v>
      </c>
      <c r="B1052" s="263" t="s">
        <v>2805</v>
      </c>
      <c r="C1052" s="263" t="s">
        <v>94</v>
      </c>
      <c r="D1052" s="263" t="s">
        <v>2806</v>
      </c>
      <c r="E1052" s="263" t="s">
        <v>94</v>
      </c>
      <c r="F1052">
        <v>0</v>
      </c>
      <c r="G1052">
        <v>2</v>
      </c>
      <c r="H1052" s="263" t="s">
        <v>436</v>
      </c>
      <c r="I1052" s="264"/>
      <c r="J1052" s="263" t="s">
        <v>437</v>
      </c>
    </row>
    <row r="1053" spans="1:10" x14ac:dyDescent="0.15">
      <c r="A1053" s="263" t="s">
        <v>2807</v>
      </c>
      <c r="B1053" s="263" t="s">
        <v>2808</v>
      </c>
      <c r="C1053" s="263" t="s">
        <v>98</v>
      </c>
      <c r="D1053" s="263" t="s">
        <v>2809</v>
      </c>
      <c r="E1053" s="263" t="s">
        <v>110</v>
      </c>
      <c r="F1053">
        <v>0</v>
      </c>
      <c r="G1053">
        <v>2</v>
      </c>
      <c r="H1053" s="263" t="s">
        <v>436</v>
      </c>
      <c r="I1053" s="264"/>
      <c r="J1053" s="263" t="s">
        <v>437</v>
      </c>
    </row>
    <row r="1054" spans="1:10" x14ac:dyDescent="0.15">
      <c r="A1054" s="263" t="s">
        <v>2810</v>
      </c>
      <c r="B1054" s="263" t="s">
        <v>2811</v>
      </c>
      <c r="C1054" s="263" t="s">
        <v>98</v>
      </c>
      <c r="D1054" s="263" t="s">
        <v>2812</v>
      </c>
      <c r="E1054" s="263" t="s">
        <v>110</v>
      </c>
      <c r="F1054">
        <v>0</v>
      </c>
      <c r="G1054">
        <v>2</v>
      </c>
      <c r="H1054" s="263" t="s">
        <v>436</v>
      </c>
      <c r="I1054" s="264"/>
      <c r="J1054" s="263" t="s">
        <v>437</v>
      </c>
    </row>
    <row r="1055" spans="1:10" x14ac:dyDescent="0.15">
      <c r="A1055" s="263" t="s">
        <v>2813</v>
      </c>
      <c r="B1055" s="263" t="s">
        <v>9588</v>
      </c>
      <c r="C1055" s="263" t="s">
        <v>98</v>
      </c>
      <c r="D1055" s="263" t="s">
        <v>9589</v>
      </c>
      <c r="E1055" s="263" t="s">
        <v>110</v>
      </c>
      <c r="F1055">
        <v>0</v>
      </c>
      <c r="G1055">
        <v>2</v>
      </c>
      <c r="H1055" s="263" t="s">
        <v>436</v>
      </c>
      <c r="I1055" s="264"/>
      <c r="J1055" s="263" t="s">
        <v>437</v>
      </c>
    </row>
    <row r="1056" spans="1:10" x14ac:dyDescent="0.15">
      <c r="A1056" s="263" t="s">
        <v>2814</v>
      </c>
      <c r="B1056" s="263" t="s">
        <v>9590</v>
      </c>
      <c r="C1056" s="263" t="s">
        <v>98</v>
      </c>
      <c r="D1056" s="263" t="s">
        <v>9591</v>
      </c>
      <c r="E1056" s="263" t="s">
        <v>110</v>
      </c>
      <c r="F1056">
        <v>0</v>
      </c>
      <c r="G1056">
        <v>2</v>
      </c>
      <c r="H1056" s="263" t="s">
        <v>436</v>
      </c>
      <c r="I1056" s="264"/>
      <c r="J1056" s="263" t="s">
        <v>437</v>
      </c>
    </row>
    <row r="1057" spans="1:10" x14ac:dyDescent="0.15">
      <c r="A1057" s="263" t="s">
        <v>9592</v>
      </c>
      <c r="B1057" s="263" t="s">
        <v>2598</v>
      </c>
      <c r="C1057" s="263" t="s">
        <v>98</v>
      </c>
      <c r="D1057" s="263" t="s">
        <v>2599</v>
      </c>
      <c r="E1057" s="263" t="s">
        <v>110</v>
      </c>
      <c r="F1057">
        <v>0</v>
      </c>
      <c r="G1057">
        <v>2</v>
      </c>
      <c r="H1057" s="263" t="s">
        <v>436</v>
      </c>
      <c r="I1057" s="264"/>
      <c r="J1057" s="263" t="s">
        <v>437</v>
      </c>
    </row>
    <row r="1058" spans="1:10" x14ac:dyDescent="0.15">
      <c r="A1058" s="263" t="s">
        <v>2815</v>
      </c>
      <c r="B1058" s="263" t="s">
        <v>2816</v>
      </c>
      <c r="C1058" s="263" t="s">
        <v>98</v>
      </c>
      <c r="D1058" s="263" t="s">
        <v>2817</v>
      </c>
      <c r="E1058" s="263" t="s">
        <v>110</v>
      </c>
      <c r="F1058">
        <v>0</v>
      </c>
      <c r="G1058">
        <v>2</v>
      </c>
      <c r="H1058" s="263" t="s">
        <v>436</v>
      </c>
      <c r="I1058" s="264"/>
      <c r="J1058" s="263" t="s">
        <v>437</v>
      </c>
    </row>
    <row r="1059" spans="1:10" x14ac:dyDescent="0.15">
      <c r="A1059" s="263" t="s">
        <v>2818</v>
      </c>
      <c r="B1059" s="263" t="s">
        <v>2816</v>
      </c>
      <c r="C1059" s="263" t="s">
        <v>94</v>
      </c>
      <c r="D1059" s="263" t="s">
        <v>2817</v>
      </c>
      <c r="E1059" s="263" t="s">
        <v>94</v>
      </c>
      <c r="F1059">
        <v>0</v>
      </c>
      <c r="G1059">
        <v>2</v>
      </c>
      <c r="H1059" s="263" t="s">
        <v>436</v>
      </c>
      <c r="I1059" s="264"/>
      <c r="J1059" s="263" t="s">
        <v>437</v>
      </c>
    </row>
    <row r="1060" spans="1:10" x14ac:dyDescent="0.15">
      <c r="A1060" s="263" t="s">
        <v>2819</v>
      </c>
      <c r="B1060" s="263" t="s">
        <v>9593</v>
      </c>
      <c r="C1060" s="263" t="s">
        <v>96</v>
      </c>
      <c r="D1060" s="263" t="s">
        <v>9594</v>
      </c>
      <c r="E1060" s="263" t="s">
        <v>97</v>
      </c>
      <c r="F1060">
        <v>0</v>
      </c>
      <c r="G1060">
        <v>2</v>
      </c>
      <c r="H1060" s="263" t="s">
        <v>436</v>
      </c>
      <c r="I1060" s="264"/>
      <c r="J1060" s="263" t="s">
        <v>437</v>
      </c>
    </row>
    <row r="1061" spans="1:10" x14ac:dyDescent="0.15">
      <c r="A1061" s="263" t="s">
        <v>2820</v>
      </c>
      <c r="B1061" s="263" t="s">
        <v>2821</v>
      </c>
      <c r="C1061" s="263" t="s">
        <v>94</v>
      </c>
      <c r="D1061" s="263" t="s">
        <v>2822</v>
      </c>
      <c r="E1061" s="263" t="s">
        <v>94</v>
      </c>
      <c r="F1061">
        <v>0</v>
      </c>
      <c r="G1061">
        <v>2</v>
      </c>
      <c r="H1061" s="263" t="s">
        <v>436</v>
      </c>
      <c r="I1061" s="264"/>
      <c r="J1061" s="263" t="s">
        <v>437</v>
      </c>
    </row>
    <row r="1062" spans="1:10" x14ac:dyDescent="0.15">
      <c r="A1062" s="263" t="s">
        <v>2823</v>
      </c>
      <c r="B1062" s="263" t="s">
        <v>2824</v>
      </c>
      <c r="C1062" s="263" t="s">
        <v>94</v>
      </c>
      <c r="D1062" s="263" t="s">
        <v>2825</v>
      </c>
      <c r="E1062" s="263" t="s">
        <v>94</v>
      </c>
      <c r="F1062">
        <v>0</v>
      </c>
      <c r="G1062">
        <v>2</v>
      </c>
      <c r="H1062" s="263" t="s">
        <v>436</v>
      </c>
      <c r="I1062" s="264"/>
      <c r="J1062" s="263" t="s">
        <v>437</v>
      </c>
    </row>
    <row r="1063" spans="1:10" x14ac:dyDescent="0.15">
      <c r="A1063" s="263" t="s">
        <v>2826</v>
      </c>
      <c r="B1063" s="263" t="s">
        <v>2824</v>
      </c>
      <c r="C1063" s="263" t="s">
        <v>81</v>
      </c>
      <c r="D1063" s="263" t="s">
        <v>2825</v>
      </c>
      <c r="E1063" s="263" t="s">
        <v>88</v>
      </c>
      <c r="F1063">
        <v>0</v>
      </c>
      <c r="G1063">
        <v>2</v>
      </c>
      <c r="H1063" s="263" t="s">
        <v>436</v>
      </c>
      <c r="I1063" s="264"/>
      <c r="J1063" s="263" t="s">
        <v>437</v>
      </c>
    </row>
    <row r="1064" spans="1:10" x14ac:dyDescent="0.15">
      <c r="A1064" s="263" t="s">
        <v>2829</v>
      </c>
      <c r="B1064" s="263" t="s">
        <v>2827</v>
      </c>
      <c r="C1064" s="263" t="s">
        <v>94</v>
      </c>
      <c r="D1064" s="263" t="s">
        <v>2828</v>
      </c>
      <c r="E1064" s="263" t="s">
        <v>94</v>
      </c>
      <c r="F1064">
        <v>0</v>
      </c>
      <c r="G1064">
        <v>2</v>
      </c>
      <c r="H1064" s="263" t="s">
        <v>436</v>
      </c>
      <c r="I1064" s="264"/>
      <c r="J1064" s="263" t="s">
        <v>437</v>
      </c>
    </row>
    <row r="1065" spans="1:10" x14ac:dyDescent="0.15">
      <c r="A1065" s="263" t="s">
        <v>2830</v>
      </c>
      <c r="B1065" s="263" t="s">
        <v>9595</v>
      </c>
      <c r="C1065" s="263" t="s">
        <v>94</v>
      </c>
      <c r="D1065" s="263" t="s">
        <v>9596</v>
      </c>
      <c r="E1065" s="263" t="s">
        <v>94</v>
      </c>
      <c r="F1065">
        <v>0</v>
      </c>
      <c r="G1065">
        <v>2</v>
      </c>
      <c r="H1065" s="263" t="s">
        <v>436</v>
      </c>
      <c r="I1065" s="264"/>
      <c r="J1065" s="263" t="s">
        <v>437</v>
      </c>
    </row>
    <row r="1066" spans="1:10" x14ac:dyDescent="0.15">
      <c r="A1066" s="263" t="s">
        <v>2831</v>
      </c>
      <c r="B1066" s="263" t="s">
        <v>9597</v>
      </c>
      <c r="C1066" s="263" t="s">
        <v>94</v>
      </c>
      <c r="D1066" s="263" t="s">
        <v>9598</v>
      </c>
      <c r="E1066" s="263" t="s">
        <v>94</v>
      </c>
      <c r="F1066">
        <v>0</v>
      </c>
      <c r="G1066">
        <v>2</v>
      </c>
      <c r="H1066" s="263" t="s">
        <v>436</v>
      </c>
      <c r="I1066" s="264"/>
      <c r="J1066" s="263" t="s">
        <v>437</v>
      </c>
    </row>
    <row r="1067" spans="1:10" x14ac:dyDescent="0.15">
      <c r="A1067" s="263" t="s">
        <v>2832</v>
      </c>
      <c r="B1067" s="263" t="s">
        <v>9599</v>
      </c>
      <c r="C1067" s="263" t="s">
        <v>94</v>
      </c>
      <c r="D1067" s="263" t="s">
        <v>9600</v>
      </c>
      <c r="E1067" s="263" t="s">
        <v>94</v>
      </c>
      <c r="F1067">
        <v>0</v>
      </c>
      <c r="G1067">
        <v>2</v>
      </c>
      <c r="H1067" s="263" t="s">
        <v>436</v>
      </c>
      <c r="I1067" s="264"/>
      <c r="J1067" s="263" t="s">
        <v>437</v>
      </c>
    </row>
    <row r="1068" spans="1:10" x14ac:dyDescent="0.15">
      <c r="A1068" s="263" t="s">
        <v>2833</v>
      </c>
      <c r="B1068" s="263" t="s">
        <v>9595</v>
      </c>
      <c r="C1068" s="263" t="s">
        <v>98</v>
      </c>
      <c r="D1068" s="263" t="s">
        <v>9596</v>
      </c>
      <c r="E1068" s="263" t="s">
        <v>109</v>
      </c>
      <c r="F1068">
        <v>0</v>
      </c>
      <c r="G1068">
        <v>2</v>
      </c>
      <c r="H1068" s="263" t="s">
        <v>436</v>
      </c>
      <c r="I1068" s="264"/>
      <c r="J1068" s="263" t="s">
        <v>437</v>
      </c>
    </row>
    <row r="1069" spans="1:10" x14ac:dyDescent="0.15">
      <c r="A1069" s="263" t="s">
        <v>2834</v>
      </c>
      <c r="B1069" s="263" t="s">
        <v>9597</v>
      </c>
      <c r="C1069" s="263" t="s">
        <v>98</v>
      </c>
      <c r="D1069" s="263" t="s">
        <v>9598</v>
      </c>
      <c r="E1069" s="263" t="s">
        <v>109</v>
      </c>
      <c r="F1069">
        <v>0</v>
      </c>
      <c r="G1069">
        <v>2</v>
      </c>
      <c r="H1069" s="263" t="s">
        <v>436</v>
      </c>
      <c r="I1069" s="264"/>
      <c r="J1069" s="263" t="s">
        <v>437</v>
      </c>
    </row>
    <row r="1070" spans="1:10" x14ac:dyDescent="0.15">
      <c r="A1070" s="263" t="s">
        <v>2835</v>
      </c>
      <c r="B1070" s="263" t="s">
        <v>9599</v>
      </c>
      <c r="C1070" s="263" t="s">
        <v>96</v>
      </c>
      <c r="D1070" s="263" t="s">
        <v>9600</v>
      </c>
      <c r="E1070" s="263" t="s">
        <v>97</v>
      </c>
      <c r="F1070">
        <v>0</v>
      </c>
      <c r="G1070">
        <v>2</v>
      </c>
      <c r="H1070" s="263" t="s">
        <v>436</v>
      </c>
      <c r="I1070" s="264"/>
      <c r="J1070" s="263" t="s">
        <v>437</v>
      </c>
    </row>
    <row r="1071" spans="1:10" x14ac:dyDescent="0.15">
      <c r="A1071" s="263" t="s">
        <v>2836</v>
      </c>
      <c r="B1071" s="263" t="s">
        <v>9601</v>
      </c>
      <c r="C1071" s="263" t="s">
        <v>96</v>
      </c>
      <c r="D1071" s="263" t="s">
        <v>9602</v>
      </c>
      <c r="E1071" s="263" t="s">
        <v>97</v>
      </c>
      <c r="F1071">
        <v>0</v>
      </c>
      <c r="G1071">
        <v>2</v>
      </c>
      <c r="H1071" s="263" t="s">
        <v>436</v>
      </c>
      <c r="I1071" s="264"/>
      <c r="J1071" s="263" t="s">
        <v>437</v>
      </c>
    </row>
    <row r="1072" spans="1:10" x14ac:dyDescent="0.15">
      <c r="A1072" s="263" t="s">
        <v>2837</v>
      </c>
      <c r="B1072" s="263" t="s">
        <v>2838</v>
      </c>
      <c r="C1072" s="263" t="s">
        <v>98</v>
      </c>
      <c r="D1072" s="263" t="s">
        <v>2839</v>
      </c>
      <c r="E1072" s="263" t="s">
        <v>109</v>
      </c>
      <c r="F1072">
        <v>0</v>
      </c>
      <c r="G1072">
        <v>2</v>
      </c>
      <c r="H1072" s="263" t="s">
        <v>436</v>
      </c>
      <c r="I1072" s="264"/>
      <c r="J1072" s="263" t="s">
        <v>437</v>
      </c>
    </row>
    <row r="1073" spans="1:10" x14ac:dyDescent="0.15">
      <c r="A1073" s="263" t="s">
        <v>2840</v>
      </c>
      <c r="B1073" s="263" t="s">
        <v>2841</v>
      </c>
      <c r="C1073" s="263" t="s">
        <v>98</v>
      </c>
      <c r="D1073" s="263" t="s">
        <v>2842</v>
      </c>
      <c r="E1073" s="263" t="s">
        <v>109</v>
      </c>
      <c r="F1073">
        <v>0</v>
      </c>
      <c r="G1073">
        <v>2</v>
      </c>
      <c r="H1073" s="263" t="s">
        <v>436</v>
      </c>
      <c r="I1073" s="264"/>
      <c r="J1073" s="263" t="s">
        <v>437</v>
      </c>
    </row>
    <row r="1074" spans="1:10" x14ac:dyDescent="0.15">
      <c r="A1074" s="263" t="s">
        <v>9603</v>
      </c>
      <c r="B1074" s="263" t="s">
        <v>9604</v>
      </c>
      <c r="C1074" s="263" t="s">
        <v>98</v>
      </c>
      <c r="D1074" s="263" t="s">
        <v>9605</v>
      </c>
      <c r="E1074" s="263" t="s">
        <v>109</v>
      </c>
      <c r="F1074">
        <v>0</v>
      </c>
      <c r="G1074">
        <v>2</v>
      </c>
      <c r="H1074" s="263" t="s">
        <v>436</v>
      </c>
      <c r="I1074" s="264"/>
      <c r="J1074" s="263" t="s">
        <v>437</v>
      </c>
    </row>
    <row r="1075" spans="1:10" x14ac:dyDescent="0.15">
      <c r="A1075" s="263" t="s">
        <v>2843</v>
      </c>
      <c r="B1075" s="263" t="s">
        <v>2844</v>
      </c>
      <c r="C1075" s="263" t="s">
        <v>81</v>
      </c>
      <c r="D1075" s="263" t="s">
        <v>2845</v>
      </c>
      <c r="E1075" s="263" t="s">
        <v>88</v>
      </c>
      <c r="F1075">
        <v>0</v>
      </c>
      <c r="G1075">
        <v>2</v>
      </c>
      <c r="H1075" s="263" t="s">
        <v>436</v>
      </c>
      <c r="I1075" s="264"/>
      <c r="J1075" s="263" t="s">
        <v>437</v>
      </c>
    </row>
    <row r="1076" spans="1:10" x14ac:dyDescent="0.15">
      <c r="A1076" s="263" t="s">
        <v>2846</v>
      </c>
      <c r="B1076" s="263" t="s">
        <v>2847</v>
      </c>
      <c r="C1076" s="263" t="s">
        <v>94</v>
      </c>
      <c r="D1076" s="263" t="s">
        <v>2848</v>
      </c>
      <c r="E1076" s="263" t="s">
        <v>94</v>
      </c>
      <c r="F1076">
        <v>0</v>
      </c>
      <c r="G1076">
        <v>2</v>
      </c>
      <c r="H1076" s="263" t="s">
        <v>436</v>
      </c>
      <c r="I1076" s="264"/>
      <c r="J1076" s="263" t="s">
        <v>437</v>
      </c>
    </row>
    <row r="1077" spans="1:10" x14ac:dyDescent="0.15">
      <c r="A1077" s="263" t="s">
        <v>2849</v>
      </c>
      <c r="B1077" s="263" t="s">
        <v>2850</v>
      </c>
      <c r="C1077" s="263" t="s">
        <v>81</v>
      </c>
      <c r="D1077" s="263" t="s">
        <v>2851</v>
      </c>
      <c r="E1077" s="263" t="s">
        <v>88</v>
      </c>
      <c r="F1077">
        <v>0</v>
      </c>
      <c r="G1077">
        <v>2</v>
      </c>
      <c r="H1077" s="263" t="s">
        <v>436</v>
      </c>
      <c r="I1077" s="264"/>
      <c r="J1077" s="263" t="s">
        <v>437</v>
      </c>
    </row>
    <row r="1078" spans="1:10" x14ac:dyDescent="0.15">
      <c r="A1078" s="263" t="s">
        <v>2852</v>
      </c>
      <c r="B1078" s="263" t="s">
        <v>2853</v>
      </c>
      <c r="C1078" s="263" t="s">
        <v>81</v>
      </c>
      <c r="D1078" s="263" t="s">
        <v>2854</v>
      </c>
      <c r="E1078" s="263" t="s">
        <v>88</v>
      </c>
      <c r="F1078">
        <v>0</v>
      </c>
      <c r="G1078">
        <v>2</v>
      </c>
      <c r="H1078" s="263" t="s">
        <v>436</v>
      </c>
      <c r="I1078" s="264"/>
      <c r="J1078" s="263" t="s">
        <v>437</v>
      </c>
    </row>
    <row r="1079" spans="1:10" x14ac:dyDescent="0.15">
      <c r="A1079" s="263" t="s">
        <v>2855</v>
      </c>
      <c r="B1079" s="263" t="s">
        <v>2856</v>
      </c>
      <c r="C1079" s="263" t="s">
        <v>81</v>
      </c>
      <c r="D1079" s="263" t="s">
        <v>2857</v>
      </c>
      <c r="E1079" s="263" t="s">
        <v>88</v>
      </c>
      <c r="F1079">
        <v>0</v>
      </c>
      <c r="G1079">
        <v>2</v>
      </c>
      <c r="H1079" s="263" t="s">
        <v>436</v>
      </c>
      <c r="I1079" s="264"/>
      <c r="J1079" s="263" t="s">
        <v>437</v>
      </c>
    </row>
    <row r="1080" spans="1:10" x14ac:dyDescent="0.15">
      <c r="A1080" s="263" t="s">
        <v>2858</v>
      </c>
      <c r="B1080" s="263" t="s">
        <v>9606</v>
      </c>
      <c r="C1080" s="263" t="s">
        <v>81</v>
      </c>
      <c r="D1080" s="263" t="s">
        <v>9607</v>
      </c>
      <c r="E1080" s="263" t="s">
        <v>88</v>
      </c>
      <c r="F1080">
        <v>0</v>
      </c>
      <c r="G1080">
        <v>2</v>
      </c>
      <c r="H1080" s="263" t="s">
        <v>436</v>
      </c>
      <c r="I1080" s="264"/>
      <c r="J1080" s="263" t="s">
        <v>437</v>
      </c>
    </row>
    <row r="1081" spans="1:10" x14ac:dyDescent="0.15">
      <c r="A1081" s="263" t="s">
        <v>2859</v>
      </c>
      <c r="B1081" s="263" t="s">
        <v>9608</v>
      </c>
      <c r="C1081" s="263" t="s">
        <v>81</v>
      </c>
      <c r="D1081" s="263" t="s">
        <v>9609</v>
      </c>
      <c r="E1081" s="263" t="s">
        <v>88</v>
      </c>
      <c r="F1081">
        <v>0</v>
      </c>
      <c r="G1081">
        <v>2</v>
      </c>
      <c r="H1081" s="263" t="s">
        <v>436</v>
      </c>
      <c r="I1081" s="264"/>
      <c r="J1081" s="263" t="s">
        <v>437</v>
      </c>
    </row>
    <row r="1082" spans="1:10" x14ac:dyDescent="0.15">
      <c r="A1082" s="263" t="s">
        <v>9610</v>
      </c>
      <c r="B1082" s="263" t="s">
        <v>9611</v>
      </c>
      <c r="C1082" s="263" t="s">
        <v>81</v>
      </c>
      <c r="D1082" s="263" t="s">
        <v>9612</v>
      </c>
      <c r="E1082" s="263" t="s">
        <v>88</v>
      </c>
      <c r="F1082">
        <v>0</v>
      </c>
      <c r="G1082">
        <v>2</v>
      </c>
      <c r="H1082" s="263" t="s">
        <v>436</v>
      </c>
      <c r="I1082" s="264"/>
      <c r="J1082" s="263" t="s">
        <v>437</v>
      </c>
    </row>
    <row r="1083" spans="1:10" x14ac:dyDescent="0.15">
      <c r="A1083" s="263" t="s">
        <v>2860</v>
      </c>
      <c r="B1083" s="263" t="s">
        <v>2861</v>
      </c>
      <c r="C1083" s="263" t="s">
        <v>96</v>
      </c>
      <c r="D1083" s="263" t="s">
        <v>2862</v>
      </c>
      <c r="E1083" s="263" t="s">
        <v>97</v>
      </c>
      <c r="F1083">
        <v>0</v>
      </c>
      <c r="G1083">
        <v>2</v>
      </c>
      <c r="H1083" s="263" t="s">
        <v>436</v>
      </c>
      <c r="I1083" s="264"/>
      <c r="J1083" s="263" t="s">
        <v>437</v>
      </c>
    </row>
    <row r="1084" spans="1:10" x14ac:dyDescent="0.15">
      <c r="A1084" s="263" t="s">
        <v>2863</v>
      </c>
      <c r="B1084" s="263" t="s">
        <v>2864</v>
      </c>
      <c r="C1084" s="263" t="s">
        <v>96</v>
      </c>
      <c r="D1084" s="263" t="s">
        <v>2865</v>
      </c>
      <c r="E1084" s="263" t="s">
        <v>97</v>
      </c>
      <c r="F1084">
        <v>0</v>
      </c>
      <c r="G1084">
        <v>2</v>
      </c>
      <c r="H1084" s="263" t="s">
        <v>436</v>
      </c>
      <c r="I1084" s="264"/>
      <c r="J1084" s="263" t="s">
        <v>437</v>
      </c>
    </row>
    <row r="1085" spans="1:10" x14ac:dyDescent="0.15">
      <c r="A1085" s="263" t="s">
        <v>2866</v>
      </c>
      <c r="B1085" s="263" t="s">
        <v>2867</v>
      </c>
      <c r="C1085" s="263" t="s">
        <v>96</v>
      </c>
      <c r="D1085" s="263" t="s">
        <v>2868</v>
      </c>
      <c r="E1085" s="263" t="s">
        <v>97</v>
      </c>
      <c r="F1085">
        <v>0</v>
      </c>
      <c r="G1085">
        <v>2</v>
      </c>
      <c r="H1085" s="263" t="s">
        <v>436</v>
      </c>
      <c r="I1085" s="264"/>
      <c r="J1085" s="263" t="s">
        <v>437</v>
      </c>
    </row>
    <row r="1086" spans="1:10" x14ac:dyDescent="0.15">
      <c r="A1086" s="263" t="s">
        <v>2869</v>
      </c>
      <c r="B1086" s="263" t="s">
        <v>2870</v>
      </c>
      <c r="C1086" s="263" t="s">
        <v>96</v>
      </c>
      <c r="D1086" s="263" t="s">
        <v>2871</v>
      </c>
      <c r="E1086" s="263" t="s">
        <v>97</v>
      </c>
      <c r="F1086">
        <v>0</v>
      </c>
      <c r="G1086">
        <v>2</v>
      </c>
      <c r="H1086" s="263" t="s">
        <v>436</v>
      </c>
      <c r="I1086" s="264"/>
      <c r="J1086" s="263" t="s">
        <v>437</v>
      </c>
    </row>
    <row r="1087" spans="1:10" x14ac:dyDescent="0.15">
      <c r="A1087" s="263" t="s">
        <v>2872</v>
      </c>
      <c r="B1087" s="263" t="s">
        <v>2873</v>
      </c>
      <c r="C1087" s="263" t="s">
        <v>96</v>
      </c>
      <c r="D1087" s="263" t="s">
        <v>2874</v>
      </c>
      <c r="E1087" s="263" t="s">
        <v>97</v>
      </c>
      <c r="F1087">
        <v>0</v>
      </c>
      <c r="G1087">
        <v>2</v>
      </c>
      <c r="H1087" s="263" t="s">
        <v>436</v>
      </c>
      <c r="I1087" s="264"/>
      <c r="J1087" s="263" t="s">
        <v>437</v>
      </c>
    </row>
    <row r="1088" spans="1:10" x14ac:dyDescent="0.15">
      <c r="A1088" s="263" t="s">
        <v>2875</v>
      </c>
      <c r="B1088" s="263" t="s">
        <v>2876</v>
      </c>
      <c r="C1088" s="263" t="s">
        <v>96</v>
      </c>
      <c r="D1088" s="263" t="s">
        <v>2877</v>
      </c>
      <c r="E1088" s="263" t="s">
        <v>97</v>
      </c>
      <c r="F1088">
        <v>0</v>
      </c>
      <c r="G1088">
        <v>2</v>
      </c>
      <c r="H1088" s="263" t="s">
        <v>436</v>
      </c>
      <c r="I1088" s="264"/>
      <c r="J1088" s="263" t="s">
        <v>437</v>
      </c>
    </row>
    <row r="1089" spans="1:10" x14ac:dyDescent="0.15">
      <c r="A1089" s="263" t="s">
        <v>2878</v>
      </c>
      <c r="B1089" s="263" t="s">
        <v>2879</v>
      </c>
      <c r="C1089" s="263" t="s">
        <v>96</v>
      </c>
      <c r="D1089" s="263" t="s">
        <v>2880</v>
      </c>
      <c r="E1089" s="263" t="s">
        <v>97</v>
      </c>
      <c r="F1089">
        <v>0</v>
      </c>
      <c r="G1089">
        <v>2</v>
      </c>
      <c r="H1089" s="263" t="s">
        <v>436</v>
      </c>
      <c r="I1089" s="264"/>
      <c r="J1089" s="263" t="s">
        <v>437</v>
      </c>
    </row>
    <row r="1090" spans="1:10" x14ac:dyDescent="0.15">
      <c r="A1090" s="263" t="s">
        <v>2881</v>
      </c>
      <c r="B1090" s="263" t="s">
        <v>2882</v>
      </c>
      <c r="C1090" s="263" t="s">
        <v>96</v>
      </c>
      <c r="D1090" s="263" t="s">
        <v>2883</v>
      </c>
      <c r="E1090" s="263" t="s">
        <v>97</v>
      </c>
      <c r="F1090">
        <v>0</v>
      </c>
      <c r="G1090">
        <v>2</v>
      </c>
      <c r="H1090" s="263" t="s">
        <v>436</v>
      </c>
      <c r="I1090" s="264"/>
      <c r="J1090" s="263" t="s">
        <v>437</v>
      </c>
    </row>
    <row r="1091" spans="1:10" x14ac:dyDescent="0.15">
      <c r="A1091" s="263" t="s">
        <v>2884</v>
      </c>
      <c r="B1091" s="263" t="s">
        <v>2885</v>
      </c>
      <c r="C1091" s="263" t="s">
        <v>96</v>
      </c>
      <c r="D1091" s="263" t="s">
        <v>2886</v>
      </c>
      <c r="E1091" s="263" t="s">
        <v>97</v>
      </c>
      <c r="F1091">
        <v>0</v>
      </c>
      <c r="G1091">
        <v>2</v>
      </c>
      <c r="H1091" s="263" t="s">
        <v>436</v>
      </c>
      <c r="I1091" s="264"/>
      <c r="J1091" s="263" t="s">
        <v>437</v>
      </c>
    </row>
    <row r="1092" spans="1:10" x14ac:dyDescent="0.15">
      <c r="A1092" s="263" t="s">
        <v>2887</v>
      </c>
      <c r="B1092" s="263" t="s">
        <v>2888</v>
      </c>
      <c r="C1092" s="263" t="s">
        <v>96</v>
      </c>
      <c r="D1092" s="263" t="s">
        <v>2889</v>
      </c>
      <c r="E1092" s="263" t="s">
        <v>97</v>
      </c>
      <c r="F1092">
        <v>0</v>
      </c>
      <c r="G1092">
        <v>2</v>
      </c>
      <c r="H1092" s="263" t="s">
        <v>436</v>
      </c>
      <c r="I1092" s="264"/>
      <c r="J1092" s="263" t="s">
        <v>437</v>
      </c>
    </row>
    <row r="1093" spans="1:10" x14ac:dyDescent="0.15">
      <c r="A1093" s="263" t="s">
        <v>2890</v>
      </c>
      <c r="B1093" s="263" t="s">
        <v>2891</v>
      </c>
      <c r="C1093" s="263" t="s">
        <v>96</v>
      </c>
      <c r="D1093" s="263" t="s">
        <v>2892</v>
      </c>
      <c r="E1093" s="263" t="s">
        <v>97</v>
      </c>
      <c r="F1093">
        <v>0</v>
      </c>
      <c r="G1093">
        <v>2</v>
      </c>
      <c r="H1093" s="263" t="s">
        <v>436</v>
      </c>
      <c r="I1093" s="264"/>
      <c r="J1093" s="263" t="s">
        <v>437</v>
      </c>
    </row>
    <row r="1094" spans="1:10" x14ac:dyDescent="0.15">
      <c r="A1094" s="263" t="s">
        <v>2893</v>
      </c>
      <c r="B1094" s="263" t="s">
        <v>2894</v>
      </c>
      <c r="C1094" s="263" t="s">
        <v>96</v>
      </c>
      <c r="D1094" s="263" t="s">
        <v>2895</v>
      </c>
      <c r="E1094" s="263" t="s">
        <v>97</v>
      </c>
      <c r="F1094">
        <v>0</v>
      </c>
      <c r="G1094">
        <v>2</v>
      </c>
      <c r="H1094" s="263" t="s">
        <v>436</v>
      </c>
      <c r="I1094" s="264"/>
      <c r="J1094" s="263" t="s">
        <v>437</v>
      </c>
    </row>
    <row r="1095" spans="1:10" x14ac:dyDescent="0.15">
      <c r="A1095" s="263" t="s">
        <v>2896</v>
      </c>
      <c r="B1095" s="263" t="s">
        <v>2897</v>
      </c>
      <c r="C1095" s="263" t="s">
        <v>96</v>
      </c>
      <c r="D1095" s="263" t="s">
        <v>2898</v>
      </c>
      <c r="E1095" s="263" t="s">
        <v>97</v>
      </c>
      <c r="F1095">
        <v>0</v>
      </c>
      <c r="G1095">
        <v>2</v>
      </c>
      <c r="H1095" s="263" t="s">
        <v>436</v>
      </c>
      <c r="I1095" s="264"/>
      <c r="J1095" s="263" t="s">
        <v>437</v>
      </c>
    </row>
    <row r="1096" spans="1:10" x14ac:dyDescent="0.15">
      <c r="A1096" s="263" t="s">
        <v>9613</v>
      </c>
      <c r="B1096" s="263" t="s">
        <v>9614</v>
      </c>
      <c r="C1096" s="263" t="s">
        <v>96</v>
      </c>
      <c r="D1096" s="263" t="s">
        <v>9615</v>
      </c>
      <c r="E1096" s="263" t="s">
        <v>97</v>
      </c>
      <c r="F1096">
        <v>0</v>
      </c>
      <c r="G1096">
        <v>2</v>
      </c>
      <c r="H1096" s="263" t="s">
        <v>436</v>
      </c>
      <c r="I1096" s="264"/>
      <c r="J1096" s="263" t="s">
        <v>437</v>
      </c>
    </row>
    <row r="1097" spans="1:10" x14ac:dyDescent="0.15">
      <c r="A1097" s="263" t="s">
        <v>9616</v>
      </c>
      <c r="B1097" s="263" t="s">
        <v>9617</v>
      </c>
      <c r="C1097" s="263" t="s">
        <v>96</v>
      </c>
      <c r="D1097" s="263" t="s">
        <v>9618</v>
      </c>
      <c r="E1097" s="263" t="s">
        <v>97</v>
      </c>
      <c r="F1097">
        <v>0</v>
      </c>
      <c r="G1097">
        <v>2</v>
      </c>
      <c r="H1097" s="263" t="s">
        <v>436</v>
      </c>
      <c r="I1097" s="264"/>
      <c r="J1097" s="263" t="s">
        <v>437</v>
      </c>
    </row>
    <row r="1098" spans="1:10" x14ac:dyDescent="0.15">
      <c r="A1098" s="263" t="s">
        <v>2899</v>
      </c>
      <c r="B1098" s="263" t="s">
        <v>2900</v>
      </c>
      <c r="C1098" s="263" t="s">
        <v>96</v>
      </c>
      <c r="D1098" s="263" t="s">
        <v>2901</v>
      </c>
      <c r="E1098" s="263" t="s">
        <v>97</v>
      </c>
      <c r="F1098">
        <v>0</v>
      </c>
      <c r="G1098">
        <v>2</v>
      </c>
      <c r="H1098" s="263" t="s">
        <v>436</v>
      </c>
      <c r="I1098" s="264"/>
      <c r="J1098" s="263" t="s">
        <v>437</v>
      </c>
    </row>
    <row r="1099" spans="1:10" x14ac:dyDescent="0.15">
      <c r="A1099" s="263" t="s">
        <v>2902</v>
      </c>
      <c r="B1099" s="263" t="s">
        <v>2903</v>
      </c>
      <c r="C1099" s="263" t="s">
        <v>96</v>
      </c>
      <c r="D1099" s="263" t="s">
        <v>2904</v>
      </c>
      <c r="E1099" s="263" t="s">
        <v>97</v>
      </c>
      <c r="F1099">
        <v>0</v>
      </c>
      <c r="G1099">
        <v>2</v>
      </c>
      <c r="H1099" s="263" t="s">
        <v>436</v>
      </c>
      <c r="I1099" s="264"/>
      <c r="J1099" s="263" t="s">
        <v>437</v>
      </c>
    </row>
    <row r="1100" spans="1:10" x14ac:dyDescent="0.15">
      <c r="A1100" s="263" t="s">
        <v>2905</v>
      </c>
      <c r="B1100" s="263" t="s">
        <v>2906</v>
      </c>
      <c r="C1100" s="263" t="s">
        <v>96</v>
      </c>
      <c r="D1100" s="263" t="s">
        <v>2907</v>
      </c>
      <c r="E1100" s="263" t="s">
        <v>97</v>
      </c>
      <c r="F1100">
        <v>0</v>
      </c>
      <c r="G1100">
        <v>2</v>
      </c>
      <c r="H1100" s="263" t="s">
        <v>436</v>
      </c>
      <c r="I1100" s="264"/>
      <c r="J1100" s="263" t="s">
        <v>437</v>
      </c>
    </row>
    <row r="1101" spans="1:10" x14ac:dyDescent="0.15">
      <c r="A1101" s="263" t="s">
        <v>2908</v>
      </c>
      <c r="B1101" s="263" t="s">
        <v>2909</v>
      </c>
      <c r="C1101" s="263" t="s">
        <v>96</v>
      </c>
      <c r="D1101" s="263" t="s">
        <v>2910</v>
      </c>
      <c r="E1101" s="263" t="s">
        <v>97</v>
      </c>
      <c r="F1101">
        <v>0</v>
      </c>
      <c r="G1101">
        <v>2</v>
      </c>
      <c r="H1101" s="263" t="s">
        <v>436</v>
      </c>
      <c r="I1101" s="264"/>
      <c r="J1101" s="263" t="s">
        <v>437</v>
      </c>
    </row>
    <row r="1102" spans="1:10" x14ac:dyDescent="0.15">
      <c r="A1102" s="263" t="s">
        <v>2911</v>
      </c>
      <c r="B1102" s="263" t="s">
        <v>2912</v>
      </c>
      <c r="C1102" s="263" t="s">
        <v>96</v>
      </c>
      <c r="D1102" s="263" t="s">
        <v>2913</v>
      </c>
      <c r="E1102" s="263" t="s">
        <v>97</v>
      </c>
      <c r="F1102">
        <v>0</v>
      </c>
      <c r="G1102">
        <v>2</v>
      </c>
      <c r="H1102" s="263" t="s">
        <v>436</v>
      </c>
      <c r="I1102" s="264"/>
      <c r="J1102" s="263" t="s">
        <v>437</v>
      </c>
    </row>
    <row r="1103" spans="1:10" x14ac:dyDescent="0.15">
      <c r="A1103" s="263" t="s">
        <v>2914</v>
      </c>
      <c r="B1103" s="263" t="s">
        <v>2915</v>
      </c>
      <c r="C1103" s="263" t="s">
        <v>96</v>
      </c>
      <c r="D1103" s="263" t="s">
        <v>2916</v>
      </c>
      <c r="E1103" s="263" t="s">
        <v>97</v>
      </c>
      <c r="F1103">
        <v>0</v>
      </c>
      <c r="G1103">
        <v>2</v>
      </c>
      <c r="H1103" s="263" t="s">
        <v>436</v>
      </c>
      <c r="I1103" s="264"/>
      <c r="J1103" s="263" t="s">
        <v>437</v>
      </c>
    </row>
    <row r="1104" spans="1:10" x14ac:dyDescent="0.15">
      <c r="A1104" s="263" t="s">
        <v>2917</v>
      </c>
      <c r="B1104" s="263" t="s">
        <v>2918</v>
      </c>
      <c r="C1104" s="263" t="s">
        <v>96</v>
      </c>
      <c r="D1104" s="263" t="s">
        <v>2919</v>
      </c>
      <c r="E1104" s="263" t="s">
        <v>97</v>
      </c>
      <c r="F1104">
        <v>0</v>
      </c>
      <c r="G1104">
        <v>2</v>
      </c>
      <c r="H1104" s="263" t="s">
        <v>436</v>
      </c>
      <c r="I1104" s="264"/>
      <c r="J1104" s="263" t="s">
        <v>437</v>
      </c>
    </row>
    <row r="1105" spans="1:10" x14ac:dyDescent="0.15">
      <c r="A1105" s="263" t="s">
        <v>2920</v>
      </c>
      <c r="B1105" s="263" t="s">
        <v>2921</v>
      </c>
      <c r="C1105" s="263" t="s">
        <v>96</v>
      </c>
      <c r="D1105" s="263" t="s">
        <v>2922</v>
      </c>
      <c r="E1105" s="263" t="s">
        <v>97</v>
      </c>
      <c r="F1105">
        <v>0</v>
      </c>
      <c r="G1105">
        <v>2</v>
      </c>
      <c r="H1105" s="263" t="s">
        <v>436</v>
      </c>
      <c r="I1105" s="264"/>
      <c r="J1105" s="263" t="s">
        <v>437</v>
      </c>
    </row>
    <row r="1106" spans="1:10" x14ac:dyDescent="0.15">
      <c r="A1106" s="263" t="s">
        <v>2923</v>
      </c>
      <c r="B1106" s="263" t="s">
        <v>2924</v>
      </c>
      <c r="C1106" s="263" t="s">
        <v>96</v>
      </c>
      <c r="D1106" s="263" t="s">
        <v>2925</v>
      </c>
      <c r="E1106" s="263" t="s">
        <v>97</v>
      </c>
      <c r="F1106">
        <v>0</v>
      </c>
      <c r="G1106">
        <v>2</v>
      </c>
      <c r="H1106" s="263" t="s">
        <v>436</v>
      </c>
      <c r="I1106" s="264"/>
      <c r="J1106" s="263" t="s">
        <v>437</v>
      </c>
    </row>
    <row r="1107" spans="1:10" x14ac:dyDescent="0.15">
      <c r="A1107" s="263" t="s">
        <v>2926</v>
      </c>
      <c r="B1107" s="263" t="s">
        <v>2927</v>
      </c>
      <c r="C1107" s="263" t="s">
        <v>96</v>
      </c>
      <c r="D1107" s="263" t="s">
        <v>2928</v>
      </c>
      <c r="E1107" s="263" t="s">
        <v>97</v>
      </c>
      <c r="F1107">
        <v>0</v>
      </c>
      <c r="G1107">
        <v>2</v>
      </c>
      <c r="H1107" s="263" t="s">
        <v>436</v>
      </c>
      <c r="I1107" s="264"/>
      <c r="J1107" s="263" t="s">
        <v>437</v>
      </c>
    </row>
    <row r="1108" spans="1:10" x14ac:dyDescent="0.15">
      <c r="A1108" s="263" t="s">
        <v>2929</v>
      </c>
      <c r="B1108" s="263" t="s">
        <v>2930</v>
      </c>
      <c r="C1108" s="263" t="s">
        <v>96</v>
      </c>
      <c r="D1108" s="263" t="s">
        <v>2931</v>
      </c>
      <c r="E1108" s="263" t="s">
        <v>97</v>
      </c>
      <c r="F1108">
        <v>0</v>
      </c>
      <c r="G1108">
        <v>2</v>
      </c>
      <c r="H1108" s="263" t="s">
        <v>436</v>
      </c>
      <c r="I1108" s="264"/>
      <c r="J1108" s="263" t="s">
        <v>437</v>
      </c>
    </row>
    <row r="1109" spans="1:10" x14ac:dyDescent="0.15">
      <c r="A1109" s="263" t="s">
        <v>2932</v>
      </c>
      <c r="B1109" s="263" t="s">
        <v>2933</v>
      </c>
      <c r="C1109" s="263" t="s">
        <v>96</v>
      </c>
      <c r="D1109" s="263" t="s">
        <v>2934</v>
      </c>
      <c r="E1109" s="263" t="s">
        <v>97</v>
      </c>
      <c r="F1109">
        <v>0</v>
      </c>
      <c r="G1109">
        <v>2</v>
      </c>
      <c r="H1109" s="263" t="s">
        <v>436</v>
      </c>
      <c r="I1109" s="264"/>
      <c r="J1109" s="263" t="s">
        <v>437</v>
      </c>
    </row>
    <row r="1110" spans="1:10" x14ac:dyDescent="0.15">
      <c r="A1110" s="263" t="s">
        <v>2935</v>
      </c>
      <c r="B1110" s="263" t="s">
        <v>2936</v>
      </c>
      <c r="C1110" s="263" t="s">
        <v>96</v>
      </c>
      <c r="D1110" s="263" t="s">
        <v>2937</v>
      </c>
      <c r="E1110" s="263" t="s">
        <v>97</v>
      </c>
      <c r="F1110">
        <v>0</v>
      </c>
      <c r="G1110">
        <v>2</v>
      </c>
      <c r="H1110" s="263" t="s">
        <v>436</v>
      </c>
      <c r="I1110" s="264"/>
      <c r="J1110" s="263" t="s">
        <v>437</v>
      </c>
    </row>
    <row r="1111" spans="1:10" x14ac:dyDescent="0.15">
      <c r="A1111" s="263" t="s">
        <v>2938</v>
      </c>
      <c r="B1111" s="263" t="s">
        <v>2939</v>
      </c>
      <c r="C1111" s="263" t="s">
        <v>96</v>
      </c>
      <c r="D1111" s="263" t="s">
        <v>2940</v>
      </c>
      <c r="E1111" s="263" t="s">
        <v>97</v>
      </c>
      <c r="F1111">
        <v>0</v>
      </c>
      <c r="G1111">
        <v>2</v>
      </c>
      <c r="H1111" s="263" t="s">
        <v>436</v>
      </c>
      <c r="I1111" s="264"/>
      <c r="J1111" s="263" t="s">
        <v>437</v>
      </c>
    </row>
    <row r="1112" spans="1:10" x14ac:dyDescent="0.15">
      <c r="A1112" s="263" t="s">
        <v>2941</v>
      </c>
      <c r="B1112" s="263" t="s">
        <v>2942</v>
      </c>
      <c r="C1112" s="263" t="s">
        <v>96</v>
      </c>
      <c r="D1112" s="263" t="s">
        <v>2943</v>
      </c>
      <c r="E1112" s="263" t="s">
        <v>97</v>
      </c>
      <c r="F1112">
        <v>0</v>
      </c>
      <c r="G1112">
        <v>2</v>
      </c>
      <c r="H1112" s="263" t="s">
        <v>436</v>
      </c>
      <c r="I1112" s="264"/>
      <c r="J1112" s="263" t="s">
        <v>437</v>
      </c>
    </row>
    <row r="1113" spans="1:10" x14ac:dyDescent="0.15">
      <c r="A1113" s="263" t="s">
        <v>2944</v>
      </c>
      <c r="B1113" s="263" t="s">
        <v>2945</v>
      </c>
      <c r="C1113" s="263" t="s">
        <v>81</v>
      </c>
      <c r="D1113" s="263" t="s">
        <v>2946</v>
      </c>
      <c r="E1113" s="263" t="s">
        <v>88</v>
      </c>
      <c r="F1113">
        <v>0</v>
      </c>
      <c r="G1113">
        <v>2</v>
      </c>
      <c r="H1113" s="263" t="s">
        <v>436</v>
      </c>
      <c r="I1113" s="264"/>
      <c r="J1113" s="263" t="s">
        <v>437</v>
      </c>
    </row>
    <row r="1114" spans="1:10" x14ac:dyDescent="0.15">
      <c r="A1114" s="263" t="s">
        <v>2947</v>
      </c>
      <c r="B1114" s="263" t="s">
        <v>2948</v>
      </c>
      <c r="C1114" s="263" t="s">
        <v>96</v>
      </c>
      <c r="D1114" s="263" t="s">
        <v>2949</v>
      </c>
      <c r="E1114" s="263" t="s">
        <v>97</v>
      </c>
      <c r="F1114">
        <v>0</v>
      </c>
      <c r="G1114">
        <v>2</v>
      </c>
      <c r="H1114" s="263" t="s">
        <v>436</v>
      </c>
      <c r="I1114" s="264"/>
      <c r="J1114" s="263" t="s">
        <v>437</v>
      </c>
    </row>
    <row r="1115" spans="1:10" x14ac:dyDescent="0.15">
      <c r="A1115" s="263" t="s">
        <v>2950</v>
      </c>
      <c r="B1115" s="263" t="s">
        <v>2951</v>
      </c>
      <c r="C1115" s="263" t="s">
        <v>96</v>
      </c>
      <c r="D1115" s="263" t="s">
        <v>2952</v>
      </c>
      <c r="E1115" s="263" t="s">
        <v>97</v>
      </c>
      <c r="F1115">
        <v>0</v>
      </c>
      <c r="G1115">
        <v>2</v>
      </c>
      <c r="H1115" s="263" t="s">
        <v>436</v>
      </c>
      <c r="I1115" s="264"/>
      <c r="J1115" s="263" t="s">
        <v>437</v>
      </c>
    </row>
    <row r="1116" spans="1:10" x14ac:dyDescent="0.15">
      <c r="A1116" s="263" t="s">
        <v>9619</v>
      </c>
      <c r="B1116" s="263" t="s">
        <v>9620</v>
      </c>
      <c r="C1116" s="263" t="s">
        <v>81</v>
      </c>
      <c r="D1116" s="263" t="s">
        <v>9621</v>
      </c>
      <c r="E1116" s="263" t="s">
        <v>88</v>
      </c>
      <c r="F1116">
        <v>0</v>
      </c>
      <c r="G1116">
        <v>2</v>
      </c>
      <c r="H1116" s="263" t="s">
        <v>436</v>
      </c>
      <c r="I1116" s="264"/>
      <c r="J1116" s="263" t="s">
        <v>437</v>
      </c>
    </row>
    <row r="1117" spans="1:10" x14ac:dyDescent="0.15">
      <c r="A1117" s="263" t="s">
        <v>2953</v>
      </c>
      <c r="B1117" s="263" t="s">
        <v>2954</v>
      </c>
      <c r="C1117" s="263" t="s">
        <v>98</v>
      </c>
      <c r="D1117" s="263" t="s">
        <v>2955</v>
      </c>
      <c r="E1117" s="263" t="s">
        <v>110</v>
      </c>
      <c r="F1117">
        <v>0</v>
      </c>
      <c r="G1117">
        <v>2</v>
      </c>
      <c r="H1117" s="263" t="s">
        <v>436</v>
      </c>
      <c r="I1117" s="264"/>
      <c r="J1117" s="263" t="s">
        <v>437</v>
      </c>
    </row>
    <row r="1118" spans="1:10" x14ac:dyDescent="0.15">
      <c r="A1118" s="263" t="s">
        <v>2956</v>
      </c>
      <c r="B1118" s="263" t="s">
        <v>2957</v>
      </c>
      <c r="C1118" s="263" t="s">
        <v>98</v>
      </c>
      <c r="D1118" s="263" t="s">
        <v>2958</v>
      </c>
      <c r="E1118" s="263" t="s">
        <v>110</v>
      </c>
      <c r="F1118">
        <v>0</v>
      </c>
      <c r="G1118">
        <v>2</v>
      </c>
      <c r="H1118" s="263" t="s">
        <v>436</v>
      </c>
      <c r="I1118" s="264"/>
      <c r="J1118" s="263" t="s">
        <v>437</v>
      </c>
    </row>
    <row r="1119" spans="1:10" x14ac:dyDescent="0.15">
      <c r="A1119" s="263" t="s">
        <v>2959</v>
      </c>
      <c r="B1119" s="263" t="s">
        <v>2960</v>
      </c>
      <c r="C1119" s="263" t="s">
        <v>98</v>
      </c>
      <c r="D1119" s="263" t="s">
        <v>2961</v>
      </c>
      <c r="E1119" s="263" t="s">
        <v>110</v>
      </c>
      <c r="F1119">
        <v>0</v>
      </c>
      <c r="G1119">
        <v>2</v>
      </c>
      <c r="H1119" s="263" t="s">
        <v>436</v>
      </c>
      <c r="I1119" s="264"/>
      <c r="J1119" s="263" t="s">
        <v>437</v>
      </c>
    </row>
    <row r="1120" spans="1:10" x14ac:dyDescent="0.15">
      <c r="A1120" s="263" t="s">
        <v>2962</v>
      </c>
      <c r="B1120" s="263" t="s">
        <v>2963</v>
      </c>
      <c r="C1120" s="263" t="s">
        <v>98</v>
      </c>
      <c r="D1120" s="263" t="s">
        <v>2964</v>
      </c>
      <c r="E1120" s="263" t="s">
        <v>110</v>
      </c>
      <c r="F1120">
        <v>0</v>
      </c>
      <c r="G1120">
        <v>2</v>
      </c>
      <c r="H1120" s="263" t="s">
        <v>436</v>
      </c>
      <c r="I1120" s="264"/>
      <c r="J1120" s="263" t="s">
        <v>437</v>
      </c>
    </row>
    <row r="1121" spans="1:10" x14ac:dyDescent="0.15">
      <c r="A1121" s="263" t="s">
        <v>2965</v>
      </c>
      <c r="B1121" s="263" t="s">
        <v>2966</v>
      </c>
      <c r="C1121" s="263" t="s">
        <v>98</v>
      </c>
      <c r="D1121" s="263" t="s">
        <v>2967</v>
      </c>
      <c r="E1121" s="263" t="s">
        <v>110</v>
      </c>
      <c r="F1121">
        <v>0</v>
      </c>
      <c r="G1121">
        <v>2</v>
      </c>
      <c r="H1121" s="263" t="s">
        <v>436</v>
      </c>
      <c r="I1121" s="264"/>
      <c r="J1121" s="263" t="s">
        <v>437</v>
      </c>
    </row>
    <row r="1122" spans="1:10" x14ac:dyDescent="0.15">
      <c r="A1122" s="263" t="s">
        <v>2968</v>
      </c>
      <c r="B1122" s="263" t="s">
        <v>2969</v>
      </c>
      <c r="C1122" s="263" t="s">
        <v>98</v>
      </c>
      <c r="D1122" s="263" t="s">
        <v>2970</v>
      </c>
      <c r="E1122" s="263" t="s">
        <v>110</v>
      </c>
      <c r="F1122">
        <v>0</v>
      </c>
      <c r="G1122">
        <v>2</v>
      </c>
      <c r="H1122" s="263" t="s">
        <v>436</v>
      </c>
      <c r="I1122" s="264"/>
      <c r="J1122" s="263" t="s">
        <v>437</v>
      </c>
    </row>
    <row r="1123" spans="1:10" x14ac:dyDescent="0.15">
      <c r="A1123" s="263" t="s">
        <v>2971</v>
      </c>
      <c r="B1123" s="263" t="s">
        <v>2972</v>
      </c>
      <c r="C1123" s="263" t="s">
        <v>98</v>
      </c>
      <c r="D1123" s="263" t="s">
        <v>2973</v>
      </c>
      <c r="E1123" s="263" t="s">
        <v>110</v>
      </c>
      <c r="F1123">
        <v>0</v>
      </c>
      <c r="G1123">
        <v>2</v>
      </c>
      <c r="H1123" s="263" t="s">
        <v>436</v>
      </c>
      <c r="I1123" s="264"/>
      <c r="J1123" s="263" t="s">
        <v>437</v>
      </c>
    </row>
    <row r="1124" spans="1:10" x14ac:dyDescent="0.15">
      <c r="A1124" s="263" t="s">
        <v>2974</v>
      </c>
      <c r="B1124" s="263" t="s">
        <v>2975</v>
      </c>
      <c r="C1124" s="263" t="s">
        <v>98</v>
      </c>
      <c r="D1124" s="263" t="s">
        <v>2976</v>
      </c>
      <c r="E1124" s="263" t="s">
        <v>110</v>
      </c>
      <c r="F1124">
        <v>0</v>
      </c>
      <c r="G1124">
        <v>2</v>
      </c>
      <c r="H1124" s="263" t="s">
        <v>436</v>
      </c>
      <c r="I1124" s="264"/>
      <c r="J1124" s="263" t="s">
        <v>437</v>
      </c>
    </row>
    <row r="1125" spans="1:10" x14ac:dyDescent="0.15">
      <c r="A1125" s="263" t="s">
        <v>2977</v>
      </c>
      <c r="B1125" s="263" t="s">
        <v>2978</v>
      </c>
      <c r="C1125" s="263" t="s">
        <v>98</v>
      </c>
      <c r="D1125" s="263" t="s">
        <v>2979</v>
      </c>
      <c r="E1125" s="263" t="s">
        <v>110</v>
      </c>
      <c r="F1125">
        <v>0</v>
      </c>
      <c r="G1125">
        <v>2</v>
      </c>
      <c r="H1125" s="263" t="s">
        <v>436</v>
      </c>
      <c r="I1125" s="264"/>
      <c r="J1125" s="263" t="s">
        <v>437</v>
      </c>
    </row>
    <row r="1126" spans="1:10" x14ac:dyDescent="0.15">
      <c r="A1126" s="263" t="s">
        <v>2980</v>
      </c>
      <c r="B1126" s="263" t="s">
        <v>2981</v>
      </c>
      <c r="C1126" s="263" t="s">
        <v>98</v>
      </c>
      <c r="D1126" s="263" t="s">
        <v>2982</v>
      </c>
      <c r="E1126" s="263" t="s">
        <v>110</v>
      </c>
      <c r="F1126">
        <v>0</v>
      </c>
      <c r="G1126">
        <v>2</v>
      </c>
      <c r="H1126" s="263" t="s">
        <v>436</v>
      </c>
      <c r="I1126" s="264"/>
      <c r="J1126" s="263" t="s">
        <v>437</v>
      </c>
    </row>
    <row r="1127" spans="1:10" x14ac:dyDescent="0.15">
      <c r="A1127" s="263" t="s">
        <v>2983</v>
      </c>
      <c r="B1127" s="263" t="s">
        <v>2984</v>
      </c>
      <c r="C1127" s="263" t="s">
        <v>98</v>
      </c>
      <c r="D1127" s="263" t="s">
        <v>2985</v>
      </c>
      <c r="E1127" s="263" t="s">
        <v>110</v>
      </c>
      <c r="F1127">
        <v>0</v>
      </c>
      <c r="G1127">
        <v>2</v>
      </c>
      <c r="H1127" s="263" t="s">
        <v>436</v>
      </c>
      <c r="I1127" s="264"/>
      <c r="J1127" s="263" t="s">
        <v>437</v>
      </c>
    </row>
    <row r="1128" spans="1:10" x14ac:dyDescent="0.15">
      <c r="A1128" s="263" t="s">
        <v>2986</v>
      </c>
      <c r="B1128" s="263" t="s">
        <v>2987</v>
      </c>
      <c r="C1128" s="263" t="s">
        <v>98</v>
      </c>
      <c r="D1128" s="263" t="s">
        <v>2988</v>
      </c>
      <c r="E1128" s="263" t="s">
        <v>110</v>
      </c>
      <c r="F1128">
        <v>0</v>
      </c>
      <c r="G1128">
        <v>2</v>
      </c>
      <c r="H1128" s="263" t="s">
        <v>436</v>
      </c>
      <c r="I1128" s="264"/>
      <c r="J1128" s="263" t="s">
        <v>437</v>
      </c>
    </row>
    <row r="1129" spans="1:10" x14ac:dyDescent="0.15">
      <c r="A1129" s="263" t="s">
        <v>2989</v>
      </c>
      <c r="B1129" s="263" t="s">
        <v>2954</v>
      </c>
      <c r="C1129" s="263" t="s">
        <v>99</v>
      </c>
      <c r="D1129" s="263" t="s">
        <v>2955</v>
      </c>
      <c r="E1129" s="263" t="s">
        <v>84</v>
      </c>
      <c r="F1129">
        <v>0</v>
      </c>
      <c r="G1129">
        <v>2</v>
      </c>
      <c r="H1129" s="263" t="s">
        <v>436</v>
      </c>
      <c r="I1129" s="264"/>
      <c r="J1129" s="263" t="s">
        <v>437</v>
      </c>
    </row>
    <row r="1130" spans="1:10" x14ac:dyDescent="0.15">
      <c r="A1130" s="263" t="s">
        <v>2990</v>
      </c>
      <c r="B1130" s="263" t="s">
        <v>2957</v>
      </c>
      <c r="C1130" s="263" t="s">
        <v>99</v>
      </c>
      <c r="D1130" s="263" t="s">
        <v>2958</v>
      </c>
      <c r="E1130" s="263" t="s">
        <v>84</v>
      </c>
      <c r="F1130">
        <v>0</v>
      </c>
      <c r="G1130">
        <v>2</v>
      </c>
      <c r="H1130" s="263" t="s">
        <v>436</v>
      </c>
      <c r="I1130" s="264"/>
      <c r="J1130" s="263" t="s">
        <v>437</v>
      </c>
    </row>
    <row r="1131" spans="1:10" x14ac:dyDescent="0.15">
      <c r="A1131" s="263" t="s">
        <v>2991</v>
      </c>
      <c r="B1131" s="263" t="s">
        <v>2960</v>
      </c>
      <c r="C1131" s="263" t="s">
        <v>99</v>
      </c>
      <c r="D1131" s="263" t="s">
        <v>2961</v>
      </c>
      <c r="E1131" s="263" t="s">
        <v>84</v>
      </c>
      <c r="F1131">
        <v>0</v>
      </c>
      <c r="G1131">
        <v>2</v>
      </c>
      <c r="H1131" s="263" t="s">
        <v>436</v>
      </c>
      <c r="I1131" s="264"/>
      <c r="J1131" s="263" t="s">
        <v>437</v>
      </c>
    </row>
    <row r="1132" spans="1:10" x14ac:dyDescent="0.15">
      <c r="A1132" s="263" t="s">
        <v>2992</v>
      </c>
      <c r="B1132" s="263" t="s">
        <v>2993</v>
      </c>
      <c r="C1132" s="263" t="s">
        <v>98</v>
      </c>
      <c r="D1132" s="263" t="s">
        <v>2994</v>
      </c>
      <c r="E1132" s="263" t="s">
        <v>110</v>
      </c>
      <c r="F1132">
        <v>0</v>
      </c>
      <c r="G1132">
        <v>2</v>
      </c>
      <c r="H1132" s="263" t="s">
        <v>436</v>
      </c>
      <c r="I1132" s="264"/>
      <c r="J1132" s="263" t="s">
        <v>437</v>
      </c>
    </row>
    <row r="1133" spans="1:10" x14ac:dyDescent="0.15">
      <c r="A1133" s="263" t="s">
        <v>2995</v>
      </c>
      <c r="B1133" s="263" t="s">
        <v>2996</v>
      </c>
      <c r="C1133" s="263" t="s">
        <v>98</v>
      </c>
      <c r="D1133" s="263" t="s">
        <v>2997</v>
      </c>
      <c r="E1133" s="263" t="s">
        <v>110</v>
      </c>
      <c r="F1133">
        <v>0</v>
      </c>
      <c r="G1133">
        <v>2</v>
      </c>
      <c r="H1133" s="263" t="s">
        <v>436</v>
      </c>
      <c r="I1133" s="264"/>
      <c r="J1133" s="263" t="s">
        <v>437</v>
      </c>
    </row>
    <row r="1134" spans="1:10" x14ac:dyDescent="0.15">
      <c r="A1134" s="263" t="s">
        <v>2998</v>
      </c>
      <c r="B1134" s="263" t="s">
        <v>2999</v>
      </c>
      <c r="C1134" s="263" t="s">
        <v>98</v>
      </c>
      <c r="D1134" s="263" t="s">
        <v>3000</v>
      </c>
      <c r="E1134" s="263" t="s">
        <v>110</v>
      </c>
      <c r="F1134">
        <v>0</v>
      </c>
      <c r="G1134">
        <v>2</v>
      </c>
      <c r="H1134" s="263" t="s">
        <v>436</v>
      </c>
      <c r="I1134" s="264"/>
      <c r="J1134" s="263" t="s">
        <v>437</v>
      </c>
    </row>
    <row r="1135" spans="1:10" x14ac:dyDescent="0.15">
      <c r="A1135" s="263" t="s">
        <v>3001</v>
      </c>
      <c r="B1135" s="263" t="s">
        <v>3002</v>
      </c>
      <c r="C1135" s="263" t="s">
        <v>98</v>
      </c>
      <c r="D1135" s="263" t="s">
        <v>3003</v>
      </c>
      <c r="E1135" s="263" t="s">
        <v>110</v>
      </c>
      <c r="F1135">
        <v>0</v>
      </c>
      <c r="G1135">
        <v>2</v>
      </c>
      <c r="H1135" s="263" t="s">
        <v>436</v>
      </c>
      <c r="I1135" s="264"/>
      <c r="J1135" s="263" t="s">
        <v>437</v>
      </c>
    </row>
    <row r="1136" spans="1:10" x14ac:dyDescent="0.15">
      <c r="A1136" s="263" t="s">
        <v>3004</v>
      </c>
      <c r="B1136" s="263" t="s">
        <v>3005</v>
      </c>
      <c r="C1136" s="263" t="s">
        <v>98</v>
      </c>
      <c r="D1136" s="263" t="s">
        <v>3006</v>
      </c>
      <c r="E1136" s="263" t="s">
        <v>110</v>
      </c>
      <c r="F1136">
        <v>0</v>
      </c>
      <c r="G1136">
        <v>2</v>
      </c>
      <c r="H1136" s="263" t="s">
        <v>436</v>
      </c>
      <c r="I1136" s="264"/>
      <c r="J1136" s="263" t="s">
        <v>437</v>
      </c>
    </row>
    <row r="1137" spans="1:10" x14ac:dyDescent="0.15">
      <c r="A1137" s="263" t="s">
        <v>3007</v>
      </c>
      <c r="B1137" s="263" t="s">
        <v>3008</v>
      </c>
      <c r="C1137" s="263" t="s">
        <v>98</v>
      </c>
      <c r="D1137" s="263" t="s">
        <v>3009</v>
      </c>
      <c r="E1137" s="263" t="s">
        <v>110</v>
      </c>
      <c r="F1137">
        <v>0</v>
      </c>
      <c r="G1137">
        <v>2</v>
      </c>
      <c r="H1137" s="263" t="s">
        <v>436</v>
      </c>
      <c r="I1137" s="264"/>
      <c r="J1137" s="263" t="s">
        <v>437</v>
      </c>
    </row>
    <row r="1138" spans="1:10" x14ac:dyDescent="0.15">
      <c r="A1138" s="263" t="s">
        <v>3010</v>
      </c>
      <c r="B1138" s="263" t="s">
        <v>3011</v>
      </c>
      <c r="C1138" s="263" t="s">
        <v>98</v>
      </c>
      <c r="D1138" s="263" t="s">
        <v>3012</v>
      </c>
      <c r="E1138" s="263" t="s">
        <v>110</v>
      </c>
      <c r="F1138">
        <v>0</v>
      </c>
      <c r="G1138">
        <v>2</v>
      </c>
      <c r="H1138" s="263" t="s">
        <v>436</v>
      </c>
      <c r="I1138" s="264"/>
      <c r="J1138" s="263" t="s">
        <v>437</v>
      </c>
    </row>
    <row r="1139" spans="1:10" x14ac:dyDescent="0.15">
      <c r="A1139" s="263" t="s">
        <v>3013</v>
      </c>
      <c r="B1139" s="263" t="s">
        <v>3014</v>
      </c>
      <c r="C1139" s="263" t="s">
        <v>98</v>
      </c>
      <c r="D1139" s="263" t="s">
        <v>3015</v>
      </c>
      <c r="E1139" s="263" t="s">
        <v>110</v>
      </c>
      <c r="F1139">
        <v>0</v>
      </c>
      <c r="G1139">
        <v>2</v>
      </c>
      <c r="H1139" s="263" t="s">
        <v>436</v>
      </c>
      <c r="I1139" s="264"/>
      <c r="J1139" s="263" t="s">
        <v>437</v>
      </c>
    </row>
    <row r="1140" spans="1:10" x14ac:dyDescent="0.15">
      <c r="A1140" s="263" t="s">
        <v>3016</v>
      </c>
      <c r="B1140" s="263" t="s">
        <v>3017</v>
      </c>
      <c r="C1140" s="263" t="s">
        <v>98</v>
      </c>
      <c r="D1140" s="263" t="s">
        <v>3018</v>
      </c>
      <c r="E1140" s="263" t="s">
        <v>110</v>
      </c>
      <c r="F1140">
        <v>0</v>
      </c>
      <c r="G1140">
        <v>2</v>
      </c>
      <c r="H1140" s="263" t="s">
        <v>436</v>
      </c>
      <c r="I1140" s="264"/>
      <c r="J1140" s="263" t="s">
        <v>437</v>
      </c>
    </row>
    <row r="1141" spans="1:10" x14ac:dyDescent="0.15">
      <c r="A1141" s="263" t="s">
        <v>3019</v>
      </c>
      <c r="B1141" s="263" t="s">
        <v>3020</v>
      </c>
      <c r="C1141" s="263" t="s">
        <v>98</v>
      </c>
      <c r="D1141" s="263" t="s">
        <v>3021</v>
      </c>
      <c r="E1141" s="263" t="s">
        <v>110</v>
      </c>
      <c r="F1141">
        <v>0</v>
      </c>
      <c r="G1141">
        <v>2</v>
      </c>
      <c r="H1141" s="263" t="s">
        <v>436</v>
      </c>
      <c r="I1141" s="264"/>
      <c r="J1141" s="263" t="s">
        <v>437</v>
      </c>
    </row>
    <row r="1142" spans="1:10" x14ac:dyDescent="0.15">
      <c r="A1142" s="263" t="s">
        <v>3022</v>
      </c>
      <c r="B1142" s="263" t="s">
        <v>3023</v>
      </c>
      <c r="C1142" s="263" t="s">
        <v>98</v>
      </c>
      <c r="D1142" s="263" t="s">
        <v>3024</v>
      </c>
      <c r="E1142" s="263" t="s">
        <v>110</v>
      </c>
      <c r="F1142">
        <v>0</v>
      </c>
      <c r="G1142">
        <v>2</v>
      </c>
      <c r="H1142" s="263" t="s">
        <v>436</v>
      </c>
      <c r="I1142" s="264"/>
      <c r="J1142" s="263" t="s">
        <v>437</v>
      </c>
    </row>
    <row r="1143" spans="1:10" x14ac:dyDescent="0.15">
      <c r="A1143" s="263" t="s">
        <v>3025</v>
      </c>
      <c r="B1143" s="263" t="s">
        <v>3026</v>
      </c>
      <c r="C1143" s="263" t="s">
        <v>98</v>
      </c>
      <c r="D1143" s="263" t="s">
        <v>3027</v>
      </c>
      <c r="E1143" s="263" t="s">
        <v>110</v>
      </c>
      <c r="F1143">
        <v>0</v>
      </c>
      <c r="G1143">
        <v>2</v>
      </c>
      <c r="H1143" s="263" t="s">
        <v>436</v>
      </c>
      <c r="I1143" s="264"/>
      <c r="J1143" s="263" t="s">
        <v>437</v>
      </c>
    </row>
    <row r="1144" spans="1:10" x14ac:dyDescent="0.15">
      <c r="A1144" s="263" t="s">
        <v>3028</v>
      </c>
      <c r="B1144" s="263" t="s">
        <v>3029</v>
      </c>
      <c r="C1144" s="263" t="s">
        <v>98</v>
      </c>
      <c r="D1144" s="263" t="s">
        <v>3030</v>
      </c>
      <c r="E1144" s="263" t="s">
        <v>110</v>
      </c>
      <c r="F1144">
        <v>0</v>
      </c>
      <c r="G1144">
        <v>2</v>
      </c>
      <c r="H1144" s="263" t="s">
        <v>436</v>
      </c>
      <c r="I1144" s="264"/>
      <c r="J1144" s="263" t="s">
        <v>437</v>
      </c>
    </row>
    <row r="1145" spans="1:10" x14ac:dyDescent="0.15">
      <c r="A1145" s="263" t="s">
        <v>3031</v>
      </c>
      <c r="B1145" s="263" t="s">
        <v>3032</v>
      </c>
      <c r="C1145" s="263" t="s">
        <v>98</v>
      </c>
      <c r="D1145" s="263" t="s">
        <v>3033</v>
      </c>
      <c r="E1145" s="263" t="s">
        <v>110</v>
      </c>
      <c r="F1145">
        <v>0</v>
      </c>
      <c r="G1145">
        <v>2</v>
      </c>
      <c r="H1145" s="263" t="s">
        <v>436</v>
      </c>
      <c r="I1145" s="264"/>
      <c r="J1145" s="263" t="s">
        <v>437</v>
      </c>
    </row>
    <row r="1146" spans="1:10" x14ac:dyDescent="0.15">
      <c r="A1146" s="263" t="s">
        <v>3034</v>
      </c>
      <c r="B1146" s="263" t="s">
        <v>3035</v>
      </c>
      <c r="C1146" s="263" t="s">
        <v>98</v>
      </c>
      <c r="D1146" s="263" t="s">
        <v>3036</v>
      </c>
      <c r="E1146" s="263" t="s">
        <v>110</v>
      </c>
      <c r="F1146">
        <v>0</v>
      </c>
      <c r="G1146">
        <v>2</v>
      </c>
      <c r="H1146" s="263" t="s">
        <v>436</v>
      </c>
      <c r="I1146" s="264"/>
      <c r="J1146" s="263" t="s">
        <v>437</v>
      </c>
    </row>
    <row r="1147" spans="1:10" x14ac:dyDescent="0.15">
      <c r="A1147" s="263" t="s">
        <v>3037</v>
      </c>
      <c r="B1147" s="263" t="s">
        <v>3038</v>
      </c>
      <c r="C1147" s="263" t="s">
        <v>98</v>
      </c>
      <c r="D1147" s="263" t="s">
        <v>3039</v>
      </c>
      <c r="E1147" s="263" t="s">
        <v>110</v>
      </c>
      <c r="F1147">
        <v>0</v>
      </c>
      <c r="G1147">
        <v>2</v>
      </c>
      <c r="H1147" s="263" t="s">
        <v>436</v>
      </c>
      <c r="I1147" s="264"/>
      <c r="J1147" s="263" t="s">
        <v>437</v>
      </c>
    </row>
    <row r="1148" spans="1:10" x14ac:dyDescent="0.15">
      <c r="A1148" s="263" t="s">
        <v>3040</v>
      </c>
      <c r="B1148" s="263" t="s">
        <v>3041</v>
      </c>
      <c r="C1148" s="263" t="s">
        <v>98</v>
      </c>
      <c r="D1148" s="263" t="s">
        <v>3042</v>
      </c>
      <c r="E1148" s="263" t="s">
        <v>110</v>
      </c>
      <c r="F1148">
        <v>0</v>
      </c>
      <c r="G1148">
        <v>2</v>
      </c>
      <c r="H1148" s="263" t="s">
        <v>436</v>
      </c>
      <c r="I1148" s="264"/>
      <c r="J1148" s="263" t="s">
        <v>437</v>
      </c>
    </row>
    <row r="1149" spans="1:10" x14ac:dyDescent="0.15">
      <c r="A1149" s="263" t="s">
        <v>3043</v>
      </c>
      <c r="B1149" s="263" t="s">
        <v>3044</v>
      </c>
      <c r="C1149" s="263" t="s">
        <v>98</v>
      </c>
      <c r="D1149" s="263" t="s">
        <v>3045</v>
      </c>
      <c r="E1149" s="263" t="s">
        <v>110</v>
      </c>
      <c r="F1149">
        <v>0</v>
      </c>
      <c r="G1149">
        <v>2</v>
      </c>
      <c r="H1149" s="263" t="s">
        <v>436</v>
      </c>
      <c r="I1149" s="264"/>
      <c r="J1149" s="263" t="s">
        <v>437</v>
      </c>
    </row>
    <row r="1150" spans="1:10" x14ac:dyDescent="0.15">
      <c r="A1150" s="263" t="s">
        <v>3046</v>
      </c>
      <c r="B1150" s="263" t="s">
        <v>3047</v>
      </c>
      <c r="C1150" s="263" t="s">
        <v>98</v>
      </c>
      <c r="D1150" s="263" t="s">
        <v>3048</v>
      </c>
      <c r="E1150" s="263" t="s">
        <v>110</v>
      </c>
      <c r="F1150">
        <v>0</v>
      </c>
      <c r="G1150">
        <v>2</v>
      </c>
      <c r="H1150" s="263" t="s">
        <v>436</v>
      </c>
      <c r="I1150" s="264"/>
      <c r="J1150" s="263" t="s">
        <v>437</v>
      </c>
    </row>
    <row r="1151" spans="1:10" x14ac:dyDescent="0.15">
      <c r="A1151" s="263" t="s">
        <v>3049</v>
      </c>
      <c r="B1151" s="263" t="s">
        <v>3050</v>
      </c>
      <c r="C1151" s="263" t="s">
        <v>98</v>
      </c>
      <c r="D1151" s="263" t="s">
        <v>3051</v>
      </c>
      <c r="E1151" s="263" t="s">
        <v>110</v>
      </c>
      <c r="F1151">
        <v>0</v>
      </c>
      <c r="G1151">
        <v>2</v>
      </c>
      <c r="H1151" s="263" t="s">
        <v>436</v>
      </c>
      <c r="I1151" s="264"/>
      <c r="J1151" s="263" t="s">
        <v>437</v>
      </c>
    </row>
    <row r="1152" spans="1:10" x14ac:dyDescent="0.15">
      <c r="A1152" s="263" t="s">
        <v>3052</v>
      </c>
      <c r="B1152" s="263" t="s">
        <v>3053</v>
      </c>
      <c r="C1152" s="263" t="s">
        <v>98</v>
      </c>
      <c r="D1152" s="263" t="s">
        <v>3054</v>
      </c>
      <c r="E1152" s="263" t="s">
        <v>110</v>
      </c>
      <c r="F1152">
        <v>0</v>
      </c>
      <c r="G1152">
        <v>2</v>
      </c>
      <c r="H1152" s="263" t="s">
        <v>436</v>
      </c>
      <c r="I1152" s="264"/>
      <c r="J1152" s="263" t="s">
        <v>437</v>
      </c>
    </row>
    <row r="1153" spans="1:10" x14ac:dyDescent="0.15">
      <c r="A1153" s="263" t="s">
        <v>3055</v>
      </c>
      <c r="B1153" s="263" t="s">
        <v>2993</v>
      </c>
      <c r="C1153" s="263" t="s">
        <v>99</v>
      </c>
      <c r="D1153" s="263" t="s">
        <v>2994</v>
      </c>
      <c r="E1153" s="263" t="s">
        <v>84</v>
      </c>
      <c r="F1153">
        <v>0</v>
      </c>
      <c r="G1153">
        <v>2</v>
      </c>
      <c r="H1153" s="263" t="s">
        <v>436</v>
      </c>
      <c r="I1153" s="264"/>
      <c r="J1153" s="263" t="s">
        <v>437</v>
      </c>
    </row>
    <row r="1154" spans="1:10" x14ac:dyDescent="0.15">
      <c r="A1154" s="263" t="s">
        <v>3056</v>
      </c>
      <c r="B1154" s="263" t="s">
        <v>2996</v>
      </c>
      <c r="C1154" s="263" t="s">
        <v>99</v>
      </c>
      <c r="D1154" s="263" t="s">
        <v>2997</v>
      </c>
      <c r="E1154" s="263" t="s">
        <v>84</v>
      </c>
      <c r="F1154">
        <v>0</v>
      </c>
      <c r="G1154">
        <v>2</v>
      </c>
      <c r="H1154" s="263" t="s">
        <v>436</v>
      </c>
      <c r="I1154" s="264"/>
      <c r="J1154" s="263" t="s">
        <v>437</v>
      </c>
    </row>
    <row r="1155" spans="1:10" x14ac:dyDescent="0.15">
      <c r="A1155" s="263" t="s">
        <v>3057</v>
      </c>
      <c r="B1155" s="263" t="s">
        <v>2999</v>
      </c>
      <c r="C1155" s="263" t="s">
        <v>99</v>
      </c>
      <c r="D1155" s="263" t="s">
        <v>3000</v>
      </c>
      <c r="E1155" s="263" t="s">
        <v>84</v>
      </c>
      <c r="F1155">
        <v>0</v>
      </c>
      <c r="G1155">
        <v>2</v>
      </c>
      <c r="H1155" s="263" t="s">
        <v>436</v>
      </c>
      <c r="I1155" s="264"/>
      <c r="J1155" s="263" t="s">
        <v>437</v>
      </c>
    </row>
    <row r="1156" spans="1:10" x14ac:dyDescent="0.15">
      <c r="A1156" s="263" t="s">
        <v>3058</v>
      </c>
      <c r="B1156" s="263" t="s">
        <v>3059</v>
      </c>
      <c r="C1156" s="263" t="s">
        <v>96</v>
      </c>
      <c r="D1156" s="263" t="s">
        <v>3060</v>
      </c>
      <c r="E1156" s="263" t="s">
        <v>97</v>
      </c>
      <c r="F1156">
        <v>0</v>
      </c>
      <c r="G1156">
        <v>2</v>
      </c>
      <c r="H1156" s="263" t="s">
        <v>436</v>
      </c>
      <c r="I1156" s="264"/>
      <c r="J1156" s="263" t="s">
        <v>437</v>
      </c>
    </row>
    <row r="1157" spans="1:10" x14ac:dyDescent="0.15">
      <c r="A1157" s="263" t="s">
        <v>3061</v>
      </c>
      <c r="B1157" s="263" t="s">
        <v>3059</v>
      </c>
      <c r="C1157" s="263" t="s">
        <v>81</v>
      </c>
      <c r="D1157" s="263" t="s">
        <v>3060</v>
      </c>
      <c r="E1157" s="263" t="s">
        <v>88</v>
      </c>
      <c r="F1157">
        <v>0</v>
      </c>
      <c r="G1157">
        <v>2</v>
      </c>
      <c r="H1157" s="263" t="s">
        <v>436</v>
      </c>
      <c r="I1157" s="264"/>
      <c r="J1157" s="263" t="s">
        <v>437</v>
      </c>
    </row>
    <row r="1158" spans="1:10" x14ac:dyDescent="0.15">
      <c r="A1158" s="263" t="s">
        <v>3062</v>
      </c>
      <c r="B1158" s="263" t="s">
        <v>3063</v>
      </c>
      <c r="C1158" s="263" t="s">
        <v>96</v>
      </c>
      <c r="D1158" s="263" t="s">
        <v>3064</v>
      </c>
      <c r="E1158" s="263" t="s">
        <v>97</v>
      </c>
      <c r="F1158">
        <v>0</v>
      </c>
      <c r="G1158">
        <v>2</v>
      </c>
      <c r="H1158" s="263" t="s">
        <v>436</v>
      </c>
      <c r="I1158" s="264"/>
      <c r="J1158" s="263" t="s">
        <v>437</v>
      </c>
    </row>
    <row r="1159" spans="1:10" x14ac:dyDescent="0.15">
      <c r="A1159" s="263" t="s">
        <v>3065</v>
      </c>
      <c r="B1159" s="263" t="s">
        <v>3066</v>
      </c>
      <c r="C1159" s="263" t="s">
        <v>81</v>
      </c>
      <c r="D1159" s="263" t="s">
        <v>3067</v>
      </c>
      <c r="E1159" s="263" t="s">
        <v>88</v>
      </c>
      <c r="F1159">
        <v>0</v>
      </c>
      <c r="G1159">
        <v>2</v>
      </c>
      <c r="H1159" s="263" t="s">
        <v>436</v>
      </c>
      <c r="I1159" s="264"/>
      <c r="J1159" s="263" t="s">
        <v>437</v>
      </c>
    </row>
    <row r="1160" spans="1:10" x14ac:dyDescent="0.15">
      <c r="A1160" s="263" t="s">
        <v>3068</v>
      </c>
      <c r="B1160" s="263" t="s">
        <v>3069</v>
      </c>
      <c r="C1160" s="263" t="s">
        <v>81</v>
      </c>
      <c r="D1160" s="263" t="s">
        <v>3070</v>
      </c>
      <c r="E1160" s="263" t="s">
        <v>88</v>
      </c>
      <c r="F1160">
        <v>0</v>
      </c>
      <c r="G1160">
        <v>2</v>
      </c>
      <c r="H1160" s="263" t="s">
        <v>436</v>
      </c>
      <c r="I1160" s="264"/>
      <c r="J1160" s="263" t="s">
        <v>437</v>
      </c>
    </row>
    <row r="1161" spans="1:10" x14ac:dyDescent="0.15">
      <c r="A1161" s="263" t="s">
        <v>3071</v>
      </c>
      <c r="B1161" s="263" t="s">
        <v>9622</v>
      </c>
      <c r="C1161" s="263" t="s">
        <v>98</v>
      </c>
      <c r="D1161" s="263" t="s">
        <v>9623</v>
      </c>
      <c r="E1161" s="263" t="s">
        <v>110</v>
      </c>
      <c r="F1161">
        <v>0</v>
      </c>
      <c r="G1161">
        <v>2</v>
      </c>
      <c r="H1161" s="263" t="s">
        <v>436</v>
      </c>
      <c r="I1161" s="264"/>
      <c r="J1161" s="263" t="s">
        <v>437</v>
      </c>
    </row>
    <row r="1162" spans="1:10" x14ac:dyDescent="0.15">
      <c r="A1162" s="263" t="s">
        <v>3072</v>
      </c>
      <c r="B1162" s="263" t="s">
        <v>9622</v>
      </c>
      <c r="C1162" s="263" t="s">
        <v>99</v>
      </c>
      <c r="D1162" s="263" t="s">
        <v>9623</v>
      </c>
      <c r="E1162" s="263" t="s">
        <v>84</v>
      </c>
      <c r="F1162">
        <v>0</v>
      </c>
      <c r="G1162">
        <v>2</v>
      </c>
      <c r="H1162" s="263" t="s">
        <v>436</v>
      </c>
      <c r="I1162" s="264"/>
      <c r="J1162" s="263" t="s">
        <v>437</v>
      </c>
    </row>
    <row r="1163" spans="1:10" x14ac:dyDescent="0.15">
      <c r="A1163" s="263" t="s">
        <v>3073</v>
      </c>
      <c r="B1163" s="263" t="s">
        <v>3074</v>
      </c>
      <c r="C1163" s="263" t="s">
        <v>98</v>
      </c>
      <c r="D1163" s="263" t="s">
        <v>3075</v>
      </c>
      <c r="E1163" s="263" t="s">
        <v>110</v>
      </c>
      <c r="F1163">
        <v>0</v>
      </c>
      <c r="G1163">
        <v>2</v>
      </c>
      <c r="H1163" s="263" t="s">
        <v>436</v>
      </c>
      <c r="I1163" s="264"/>
      <c r="J1163" s="263" t="s">
        <v>437</v>
      </c>
    </row>
    <row r="1164" spans="1:10" x14ac:dyDescent="0.15">
      <c r="A1164" s="263" t="s">
        <v>3076</v>
      </c>
      <c r="B1164" s="263" t="s">
        <v>3077</v>
      </c>
      <c r="C1164" s="263" t="s">
        <v>98</v>
      </c>
      <c r="D1164" s="263" t="s">
        <v>3078</v>
      </c>
      <c r="E1164" s="263" t="s">
        <v>110</v>
      </c>
      <c r="F1164">
        <v>0</v>
      </c>
      <c r="G1164">
        <v>2</v>
      </c>
      <c r="H1164" s="263" t="s">
        <v>436</v>
      </c>
      <c r="I1164" s="264"/>
      <c r="J1164" s="263" t="s">
        <v>437</v>
      </c>
    </row>
    <row r="1165" spans="1:10" x14ac:dyDescent="0.15">
      <c r="A1165" s="263" t="s">
        <v>3079</v>
      </c>
      <c r="B1165" s="263" t="s">
        <v>3080</v>
      </c>
      <c r="C1165" s="263" t="s">
        <v>98</v>
      </c>
      <c r="D1165" s="263" t="s">
        <v>9624</v>
      </c>
      <c r="E1165" s="263" t="s">
        <v>110</v>
      </c>
      <c r="F1165">
        <v>0</v>
      </c>
      <c r="G1165">
        <v>2</v>
      </c>
      <c r="H1165" s="263" t="s">
        <v>436</v>
      </c>
      <c r="I1165" s="264"/>
      <c r="J1165" s="263" t="s">
        <v>437</v>
      </c>
    </row>
    <row r="1166" spans="1:10" x14ac:dyDescent="0.15">
      <c r="A1166" s="263" t="s">
        <v>9625</v>
      </c>
      <c r="B1166" s="263" t="s">
        <v>9626</v>
      </c>
      <c r="C1166" s="263" t="s">
        <v>98</v>
      </c>
      <c r="D1166" s="263" t="s">
        <v>9627</v>
      </c>
      <c r="E1166" s="263" t="s">
        <v>110</v>
      </c>
      <c r="F1166">
        <v>0</v>
      </c>
      <c r="G1166">
        <v>2</v>
      </c>
      <c r="H1166" s="263" t="s">
        <v>436</v>
      </c>
      <c r="I1166" s="264"/>
      <c r="J1166" s="263" t="s">
        <v>437</v>
      </c>
    </row>
    <row r="1167" spans="1:10" x14ac:dyDescent="0.15">
      <c r="A1167" s="263" t="s">
        <v>9628</v>
      </c>
      <c r="B1167" s="263" t="s">
        <v>9626</v>
      </c>
      <c r="C1167" s="263" t="s">
        <v>94</v>
      </c>
      <c r="D1167" s="263" t="s">
        <v>9627</v>
      </c>
      <c r="E1167" s="263" t="s">
        <v>94</v>
      </c>
      <c r="F1167">
        <v>0</v>
      </c>
      <c r="G1167">
        <v>2</v>
      </c>
      <c r="H1167" s="263" t="s">
        <v>436</v>
      </c>
      <c r="I1167" s="264"/>
      <c r="J1167" s="263" t="s">
        <v>437</v>
      </c>
    </row>
    <row r="1168" spans="1:10" x14ac:dyDescent="0.15">
      <c r="A1168" s="263" t="s">
        <v>9629</v>
      </c>
      <c r="B1168" s="263" t="s">
        <v>9630</v>
      </c>
      <c r="C1168" s="263" t="s">
        <v>99</v>
      </c>
      <c r="D1168" s="263" t="s">
        <v>9631</v>
      </c>
      <c r="E1168" s="263" t="s">
        <v>84</v>
      </c>
      <c r="F1168">
        <v>0</v>
      </c>
      <c r="G1168">
        <v>2</v>
      </c>
      <c r="H1168" s="263" t="s">
        <v>436</v>
      </c>
      <c r="I1168" s="264"/>
      <c r="J1168" s="263" t="s">
        <v>437</v>
      </c>
    </row>
    <row r="1169" spans="1:10" x14ac:dyDescent="0.15">
      <c r="A1169" s="263" t="s">
        <v>9632</v>
      </c>
      <c r="B1169" s="263" t="s">
        <v>9630</v>
      </c>
      <c r="C1169" s="263" t="s">
        <v>94</v>
      </c>
      <c r="D1169" s="263" t="s">
        <v>9631</v>
      </c>
      <c r="E1169" s="263" t="s">
        <v>94</v>
      </c>
      <c r="F1169">
        <v>0</v>
      </c>
      <c r="G1169">
        <v>2</v>
      </c>
      <c r="H1169" s="263" t="s">
        <v>436</v>
      </c>
      <c r="I1169" s="264"/>
      <c r="J1169" s="263" t="s">
        <v>437</v>
      </c>
    </row>
    <row r="1170" spans="1:10" x14ac:dyDescent="0.15">
      <c r="A1170" s="263" t="s">
        <v>9633</v>
      </c>
      <c r="B1170" s="263" t="s">
        <v>9630</v>
      </c>
      <c r="C1170" s="263" t="s">
        <v>96</v>
      </c>
      <c r="D1170" s="263" t="s">
        <v>9631</v>
      </c>
      <c r="E1170" s="263" t="s">
        <v>97</v>
      </c>
      <c r="F1170">
        <v>0</v>
      </c>
      <c r="G1170">
        <v>2</v>
      </c>
      <c r="H1170" s="263" t="s">
        <v>436</v>
      </c>
      <c r="I1170" s="264"/>
      <c r="J1170" s="263" t="s">
        <v>437</v>
      </c>
    </row>
    <row r="1171" spans="1:10" x14ac:dyDescent="0.15">
      <c r="A1171" s="263" t="s">
        <v>9634</v>
      </c>
      <c r="B1171" s="263" t="s">
        <v>2596</v>
      </c>
      <c r="C1171" s="263" t="s">
        <v>98</v>
      </c>
      <c r="D1171" s="263" t="s">
        <v>2597</v>
      </c>
      <c r="E1171" s="263" t="s">
        <v>110</v>
      </c>
      <c r="F1171">
        <v>0</v>
      </c>
      <c r="G1171">
        <v>2</v>
      </c>
      <c r="H1171" s="263" t="s">
        <v>436</v>
      </c>
      <c r="I1171" s="264"/>
      <c r="J1171" s="263" t="s">
        <v>437</v>
      </c>
    </row>
    <row r="1172" spans="1:10" x14ac:dyDescent="0.15">
      <c r="A1172" s="263" t="s">
        <v>9635</v>
      </c>
      <c r="B1172" s="263" t="s">
        <v>2596</v>
      </c>
      <c r="C1172" s="263" t="s">
        <v>81</v>
      </c>
      <c r="D1172" s="263" t="s">
        <v>2597</v>
      </c>
      <c r="E1172" s="263" t="s">
        <v>88</v>
      </c>
      <c r="F1172">
        <v>0</v>
      </c>
      <c r="G1172">
        <v>2</v>
      </c>
      <c r="H1172" s="263" t="s">
        <v>436</v>
      </c>
      <c r="I1172" s="264"/>
      <c r="J1172" s="263" t="s">
        <v>437</v>
      </c>
    </row>
    <row r="1173" spans="1:10" x14ac:dyDescent="0.15">
      <c r="A1173" s="263" t="s">
        <v>9636</v>
      </c>
      <c r="B1173" s="263" t="s">
        <v>2596</v>
      </c>
      <c r="C1173" s="263" t="s">
        <v>94</v>
      </c>
      <c r="D1173" s="263" t="s">
        <v>2597</v>
      </c>
      <c r="E1173" s="263" t="s">
        <v>94</v>
      </c>
      <c r="F1173">
        <v>0</v>
      </c>
      <c r="G1173">
        <v>2</v>
      </c>
      <c r="H1173" s="263" t="s">
        <v>436</v>
      </c>
      <c r="I1173" s="264"/>
      <c r="J1173" s="263" t="s">
        <v>437</v>
      </c>
    </row>
    <row r="1174" spans="1:10" x14ac:dyDescent="0.15">
      <c r="A1174" s="263" t="s">
        <v>9637</v>
      </c>
      <c r="B1174" s="263" t="s">
        <v>2596</v>
      </c>
      <c r="C1174" s="263" t="s">
        <v>96</v>
      </c>
      <c r="D1174" s="263" t="s">
        <v>2597</v>
      </c>
      <c r="E1174" s="263" t="s">
        <v>97</v>
      </c>
      <c r="F1174">
        <v>0</v>
      </c>
      <c r="G1174">
        <v>2</v>
      </c>
      <c r="H1174" s="263" t="s">
        <v>436</v>
      </c>
      <c r="I1174" s="264"/>
      <c r="J1174" s="263" t="s">
        <v>437</v>
      </c>
    </row>
    <row r="1175" spans="1:10" x14ac:dyDescent="0.15">
      <c r="A1175" s="263" t="s">
        <v>9638</v>
      </c>
      <c r="B1175" s="263" t="s">
        <v>2600</v>
      </c>
      <c r="C1175" s="263" t="s">
        <v>96</v>
      </c>
      <c r="D1175" s="263" t="s">
        <v>2601</v>
      </c>
      <c r="E1175" s="263" t="s">
        <v>97</v>
      </c>
      <c r="F1175">
        <v>0</v>
      </c>
      <c r="G1175">
        <v>2</v>
      </c>
      <c r="H1175" s="263" t="s">
        <v>436</v>
      </c>
      <c r="I1175" s="264"/>
      <c r="J1175" s="263" t="s">
        <v>437</v>
      </c>
    </row>
    <row r="1176" spans="1:10" x14ac:dyDescent="0.15">
      <c r="A1176" s="263" t="s">
        <v>9639</v>
      </c>
      <c r="B1176" s="263" t="s">
        <v>2602</v>
      </c>
      <c r="C1176" s="263" t="s">
        <v>98</v>
      </c>
      <c r="D1176" s="263" t="s">
        <v>2603</v>
      </c>
      <c r="E1176" s="263" t="s">
        <v>110</v>
      </c>
      <c r="F1176">
        <v>0</v>
      </c>
      <c r="G1176">
        <v>2</v>
      </c>
      <c r="H1176" s="263" t="s">
        <v>436</v>
      </c>
      <c r="I1176" s="264"/>
      <c r="J1176" s="263" t="s">
        <v>437</v>
      </c>
    </row>
    <row r="1177" spans="1:10" x14ac:dyDescent="0.15">
      <c r="A1177" s="263" t="s">
        <v>9640</v>
      </c>
      <c r="B1177" s="263" t="s">
        <v>2602</v>
      </c>
      <c r="C1177" s="263" t="s">
        <v>94</v>
      </c>
      <c r="D1177" s="263" t="s">
        <v>2603</v>
      </c>
      <c r="E1177" s="263" t="s">
        <v>94</v>
      </c>
      <c r="F1177">
        <v>0</v>
      </c>
      <c r="G1177">
        <v>2</v>
      </c>
      <c r="H1177" s="263" t="s">
        <v>436</v>
      </c>
      <c r="I1177" s="264"/>
      <c r="J1177" s="263" t="s">
        <v>437</v>
      </c>
    </row>
    <row r="1178" spans="1:10" x14ac:dyDescent="0.15">
      <c r="A1178" s="263" t="s">
        <v>9641</v>
      </c>
      <c r="B1178" s="263" t="s">
        <v>9642</v>
      </c>
      <c r="C1178" s="263" t="s">
        <v>96</v>
      </c>
      <c r="D1178" s="263" t="s">
        <v>9643</v>
      </c>
      <c r="E1178" s="263" t="s">
        <v>97</v>
      </c>
      <c r="F1178">
        <v>0</v>
      </c>
      <c r="G1178">
        <v>2</v>
      </c>
      <c r="H1178" s="263" t="s">
        <v>436</v>
      </c>
      <c r="I1178" s="264"/>
      <c r="J1178" s="263" t="s">
        <v>437</v>
      </c>
    </row>
    <row r="1179" spans="1:10" x14ac:dyDescent="0.15">
      <c r="A1179" s="263" t="s">
        <v>9644</v>
      </c>
      <c r="B1179" s="263" t="s">
        <v>9642</v>
      </c>
      <c r="C1179" s="263" t="s">
        <v>81</v>
      </c>
      <c r="D1179" s="263" t="s">
        <v>9643</v>
      </c>
      <c r="E1179" s="263" t="s">
        <v>88</v>
      </c>
      <c r="F1179">
        <v>0</v>
      </c>
      <c r="G1179">
        <v>2</v>
      </c>
      <c r="H1179" s="263" t="s">
        <v>436</v>
      </c>
      <c r="I1179" s="264"/>
      <c r="J1179" s="263" t="s">
        <v>437</v>
      </c>
    </row>
    <row r="1180" spans="1:10" x14ac:dyDescent="0.15">
      <c r="A1180" s="263" t="s">
        <v>3081</v>
      </c>
      <c r="B1180" s="263" t="s">
        <v>3082</v>
      </c>
      <c r="C1180" s="263" t="s">
        <v>98</v>
      </c>
      <c r="D1180" s="263" t="s">
        <v>3083</v>
      </c>
      <c r="E1180" s="263" t="s">
        <v>110</v>
      </c>
      <c r="F1180">
        <v>0</v>
      </c>
      <c r="G1180">
        <v>2</v>
      </c>
      <c r="H1180" s="263" t="s">
        <v>436</v>
      </c>
      <c r="I1180" s="264"/>
      <c r="J1180" s="263" t="s">
        <v>437</v>
      </c>
    </row>
    <row r="1181" spans="1:10" x14ac:dyDescent="0.15">
      <c r="A1181" s="263" t="s">
        <v>3084</v>
      </c>
      <c r="B1181" s="263" t="s">
        <v>3085</v>
      </c>
      <c r="C1181" s="263" t="s">
        <v>105</v>
      </c>
      <c r="D1181" s="263" t="s">
        <v>3086</v>
      </c>
      <c r="E1181" s="263" t="s">
        <v>112</v>
      </c>
      <c r="F1181">
        <v>0</v>
      </c>
      <c r="G1181">
        <v>2</v>
      </c>
      <c r="H1181" s="263" t="s">
        <v>436</v>
      </c>
      <c r="I1181" s="264"/>
      <c r="J1181" s="263" t="s">
        <v>437</v>
      </c>
    </row>
    <row r="1182" spans="1:10" x14ac:dyDescent="0.15">
      <c r="A1182" s="263" t="s">
        <v>3087</v>
      </c>
      <c r="B1182" s="263" t="s">
        <v>3088</v>
      </c>
      <c r="C1182" s="263" t="s">
        <v>98</v>
      </c>
      <c r="D1182" s="263" t="s">
        <v>3089</v>
      </c>
      <c r="E1182" s="263" t="s">
        <v>110</v>
      </c>
      <c r="F1182">
        <v>0</v>
      </c>
      <c r="G1182">
        <v>2</v>
      </c>
      <c r="H1182" s="263" t="s">
        <v>436</v>
      </c>
      <c r="I1182" s="264"/>
      <c r="J1182" s="263" t="s">
        <v>437</v>
      </c>
    </row>
    <row r="1183" spans="1:10" x14ac:dyDescent="0.15">
      <c r="A1183" s="263" t="s">
        <v>3090</v>
      </c>
      <c r="B1183" s="263" t="s">
        <v>3091</v>
      </c>
      <c r="C1183" s="263" t="s">
        <v>98</v>
      </c>
      <c r="D1183" s="263" t="s">
        <v>3092</v>
      </c>
      <c r="E1183" s="263" t="s">
        <v>110</v>
      </c>
      <c r="F1183">
        <v>0</v>
      </c>
      <c r="G1183">
        <v>2</v>
      </c>
      <c r="H1183" s="263" t="s">
        <v>436</v>
      </c>
      <c r="I1183" s="264"/>
      <c r="J1183" s="263" t="s">
        <v>437</v>
      </c>
    </row>
    <row r="1184" spans="1:10" x14ac:dyDescent="0.15">
      <c r="A1184" s="263" t="s">
        <v>9066</v>
      </c>
      <c r="B1184" s="263" t="s">
        <v>9645</v>
      </c>
      <c r="C1184" s="263" t="s">
        <v>98</v>
      </c>
      <c r="D1184" s="263" t="s">
        <v>9646</v>
      </c>
      <c r="E1184" s="263" t="s">
        <v>109</v>
      </c>
      <c r="F1184">
        <v>0</v>
      </c>
      <c r="G1184">
        <v>2</v>
      </c>
      <c r="H1184" s="263" t="s">
        <v>436</v>
      </c>
      <c r="I1184" s="264"/>
      <c r="J1184" s="263" t="s">
        <v>437</v>
      </c>
    </row>
    <row r="1185" spans="1:10" x14ac:dyDescent="0.15">
      <c r="A1185" s="263" t="s">
        <v>3095</v>
      </c>
      <c r="B1185" s="263" t="s">
        <v>3096</v>
      </c>
      <c r="C1185" s="263" t="s">
        <v>94</v>
      </c>
      <c r="D1185" s="263" t="s">
        <v>3097</v>
      </c>
      <c r="E1185" s="263" t="s">
        <v>94</v>
      </c>
      <c r="F1185">
        <v>0</v>
      </c>
      <c r="G1185">
        <v>2</v>
      </c>
      <c r="H1185" s="263" t="s">
        <v>436</v>
      </c>
      <c r="I1185" s="264"/>
      <c r="J1185" s="263" t="s">
        <v>437</v>
      </c>
    </row>
    <row r="1186" spans="1:10" x14ac:dyDescent="0.15">
      <c r="A1186" s="263" t="s">
        <v>3098</v>
      </c>
      <c r="B1186" s="263" t="s">
        <v>3099</v>
      </c>
      <c r="C1186" s="263" t="s">
        <v>101</v>
      </c>
      <c r="D1186" s="263" t="s">
        <v>3100</v>
      </c>
      <c r="E1186" s="263" t="s">
        <v>106</v>
      </c>
      <c r="F1186">
        <v>0</v>
      </c>
      <c r="G1186">
        <v>2</v>
      </c>
      <c r="H1186" s="263" t="s">
        <v>436</v>
      </c>
      <c r="I1186" s="264"/>
      <c r="J1186" s="263" t="s">
        <v>437</v>
      </c>
    </row>
    <row r="1187" spans="1:10" x14ac:dyDescent="0.15">
      <c r="A1187" s="263" t="s">
        <v>3101</v>
      </c>
      <c r="B1187" s="263" t="s">
        <v>3102</v>
      </c>
      <c r="C1187" s="263" t="s">
        <v>96</v>
      </c>
      <c r="D1187" s="263" t="s">
        <v>3103</v>
      </c>
      <c r="E1187" s="263" t="s">
        <v>97</v>
      </c>
      <c r="F1187">
        <v>0</v>
      </c>
      <c r="G1187">
        <v>2</v>
      </c>
      <c r="H1187" s="263" t="s">
        <v>436</v>
      </c>
      <c r="I1187" s="264"/>
      <c r="J1187" s="263" t="s">
        <v>437</v>
      </c>
    </row>
    <row r="1188" spans="1:10" x14ac:dyDescent="0.15">
      <c r="A1188" s="263" t="s">
        <v>3104</v>
      </c>
      <c r="B1188" s="263" t="s">
        <v>3105</v>
      </c>
      <c r="C1188" s="263" t="s">
        <v>96</v>
      </c>
      <c r="D1188" s="263" t="s">
        <v>3106</v>
      </c>
      <c r="E1188" s="263" t="s">
        <v>97</v>
      </c>
      <c r="F1188">
        <v>0</v>
      </c>
      <c r="G1188">
        <v>2</v>
      </c>
      <c r="H1188" s="263" t="s">
        <v>436</v>
      </c>
      <c r="I1188" s="264"/>
      <c r="J1188" s="263" t="s">
        <v>437</v>
      </c>
    </row>
    <row r="1189" spans="1:10" x14ac:dyDescent="0.15">
      <c r="A1189" s="263" t="s">
        <v>3107</v>
      </c>
      <c r="B1189" s="263" t="s">
        <v>3108</v>
      </c>
      <c r="C1189" s="263" t="s">
        <v>94</v>
      </c>
      <c r="D1189" s="263" t="s">
        <v>3109</v>
      </c>
      <c r="E1189" s="263" t="s">
        <v>94</v>
      </c>
      <c r="F1189">
        <v>0</v>
      </c>
      <c r="G1189">
        <v>2</v>
      </c>
      <c r="H1189" s="263" t="s">
        <v>436</v>
      </c>
      <c r="I1189" s="264"/>
      <c r="J1189" s="263" t="s">
        <v>437</v>
      </c>
    </row>
    <row r="1190" spans="1:10" x14ac:dyDescent="0.15">
      <c r="A1190" s="263" t="s">
        <v>3110</v>
      </c>
      <c r="B1190" s="263" t="s">
        <v>9647</v>
      </c>
      <c r="C1190" s="263" t="s">
        <v>98</v>
      </c>
      <c r="D1190" s="263" t="s">
        <v>9648</v>
      </c>
      <c r="E1190" s="263" t="s">
        <v>109</v>
      </c>
      <c r="F1190">
        <v>0</v>
      </c>
      <c r="G1190">
        <v>2</v>
      </c>
      <c r="H1190" s="263" t="s">
        <v>436</v>
      </c>
      <c r="I1190" s="264"/>
      <c r="J1190" s="263" t="s">
        <v>437</v>
      </c>
    </row>
    <row r="1191" spans="1:10" x14ac:dyDescent="0.15">
      <c r="A1191" s="263" t="s">
        <v>9649</v>
      </c>
      <c r="B1191" s="263" t="s">
        <v>2564</v>
      </c>
      <c r="C1191" s="263" t="s">
        <v>99</v>
      </c>
      <c r="D1191" s="263" t="s">
        <v>2565</v>
      </c>
      <c r="E1191" s="263" t="s">
        <v>84</v>
      </c>
      <c r="F1191">
        <v>0</v>
      </c>
      <c r="G1191">
        <v>2</v>
      </c>
      <c r="H1191" s="263" t="s">
        <v>436</v>
      </c>
      <c r="I1191" s="264"/>
      <c r="J1191" s="263" t="s">
        <v>437</v>
      </c>
    </row>
    <row r="1192" spans="1:10" x14ac:dyDescent="0.15">
      <c r="A1192" s="263" t="s">
        <v>9650</v>
      </c>
      <c r="B1192" s="263" t="s">
        <v>2566</v>
      </c>
      <c r="C1192" s="263" t="s">
        <v>99</v>
      </c>
      <c r="D1192" s="263" t="s">
        <v>2567</v>
      </c>
      <c r="E1192" s="263" t="s">
        <v>84</v>
      </c>
      <c r="F1192">
        <v>0</v>
      </c>
      <c r="G1192">
        <v>2</v>
      </c>
      <c r="H1192" s="263" t="s">
        <v>436</v>
      </c>
      <c r="I1192" s="264"/>
      <c r="J1192" s="263" t="s">
        <v>437</v>
      </c>
    </row>
    <row r="1193" spans="1:10" x14ac:dyDescent="0.15">
      <c r="A1193" s="263" t="s">
        <v>9651</v>
      </c>
      <c r="B1193" s="263" t="s">
        <v>2568</v>
      </c>
      <c r="C1193" s="263" t="s">
        <v>99</v>
      </c>
      <c r="D1193" s="263" t="s">
        <v>2569</v>
      </c>
      <c r="E1193" s="263" t="s">
        <v>84</v>
      </c>
      <c r="F1193">
        <v>0</v>
      </c>
      <c r="G1193">
        <v>2</v>
      </c>
      <c r="H1193" s="263" t="s">
        <v>436</v>
      </c>
      <c r="I1193" s="264"/>
      <c r="J1193" s="263" t="s">
        <v>437</v>
      </c>
    </row>
    <row r="1194" spans="1:10" x14ac:dyDescent="0.15">
      <c r="A1194" s="263" t="s">
        <v>9652</v>
      </c>
      <c r="B1194" s="263" t="s">
        <v>2570</v>
      </c>
      <c r="C1194" s="263" t="s">
        <v>99</v>
      </c>
      <c r="D1194" s="263" t="s">
        <v>2571</v>
      </c>
      <c r="E1194" s="263" t="s">
        <v>84</v>
      </c>
      <c r="F1194">
        <v>0</v>
      </c>
      <c r="G1194">
        <v>2</v>
      </c>
      <c r="H1194" s="263" t="s">
        <v>436</v>
      </c>
      <c r="I1194" s="264"/>
      <c r="J1194" s="263" t="s">
        <v>437</v>
      </c>
    </row>
    <row r="1195" spans="1:10" x14ac:dyDescent="0.15">
      <c r="A1195" s="263" t="s">
        <v>9653</v>
      </c>
      <c r="B1195" s="263" t="s">
        <v>2572</v>
      </c>
      <c r="C1195" s="263" t="s">
        <v>99</v>
      </c>
      <c r="D1195" s="263" t="s">
        <v>2573</v>
      </c>
      <c r="E1195" s="263" t="s">
        <v>84</v>
      </c>
      <c r="F1195">
        <v>0</v>
      </c>
      <c r="G1195">
        <v>2</v>
      </c>
      <c r="H1195" s="263" t="s">
        <v>436</v>
      </c>
      <c r="I1195" s="264"/>
      <c r="J1195" s="263" t="s">
        <v>437</v>
      </c>
    </row>
    <row r="1196" spans="1:10" x14ac:dyDescent="0.15">
      <c r="A1196" s="263" t="s">
        <v>9654</v>
      </c>
      <c r="B1196" s="263" t="s">
        <v>2574</v>
      </c>
      <c r="C1196" s="263" t="s">
        <v>99</v>
      </c>
      <c r="D1196" s="263" t="s">
        <v>2575</v>
      </c>
      <c r="E1196" s="263" t="s">
        <v>84</v>
      </c>
      <c r="F1196">
        <v>0</v>
      </c>
      <c r="G1196">
        <v>2</v>
      </c>
      <c r="H1196" s="263" t="s">
        <v>436</v>
      </c>
      <c r="I1196" s="264"/>
      <c r="J1196" s="263" t="s">
        <v>437</v>
      </c>
    </row>
    <row r="1197" spans="1:10" x14ac:dyDescent="0.15">
      <c r="A1197" s="263" t="s">
        <v>9655</v>
      </c>
      <c r="B1197" s="263" t="s">
        <v>2576</v>
      </c>
      <c r="C1197" s="263" t="s">
        <v>99</v>
      </c>
      <c r="D1197" s="263" t="s">
        <v>2577</v>
      </c>
      <c r="E1197" s="263" t="s">
        <v>84</v>
      </c>
      <c r="F1197">
        <v>0</v>
      </c>
      <c r="G1197">
        <v>2</v>
      </c>
      <c r="H1197" s="263" t="s">
        <v>436</v>
      </c>
      <c r="I1197" s="264"/>
      <c r="J1197" s="263" t="s">
        <v>437</v>
      </c>
    </row>
    <row r="1198" spans="1:10" x14ac:dyDescent="0.15">
      <c r="A1198" s="263" t="s">
        <v>9656</v>
      </c>
      <c r="B1198" s="263" t="s">
        <v>2578</v>
      </c>
      <c r="C1198" s="263" t="s">
        <v>99</v>
      </c>
      <c r="D1198" s="263" t="s">
        <v>2579</v>
      </c>
      <c r="E1198" s="263" t="s">
        <v>84</v>
      </c>
      <c r="F1198">
        <v>0</v>
      </c>
      <c r="G1198">
        <v>2</v>
      </c>
      <c r="H1198" s="263" t="s">
        <v>436</v>
      </c>
      <c r="I1198" s="264"/>
      <c r="J1198" s="263" t="s">
        <v>437</v>
      </c>
    </row>
    <row r="1199" spans="1:10" x14ac:dyDescent="0.15">
      <c r="A1199" s="263" t="s">
        <v>9657</v>
      </c>
      <c r="B1199" s="263" t="s">
        <v>2580</v>
      </c>
      <c r="C1199" s="263" t="s">
        <v>99</v>
      </c>
      <c r="D1199" s="263" t="s">
        <v>2581</v>
      </c>
      <c r="E1199" s="263" t="s">
        <v>84</v>
      </c>
      <c r="F1199">
        <v>0</v>
      </c>
      <c r="G1199">
        <v>2</v>
      </c>
      <c r="H1199" s="263" t="s">
        <v>436</v>
      </c>
      <c r="I1199" s="264"/>
      <c r="J1199" s="263" t="s">
        <v>437</v>
      </c>
    </row>
    <row r="1200" spans="1:10" x14ac:dyDescent="0.15">
      <c r="A1200" s="263" t="s">
        <v>9658</v>
      </c>
      <c r="B1200" s="263" t="s">
        <v>2582</v>
      </c>
      <c r="C1200" s="263" t="s">
        <v>99</v>
      </c>
      <c r="D1200" s="263" t="s">
        <v>2583</v>
      </c>
      <c r="E1200" s="263" t="s">
        <v>84</v>
      </c>
      <c r="F1200">
        <v>0</v>
      </c>
      <c r="G1200">
        <v>2</v>
      </c>
      <c r="H1200" s="263" t="s">
        <v>436</v>
      </c>
      <c r="I1200" s="264"/>
      <c r="J1200" s="263" t="s">
        <v>437</v>
      </c>
    </row>
    <row r="1201" spans="1:10" x14ac:dyDescent="0.15">
      <c r="A1201" s="263" t="s">
        <v>9659</v>
      </c>
      <c r="B1201" s="263" t="s">
        <v>2584</v>
      </c>
      <c r="C1201" s="263" t="s">
        <v>99</v>
      </c>
      <c r="D1201" s="263" t="s">
        <v>2585</v>
      </c>
      <c r="E1201" s="263" t="s">
        <v>84</v>
      </c>
      <c r="F1201">
        <v>0</v>
      </c>
      <c r="G1201">
        <v>2</v>
      </c>
      <c r="H1201" s="263" t="s">
        <v>436</v>
      </c>
      <c r="I1201" s="264"/>
      <c r="J1201" s="263" t="s">
        <v>437</v>
      </c>
    </row>
    <row r="1202" spans="1:10" x14ac:dyDescent="0.15">
      <c r="A1202" s="263" t="s">
        <v>9660</v>
      </c>
      <c r="B1202" s="263" t="s">
        <v>2586</v>
      </c>
      <c r="C1202" s="263" t="s">
        <v>99</v>
      </c>
      <c r="D1202" s="263" t="s">
        <v>2587</v>
      </c>
      <c r="E1202" s="263" t="s">
        <v>84</v>
      </c>
      <c r="F1202">
        <v>0</v>
      </c>
      <c r="G1202">
        <v>2</v>
      </c>
      <c r="H1202" s="263" t="s">
        <v>436</v>
      </c>
      <c r="I1202" s="264"/>
      <c r="J1202" s="263" t="s">
        <v>437</v>
      </c>
    </row>
    <row r="1203" spans="1:10" x14ac:dyDescent="0.15">
      <c r="A1203" s="263" t="s">
        <v>9661</v>
      </c>
      <c r="B1203" s="263" t="s">
        <v>2588</v>
      </c>
      <c r="C1203" s="263" t="s">
        <v>99</v>
      </c>
      <c r="D1203" s="263" t="s">
        <v>2589</v>
      </c>
      <c r="E1203" s="263" t="s">
        <v>84</v>
      </c>
      <c r="F1203">
        <v>0</v>
      </c>
      <c r="G1203">
        <v>2</v>
      </c>
      <c r="H1203" s="263" t="s">
        <v>436</v>
      </c>
      <c r="I1203" s="264"/>
      <c r="J1203" s="263" t="s">
        <v>437</v>
      </c>
    </row>
    <row r="1204" spans="1:10" x14ac:dyDescent="0.15">
      <c r="A1204" s="263" t="s">
        <v>9662</v>
      </c>
      <c r="B1204" s="263" t="s">
        <v>2590</v>
      </c>
      <c r="C1204" s="263" t="s">
        <v>99</v>
      </c>
      <c r="D1204" s="263" t="s">
        <v>2591</v>
      </c>
      <c r="E1204" s="263" t="s">
        <v>84</v>
      </c>
      <c r="F1204">
        <v>0</v>
      </c>
      <c r="G1204">
        <v>2</v>
      </c>
      <c r="H1204" s="263" t="s">
        <v>436</v>
      </c>
      <c r="I1204" s="264"/>
      <c r="J1204" s="263" t="s">
        <v>437</v>
      </c>
    </row>
    <row r="1205" spans="1:10" x14ac:dyDescent="0.15">
      <c r="A1205" s="263" t="s">
        <v>9663</v>
      </c>
      <c r="B1205" s="263" t="s">
        <v>2592</v>
      </c>
      <c r="C1205" s="263" t="s">
        <v>99</v>
      </c>
      <c r="D1205" s="263" t="s">
        <v>2593</v>
      </c>
      <c r="E1205" s="263" t="s">
        <v>84</v>
      </c>
      <c r="F1205">
        <v>0</v>
      </c>
      <c r="G1205">
        <v>2</v>
      </c>
      <c r="H1205" s="263" t="s">
        <v>436</v>
      </c>
      <c r="I1205" s="264"/>
      <c r="J1205" s="263" t="s">
        <v>437</v>
      </c>
    </row>
    <row r="1206" spans="1:10" x14ac:dyDescent="0.15">
      <c r="A1206" s="263" t="s">
        <v>9664</v>
      </c>
      <c r="B1206" s="263" t="s">
        <v>2594</v>
      </c>
      <c r="C1206" s="263" t="s">
        <v>99</v>
      </c>
      <c r="D1206" s="263" t="s">
        <v>2595</v>
      </c>
      <c r="E1206" s="263" t="s">
        <v>84</v>
      </c>
      <c r="F1206">
        <v>0</v>
      </c>
      <c r="G1206">
        <v>2</v>
      </c>
      <c r="H1206" s="263" t="s">
        <v>436</v>
      </c>
      <c r="I1206" s="264"/>
      <c r="J1206" s="263" t="s">
        <v>437</v>
      </c>
    </row>
    <row r="1207" spans="1:10" x14ac:dyDescent="0.15">
      <c r="A1207" s="263" t="s">
        <v>9665</v>
      </c>
      <c r="B1207" s="263" t="s">
        <v>9666</v>
      </c>
      <c r="C1207" s="263" t="s">
        <v>98</v>
      </c>
      <c r="D1207" s="263" t="s">
        <v>9667</v>
      </c>
      <c r="E1207" s="263" t="s">
        <v>110</v>
      </c>
      <c r="F1207">
        <v>0</v>
      </c>
      <c r="G1207">
        <v>2</v>
      </c>
      <c r="H1207" s="263" t="s">
        <v>436</v>
      </c>
      <c r="I1207" s="264"/>
      <c r="J1207" s="263" t="s">
        <v>437</v>
      </c>
    </row>
    <row r="1208" spans="1:10" x14ac:dyDescent="0.15">
      <c r="A1208" s="263" t="s">
        <v>9668</v>
      </c>
      <c r="B1208" s="263" t="s">
        <v>9067</v>
      </c>
      <c r="C1208" s="263" t="s">
        <v>99</v>
      </c>
      <c r="D1208" s="263" t="s">
        <v>9068</v>
      </c>
      <c r="E1208" s="263" t="s">
        <v>84</v>
      </c>
      <c r="F1208">
        <v>0</v>
      </c>
      <c r="G1208">
        <v>2</v>
      </c>
      <c r="H1208" s="263" t="s">
        <v>436</v>
      </c>
      <c r="I1208" s="264"/>
      <c r="J1208" s="263" t="s">
        <v>437</v>
      </c>
    </row>
    <row r="1209" spans="1:10" x14ac:dyDescent="0.15">
      <c r="A1209" s="263" t="s">
        <v>9669</v>
      </c>
      <c r="B1209" s="263" t="s">
        <v>9067</v>
      </c>
      <c r="C1209" s="263" t="s">
        <v>94</v>
      </c>
      <c r="D1209" s="263" t="s">
        <v>9068</v>
      </c>
      <c r="E1209" s="263" t="s">
        <v>94</v>
      </c>
      <c r="F1209">
        <v>0</v>
      </c>
      <c r="G1209">
        <v>2</v>
      </c>
      <c r="H1209" s="263" t="s">
        <v>436</v>
      </c>
      <c r="I1209" s="264"/>
      <c r="J1209" s="263" t="s">
        <v>437</v>
      </c>
    </row>
    <row r="1210" spans="1:10" x14ac:dyDescent="0.15">
      <c r="A1210" s="263" t="s">
        <v>9670</v>
      </c>
      <c r="B1210" s="263" t="s">
        <v>3093</v>
      </c>
      <c r="C1210" s="263" t="s">
        <v>94</v>
      </c>
      <c r="D1210" s="263" t="s">
        <v>3094</v>
      </c>
      <c r="E1210" s="263" t="s">
        <v>94</v>
      </c>
      <c r="F1210">
        <v>0</v>
      </c>
      <c r="G1210">
        <v>2</v>
      </c>
      <c r="H1210" s="263" t="s">
        <v>436</v>
      </c>
      <c r="I1210" s="264"/>
      <c r="J1210" s="263" t="s">
        <v>437</v>
      </c>
    </row>
    <row r="1211" spans="1:10" x14ac:dyDescent="0.15">
      <c r="A1211" s="263" t="s">
        <v>3113</v>
      </c>
      <c r="B1211" s="263" t="s">
        <v>3114</v>
      </c>
      <c r="C1211" s="263" t="s">
        <v>94</v>
      </c>
      <c r="D1211" s="263" t="s">
        <v>3115</v>
      </c>
      <c r="E1211" s="263" t="s">
        <v>94</v>
      </c>
      <c r="F1211">
        <v>0</v>
      </c>
      <c r="G1211">
        <v>2</v>
      </c>
      <c r="H1211" s="263" t="s">
        <v>436</v>
      </c>
      <c r="I1211" s="264"/>
      <c r="J1211" s="263" t="s">
        <v>437</v>
      </c>
    </row>
    <row r="1212" spans="1:10" x14ac:dyDescent="0.15">
      <c r="A1212" s="263" t="s">
        <v>3116</v>
      </c>
      <c r="B1212" s="263" t="s">
        <v>3117</v>
      </c>
      <c r="C1212" s="263" t="s">
        <v>94</v>
      </c>
      <c r="D1212" s="263" t="s">
        <v>3118</v>
      </c>
      <c r="E1212" s="263" t="s">
        <v>94</v>
      </c>
      <c r="F1212">
        <v>0</v>
      </c>
      <c r="G1212">
        <v>2</v>
      </c>
      <c r="H1212" s="263" t="s">
        <v>436</v>
      </c>
      <c r="I1212" s="264"/>
      <c r="J1212" s="263" t="s">
        <v>437</v>
      </c>
    </row>
    <row r="1213" spans="1:10" x14ac:dyDescent="0.15">
      <c r="A1213" s="263" t="s">
        <v>3119</v>
      </c>
      <c r="B1213" s="263" t="s">
        <v>3120</v>
      </c>
      <c r="C1213" s="263" t="s">
        <v>94</v>
      </c>
      <c r="D1213" s="263" t="s">
        <v>3121</v>
      </c>
      <c r="E1213" s="263" t="s">
        <v>94</v>
      </c>
      <c r="F1213">
        <v>0</v>
      </c>
      <c r="G1213">
        <v>2</v>
      </c>
      <c r="H1213" s="263" t="s">
        <v>436</v>
      </c>
      <c r="I1213" s="264"/>
      <c r="J1213" s="263" t="s">
        <v>437</v>
      </c>
    </row>
    <row r="1214" spans="1:10" x14ac:dyDescent="0.15">
      <c r="A1214" s="263" t="s">
        <v>3122</v>
      </c>
      <c r="B1214" s="263" t="s">
        <v>3123</v>
      </c>
      <c r="C1214" s="263" t="s">
        <v>94</v>
      </c>
      <c r="D1214" s="263" t="s">
        <v>3124</v>
      </c>
      <c r="E1214" s="263" t="s">
        <v>94</v>
      </c>
      <c r="F1214">
        <v>0</v>
      </c>
      <c r="G1214">
        <v>2</v>
      </c>
      <c r="H1214" s="263" t="s">
        <v>436</v>
      </c>
      <c r="I1214" s="264"/>
      <c r="J1214" s="263" t="s">
        <v>437</v>
      </c>
    </row>
    <row r="1215" spans="1:10" x14ac:dyDescent="0.15">
      <c r="A1215" s="263" t="s">
        <v>3125</v>
      </c>
      <c r="B1215" s="263" t="s">
        <v>3126</v>
      </c>
      <c r="C1215" s="263" t="s">
        <v>96</v>
      </c>
      <c r="D1215" s="263" t="s">
        <v>3127</v>
      </c>
      <c r="E1215" s="263" t="s">
        <v>97</v>
      </c>
      <c r="F1215">
        <v>0</v>
      </c>
      <c r="G1215">
        <v>2</v>
      </c>
      <c r="H1215" s="263" t="s">
        <v>436</v>
      </c>
      <c r="I1215" s="264"/>
      <c r="J1215" s="263" t="s">
        <v>437</v>
      </c>
    </row>
    <row r="1216" spans="1:10" x14ac:dyDescent="0.15">
      <c r="A1216" s="263" t="s">
        <v>3128</v>
      </c>
      <c r="B1216" s="263" t="s">
        <v>3129</v>
      </c>
      <c r="C1216" s="263" t="s">
        <v>81</v>
      </c>
      <c r="D1216" s="263" t="s">
        <v>3130</v>
      </c>
      <c r="E1216" s="263" t="s">
        <v>88</v>
      </c>
      <c r="F1216">
        <v>0</v>
      </c>
      <c r="G1216">
        <v>2</v>
      </c>
      <c r="H1216" s="263" t="s">
        <v>436</v>
      </c>
      <c r="I1216" s="264"/>
      <c r="J1216" s="263" t="s">
        <v>437</v>
      </c>
    </row>
    <row r="1217" spans="1:10" x14ac:dyDescent="0.15">
      <c r="A1217" s="263" t="s">
        <v>9671</v>
      </c>
      <c r="B1217" s="263" t="s">
        <v>3111</v>
      </c>
      <c r="C1217" s="263" t="s">
        <v>98</v>
      </c>
      <c r="D1217" s="263" t="s">
        <v>3112</v>
      </c>
      <c r="E1217" s="263" t="s">
        <v>109</v>
      </c>
      <c r="F1217">
        <v>0</v>
      </c>
      <c r="G1217">
        <v>2</v>
      </c>
      <c r="H1217" s="263" t="s">
        <v>436</v>
      </c>
      <c r="I1217" s="264"/>
      <c r="J1217" s="263" t="s">
        <v>437</v>
      </c>
    </row>
    <row r="1218" spans="1:10" x14ac:dyDescent="0.15">
      <c r="A1218" s="263" t="s">
        <v>3131</v>
      </c>
      <c r="B1218" s="263" t="s">
        <v>9672</v>
      </c>
      <c r="C1218" s="263" t="s">
        <v>89</v>
      </c>
      <c r="D1218" s="263" t="s">
        <v>3132</v>
      </c>
      <c r="E1218" s="263" t="s">
        <v>95</v>
      </c>
      <c r="F1218">
        <v>0</v>
      </c>
      <c r="G1218">
        <v>2</v>
      </c>
      <c r="H1218" s="263" t="s">
        <v>436</v>
      </c>
      <c r="I1218" s="264"/>
      <c r="J1218" s="263" t="s">
        <v>437</v>
      </c>
    </row>
    <row r="1219" spans="1:10" x14ac:dyDescent="0.15">
      <c r="A1219" s="263" t="s">
        <v>3133</v>
      </c>
      <c r="B1219" s="263" t="s">
        <v>3134</v>
      </c>
      <c r="C1219" s="263" t="s">
        <v>98</v>
      </c>
      <c r="D1219" s="263" t="s">
        <v>3135</v>
      </c>
      <c r="E1219" s="263" t="s">
        <v>109</v>
      </c>
      <c r="F1219">
        <v>0</v>
      </c>
      <c r="G1219">
        <v>2</v>
      </c>
      <c r="H1219" s="263" t="s">
        <v>436</v>
      </c>
      <c r="I1219" s="264"/>
      <c r="J1219" s="263" t="s">
        <v>437</v>
      </c>
    </row>
    <row r="1220" spans="1:10" x14ac:dyDescent="0.15">
      <c r="A1220" s="263" t="s">
        <v>9069</v>
      </c>
      <c r="B1220" s="263" t="s">
        <v>9070</v>
      </c>
      <c r="C1220" s="263" t="s">
        <v>94</v>
      </c>
      <c r="D1220" s="263" t="s">
        <v>9071</v>
      </c>
      <c r="E1220" s="263" t="s">
        <v>94</v>
      </c>
      <c r="F1220">
        <v>0</v>
      </c>
      <c r="G1220">
        <v>2</v>
      </c>
      <c r="H1220" s="263" t="s">
        <v>436</v>
      </c>
      <c r="I1220" s="264"/>
      <c r="J1220" s="263" t="s">
        <v>437</v>
      </c>
    </row>
    <row r="1221" spans="1:10" x14ac:dyDescent="0.15">
      <c r="A1221" s="263" t="s">
        <v>3136</v>
      </c>
      <c r="B1221" s="263" t="s">
        <v>3137</v>
      </c>
      <c r="C1221" s="263" t="s">
        <v>99</v>
      </c>
      <c r="D1221" s="263" t="s">
        <v>3138</v>
      </c>
      <c r="E1221" s="263" t="s">
        <v>84</v>
      </c>
      <c r="F1221">
        <v>0</v>
      </c>
      <c r="G1221">
        <v>2</v>
      </c>
      <c r="H1221" s="263" t="s">
        <v>436</v>
      </c>
      <c r="I1221" s="264"/>
      <c r="J1221" s="263" t="s">
        <v>437</v>
      </c>
    </row>
    <row r="1222" spans="1:10" x14ac:dyDescent="0.15">
      <c r="A1222" s="263" t="s">
        <v>3139</v>
      </c>
      <c r="B1222" s="263" t="s">
        <v>3137</v>
      </c>
      <c r="C1222" s="263" t="s">
        <v>98</v>
      </c>
      <c r="D1222" s="263" t="s">
        <v>3138</v>
      </c>
      <c r="E1222" s="263" t="s">
        <v>110</v>
      </c>
      <c r="F1222">
        <v>0</v>
      </c>
      <c r="G1222">
        <v>2</v>
      </c>
      <c r="H1222" s="263" t="s">
        <v>436</v>
      </c>
      <c r="I1222" s="264"/>
      <c r="J1222" s="263" t="s">
        <v>437</v>
      </c>
    </row>
    <row r="1223" spans="1:10" x14ac:dyDescent="0.15">
      <c r="A1223" s="263" t="s">
        <v>3140</v>
      </c>
      <c r="B1223" s="263" t="s">
        <v>3141</v>
      </c>
      <c r="C1223" s="263" t="s">
        <v>81</v>
      </c>
      <c r="D1223" s="263" t="s">
        <v>3142</v>
      </c>
      <c r="E1223" s="263" t="s">
        <v>88</v>
      </c>
      <c r="F1223">
        <v>0</v>
      </c>
      <c r="G1223">
        <v>2</v>
      </c>
      <c r="H1223" s="263" t="s">
        <v>436</v>
      </c>
      <c r="I1223" s="264"/>
      <c r="J1223" s="263" t="s">
        <v>437</v>
      </c>
    </row>
    <row r="1224" spans="1:10" x14ac:dyDescent="0.15">
      <c r="A1224" s="263" t="s">
        <v>3143</v>
      </c>
      <c r="B1224" s="263" t="s">
        <v>3144</v>
      </c>
      <c r="C1224" s="263" t="s">
        <v>81</v>
      </c>
      <c r="D1224" s="263" t="s">
        <v>3145</v>
      </c>
      <c r="E1224" s="263" t="s">
        <v>88</v>
      </c>
      <c r="F1224">
        <v>0</v>
      </c>
      <c r="G1224">
        <v>2</v>
      </c>
      <c r="H1224" s="263" t="s">
        <v>436</v>
      </c>
      <c r="I1224" s="264"/>
      <c r="J1224" s="263" t="s">
        <v>437</v>
      </c>
    </row>
    <row r="1225" spans="1:10" x14ac:dyDescent="0.15">
      <c r="A1225" s="263" t="s">
        <v>3146</v>
      </c>
      <c r="B1225" s="263" t="s">
        <v>3147</v>
      </c>
      <c r="C1225" s="263" t="s">
        <v>81</v>
      </c>
      <c r="D1225" s="263" t="s">
        <v>3148</v>
      </c>
      <c r="E1225" s="263" t="s">
        <v>88</v>
      </c>
      <c r="F1225">
        <v>0</v>
      </c>
      <c r="G1225">
        <v>2</v>
      </c>
      <c r="H1225" s="263" t="s">
        <v>436</v>
      </c>
      <c r="I1225" s="264"/>
      <c r="J1225" s="263" t="s">
        <v>437</v>
      </c>
    </row>
    <row r="1226" spans="1:10" x14ac:dyDescent="0.15">
      <c r="A1226" s="263" t="s">
        <v>3149</v>
      </c>
      <c r="B1226" s="263" t="s">
        <v>3150</v>
      </c>
      <c r="C1226" s="263" t="s">
        <v>81</v>
      </c>
      <c r="D1226" s="263" t="s">
        <v>3151</v>
      </c>
      <c r="E1226" s="263" t="s">
        <v>88</v>
      </c>
      <c r="F1226">
        <v>0</v>
      </c>
      <c r="G1226">
        <v>2</v>
      </c>
      <c r="H1226" s="263" t="s">
        <v>436</v>
      </c>
      <c r="I1226" s="264"/>
      <c r="J1226" s="263" t="s">
        <v>437</v>
      </c>
    </row>
    <row r="1227" spans="1:10" x14ac:dyDescent="0.15">
      <c r="A1227" s="263" t="s">
        <v>3152</v>
      </c>
      <c r="B1227" s="263" t="s">
        <v>3153</v>
      </c>
      <c r="C1227" s="263" t="s">
        <v>81</v>
      </c>
      <c r="D1227" s="263" t="s">
        <v>3154</v>
      </c>
      <c r="E1227" s="263" t="s">
        <v>88</v>
      </c>
      <c r="F1227">
        <v>0</v>
      </c>
      <c r="G1227">
        <v>2</v>
      </c>
      <c r="H1227" s="263" t="s">
        <v>436</v>
      </c>
      <c r="I1227" s="264"/>
      <c r="J1227" s="263" t="s">
        <v>437</v>
      </c>
    </row>
    <row r="1228" spans="1:10" x14ac:dyDescent="0.15">
      <c r="A1228" s="263" t="s">
        <v>3155</v>
      </c>
      <c r="B1228" s="263" t="s">
        <v>3156</v>
      </c>
      <c r="C1228" s="263" t="s">
        <v>81</v>
      </c>
      <c r="D1228" s="263" t="s">
        <v>3157</v>
      </c>
      <c r="E1228" s="263" t="s">
        <v>88</v>
      </c>
      <c r="F1228">
        <v>0</v>
      </c>
      <c r="G1228">
        <v>2</v>
      </c>
      <c r="H1228" s="263" t="s">
        <v>436</v>
      </c>
      <c r="I1228" s="264"/>
      <c r="J1228" s="263" t="s">
        <v>437</v>
      </c>
    </row>
    <row r="1229" spans="1:10" x14ac:dyDescent="0.15">
      <c r="A1229" s="263" t="s">
        <v>3158</v>
      </c>
      <c r="B1229" s="263" t="s">
        <v>3159</v>
      </c>
      <c r="C1229" s="263" t="s">
        <v>81</v>
      </c>
      <c r="D1229" s="263" t="s">
        <v>3160</v>
      </c>
      <c r="E1229" s="263" t="s">
        <v>88</v>
      </c>
      <c r="F1229">
        <v>0</v>
      </c>
      <c r="G1229">
        <v>2</v>
      </c>
      <c r="H1229" s="263" t="s">
        <v>436</v>
      </c>
      <c r="I1229" s="264"/>
      <c r="J1229" s="263" t="s">
        <v>437</v>
      </c>
    </row>
    <row r="1230" spans="1:10" x14ac:dyDescent="0.15">
      <c r="A1230" s="263" t="s">
        <v>3161</v>
      </c>
      <c r="B1230" s="263" t="s">
        <v>3162</v>
      </c>
      <c r="C1230" s="263" t="s">
        <v>81</v>
      </c>
      <c r="D1230" s="263" t="s">
        <v>3163</v>
      </c>
      <c r="E1230" s="263" t="s">
        <v>88</v>
      </c>
      <c r="F1230">
        <v>0</v>
      </c>
      <c r="G1230">
        <v>2</v>
      </c>
      <c r="H1230" s="263" t="s">
        <v>436</v>
      </c>
      <c r="I1230" s="264"/>
      <c r="J1230" s="263" t="s">
        <v>437</v>
      </c>
    </row>
    <row r="1231" spans="1:10" x14ac:dyDescent="0.15">
      <c r="A1231" s="263" t="s">
        <v>3164</v>
      </c>
      <c r="B1231" s="263" t="s">
        <v>3165</v>
      </c>
      <c r="C1231" s="263" t="s">
        <v>81</v>
      </c>
      <c r="D1231" s="263" t="s">
        <v>3166</v>
      </c>
      <c r="E1231" s="263" t="s">
        <v>88</v>
      </c>
      <c r="F1231">
        <v>0</v>
      </c>
      <c r="G1231">
        <v>2</v>
      </c>
      <c r="H1231" s="263" t="s">
        <v>436</v>
      </c>
      <c r="I1231" s="264"/>
      <c r="J1231" s="263" t="s">
        <v>437</v>
      </c>
    </row>
    <row r="1232" spans="1:10" x14ac:dyDescent="0.15">
      <c r="A1232" s="263" t="s">
        <v>3167</v>
      </c>
      <c r="B1232" s="263" t="s">
        <v>3168</v>
      </c>
      <c r="C1232" s="263" t="s">
        <v>81</v>
      </c>
      <c r="D1232" s="263" t="s">
        <v>3169</v>
      </c>
      <c r="E1232" s="263" t="s">
        <v>88</v>
      </c>
      <c r="F1232">
        <v>0</v>
      </c>
      <c r="G1232">
        <v>2</v>
      </c>
      <c r="H1232" s="263" t="s">
        <v>436</v>
      </c>
      <c r="I1232" s="264"/>
      <c r="J1232" s="263" t="s">
        <v>437</v>
      </c>
    </row>
    <row r="1233" spans="1:10" x14ac:dyDescent="0.15">
      <c r="A1233" s="263" t="s">
        <v>3170</v>
      </c>
      <c r="B1233" s="263" t="s">
        <v>3171</v>
      </c>
      <c r="C1233" s="263" t="s">
        <v>81</v>
      </c>
      <c r="D1233" s="263" t="s">
        <v>3172</v>
      </c>
      <c r="E1233" s="263" t="s">
        <v>88</v>
      </c>
      <c r="F1233">
        <v>0</v>
      </c>
      <c r="G1233">
        <v>2</v>
      </c>
      <c r="H1233" s="263" t="s">
        <v>436</v>
      </c>
      <c r="I1233" s="264"/>
      <c r="J1233" s="263" t="s">
        <v>437</v>
      </c>
    </row>
    <row r="1234" spans="1:10" x14ac:dyDescent="0.15">
      <c r="A1234" s="263" t="s">
        <v>3173</v>
      </c>
      <c r="B1234" s="263" t="s">
        <v>3174</v>
      </c>
      <c r="C1234" s="263" t="s">
        <v>81</v>
      </c>
      <c r="D1234" s="263" t="s">
        <v>3175</v>
      </c>
      <c r="E1234" s="263" t="s">
        <v>88</v>
      </c>
      <c r="F1234">
        <v>0</v>
      </c>
      <c r="G1234">
        <v>2</v>
      </c>
      <c r="H1234" s="263" t="s">
        <v>436</v>
      </c>
      <c r="I1234" s="264"/>
      <c r="J1234" s="263" t="s">
        <v>437</v>
      </c>
    </row>
    <row r="1235" spans="1:10" x14ac:dyDescent="0.15">
      <c r="A1235" s="263" t="s">
        <v>3176</v>
      </c>
      <c r="B1235" s="263" t="s">
        <v>3177</v>
      </c>
      <c r="C1235" s="263" t="s">
        <v>81</v>
      </c>
      <c r="D1235" s="263" t="s">
        <v>3178</v>
      </c>
      <c r="E1235" s="263" t="s">
        <v>88</v>
      </c>
      <c r="F1235">
        <v>0</v>
      </c>
      <c r="G1235">
        <v>2</v>
      </c>
      <c r="H1235" s="263" t="s">
        <v>436</v>
      </c>
      <c r="I1235" s="264"/>
      <c r="J1235" s="263" t="s">
        <v>437</v>
      </c>
    </row>
    <row r="1236" spans="1:10" x14ac:dyDescent="0.15">
      <c r="A1236" s="263" t="s">
        <v>3179</v>
      </c>
      <c r="B1236" s="263" t="s">
        <v>3180</v>
      </c>
      <c r="C1236" s="263" t="s">
        <v>81</v>
      </c>
      <c r="D1236" s="263" t="s">
        <v>3181</v>
      </c>
      <c r="E1236" s="263" t="s">
        <v>88</v>
      </c>
      <c r="F1236">
        <v>0</v>
      </c>
      <c r="G1236">
        <v>2</v>
      </c>
      <c r="H1236" s="263" t="s">
        <v>436</v>
      </c>
      <c r="I1236" s="264"/>
      <c r="J1236" s="263" t="s">
        <v>437</v>
      </c>
    </row>
    <row r="1237" spans="1:10" x14ac:dyDescent="0.15">
      <c r="A1237" s="263" t="s">
        <v>3182</v>
      </c>
      <c r="B1237" s="263" t="s">
        <v>3183</v>
      </c>
      <c r="C1237" s="263" t="s">
        <v>81</v>
      </c>
      <c r="D1237" s="263" t="s">
        <v>3184</v>
      </c>
      <c r="E1237" s="263" t="s">
        <v>88</v>
      </c>
      <c r="F1237">
        <v>0</v>
      </c>
      <c r="G1237">
        <v>2</v>
      </c>
      <c r="H1237" s="263" t="s">
        <v>436</v>
      </c>
      <c r="I1237" s="264"/>
      <c r="J1237" s="263" t="s">
        <v>437</v>
      </c>
    </row>
    <row r="1238" spans="1:10" x14ac:dyDescent="0.15">
      <c r="A1238" s="263" t="s">
        <v>3185</v>
      </c>
      <c r="B1238" s="263" t="s">
        <v>3186</v>
      </c>
      <c r="C1238" s="263" t="s">
        <v>81</v>
      </c>
      <c r="D1238" s="263" t="s">
        <v>3187</v>
      </c>
      <c r="E1238" s="263" t="s">
        <v>88</v>
      </c>
      <c r="F1238">
        <v>0</v>
      </c>
      <c r="G1238">
        <v>2</v>
      </c>
      <c r="H1238" s="263" t="s">
        <v>436</v>
      </c>
      <c r="I1238" s="264"/>
      <c r="J1238" s="263" t="s">
        <v>437</v>
      </c>
    </row>
    <row r="1239" spans="1:10" x14ac:dyDescent="0.15">
      <c r="A1239" s="263" t="s">
        <v>3188</v>
      </c>
      <c r="B1239" s="263" t="s">
        <v>3189</v>
      </c>
      <c r="C1239" s="263" t="s">
        <v>81</v>
      </c>
      <c r="D1239" s="263" t="s">
        <v>3190</v>
      </c>
      <c r="E1239" s="263" t="s">
        <v>88</v>
      </c>
      <c r="F1239">
        <v>0</v>
      </c>
      <c r="G1239">
        <v>2</v>
      </c>
      <c r="H1239" s="263" t="s">
        <v>436</v>
      </c>
      <c r="I1239" s="264"/>
      <c r="J1239" s="263" t="s">
        <v>437</v>
      </c>
    </row>
    <row r="1240" spans="1:10" x14ac:dyDescent="0.15">
      <c r="A1240" s="263" t="s">
        <v>3191</v>
      </c>
      <c r="B1240" s="263" t="s">
        <v>3192</v>
      </c>
      <c r="C1240" s="263" t="s">
        <v>81</v>
      </c>
      <c r="D1240" s="263" t="s">
        <v>3193</v>
      </c>
      <c r="E1240" s="263" t="s">
        <v>88</v>
      </c>
      <c r="F1240">
        <v>0</v>
      </c>
      <c r="G1240">
        <v>2</v>
      </c>
      <c r="H1240" s="263" t="s">
        <v>436</v>
      </c>
      <c r="I1240" s="264"/>
      <c r="J1240" s="263" t="s">
        <v>437</v>
      </c>
    </row>
    <row r="1241" spans="1:10" x14ac:dyDescent="0.15">
      <c r="A1241" s="263" t="s">
        <v>3194</v>
      </c>
      <c r="B1241" s="263" t="s">
        <v>3195</v>
      </c>
      <c r="C1241" s="263" t="s">
        <v>81</v>
      </c>
      <c r="D1241" s="263" t="s">
        <v>3196</v>
      </c>
      <c r="E1241" s="263" t="s">
        <v>88</v>
      </c>
      <c r="F1241">
        <v>0</v>
      </c>
      <c r="G1241">
        <v>2</v>
      </c>
      <c r="H1241" s="263" t="s">
        <v>436</v>
      </c>
      <c r="I1241" s="264"/>
      <c r="J1241" s="263" t="s">
        <v>437</v>
      </c>
    </row>
    <row r="1242" spans="1:10" x14ac:dyDescent="0.15">
      <c r="A1242" s="263" t="s">
        <v>3197</v>
      </c>
      <c r="B1242" s="263" t="s">
        <v>3198</v>
      </c>
      <c r="C1242" s="263" t="s">
        <v>81</v>
      </c>
      <c r="D1242" s="263" t="s">
        <v>3199</v>
      </c>
      <c r="E1242" s="263" t="s">
        <v>88</v>
      </c>
      <c r="F1242">
        <v>0</v>
      </c>
      <c r="G1242">
        <v>2</v>
      </c>
      <c r="H1242" s="263" t="s">
        <v>436</v>
      </c>
      <c r="I1242" s="264"/>
      <c r="J1242" s="263" t="s">
        <v>437</v>
      </c>
    </row>
    <row r="1243" spans="1:10" x14ac:dyDescent="0.15">
      <c r="A1243" s="263" t="s">
        <v>3200</v>
      </c>
      <c r="B1243" s="263" t="s">
        <v>3201</v>
      </c>
      <c r="C1243" s="263" t="s">
        <v>81</v>
      </c>
      <c r="D1243" s="263" t="s">
        <v>3202</v>
      </c>
      <c r="E1243" s="263" t="s">
        <v>88</v>
      </c>
      <c r="F1243">
        <v>0</v>
      </c>
      <c r="G1243">
        <v>2</v>
      </c>
      <c r="H1243" s="263" t="s">
        <v>436</v>
      </c>
      <c r="I1243" s="264"/>
      <c r="J1243" s="263" t="s">
        <v>437</v>
      </c>
    </row>
    <row r="1244" spans="1:10" x14ac:dyDescent="0.15">
      <c r="A1244" s="263" t="s">
        <v>3203</v>
      </c>
      <c r="B1244" s="263" t="s">
        <v>3204</v>
      </c>
      <c r="C1244" s="263" t="s">
        <v>81</v>
      </c>
      <c r="D1244" s="263" t="s">
        <v>3205</v>
      </c>
      <c r="E1244" s="263" t="s">
        <v>88</v>
      </c>
      <c r="F1244">
        <v>0</v>
      </c>
      <c r="G1244">
        <v>2</v>
      </c>
      <c r="H1244" s="263" t="s">
        <v>436</v>
      </c>
      <c r="I1244" s="264"/>
      <c r="J1244" s="263" t="s">
        <v>437</v>
      </c>
    </row>
    <row r="1245" spans="1:10" x14ac:dyDescent="0.15">
      <c r="A1245" s="263" t="s">
        <v>3206</v>
      </c>
      <c r="B1245" s="263" t="s">
        <v>3207</v>
      </c>
      <c r="C1245" s="263" t="s">
        <v>81</v>
      </c>
      <c r="D1245" s="263" t="s">
        <v>3208</v>
      </c>
      <c r="E1245" s="263" t="s">
        <v>88</v>
      </c>
      <c r="F1245">
        <v>0</v>
      </c>
      <c r="G1245">
        <v>2</v>
      </c>
      <c r="H1245" s="263" t="s">
        <v>436</v>
      </c>
      <c r="I1245" s="264"/>
      <c r="J1245" s="263" t="s">
        <v>437</v>
      </c>
    </row>
    <row r="1246" spans="1:10" x14ac:dyDescent="0.15">
      <c r="A1246" s="263" t="s">
        <v>3209</v>
      </c>
      <c r="B1246" s="263" t="s">
        <v>3210</v>
      </c>
      <c r="C1246" s="263" t="s">
        <v>81</v>
      </c>
      <c r="D1246" s="263" t="s">
        <v>3211</v>
      </c>
      <c r="E1246" s="263" t="s">
        <v>88</v>
      </c>
      <c r="F1246">
        <v>0</v>
      </c>
      <c r="G1246">
        <v>2</v>
      </c>
      <c r="H1246" s="263" t="s">
        <v>436</v>
      </c>
      <c r="I1246" s="264"/>
      <c r="J1246" s="263" t="s">
        <v>437</v>
      </c>
    </row>
    <row r="1247" spans="1:10" x14ac:dyDescent="0.15">
      <c r="A1247" s="263" t="s">
        <v>3212</v>
      </c>
      <c r="B1247" s="263" t="s">
        <v>3213</v>
      </c>
      <c r="C1247" s="263" t="s">
        <v>81</v>
      </c>
      <c r="D1247" s="263" t="s">
        <v>3214</v>
      </c>
      <c r="E1247" s="263" t="s">
        <v>88</v>
      </c>
      <c r="F1247">
        <v>0</v>
      </c>
      <c r="G1247">
        <v>2</v>
      </c>
      <c r="H1247" s="263" t="s">
        <v>436</v>
      </c>
      <c r="I1247" s="264"/>
      <c r="J1247" s="263" t="s">
        <v>437</v>
      </c>
    </row>
    <row r="1248" spans="1:10" x14ac:dyDescent="0.15">
      <c r="A1248" s="263" t="s">
        <v>3215</v>
      </c>
      <c r="B1248" s="263" t="s">
        <v>3216</v>
      </c>
      <c r="C1248" s="263" t="s">
        <v>81</v>
      </c>
      <c r="D1248" s="263" t="s">
        <v>3217</v>
      </c>
      <c r="E1248" s="263" t="s">
        <v>88</v>
      </c>
      <c r="F1248">
        <v>0</v>
      </c>
      <c r="G1248">
        <v>2</v>
      </c>
      <c r="H1248" s="263" t="s">
        <v>436</v>
      </c>
      <c r="I1248" s="264"/>
      <c r="J1248" s="263" t="s">
        <v>437</v>
      </c>
    </row>
    <row r="1249" spans="1:10" x14ac:dyDescent="0.15">
      <c r="A1249" s="263" t="s">
        <v>3218</v>
      </c>
      <c r="B1249" s="263" t="s">
        <v>3219</v>
      </c>
      <c r="C1249" s="263" t="s">
        <v>81</v>
      </c>
      <c r="D1249" s="263" t="s">
        <v>3220</v>
      </c>
      <c r="E1249" s="263" t="s">
        <v>88</v>
      </c>
      <c r="F1249">
        <v>0</v>
      </c>
      <c r="G1249">
        <v>2</v>
      </c>
      <c r="H1249" s="263" t="s">
        <v>436</v>
      </c>
      <c r="I1249" s="264"/>
      <c r="J1249" s="263" t="s">
        <v>437</v>
      </c>
    </row>
    <row r="1250" spans="1:10" x14ac:dyDescent="0.15">
      <c r="A1250" s="263" t="s">
        <v>3221</v>
      </c>
      <c r="B1250" s="263" t="s">
        <v>3222</v>
      </c>
      <c r="C1250" s="263" t="s">
        <v>81</v>
      </c>
      <c r="D1250" s="263" t="s">
        <v>3223</v>
      </c>
      <c r="E1250" s="263" t="s">
        <v>88</v>
      </c>
      <c r="F1250">
        <v>0</v>
      </c>
      <c r="G1250">
        <v>2</v>
      </c>
      <c r="H1250" s="263" t="s">
        <v>436</v>
      </c>
      <c r="I1250" s="264"/>
      <c r="J1250" s="263" t="s">
        <v>437</v>
      </c>
    </row>
    <row r="1251" spans="1:10" x14ac:dyDescent="0.15">
      <c r="A1251" s="263" t="s">
        <v>3224</v>
      </c>
      <c r="B1251" s="263" t="s">
        <v>3225</v>
      </c>
      <c r="C1251" s="263" t="s">
        <v>81</v>
      </c>
      <c r="D1251" s="263" t="s">
        <v>3226</v>
      </c>
      <c r="E1251" s="263" t="s">
        <v>88</v>
      </c>
      <c r="F1251">
        <v>0</v>
      </c>
      <c r="G1251">
        <v>2</v>
      </c>
      <c r="H1251" s="263" t="s">
        <v>436</v>
      </c>
      <c r="I1251" s="264"/>
      <c r="J1251" s="263" t="s">
        <v>437</v>
      </c>
    </row>
    <row r="1252" spans="1:10" x14ac:dyDescent="0.15">
      <c r="A1252" s="263" t="s">
        <v>3227</v>
      </c>
      <c r="B1252" s="263" t="s">
        <v>3228</v>
      </c>
      <c r="C1252" s="263" t="s">
        <v>81</v>
      </c>
      <c r="D1252" s="263" t="s">
        <v>3229</v>
      </c>
      <c r="E1252" s="263" t="s">
        <v>88</v>
      </c>
      <c r="F1252">
        <v>0</v>
      </c>
      <c r="G1252">
        <v>2</v>
      </c>
      <c r="H1252" s="263" t="s">
        <v>436</v>
      </c>
      <c r="I1252" s="264"/>
      <c r="J1252" s="263" t="s">
        <v>437</v>
      </c>
    </row>
    <row r="1253" spans="1:10" x14ac:dyDescent="0.15">
      <c r="A1253" s="263" t="s">
        <v>3230</v>
      </c>
      <c r="B1253" s="263" t="s">
        <v>3231</v>
      </c>
      <c r="C1253" s="263" t="s">
        <v>81</v>
      </c>
      <c r="D1253" s="263" t="s">
        <v>3232</v>
      </c>
      <c r="E1253" s="263" t="s">
        <v>88</v>
      </c>
      <c r="F1253">
        <v>0</v>
      </c>
      <c r="G1253">
        <v>2</v>
      </c>
      <c r="H1253" s="263" t="s">
        <v>436</v>
      </c>
      <c r="I1253" s="264"/>
      <c r="J1253" s="263" t="s">
        <v>437</v>
      </c>
    </row>
    <row r="1254" spans="1:10" x14ac:dyDescent="0.15">
      <c r="A1254" s="263" t="s">
        <v>3233</v>
      </c>
      <c r="B1254" s="263" t="s">
        <v>3234</v>
      </c>
      <c r="C1254" s="263" t="s">
        <v>81</v>
      </c>
      <c r="D1254" s="263" t="s">
        <v>3235</v>
      </c>
      <c r="E1254" s="263" t="s">
        <v>88</v>
      </c>
      <c r="F1254">
        <v>0</v>
      </c>
      <c r="G1254">
        <v>2</v>
      </c>
      <c r="H1254" s="263" t="s">
        <v>436</v>
      </c>
      <c r="I1254" s="264"/>
      <c r="J1254" s="263" t="s">
        <v>437</v>
      </c>
    </row>
    <row r="1255" spans="1:10" x14ac:dyDescent="0.15">
      <c r="A1255" s="263" t="s">
        <v>3236</v>
      </c>
      <c r="B1255" s="263" t="s">
        <v>3237</v>
      </c>
      <c r="C1255" s="263" t="s">
        <v>81</v>
      </c>
      <c r="D1255" s="263" t="s">
        <v>3238</v>
      </c>
      <c r="E1255" s="263" t="s">
        <v>88</v>
      </c>
      <c r="F1255">
        <v>0</v>
      </c>
      <c r="G1255">
        <v>2</v>
      </c>
      <c r="H1255" s="263" t="s">
        <v>436</v>
      </c>
      <c r="I1255" s="264"/>
      <c r="J1255" s="263" t="s">
        <v>437</v>
      </c>
    </row>
    <row r="1256" spans="1:10" x14ac:dyDescent="0.15">
      <c r="A1256" s="263" t="s">
        <v>3239</v>
      </c>
      <c r="B1256" s="263" t="s">
        <v>3240</v>
      </c>
      <c r="C1256" s="263" t="s">
        <v>81</v>
      </c>
      <c r="D1256" s="263" t="s">
        <v>3241</v>
      </c>
      <c r="E1256" s="263" t="s">
        <v>88</v>
      </c>
      <c r="F1256">
        <v>0</v>
      </c>
      <c r="G1256">
        <v>2</v>
      </c>
      <c r="H1256" s="263" t="s">
        <v>436</v>
      </c>
      <c r="I1256" s="264"/>
      <c r="J1256" s="263" t="s">
        <v>437</v>
      </c>
    </row>
    <row r="1257" spans="1:10" x14ac:dyDescent="0.15">
      <c r="A1257" s="263" t="s">
        <v>3242</v>
      </c>
      <c r="B1257" s="263" t="s">
        <v>3243</v>
      </c>
      <c r="C1257" s="263" t="s">
        <v>81</v>
      </c>
      <c r="D1257" s="263" t="s">
        <v>3244</v>
      </c>
      <c r="E1257" s="263" t="s">
        <v>88</v>
      </c>
      <c r="F1257">
        <v>0</v>
      </c>
      <c r="G1257">
        <v>2</v>
      </c>
      <c r="H1257" s="263" t="s">
        <v>436</v>
      </c>
      <c r="I1257" s="264"/>
      <c r="J1257" s="263" t="s">
        <v>437</v>
      </c>
    </row>
    <row r="1258" spans="1:10" x14ac:dyDescent="0.15">
      <c r="A1258" s="263" t="s">
        <v>3245</v>
      </c>
      <c r="B1258" s="263" t="s">
        <v>3246</v>
      </c>
      <c r="C1258" s="263" t="s">
        <v>81</v>
      </c>
      <c r="D1258" s="263" t="s">
        <v>3247</v>
      </c>
      <c r="E1258" s="263" t="s">
        <v>88</v>
      </c>
      <c r="F1258">
        <v>0</v>
      </c>
      <c r="G1258">
        <v>2</v>
      </c>
      <c r="H1258" s="263" t="s">
        <v>436</v>
      </c>
      <c r="I1258" s="264"/>
      <c r="J1258" s="263" t="s">
        <v>437</v>
      </c>
    </row>
    <row r="1259" spans="1:10" x14ac:dyDescent="0.15">
      <c r="A1259" s="263" t="s">
        <v>3248</v>
      </c>
      <c r="B1259" s="263" t="s">
        <v>3249</v>
      </c>
      <c r="C1259" s="263" t="s">
        <v>81</v>
      </c>
      <c r="D1259" s="263" t="s">
        <v>3250</v>
      </c>
      <c r="E1259" s="263" t="s">
        <v>88</v>
      </c>
      <c r="F1259">
        <v>0</v>
      </c>
      <c r="G1259">
        <v>2</v>
      </c>
      <c r="H1259" s="263" t="s">
        <v>436</v>
      </c>
      <c r="I1259" s="264"/>
      <c r="J1259" s="263" t="s">
        <v>437</v>
      </c>
    </row>
    <row r="1260" spans="1:10" x14ac:dyDescent="0.15">
      <c r="A1260" s="263" t="s">
        <v>3251</v>
      </c>
      <c r="B1260" s="263" t="s">
        <v>3252</v>
      </c>
      <c r="C1260" s="263" t="s">
        <v>81</v>
      </c>
      <c r="D1260" s="263" t="s">
        <v>3253</v>
      </c>
      <c r="E1260" s="263" t="s">
        <v>88</v>
      </c>
      <c r="F1260">
        <v>0</v>
      </c>
      <c r="G1260">
        <v>2</v>
      </c>
      <c r="H1260" s="263" t="s">
        <v>436</v>
      </c>
      <c r="I1260" s="264"/>
      <c r="J1260" s="263" t="s">
        <v>437</v>
      </c>
    </row>
    <row r="1261" spans="1:10" x14ac:dyDescent="0.15">
      <c r="A1261" s="263" t="s">
        <v>3254</v>
      </c>
      <c r="B1261" s="263" t="s">
        <v>3255</v>
      </c>
      <c r="C1261" s="263" t="s">
        <v>81</v>
      </c>
      <c r="D1261" s="263" t="s">
        <v>3256</v>
      </c>
      <c r="E1261" s="263" t="s">
        <v>88</v>
      </c>
      <c r="F1261">
        <v>0</v>
      </c>
      <c r="G1261">
        <v>2</v>
      </c>
      <c r="H1261" s="263" t="s">
        <v>436</v>
      </c>
      <c r="I1261" s="264"/>
      <c r="J1261" s="263" t="s">
        <v>437</v>
      </c>
    </row>
    <row r="1262" spans="1:10" x14ac:dyDescent="0.15">
      <c r="A1262" s="263" t="s">
        <v>3257</v>
      </c>
      <c r="B1262" s="263" t="s">
        <v>3258</v>
      </c>
      <c r="C1262" s="263" t="s">
        <v>81</v>
      </c>
      <c r="D1262" s="263" t="s">
        <v>3259</v>
      </c>
      <c r="E1262" s="263" t="s">
        <v>88</v>
      </c>
      <c r="F1262">
        <v>0</v>
      </c>
      <c r="G1262">
        <v>2</v>
      </c>
      <c r="H1262" s="263" t="s">
        <v>436</v>
      </c>
      <c r="I1262" s="264"/>
      <c r="J1262" s="263" t="s">
        <v>437</v>
      </c>
    </row>
    <row r="1263" spans="1:10" x14ac:dyDescent="0.15">
      <c r="A1263" s="263" t="s">
        <v>3260</v>
      </c>
      <c r="B1263" s="263" t="s">
        <v>3261</v>
      </c>
      <c r="C1263" s="263" t="s">
        <v>81</v>
      </c>
      <c r="D1263" s="263" t="s">
        <v>3262</v>
      </c>
      <c r="E1263" s="263" t="s">
        <v>88</v>
      </c>
      <c r="F1263">
        <v>0</v>
      </c>
      <c r="G1263">
        <v>2</v>
      </c>
      <c r="H1263" s="263" t="s">
        <v>436</v>
      </c>
      <c r="I1263" s="264"/>
      <c r="J1263" s="263" t="s">
        <v>437</v>
      </c>
    </row>
    <row r="1264" spans="1:10" x14ac:dyDescent="0.15">
      <c r="A1264" s="263" t="s">
        <v>3263</v>
      </c>
      <c r="B1264" s="263" t="s">
        <v>3264</v>
      </c>
      <c r="C1264" s="263" t="s">
        <v>81</v>
      </c>
      <c r="D1264" s="263" t="s">
        <v>3265</v>
      </c>
      <c r="E1264" s="263" t="s">
        <v>88</v>
      </c>
      <c r="F1264">
        <v>0</v>
      </c>
      <c r="G1264">
        <v>2</v>
      </c>
      <c r="H1264" s="263" t="s">
        <v>436</v>
      </c>
      <c r="I1264" s="264"/>
      <c r="J1264" s="263" t="s">
        <v>437</v>
      </c>
    </row>
    <row r="1265" spans="1:10" x14ac:dyDescent="0.15">
      <c r="A1265" s="263" t="s">
        <v>3266</v>
      </c>
      <c r="B1265" s="263" t="s">
        <v>3267</v>
      </c>
      <c r="C1265" s="263" t="s">
        <v>81</v>
      </c>
      <c r="D1265" s="263" t="s">
        <v>3268</v>
      </c>
      <c r="E1265" s="263" t="s">
        <v>88</v>
      </c>
      <c r="F1265">
        <v>0</v>
      </c>
      <c r="G1265">
        <v>2</v>
      </c>
      <c r="H1265" s="263" t="s">
        <v>436</v>
      </c>
      <c r="I1265" s="264"/>
      <c r="J1265" s="263" t="s">
        <v>437</v>
      </c>
    </row>
    <row r="1266" spans="1:10" x14ac:dyDescent="0.15">
      <c r="A1266" s="263" t="s">
        <v>3269</v>
      </c>
      <c r="B1266" s="263" t="s">
        <v>3270</v>
      </c>
      <c r="C1266" s="263" t="s">
        <v>81</v>
      </c>
      <c r="D1266" s="263" t="s">
        <v>3271</v>
      </c>
      <c r="E1266" s="263" t="s">
        <v>88</v>
      </c>
      <c r="F1266">
        <v>0</v>
      </c>
      <c r="G1266">
        <v>2</v>
      </c>
      <c r="H1266" s="263" t="s">
        <v>436</v>
      </c>
      <c r="I1266" s="264"/>
      <c r="J1266" s="263" t="s">
        <v>437</v>
      </c>
    </row>
    <row r="1267" spans="1:10" x14ac:dyDescent="0.15">
      <c r="A1267" s="263" t="s">
        <v>3272</v>
      </c>
      <c r="B1267" s="263" t="s">
        <v>3273</v>
      </c>
      <c r="C1267" s="263" t="s">
        <v>81</v>
      </c>
      <c r="D1267" s="263" t="s">
        <v>3274</v>
      </c>
      <c r="E1267" s="263" t="s">
        <v>88</v>
      </c>
      <c r="F1267">
        <v>0</v>
      </c>
      <c r="G1267">
        <v>2</v>
      </c>
      <c r="H1267" s="263" t="s">
        <v>436</v>
      </c>
      <c r="I1267" s="264"/>
      <c r="J1267" s="263" t="s">
        <v>437</v>
      </c>
    </row>
    <row r="1268" spans="1:10" x14ac:dyDescent="0.15">
      <c r="A1268" s="263" t="s">
        <v>3275</v>
      </c>
      <c r="B1268" s="263" t="s">
        <v>3276</v>
      </c>
      <c r="C1268" s="263" t="s">
        <v>81</v>
      </c>
      <c r="D1268" s="263" t="s">
        <v>3277</v>
      </c>
      <c r="E1268" s="263" t="s">
        <v>88</v>
      </c>
      <c r="F1268">
        <v>0</v>
      </c>
      <c r="G1268">
        <v>2</v>
      </c>
      <c r="H1268" s="263" t="s">
        <v>436</v>
      </c>
      <c r="I1268" s="264"/>
      <c r="J1268" s="263" t="s">
        <v>437</v>
      </c>
    </row>
    <row r="1269" spans="1:10" x14ac:dyDescent="0.15">
      <c r="A1269" s="263" t="s">
        <v>3278</v>
      </c>
      <c r="B1269" s="263" t="s">
        <v>3279</v>
      </c>
      <c r="C1269" s="263" t="s">
        <v>81</v>
      </c>
      <c r="D1269" s="263" t="s">
        <v>3280</v>
      </c>
      <c r="E1269" s="263" t="s">
        <v>88</v>
      </c>
      <c r="F1269">
        <v>0</v>
      </c>
      <c r="G1269">
        <v>2</v>
      </c>
      <c r="H1269" s="263" t="s">
        <v>436</v>
      </c>
      <c r="I1269" s="264"/>
      <c r="J1269" s="263" t="s">
        <v>437</v>
      </c>
    </row>
    <row r="1270" spans="1:10" x14ac:dyDescent="0.15">
      <c r="A1270" s="263" t="s">
        <v>3281</v>
      </c>
      <c r="B1270" s="263" t="s">
        <v>3282</v>
      </c>
      <c r="C1270" s="263" t="s">
        <v>81</v>
      </c>
      <c r="D1270" s="263" t="s">
        <v>3283</v>
      </c>
      <c r="E1270" s="263" t="s">
        <v>88</v>
      </c>
      <c r="F1270">
        <v>0</v>
      </c>
      <c r="G1270">
        <v>2</v>
      </c>
      <c r="H1270" s="263" t="s">
        <v>436</v>
      </c>
      <c r="I1270" s="264"/>
      <c r="J1270" s="263" t="s">
        <v>437</v>
      </c>
    </row>
    <row r="1271" spans="1:10" x14ac:dyDescent="0.15">
      <c r="A1271" s="263" t="s">
        <v>3284</v>
      </c>
      <c r="B1271" s="263" t="s">
        <v>3285</v>
      </c>
      <c r="C1271" s="263" t="s">
        <v>81</v>
      </c>
      <c r="D1271" s="263" t="s">
        <v>3286</v>
      </c>
      <c r="E1271" s="263" t="s">
        <v>88</v>
      </c>
      <c r="F1271">
        <v>0</v>
      </c>
      <c r="G1271">
        <v>2</v>
      </c>
      <c r="H1271" s="263" t="s">
        <v>436</v>
      </c>
      <c r="I1271" s="264"/>
      <c r="J1271" s="263" t="s">
        <v>437</v>
      </c>
    </row>
    <row r="1272" spans="1:10" x14ac:dyDescent="0.15">
      <c r="A1272" s="263" t="s">
        <v>3287</v>
      </c>
      <c r="B1272" s="263" t="s">
        <v>3288</v>
      </c>
      <c r="C1272" s="263" t="s">
        <v>81</v>
      </c>
      <c r="D1272" s="263" t="s">
        <v>3289</v>
      </c>
      <c r="E1272" s="263" t="s">
        <v>88</v>
      </c>
      <c r="F1272">
        <v>0</v>
      </c>
      <c r="G1272">
        <v>2</v>
      </c>
      <c r="H1272" s="263" t="s">
        <v>436</v>
      </c>
      <c r="I1272" s="264"/>
      <c r="J1272" s="263" t="s">
        <v>437</v>
      </c>
    </row>
    <row r="1273" spans="1:10" x14ac:dyDescent="0.15">
      <c r="A1273" s="263" t="s">
        <v>3290</v>
      </c>
      <c r="B1273" s="263" t="s">
        <v>3291</v>
      </c>
      <c r="C1273" s="263" t="s">
        <v>81</v>
      </c>
      <c r="D1273" s="263" t="s">
        <v>3292</v>
      </c>
      <c r="E1273" s="263" t="s">
        <v>88</v>
      </c>
      <c r="F1273">
        <v>0</v>
      </c>
      <c r="G1273">
        <v>2</v>
      </c>
      <c r="H1273" s="263" t="s">
        <v>436</v>
      </c>
      <c r="I1273" s="264"/>
      <c r="J1273" s="263" t="s">
        <v>437</v>
      </c>
    </row>
    <row r="1274" spans="1:10" x14ac:dyDescent="0.15">
      <c r="A1274" s="263" t="s">
        <v>3293</v>
      </c>
      <c r="B1274" s="263" t="s">
        <v>3294</v>
      </c>
      <c r="C1274" s="263" t="s">
        <v>81</v>
      </c>
      <c r="D1274" s="263" t="s">
        <v>3295</v>
      </c>
      <c r="E1274" s="263" t="s">
        <v>88</v>
      </c>
      <c r="F1274">
        <v>0</v>
      </c>
      <c r="G1274">
        <v>2</v>
      </c>
      <c r="H1274" s="263" t="s">
        <v>436</v>
      </c>
      <c r="I1274" s="264"/>
      <c r="J1274" s="263" t="s">
        <v>437</v>
      </c>
    </row>
    <row r="1275" spans="1:10" x14ac:dyDescent="0.15">
      <c r="A1275" s="263" t="s">
        <v>3296</v>
      </c>
      <c r="B1275" s="263" t="s">
        <v>3297</v>
      </c>
      <c r="C1275" s="263" t="s">
        <v>81</v>
      </c>
      <c r="D1275" s="263" t="s">
        <v>3298</v>
      </c>
      <c r="E1275" s="263" t="s">
        <v>88</v>
      </c>
      <c r="F1275">
        <v>0</v>
      </c>
      <c r="G1275">
        <v>2</v>
      </c>
      <c r="H1275" s="263" t="s">
        <v>436</v>
      </c>
      <c r="I1275" s="264"/>
      <c r="J1275" s="263" t="s">
        <v>437</v>
      </c>
    </row>
    <row r="1276" spans="1:10" x14ac:dyDescent="0.15">
      <c r="A1276" s="263" t="s">
        <v>3299</v>
      </c>
      <c r="B1276" s="263" t="s">
        <v>3300</v>
      </c>
      <c r="C1276" s="263" t="s">
        <v>81</v>
      </c>
      <c r="D1276" s="263" t="s">
        <v>3301</v>
      </c>
      <c r="E1276" s="263" t="s">
        <v>88</v>
      </c>
      <c r="F1276">
        <v>0</v>
      </c>
      <c r="G1276">
        <v>2</v>
      </c>
      <c r="H1276" s="263" t="s">
        <v>436</v>
      </c>
      <c r="I1276" s="264"/>
      <c r="J1276" s="263" t="s">
        <v>437</v>
      </c>
    </row>
    <row r="1277" spans="1:10" x14ac:dyDescent="0.15">
      <c r="A1277" s="263" t="s">
        <v>3302</v>
      </c>
      <c r="B1277" s="263" t="s">
        <v>3303</v>
      </c>
      <c r="C1277" s="263" t="s">
        <v>81</v>
      </c>
      <c r="D1277" s="263" t="s">
        <v>3304</v>
      </c>
      <c r="E1277" s="263" t="s">
        <v>88</v>
      </c>
      <c r="F1277">
        <v>0</v>
      </c>
      <c r="G1277">
        <v>2</v>
      </c>
      <c r="H1277" s="263" t="s">
        <v>436</v>
      </c>
      <c r="I1277" s="264"/>
      <c r="J1277" s="263" t="s">
        <v>437</v>
      </c>
    </row>
    <row r="1278" spans="1:10" x14ac:dyDescent="0.15">
      <c r="A1278" s="263" t="s">
        <v>3305</v>
      </c>
      <c r="B1278" s="263" t="s">
        <v>3306</v>
      </c>
      <c r="C1278" s="263" t="s">
        <v>81</v>
      </c>
      <c r="D1278" s="263" t="s">
        <v>3307</v>
      </c>
      <c r="E1278" s="263" t="s">
        <v>88</v>
      </c>
      <c r="F1278">
        <v>0</v>
      </c>
      <c r="G1278">
        <v>2</v>
      </c>
      <c r="H1278" s="263" t="s">
        <v>436</v>
      </c>
      <c r="I1278" s="264"/>
      <c r="J1278" s="263" t="s">
        <v>437</v>
      </c>
    </row>
    <row r="1279" spans="1:10" x14ac:dyDescent="0.15">
      <c r="A1279" s="263" t="s">
        <v>3308</v>
      </c>
      <c r="B1279" s="263" t="s">
        <v>3309</v>
      </c>
      <c r="C1279" s="263" t="s">
        <v>81</v>
      </c>
      <c r="D1279" s="263" t="s">
        <v>3310</v>
      </c>
      <c r="E1279" s="263" t="s">
        <v>88</v>
      </c>
      <c r="F1279">
        <v>0</v>
      </c>
      <c r="G1279">
        <v>2</v>
      </c>
      <c r="H1279" s="263" t="s">
        <v>436</v>
      </c>
      <c r="I1279" s="264"/>
      <c r="J1279" s="263" t="s">
        <v>437</v>
      </c>
    </row>
    <row r="1280" spans="1:10" x14ac:dyDescent="0.15">
      <c r="A1280" s="263" t="s">
        <v>3311</v>
      </c>
      <c r="B1280" s="263" t="s">
        <v>3312</v>
      </c>
      <c r="C1280" s="263" t="s">
        <v>81</v>
      </c>
      <c r="D1280" s="263" t="s">
        <v>3313</v>
      </c>
      <c r="E1280" s="263" t="s">
        <v>88</v>
      </c>
      <c r="F1280">
        <v>0</v>
      </c>
      <c r="G1280">
        <v>2</v>
      </c>
      <c r="H1280" s="263" t="s">
        <v>436</v>
      </c>
      <c r="I1280" s="264"/>
      <c r="J1280" s="263" t="s">
        <v>437</v>
      </c>
    </row>
    <row r="1281" spans="1:10" x14ac:dyDescent="0.15">
      <c r="A1281" s="263" t="s">
        <v>3314</v>
      </c>
      <c r="B1281" s="263" t="s">
        <v>3315</v>
      </c>
      <c r="C1281" s="263" t="s">
        <v>81</v>
      </c>
      <c r="D1281" s="263" t="s">
        <v>3316</v>
      </c>
      <c r="E1281" s="263" t="s">
        <v>88</v>
      </c>
      <c r="F1281">
        <v>0</v>
      </c>
      <c r="G1281">
        <v>2</v>
      </c>
      <c r="H1281" s="263" t="s">
        <v>436</v>
      </c>
      <c r="I1281" s="264"/>
      <c r="J1281" s="263" t="s">
        <v>437</v>
      </c>
    </row>
    <row r="1282" spans="1:10" x14ac:dyDescent="0.15">
      <c r="A1282" s="263" t="s">
        <v>3317</v>
      </c>
      <c r="B1282" s="263" t="s">
        <v>3318</v>
      </c>
      <c r="C1282" s="263" t="s">
        <v>81</v>
      </c>
      <c r="D1282" s="263" t="s">
        <v>3319</v>
      </c>
      <c r="E1282" s="263" t="s">
        <v>88</v>
      </c>
      <c r="F1282">
        <v>0</v>
      </c>
      <c r="G1282">
        <v>2</v>
      </c>
      <c r="H1282" s="263" t="s">
        <v>436</v>
      </c>
      <c r="I1282" s="264"/>
      <c r="J1282" s="263" t="s">
        <v>437</v>
      </c>
    </row>
    <row r="1283" spans="1:10" x14ac:dyDescent="0.15">
      <c r="A1283" s="263" t="s">
        <v>3320</v>
      </c>
      <c r="B1283" s="263" t="s">
        <v>3321</v>
      </c>
      <c r="C1283" s="263" t="s">
        <v>81</v>
      </c>
      <c r="D1283" s="263" t="s">
        <v>3322</v>
      </c>
      <c r="E1283" s="263" t="s">
        <v>88</v>
      </c>
      <c r="F1283">
        <v>0</v>
      </c>
      <c r="G1283">
        <v>2</v>
      </c>
      <c r="H1283" s="263" t="s">
        <v>436</v>
      </c>
      <c r="I1283" s="264"/>
      <c r="J1283" s="263" t="s">
        <v>437</v>
      </c>
    </row>
    <row r="1284" spans="1:10" x14ac:dyDescent="0.15">
      <c r="A1284" s="263" t="s">
        <v>3323</v>
      </c>
      <c r="B1284" s="263" t="s">
        <v>3324</v>
      </c>
      <c r="C1284" s="263" t="s">
        <v>81</v>
      </c>
      <c r="D1284" s="263" t="s">
        <v>3325</v>
      </c>
      <c r="E1284" s="263" t="s">
        <v>88</v>
      </c>
      <c r="F1284">
        <v>0</v>
      </c>
      <c r="G1284">
        <v>2</v>
      </c>
      <c r="H1284" s="263" t="s">
        <v>436</v>
      </c>
      <c r="I1284" s="264"/>
      <c r="J1284" s="263" t="s">
        <v>437</v>
      </c>
    </row>
    <row r="1285" spans="1:10" x14ac:dyDescent="0.15">
      <c r="A1285" s="263" t="s">
        <v>3326</v>
      </c>
      <c r="B1285" s="263" t="s">
        <v>3327</v>
      </c>
      <c r="C1285" s="263" t="s">
        <v>81</v>
      </c>
      <c r="D1285" s="263" t="s">
        <v>3328</v>
      </c>
      <c r="E1285" s="263" t="s">
        <v>88</v>
      </c>
      <c r="F1285">
        <v>0</v>
      </c>
      <c r="G1285">
        <v>2</v>
      </c>
      <c r="H1285" s="263" t="s">
        <v>436</v>
      </c>
      <c r="I1285" s="264"/>
      <c r="J1285" s="263" t="s">
        <v>437</v>
      </c>
    </row>
    <row r="1286" spans="1:10" x14ac:dyDescent="0.15">
      <c r="A1286" s="263" t="s">
        <v>3329</v>
      </c>
      <c r="B1286" s="263" t="s">
        <v>3330</v>
      </c>
      <c r="C1286" s="263" t="s">
        <v>81</v>
      </c>
      <c r="D1286" s="263" t="s">
        <v>3331</v>
      </c>
      <c r="E1286" s="263" t="s">
        <v>88</v>
      </c>
      <c r="F1286">
        <v>0</v>
      </c>
      <c r="G1286">
        <v>2</v>
      </c>
      <c r="H1286" s="263" t="s">
        <v>436</v>
      </c>
      <c r="I1286" s="264"/>
      <c r="J1286" s="263" t="s">
        <v>437</v>
      </c>
    </row>
    <row r="1287" spans="1:10" x14ac:dyDescent="0.15">
      <c r="A1287" s="263" t="s">
        <v>3332</v>
      </c>
      <c r="B1287" s="263" t="s">
        <v>3333</v>
      </c>
      <c r="C1287" s="263" t="s">
        <v>81</v>
      </c>
      <c r="D1287" s="263" t="s">
        <v>3334</v>
      </c>
      <c r="E1287" s="263" t="s">
        <v>88</v>
      </c>
      <c r="F1287">
        <v>0</v>
      </c>
      <c r="G1287">
        <v>2</v>
      </c>
      <c r="H1287" s="263" t="s">
        <v>436</v>
      </c>
      <c r="I1287" s="264"/>
      <c r="J1287" s="263" t="s">
        <v>437</v>
      </c>
    </row>
    <row r="1288" spans="1:10" x14ac:dyDescent="0.15">
      <c r="A1288" s="263" t="s">
        <v>3335</v>
      </c>
      <c r="B1288" s="263" t="s">
        <v>3336</v>
      </c>
      <c r="C1288" s="263" t="s">
        <v>81</v>
      </c>
      <c r="D1288" s="263" t="s">
        <v>3337</v>
      </c>
      <c r="E1288" s="263" t="s">
        <v>88</v>
      </c>
      <c r="F1288">
        <v>0</v>
      </c>
      <c r="G1288">
        <v>2</v>
      </c>
      <c r="H1288" s="263" t="s">
        <v>436</v>
      </c>
      <c r="I1288" s="264"/>
      <c r="J1288" s="263" t="s">
        <v>437</v>
      </c>
    </row>
    <row r="1289" spans="1:10" x14ac:dyDescent="0.15">
      <c r="A1289" s="263" t="s">
        <v>3338</v>
      </c>
      <c r="B1289" s="263" t="s">
        <v>3339</v>
      </c>
      <c r="C1289" s="263" t="s">
        <v>81</v>
      </c>
      <c r="D1289" s="263" t="s">
        <v>3340</v>
      </c>
      <c r="E1289" s="263" t="s">
        <v>88</v>
      </c>
      <c r="F1289">
        <v>0</v>
      </c>
      <c r="G1289">
        <v>2</v>
      </c>
      <c r="H1289" s="263" t="s">
        <v>436</v>
      </c>
      <c r="I1289" s="264"/>
      <c r="J1289" s="263" t="s">
        <v>437</v>
      </c>
    </row>
    <row r="1290" spans="1:10" x14ac:dyDescent="0.15">
      <c r="A1290" s="263" t="s">
        <v>3341</v>
      </c>
      <c r="B1290" s="263" t="s">
        <v>3342</v>
      </c>
      <c r="C1290" s="263" t="s">
        <v>81</v>
      </c>
      <c r="D1290" s="263" t="s">
        <v>3343</v>
      </c>
      <c r="E1290" s="263" t="s">
        <v>88</v>
      </c>
      <c r="F1290">
        <v>0</v>
      </c>
      <c r="G1290">
        <v>2</v>
      </c>
      <c r="H1290" s="263" t="s">
        <v>436</v>
      </c>
      <c r="I1290" s="264"/>
      <c r="J1290" s="263" t="s">
        <v>437</v>
      </c>
    </row>
    <row r="1291" spans="1:10" x14ac:dyDescent="0.15">
      <c r="A1291" s="263" t="s">
        <v>3344</v>
      </c>
      <c r="B1291" s="263" t="s">
        <v>3345</v>
      </c>
      <c r="C1291" s="263" t="s">
        <v>81</v>
      </c>
      <c r="D1291" s="263" t="s">
        <v>3346</v>
      </c>
      <c r="E1291" s="263" t="s">
        <v>88</v>
      </c>
      <c r="F1291">
        <v>0</v>
      </c>
      <c r="G1291">
        <v>2</v>
      </c>
      <c r="H1291" s="263" t="s">
        <v>436</v>
      </c>
      <c r="I1291" s="264"/>
      <c r="J1291" s="263" t="s">
        <v>437</v>
      </c>
    </row>
    <row r="1292" spans="1:10" x14ac:dyDescent="0.15">
      <c r="A1292" s="263" t="s">
        <v>3347</v>
      </c>
      <c r="B1292" s="263" t="s">
        <v>3348</v>
      </c>
      <c r="C1292" s="263" t="s">
        <v>81</v>
      </c>
      <c r="D1292" s="263" t="s">
        <v>3349</v>
      </c>
      <c r="E1292" s="263" t="s">
        <v>88</v>
      </c>
      <c r="F1292">
        <v>0</v>
      </c>
      <c r="G1292">
        <v>2</v>
      </c>
      <c r="H1292" s="263" t="s">
        <v>436</v>
      </c>
      <c r="I1292" s="264"/>
      <c r="J1292" s="263" t="s">
        <v>437</v>
      </c>
    </row>
    <row r="1293" spans="1:10" x14ac:dyDescent="0.15">
      <c r="A1293" s="263" t="s">
        <v>3350</v>
      </c>
      <c r="B1293" s="263" t="s">
        <v>3351</v>
      </c>
      <c r="C1293" s="263" t="s">
        <v>81</v>
      </c>
      <c r="D1293" s="263" t="s">
        <v>3352</v>
      </c>
      <c r="E1293" s="263" t="s">
        <v>88</v>
      </c>
      <c r="F1293">
        <v>0</v>
      </c>
      <c r="G1293">
        <v>2</v>
      </c>
      <c r="H1293" s="263" t="s">
        <v>436</v>
      </c>
      <c r="I1293" s="264"/>
      <c r="J1293" s="263" t="s">
        <v>437</v>
      </c>
    </row>
    <row r="1294" spans="1:10" x14ac:dyDescent="0.15">
      <c r="A1294" s="263" t="s">
        <v>3353</v>
      </c>
      <c r="B1294" s="263" t="s">
        <v>3354</v>
      </c>
      <c r="C1294" s="263" t="s">
        <v>81</v>
      </c>
      <c r="D1294" s="263" t="s">
        <v>3355</v>
      </c>
      <c r="E1294" s="263" t="s">
        <v>88</v>
      </c>
      <c r="F1294">
        <v>0</v>
      </c>
      <c r="G1294">
        <v>2</v>
      </c>
      <c r="H1294" s="263" t="s">
        <v>436</v>
      </c>
      <c r="I1294" s="264"/>
      <c r="J1294" s="263" t="s">
        <v>437</v>
      </c>
    </row>
    <row r="1295" spans="1:10" x14ac:dyDescent="0.15">
      <c r="A1295" s="263" t="s">
        <v>3356</v>
      </c>
      <c r="B1295" s="263" t="s">
        <v>3357</v>
      </c>
      <c r="C1295" s="263" t="s">
        <v>81</v>
      </c>
      <c r="D1295" s="263" t="s">
        <v>3358</v>
      </c>
      <c r="E1295" s="263" t="s">
        <v>88</v>
      </c>
      <c r="F1295">
        <v>0</v>
      </c>
      <c r="G1295">
        <v>2</v>
      </c>
      <c r="H1295" s="263" t="s">
        <v>436</v>
      </c>
      <c r="I1295" s="264"/>
      <c r="J1295" s="263" t="s">
        <v>437</v>
      </c>
    </row>
    <row r="1296" spans="1:10" x14ac:dyDescent="0.15">
      <c r="A1296" s="263" t="s">
        <v>3359</v>
      </c>
      <c r="B1296" s="263" t="s">
        <v>3360</v>
      </c>
      <c r="C1296" s="263" t="s">
        <v>81</v>
      </c>
      <c r="D1296" s="263" t="s">
        <v>3361</v>
      </c>
      <c r="E1296" s="263" t="s">
        <v>88</v>
      </c>
      <c r="F1296">
        <v>0</v>
      </c>
      <c r="G1296">
        <v>2</v>
      </c>
      <c r="H1296" s="263" t="s">
        <v>436</v>
      </c>
      <c r="I1296" s="264"/>
      <c r="J1296" s="263" t="s">
        <v>437</v>
      </c>
    </row>
    <row r="1297" spans="1:10" x14ac:dyDescent="0.15">
      <c r="A1297" s="263" t="s">
        <v>3362</v>
      </c>
      <c r="B1297" s="263" t="s">
        <v>3363</v>
      </c>
      <c r="C1297" s="263" t="s">
        <v>81</v>
      </c>
      <c r="D1297" s="263" t="s">
        <v>3364</v>
      </c>
      <c r="E1297" s="263" t="s">
        <v>88</v>
      </c>
      <c r="F1297">
        <v>0</v>
      </c>
      <c r="G1297">
        <v>2</v>
      </c>
      <c r="H1297" s="263" t="s">
        <v>436</v>
      </c>
      <c r="I1297" s="264"/>
      <c r="J1297" s="263" t="s">
        <v>437</v>
      </c>
    </row>
    <row r="1298" spans="1:10" x14ac:dyDescent="0.15">
      <c r="A1298" s="263" t="s">
        <v>3365</v>
      </c>
      <c r="B1298" s="263" t="s">
        <v>3366</v>
      </c>
      <c r="C1298" s="263" t="s">
        <v>81</v>
      </c>
      <c r="D1298" s="263" t="s">
        <v>3367</v>
      </c>
      <c r="E1298" s="263" t="s">
        <v>88</v>
      </c>
      <c r="F1298">
        <v>0</v>
      </c>
      <c r="G1298">
        <v>2</v>
      </c>
      <c r="H1298" s="263" t="s">
        <v>436</v>
      </c>
      <c r="I1298" s="264"/>
      <c r="J1298" s="263" t="s">
        <v>437</v>
      </c>
    </row>
    <row r="1299" spans="1:10" x14ac:dyDescent="0.15">
      <c r="A1299" s="263" t="s">
        <v>3368</v>
      </c>
      <c r="B1299" s="263" t="s">
        <v>3369</v>
      </c>
      <c r="C1299" s="263" t="s">
        <v>96</v>
      </c>
      <c r="D1299" s="263" t="s">
        <v>3370</v>
      </c>
      <c r="E1299" s="263" t="s">
        <v>97</v>
      </c>
      <c r="F1299">
        <v>0</v>
      </c>
      <c r="G1299">
        <v>2</v>
      </c>
      <c r="H1299" s="263" t="s">
        <v>436</v>
      </c>
      <c r="I1299" s="264"/>
      <c r="J1299" s="263" t="s">
        <v>437</v>
      </c>
    </row>
    <row r="1300" spans="1:10" x14ac:dyDescent="0.15">
      <c r="A1300" s="263" t="s">
        <v>3371</v>
      </c>
      <c r="B1300" s="263" t="s">
        <v>3372</v>
      </c>
      <c r="C1300" s="263" t="s">
        <v>96</v>
      </c>
      <c r="D1300" s="263" t="s">
        <v>3373</v>
      </c>
      <c r="E1300" s="263" t="s">
        <v>97</v>
      </c>
      <c r="F1300">
        <v>0</v>
      </c>
      <c r="G1300">
        <v>2</v>
      </c>
      <c r="H1300" s="263" t="s">
        <v>436</v>
      </c>
      <c r="I1300" s="264"/>
      <c r="J1300" s="263" t="s">
        <v>437</v>
      </c>
    </row>
    <row r="1301" spans="1:10" x14ac:dyDescent="0.15">
      <c r="A1301" s="263" t="s">
        <v>3374</v>
      </c>
      <c r="B1301" s="263" t="s">
        <v>3375</v>
      </c>
      <c r="C1301" s="263" t="s">
        <v>96</v>
      </c>
      <c r="D1301" s="263" t="s">
        <v>3376</v>
      </c>
      <c r="E1301" s="263" t="s">
        <v>97</v>
      </c>
      <c r="F1301">
        <v>0</v>
      </c>
      <c r="G1301">
        <v>2</v>
      </c>
      <c r="H1301" s="263" t="s">
        <v>436</v>
      </c>
      <c r="I1301" s="264"/>
      <c r="J1301" s="263" t="s">
        <v>437</v>
      </c>
    </row>
    <row r="1302" spans="1:10" x14ac:dyDescent="0.15">
      <c r="A1302" s="263" t="s">
        <v>3377</v>
      </c>
      <c r="B1302" s="263" t="s">
        <v>3378</v>
      </c>
      <c r="C1302" s="263" t="s">
        <v>96</v>
      </c>
      <c r="D1302" s="263" t="s">
        <v>3379</v>
      </c>
      <c r="E1302" s="263" t="s">
        <v>97</v>
      </c>
      <c r="F1302">
        <v>0</v>
      </c>
      <c r="G1302">
        <v>2</v>
      </c>
      <c r="H1302" s="263" t="s">
        <v>436</v>
      </c>
      <c r="I1302" s="264"/>
      <c r="J1302" s="263" t="s">
        <v>437</v>
      </c>
    </row>
    <row r="1303" spans="1:10" x14ac:dyDescent="0.15">
      <c r="A1303" s="263" t="s">
        <v>3380</v>
      </c>
      <c r="B1303" s="263" t="s">
        <v>3381</v>
      </c>
      <c r="C1303" s="263" t="s">
        <v>96</v>
      </c>
      <c r="D1303" s="263" t="s">
        <v>3382</v>
      </c>
      <c r="E1303" s="263" t="s">
        <v>97</v>
      </c>
      <c r="F1303">
        <v>0</v>
      </c>
      <c r="G1303">
        <v>2</v>
      </c>
      <c r="H1303" s="263" t="s">
        <v>436</v>
      </c>
      <c r="I1303" s="264"/>
      <c r="J1303" s="263" t="s">
        <v>437</v>
      </c>
    </row>
    <row r="1304" spans="1:10" x14ac:dyDescent="0.15">
      <c r="A1304" s="263" t="s">
        <v>3383</v>
      </c>
      <c r="B1304" s="263" t="s">
        <v>3384</v>
      </c>
      <c r="C1304" s="263" t="s">
        <v>96</v>
      </c>
      <c r="D1304" s="263" t="s">
        <v>3385</v>
      </c>
      <c r="E1304" s="263" t="s">
        <v>97</v>
      </c>
      <c r="F1304">
        <v>0</v>
      </c>
      <c r="G1304">
        <v>2</v>
      </c>
      <c r="H1304" s="263" t="s">
        <v>436</v>
      </c>
      <c r="I1304" s="264"/>
      <c r="J1304" s="263" t="s">
        <v>437</v>
      </c>
    </row>
    <row r="1305" spans="1:10" x14ac:dyDescent="0.15">
      <c r="A1305" s="263" t="s">
        <v>3386</v>
      </c>
      <c r="B1305" s="263" t="s">
        <v>3387</v>
      </c>
      <c r="C1305" s="263" t="s">
        <v>96</v>
      </c>
      <c r="D1305" s="263" t="s">
        <v>3388</v>
      </c>
      <c r="E1305" s="263" t="s">
        <v>97</v>
      </c>
      <c r="F1305">
        <v>0</v>
      </c>
      <c r="G1305">
        <v>2</v>
      </c>
      <c r="H1305" s="263" t="s">
        <v>436</v>
      </c>
      <c r="I1305" s="264"/>
      <c r="J1305" s="263" t="s">
        <v>437</v>
      </c>
    </row>
    <row r="1306" spans="1:10" x14ac:dyDescent="0.15">
      <c r="A1306" s="263" t="s">
        <v>3389</v>
      </c>
      <c r="B1306" s="263" t="s">
        <v>3390</v>
      </c>
      <c r="C1306" s="263" t="s">
        <v>96</v>
      </c>
      <c r="D1306" s="263" t="s">
        <v>3391</v>
      </c>
      <c r="E1306" s="263" t="s">
        <v>97</v>
      </c>
      <c r="F1306">
        <v>0</v>
      </c>
      <c r="G1306">
        <v>2</v>
      </c>
      <c r="H1306" s="263" t="s">
        <v>436</v>
      </c>
      <c r="I1306" s="264"/>
      <c r="J1306" s="263" t="s">
        <v>437</v>
      </c>
    </row>
    <row r="1307" spans="1:10" x14ac:dyDescent="0.15">
      <c r="A1307" s="263" t="s">
        <v>3392</v>
      </c>
      <c r="B1307" s="263" t="s">
        <v>3393</v>
      </c>
      <c r="C1307" s="263" t="s">
        <v>96</v>
      </c>
      <c r="D1307" s="263" t="s">
        <v>3394</v>
      </c>
      <c r="E1307" s="263" t="s">
        <v>97</v>
      </c>
      <c r="F1307">
        <v>0</v>
      </c>
      <c r="G1307">
        <v>2</v>
      </c>
      <c r="H1307" s="263" t="s">
        <v>436</v>
      </c>
      <c r="I1307" s="264"/>
      <c r="J1307" s="263" t="s">
        <v>437</v>
      </c>
    </row>
    <row r="1308" spans="1:10" x14ac:dyDescent="0.15">
      <c r="A1308" s="263" t="s">
        <v>3395</v>
      </c>
      <c r="B1308" s="263" t="s">
        <v>3396</v>
      </c>
      <c r="C1308" s="263" t="s">
        <v>96</v>
      </c>
      <c r="D1308" s="263" t="s">
        <v>3397</v>
      </c>
      <c r="E1308" s="263" t="s">
        <v>97</v>
      </c>
      <c r="F1308">
        <v>0</v>
      </c>
      <c r="G1308">
        <v>2</v>
      </c>
      <c r="H1308" s="263" t="s">
        <v>436</v>
      </c>
      <c r="I1308" s="264"/>
      <c r="J1308" s="263" t="s">
        <v>437</v>
      </c>
    </row>
    <row r="1309" spans="1:10" x14ac:dyDescent="0.15">
      <c r="A1309" s="263" t="s">
        <v>3398</v>
      </c>
      <c r="B1309" s="263" t="s">
        <v>3399</v>
      </c>
      <c r="C1309" s="263" t="s">
        <v>96</v>
      </c>
      <c r="D1309" s="263" t="s">
        <v>3400</v>
      </c>
      <c r="E1309" s="263" t="s">
        <v>97</v>
      </c>
      <c r="F1309">
        <v>0</v>
      </c>
      <c r="G1309">
        <v>2</v>
      </c>
      <c r="H1309" s="263" t="s">
        <v>436</v>
      </c>
      <c r="I1309" s="264"/>
      <c r="J1309" s="263" t="s">
        <v>437</v>
      </c>
    </row>
    <row r="1310" spans="1:10" x14ac:dyDescent="0.15">
      <c r="A1310" s="263" t="s">
        <v>3401</v>
      </c>
      <c r="B1310" s="263" t="s">
        <v>3402</v>
      </c>
      <c r="C1310" s="263" t="s">
        <v>96</v>
      </c>
      <c r="D1310" s="263" t="s">
        <v>3403</v>
      </c>
      <c r="E1310" s="263" t="s">
        <v>97</v>
      </c>
      <c r="F1310">
        <v>0</v>
      </c>
      <c r="G1310">
        <v>2</v>
      </c>
      <c r="H1310" s="263" t="s">
        <v>436</v>
      </c>
      <c r="I1310" s="264"/>
      <c r="J1310" s="263" t="s">
        <v>437</v>
      </c>
    </row>
    <row r="1311" spans="1:10" x14ac:dyDescent="0.15">
      <c r="A1311" s="263" t="s">
        <v>3404</v>
      </c>
      <c r="B1311" s="263" t="s">
        <v>3405</v>
      </c>
      <c r="C1311" s="263" t="s">
        <v>96</v>
      </c>
      <c r="D1311" s="263" t="s">
        <v>3406</v>
      </c>
      <c r="E1311" s="263" t="s">
        <v>97</v>
      </c>
      <c r="F1311">
        <v>0</v>
      </c>
      <c r="G1311">
        <v>2</v>
      </c>
      <c r="H1311" s="263" t="s">
        <v>436</v>
      </c>
      <c r="I1311" s="264"/>
      <c r="J1311" s="263" t="s">
        <v>437</v>
      </c>
    </row>
    <row r="1312" spans="1:10" x14ac:dyDescent="0.15">
      <c r="A1312" s="263" t="s">
        <v>3407</v>
      </c>
      <c r="B1312" s="263" t="s">
        <v>3408</v>
      </c>
      <c r="C1312" s="263" t="s">
        <v>96</v>
      </c>
      <c r="D1312" s="263" t="s">
        <v>3409</v>
      </c>
      <c r="E1312" s="263" t="s">
        <v>97</v>
      </c>
      <c r="F1312">
        <v>0</v>
      </c>
      <c r="G1312">
        <v>2</v>
      </c>
      <c r="H1312" s="263" t="s">
        <v>436</v>
      </c>
      <c r="I1312" s="264"/>
      <c r="J1312" s="263" t="s">
        <v>437</v>
      </c>
    </row>
    <row r="1313" spans="1:10" x14ac:dyDescent="0.15">
      <c r="A1313" s="263" t="s">
        <v>3410</v>
      </c>
      <c r="B1313" s="263" t="s">
        <v>3411</v>
      </c>
      <c r="C1313" s="263" t="s">
        <v>96</v>
      </c>
      <c r="D1313" s="263" t="s">
        <v>3412</v>
      </c>
      <c r="E1313" s="263" t="s">
        <v>97</v>
      </c>
      <c r="F1313">
        <v>0</v>
      </c>
      <c r="G1313">
        <v>2</v>
      </c>
      <c r="H1313" s="263" t="s">
        <v>436</v>
      </c>
      <c r="I1313" s="264"/>
      <c r="J1313" s="263" t="s">
        <v>437</v>
      </c>
    </row>
    <row r="1314" spans="1:10" x14ac:dyDescent="0.15">
      <c r="A1314" s="263" t="s">
        <v>3413</v>
      </c>
      <c r="B1314" s="263" t="s">
        <v>3414</v>
      </c>
      <c r="C1314" s="263" t="s">
        <v>96</v>
      </c>
      <c r="D1314" s="263" t="s">
        <v>3415</v>
      </c>
      <c r="E1314" s="263" t="s">
        <v>97</v>
      </c>
      <c r="F1314">
        <v>0</v>
      </c>
      <c r="G1314">
        <v>2</v>
      </c>
      <c r="H1314" s="263" t="s">
        <v>436</v>
      </c>
      <c r="I1314" s="264"/>
      <c r="J1314" s="263" t="s">
        <v>437</v>
      </c>
    </row>
    <row r="1315" spans="1:10" x14ac:dyDescent="0.15">
      <c r="A1315" s="263" t="s">
        <v>3416</v>
      </c>
      <c r="B1315" s="263" t="s">
        <v>3417</v>
      </c>
      <c r="C1315" s="263" t="s">
        <v>96</v>
      </c>
      <c r="D1315" s="263" t="s">
        <v>3418</v>
      </c>
      <c r="E1315" s="263" t="s">
        <v>97</v>
      </c>
      <c r="F1315">
        <v>0</v>
      </c>
      <c r="G1315">
        <v>2</v>
      </c>
      <c r="H1315" s="263" t="s">
        <v>436</v>
      </c>
      <c r="I1315" s="264"/>
      <c r="J1315" s="263" t="s">
        <v>437</v>
      </c>
    </row>
    <row r="1316" spans="1:10" x14ac:dyDescent="0.15">
      <c r="A1316" s="263" t="s">
        <v>3419</v>
      </c>
      <c r="B1316" s="263" t="s">
        <v>3420</v>
      </c>
      <c r="C1316" s="263" t="s">
        <v>96</v>
      </c>
      <c r="D1316" s="263" t="s">
        <v>3421</v>
      </c>
      <c r="E1316" s="263" t="s">
        <v>97</v>
      </c>
      <c r="F1316">
        <v>0</v>
      </c>
      <c r="G1316">
        <v>2</v>
      </c>
      <c r="H1316" s="263" t="s">
        <v>436</v>
      </c>
      <c r="I1316" s="264"/>
      <c r="J1316" s="263" t="s">
        <v>437</v>
      </c>
    </row>
    <row r="1317" spans="1:10" x14ac:dyDescent="0.15">
      <c r="A1317" s="263" t="s">
        <v>3422</v>
      </c>
      <c r="B1317" s="263" t="s">
        <v>3423</v>
      </c>
      <c r="C1317" s="263" t="s">
        <v>96</v>
      </c>
      <c r="D1317" s="263" t="s">
        <v>3424</v>
      </c>
      <c r="E1317" s="263" t="s">
        <v>97</v>
      </c>
      <c r="F1317">
        <v>0</v>
      </c>
      <c r="G1317">
        <v>2</v>
      </c>
      <c r="H1317" s="263" t="s">
        <v>436</v>
      </c>
      <c r="I1317" s="264"/>
      <c r="J1317" s="263" t="s">
        <v>437</v>
      </c>
    </row>
    <row r="1318" spans="1:10" x14ac:dyDescent="0.15">
      <c r="A1318" s="263" t="s">
        <v>3425</v>
      </c>
      <c r="B1318" s="263" t="s">
        <v>3426</v>
      </c>
      <c r="C1318" s="263" t="s">
        <v>96</v>
      </c>
      <c r="D1318" s="263" t="s">
        <v>3427</v>
      </c>
      <c r="E1318" s="263" t="s">
        <v>97</v>
      </c>
      <c r="F1318">
        <v>0</v>
      </c>
      <c r="G1318">
        <v>2</v>
      </c>
      <c r="H1318" s="263" t="s">
        <v>436</v>
      </c>
      <c r="I1318" s="264"/>
      <c r="J1318" s="263" t="s">
        <v>437</v>
      </c>
    </row>
    <row r="1319" spans="1:10" x14ac:dyDescent="0.15">
      <c r="A1319" s="263" t="s">
        <v>3428</v>
      </c>
      <c r="B1319" s="263" t="s">
        <v>3429</v>
      </c>
      <c r="C1319" s="263" t="s">
        <v>96</v>
      </c>
      <c r="D1319" s="263" t="s">
        <v>3430</v>
      </c>
      <c r="E1319" s="263" t="s">
        <v>97</v>
      </c>
      <c r="F1319">
        <v>0</v>
      </c>
      <c r="G1319">
        <v>2</v>
      </c>
      <c r="H1319" s="263" t="s">
        <v>436</v>
      </c>
      <c r="I1319" s="264"/>
      <c r="J1319" s="263" t="s">
        <v>437</v>
      </c>
    </row>
    <row r="1320" spans="1:10" x14ac:dyDescent="0.15">
      <c r="A1320" s="263" t="s">
        <v>3431</v>
      </c>
      <c r="B1320" s="263" t="s">
        <v>3432</v>
      </c>
      <c r="C1320" s="263" t="s">
        <v>96</v>
      </c>
      <c r="D1320" s="263" t="s">
        <v>3433</v>
      </c>
      <c r="E1320" s="263" t="s">
        <v>97</v>
      </c>
      <c r="F1320">
        <v>0</v>
      </c>
      <c r="G1320">
        <v>2</v>
      </c>
      <c r="H1320" s="263" t="s">
        <v>436</v>
      </c>
      <c r="I1320" s="264"/>
      <c r="J1320" s="263" t="s">
        <v>437</v>
      </c>
    </row>
    <row r="1321" spans="1:10" x14ac:dyDescent="0.15">
      <c r="A1321" s="263" t="s">
        <v>3434</v>
      </c>
      <c r="B1321" s="263" t="s">
        <v>3435</v>
      </c>
      <c r="C1321" s="263" t="s">
        <v>96</v>
      </c>
      <c r="D1321" s="263" t="s">
        <v>3436</v>
      </c>
      <c r="E1321" s="263" t="s">
        <v>97</v>
      </c>
      <c r="F1321">
        <v>0</v>
      </c>
      <c r="G1321">
        <v>2</v>
      </c>
      <c r="H1321" s="263" t="s">
        <v>436</v>
      </c>
      <c r="I1321" s="264"/>
      <c r="J1321" s="263" t="s">
        <v>437</v>
      </c>
    </row>
    <row r="1322" spans="1:10" x14ac:dyDescent="0.15">
      <c r="A1322" s="263" t="s">
        <v>3437</v>
      </c>
      <c r="B1322" s="263" t="s">
        <v>3438</v>
      </c>
      <c r="C1322" s="263" t="s">
        <v>96</v>
      </c>
      <c r="D1322" s="263" t="s">
        <v>3439</v>
      </c>
      <c r="E1322" s="263" t="s">
        <v>97</v>
      </c>
      <c r="F1322">
        <v>0</v>
      </c>
      <c r="G1322">
        <v>2</v>
      </c>
      <c r="H1322" s="263" t="s">
        <v>436</v>
      </c>
      <c r="I1322" s="264"/>
      <c r="J1322" s="263" t="s">
        <v>437</v>
      </c>
    </row>
    <row r="1323" spans="1:10" x14ac:dyDescent="0.15">
      <c r="A1323" s="263" t="s">
        <v>3440</v>
      </c>
      <c r="B1323" s="263" t="s">
        <v>3441</v>
      </c>
      <c r="C1323" s="263" t="s">
        <v>96</v>
      </c>
      <c r="D1323" s="263" t="s">
        <v>3442</v>
      </c>
      <c r="E1323" s="263" t="s">
        <v>97</v>
      </c>
      <c r="F1323">
        <v>0</v>
      </c>
      <c r="G1323">
        <v>2</v>
      </c>
      <c r="H1323" s="263" t="s">
        <v>436</v>
      </c>
      <c r="I1323" s="264"/>
      <c r="J1323" s="263" t="s">
        <v>437</v>
      </c>
    </row>
    <row r="1324" spans="1:10" x14ac:dyDescent="0.15">
      <c r="A1324" s="263" t="s">
        <v>3443</v>
      </c>
      <c r="B1324" s="263" t="s">
        <v>3444</v>
      </c>
      <c r="C1324" s="263" t="s">
        <v>96</v>
      </c>
      <c r="D1324" s="263" t="s">
        <v>3445</v>
      </c>
      <c r="E1324" s="263" t="s">
        <v>97</v>
      </c>
      <c r="F1324">
        <v>0</v>
      </c>
      <c r="G1324">
        <v>2</v>
      </c>
      <c r="H1324" s="263" t="s">
        <v>436</v>
      </c>
      <c r="I1324" s="264"/>
      <c r="J1324" s="263" t="s">
        <v>437</v>
      </c>
    </row>
    <row r="1325" spans="1:10" x14ac:dyDescent="0.15">
      <c r="A1325" s="263" t="s">
        <v>3446</v>
      </c>
      <c r="B1325" s="263" t="s">
        <v>3447</v>
      </c>
      <c r="C1325" s="263" t="s">
        <v>96</v>
      </c>
      <c r="D1325" s="263" t="s">
        <v>3448</v>
      </c>
      <c r="E1325" s="263" t="s">
        <v>97</v>
      </c>
      <c r="F1325">
        <v>0</v>
      </c>
      <c r="G1325">
        <v>2</v>
      </c>
      <c r="H1325" s="263" t="s">
        <v>436</v>
      </c>
      <c r="I1325" s="264"/>
      <c r="J1325" s="263" t="s">
        <v>437</v>
      </c>
    </row>
    <row r="1326" spans="1:10" x14ac:dyDescent="0.15">
      <c r="A1326" s="263" t="s">
        <v>3449</v>
      </c>
      <c r="B1326" s="263" t="s">
        <v>3450</v>
      </c>
      <c r="C1326" s="263" t="s">
        <v>96</v>
      </c>
      <c r="D1326" s="263" t="s">
        <v>3451</v>
      </c>
      <c r="E1326" s="263" t="s">
        <v>97</v>
      </c>
      <c r="F1326">
        <v>0</v>
      </c>
      <c r="G1326">
        <v>2</v>
      </c>
      <c r="H1326" s="263" t="s">
        <v>436</v>
      </c>
      <c r="I1326" s="264"/>
      <c r="J1326" s="263" t="s">
        <v>437</v>
      </c>
    </row>
    <row r="1327" spans="1:10" x14ac:dyDescent="0.15">
      <c r="A1327" s="263" t="s">
        <v>3452</v>
      </c>
      <c r="B1327" s="263" t="s">
        <v>3453</v>
      </c>
      <c r="C1327" s="263" t="s">
        <v>96</v>
      </c>
      <c r="D1327" s="263" t="s">
        <v>3454</v>
      </c>
      <c r="E1327" s="263" t="s">
        <v>97</v>
      </c>
      <c r="F1327">
        <v>0</v>
      </c>
      <c r="G1327">
        <v>2</v>
      </c>
      <c r="H1327" s="263" t="s">
        <v>436</v>
      </c>
      <c r="I1327" s="264"/>
      <c r="J1327" s="263" t="s">
        <v>437</v>
      </c>
    </row>
    <row r="1328" spans="1:10" x14ac:dyDescent="0.15">
      <c r="A1328" s="263" t="s">
        <v>3455</v>
      </c>
      <c r="B1328" s="263" t="s">
        <v>3456</v>
      </c>
      <c r="C1328" s="263" t="s">
        <v>96</v>
      </c>
      <c r="D1328" s="263" t="s">
        <v>3457</v>
      </c>
      <c r="E1328" s="263" t="s">
        <v>97</v>
      </c>
      <c r="F1328">
        <v>0</v>
      </c>
      <c r="G1328">
        <v>2</v>
      </c>
      <c r="H1328" s="263" t="s">
        <v>436</v>
      </c>
      <c r="I1328" s="264"/>
      <c r="J1328" s="263" t="s">
        <v>437</v>
      </c>
    </row>
    <row r="1329" spans="1:10" x14ac:dyDescent="0.15">
      <c r="A1329" s="263" t="s">
        <v>3458</v>
      </c>
      <c r="B1329" s="263" t="s">
        <v>3459</v>
      </c>
      <c r="C1329" s="263" t="s">
        <v>96</v>
      </c>
      <c r="D1329" s="263" t="s">
        <v>3460</v>
      </c>
      <c r="E1329" s="263" t="s">
        <v>97</v>
      </c>
      <c r="F1329">
        <v>0</v>
      </c>
      <c r="G1329">
        <v>2</v>
      </c>
      <c r="H1329" s="263" t="s">
        <v>436</v>
      </c>
      <c r="I1329" s="264"/>
      <c r="J1329" s="263" t="s">
        <v>437</v>
      </c>
    </row>
    <row r="1330" spans="1:10" x14ac:dyDescent="0.15">
      <c r="A1330" s="263" t="s">
        <v>3461</v>
      </c>
      <c r="B1330" s="263" t="s">
        <v>3462</v>
      </c>
      <c r="C1330" s="263" t="s">
        <v>96</v>
      </c>
      <c r="D1330" s="263" t="s">
        <v>3463</v>
      </c>
      <c r="E1330" s="263" t="s">
        <v>97</v>
      </c>
      <c r="F1330">
        <v>0</v>
      </c>
      <c r="G1330">
        <v>2</v>
      </c>
      <c r="H1330" s="263" t="s">
        <v>436</v>
      </c>
      <c r="I1330" s="264"/>
      <c r="J1330" s="263" t="s">
        <v>437</v>
      </c>
    </row>
    <row r="1331" spans="1:10" x14ac:dyDescent="0.15">
      <c r="A1331" s="263" t="s">
        <v>3464</v>
      </c>
      <c r="B1331" s="263" t="s">
        <v>3465</v>
      </c>
      <c r="C1331" s="263" t="s">
        <v>96</v>
      </c>
      <c r="D1331" s="263" t="s">
        <v>3466</v>
      </c>
      <c r="E1331" s="263" t="s">
        <v>97</v>
      </c>
      <c r="F1331">
        <v>0</v>
      </c>
      <c r="G1331">
        <v>2</v>
      </c>
      <c r="H1331" s="263" t="s">
        <v>436</v>
      </c>
      <c r="I1331" s="264"/>
      <c r="J1331" s="263" t="s">
        <v>437</v>
      </c>
    </row>
    <row r="1332" spans="1:10" x14ac:dyDescent="0.15">
      <c r="A1332" s="263" t="s">
        <v>3467</v>
      </c>
      <c r="B1332" s="263" t="s">
        <v>3468</v>
      </c>
      <c r="C1332" s="263" t="s">
        <v>96</v>
      </c>
      <c r="D1332" s="263" t="s">
        <v>3469</v>
      </c>
      <c r="E1332" s="263" t="s">
        <v>97</v>
      </c>
      <c r="F1332">
        <v>0</v>
      </c>
      <c r="G1332">
        <v>2</v>
      </c>
      <c r="H1332" s="263" t="s">
        <v>436</v>
      </c>
      <c r="I1332" s="264"/>
      <c r="J1332" s="263" t="s">
        <v>437</v>
      </c>
    </row>
    <row r="1333" spans="1:10" x14ac:dyDescent="0.15">
      <c r="A1333" s="263" t="s">
        <v>3470</v>
      </c>
      <c r="B1333" s="263" t="s">
        <v>3471</v>
      </c>
      <c r="C1333" s="263" t="s">
        <v>96</v>
      </c>
      <c r="D1333" s="263" t="s">
        <v>3472</v>
      </c>
      <c r="E1333" s="263" t="s">
        <v>97</v>
      </c>
      <c r="F1333">
        <v>0</v>
      </c>
      <c r="G1333">
        <v>2</v>
      </c>
      <c r="H1333" s="263" t="s">
        <v>436</v>
      </c>
      <c r="I1333" s="264"/>
      <c r="J1333" s="263" t="s">
        <v>437</v>
      </c>
    </row>
    <row r="1334" spans="1:10" x14ac:dyDescent="0.15">
      <c r="A1334" s="263" t="s">
        <v>3473</v>
      </c>
      <c r="B1334" s="263" t="s">
        <v>3474</v>
      </c>
      <c r="C1334" s="263" t="s">
        <v>96</v>
      </c>
      <c r="D1334" s="263" t="s">
        <v>3475</v>
      </c>
      <c r="E1334" s="263" t="s">
        <v>97</v>
      </c>
      <c r="F1334">
        <v>0</v>
      </c>
      <c r="G1334">
        <v>2</v>
      </c>
      <c r="H1334" s="263" t="s">
        <v>436</v>
      </c>
      <c r="I1334" s="264"/>
      <c r="J1334" s="263" t="s">
        <v>437</v>
      </c>
    </row>
    <row r="1335" spans="1:10" x14ac:dyDescent="0.15">
      <c r="A1335" s="263" t="s">
        <v>3476</v>
      </c>
      <c r="B1335" s="263" t="s">
        <v>3477</v>
      </c>
      <c r="C1335" s="263" t="s">
        <v>96</v>
      </c>
      <c r="D1335" s="263" t="s">
        <v>3478</v>
      </c>
      <c r="E1335" s="263" t="s">
        <v>97</v>
      </c>
      <c r="F1335">
        <v>0</v>
      </c>
      <c r="G1335">
        <v>2</v>
      </c>
      <c r="H1335" s="263" t="s">
        <v>436</v>
      </c>
      <c r="I1335" s="264"/>
      <c r="J1335" s="263" t="s">
        <v>437</v>
      </c>
    </row>
    <row r="1336" spans="1:10" x14ac:dyDescent="0.15">
      <c r="A1336" s="263" t="s">
        <v>3479</v>
      </c>
      <c r="B1336" s="263" t="s">
        <v>3480</v>
      </c>
      <c r="C1336" s="263" t="s">
        <v>96</v>
      </c>
      <c r="D1336" s="263" t="s">
        <v>3481</v>
      </c>
      <c r="E1336" s="263" t="s">
        <v>97</v>
      </c>
      <c r="F1336">
        <v>0</v>
      </c>
      <c r="G1336">
        <v>2</v>
      </c>
      <c r="H1336" s="263" t="s">
        <v>436</v>
      </c>
      <c r="I1336" s="264"/>
      <c r="J1336" s="263" t="s">
        <v>437</v>
      </c>
    </row>
    <row r="1337" spans="1:10" x14ac:dyDescent="0.15">
      <c r="A1337" s="263" t="s">
        <v>3482</v>
      </c>
      <c r="B1337" s="263" t="s">
        <v>3483</v>
      </c>
      <c r="C1337" s="263" t="s">
        <v>96</v>
      </c>
      <c r="D1337" s="263" t="s">
        <v>3484</v>
      </c>
      <c r="E1337" s="263" t="s">
        <v>97</v>
      </c>
      <c r="F1337">
        <v>0</v>
      </c>
      <c r="G1337">
        <v>2</v>
      </c>
      <c r="H1337" s="263" t="s">
        <v>436</v>
      </c>
      <c r="I1337" s="264"/>
      <c r="J1337" s="263" t="s">
        <v>437</v>
      </c>
    </row>
    <row r="1338" spans="1:10" x14ac:dyDescent="0.15">
      <c r="A1338" s="263" t="s">
        <v>3485</v>
      </c>
      <c r="B1338" s="263" t="s">
        <v>3486</v>
      </c>
      <c r="C1338" s="263" t="s">
        <v>96</v>
      </c>
      <c r="D1338" s="263" t="s">
        <v>3487</v>
      </c>
      <c r="E1338" s="263" t="s">
        <v>97</v>
      </c>
      <c r="F1338">
        <v>0</v>
      </c>
      <c r="G1338">
        <v>2</v>
      </c>
      <c r="H1338" s="263" t="s">
        <v>436</v>
      </c>
      <c r="I1338" s="264"/>
      <c r="J1338" s="263" t="s">
        <v>437</v>
      </c>
    </row>
    <row r="1339" spans="1:10" x14ac:dyDescent="0.15">
      <c r="A1339" s="263" t="s">
        <v>3488</v>
      </c>
      <c r="B1339" s="263" t="s">
        <v>3489</v>
      </c>
      <c r="C1339" s="263" t="s">
        <v>96</v>
      </c>
      <c r="D1339" s="263" t="s">
        <v>3490</v>
      </c>
      <c r="E1339" s="263" t="s">
        <v>97</v>
      </c>
      <c r="F1339">
        <v>0</v>
      </c>
      <c r="G1339">
        <v>2</v>
      </c>
      <c r="H1339" s="263" t="s">
        <v>436</v>
      </c>
      <c r="I1339" s="264"/>
      <c r="J1339" s="263" t="s">
        <v>437</v>
      </c>
    </row>
    <row r="1340" spans="1:10" x14ac:dyDescent="0.15">
      <c r="A1340" s="263" t="s">
        <v>3491</v>
      </c>
      <c r="B1340" s="263" t="s">
        <v>3492</v>
      </c>
      <c r="C1340" s="263" t="s">
        <v>96</v>
      </c>
      <c r="D1340" s="263" t="s">
        <v>3493</v>
      </c>
      <c r="E1340" s="263" t="s">
        <v>97</v>
      </c>
      <c r="F1340">
        <v>0</v>
      </c>
      <c r="G1340">
        <v>2</v>
      </c>
      <c r="H1340" s="263" t="s">
        <v>436</v>
      </c>
      <c r="I1340" s="264"/>
      <c r="J1340" s="263" t="s">
        <v>437</v>
      </c>
    </row>
    <row r="1341" spans="1:10" x14ac:dyDescent="0.15">
      <c r="A1341" s="263" t="s">
        <v>3494</v>
      </c>
      <c r="B1341" s="263" t="s">
        <v>3495</v>
      </c>
      <c r="C1341" s="263" t="s">
        <v>96</v>
      </c>
      <c r="D1341" s="263" t="s">
        <v>3496</v>
      </c>
      <c r="E1341" s="263" t="s">
        <v>97</v>
      </c>
      <c r="F1341">
        <v>0</v>
      </c>
      <c r="G1341">
        <v>2</v>
      </c>
      <c r="H1341" s="263" t="s">
        <v>436</v>
      </c>
      <c r="I1341" s="264"/>
      <c r="J1341" s="263" t="s">
        <v>437</v>
      </c>
    </row>
    <row r="1342" spans="1:10" x14ac:dyDescent="0.15">
      <c r="A1342" s="263" t="s">
        <v>3497</v>
      </c>
      <c r="B1342" s="263" t="s">
        <v>3498</v>
      </c>
      <c r="C1342" s="263" t="s">
        <v>96</v>
      </c>
      <c r="D1342" s="263" t="s">
        <v>3499</v>
      </c>
      <c r="E1342" s="263" t="s">
        <v>97</v>
      </c>
      <c r="F1342">
        <v>0</v>
      </c>
      <c r="G1342">
        <v>2</v>
      </c>
      <c r="H1342" s="263" t="s">
        <v>436</v>
      </c>
      <c r="I1342" s="264"/>
      <c r="J1342" s="263" t="s">
        <v>437</v>
      </c>
    </row>
    <row r="1343" spans="1:10" x14ac:dyDescent="0.15">
      <c r="A1343" s="263" t="s">
        <v>3500</v>
      </c>
      <c r="B1343" s="263" t="s">
        <v>3501</v>
      </c>
      <c r="C1343" s="263" t="s">
        <v>96</v>
      </c>
      <c r="D1343" s="263" t="s">
        <v>3502</v>
      </c>
      <c r="E1343" s="263" t="s">
        <v>97</v>
      </c>
      <c r="F1343">
        <v>0</v>
      </c>
      <c r="G1343">
        <v>2</v>
      </c>
      <c r="H1343" s="263" t="s">
        <v>436</v>
      </c>
      <c r="I1343" s="264"/>
      <c r="J1343" s="263" t="s">
        <v>437</v>
      </c>
    </row>
    <row r="1344" spans="1:10" x14ac:dyDescent="0.15">
      <c r="A1344" s="263" t="s">
        <v>3503</v>
      </c>
      <c r="B1344" s="263" t="s">
        <v>3504</v>
      </c>
      <c r="C1344" s="263" t="s">
        <v>96</v>
      </c>
      <c r="D1344" s="263" t="s">
        <v>3505</v>
      </c>
      <c r="E1344" s="263" t="s">
        <v>97</v>
      </c>
      <c r="F1344">
        <v>0</v>
      </c>
      <c r="G1344">
        <v>2</v>
      </c>
      <c r="H1344" s="263" t="s">
        <v>436</v>
      </c>
      <c r="I1344" s="264"/>
      <c r="J1344" s="263" t="s">
        <v>437</v>
      </c>
    </row>
    <row r="1345" spans="1:10" x14ac:dyDescent="0.15">
      <c r="A1345" s="263" t="s">
        <v>3506</v>
      </c>
      <c r="B1345" s="263" t="s">
        <v>3507</v>
      </c>
      <c r="C1345" s="263" t="s">
        <v>96</v>
      </c>
      <c r="D1345" s="263" t="s">
        <v>3508</v>
      </c>
      <c r="E1345" s="263" t="s">
        <v>97</v>
      </c>
      <c r="F1345">
        <v>0</v>
      </c>
      <c r="G1345">
        <v>2</v>
      </c>
      <c r="H1345" s="263" t="s">
        <v>436</v>
      </c>
      <c r="I1345" s="264"/>
      <c r="J1345" s="263" t="s">
        <v>437</v>
      </c>
    </row>
    <row r="1346" spans="1:10" x14ac:dyDescent="0.15">
      <c r="A1346" s="263" t="s">
        <v>3509</v>
      </c>
      <c r="B1346" s="263" t="s">
        <v>3510</v>
      </c>
      <c r="C1346" s="263" t="s">
        <v>96</v>
      </c>
      <c r="D1346" s="263" t="s">
        <v>3511</v>
      </c>
      <c r="E1346" s="263" t="s">
        <v>97</v>
      </c>
      <c r="F1346">
        <v>0</v>
      </c>
      <c r="G1346">
        <v>2</v>
      </c>
      <c r="H1346" s="263" t="s">
        <v>436</v>
      </c>
      <c r="I1346" s="264"/>
      <c r="J1346" s="263" t="s">
        <v>437</v>
      </c>
    </row>
    <row r="1347" spans="1:10" x14ac:dyDescent="0.15">
      <c r="A1347" s="263" t="s">
        <v>3512</v>
      </c>
      <c r="B1347" s="263" t="s">
        <v>3513</v>
      </c>
      <c r="C1347" s="263" t="s">
        <v>96</v>
      </c>
      <c r="D1347" s="263" t="s">
        <v>3514</v>
      </c>
      <c r="E1347" s="263" t="s">
        <v>97</v>
      </c>
      <c r="F1347">
        <v>0</v>
      </c>
      <c r="G1347">
        <v>2</v>
      </c>
      <c r="H1347" s="263" t="s">
        <v>436</v>
      </c>
      <c r="I1347" s="264"/>
      <c r="J1347" s="263" t="s">
        <v>437</v>
      </c>
    </row>
    <row r="1348" spans="1:10" x14ac:dyDescent="0.15">
      <c r="A1348" s="263" t="s">
        <v>3515</v>
      </c>
      <c r="B1348" s="263" t="s">
        <v>3516</v>
      </c>
      <c r="C1348" s="263" t="s">
        <v>96</v>
      </c>
      <c r="D1348" s="263" t="s">
        <v>3517</v>
      </c>
      <c r="E1348" s="263" t="s">
        <v>97</v>
      </c>
      <c r="F1348">
        <v>0</v>
      </c>
      <c r="G1348">
        <v>2</v>
      </c>
      <c r="H1348" s="263" t="s">
        <v>436</v>
      </c>
      <c r="I1348" s="264"/>
      <c r="J1348" s="263" t="s">
        <v>437</v>
      </c>
    </row>
    <row r="1349" spans="1:10" x14ac:dyDescent="0.15">
      <c r="A1349" s="263" t="s">
        <v>3518</v>
      </c>
      <c r="B1349" s="263" t="s">
        <v>3519</v>
      </c>
      <c r="C1349" s="263" t="s">
        <v>96</v>
      </c>
      <c r="D1349" s="263" t="s">
        <v>3520</v>
      </c>
      <c r="E1349" s="263" t="s">
        <v>97</v>
      </c>
      <c r="F1349">
        <v>0</v>
      </c>
      <c r="G1349">
        <v>2</v>
      </c>
      <c r="H1349" s="263" t="s">
        <v>436</v>
      </c>
      <c r="I1349" s="264"/>
      <c r="J1349" s="263" t="s">
        <v>437</v>
      </c>
    </row>
    <row r="1350" spans="1:10" x14ac:dyDescent="0.15">
      <c r="A1350" s="263" t="s">
        <v>3521</v>
      </c>
      <c r="B1350" s="263" t="s">
        <v>3522</v>
      </c>
      <c r="C1350" s="263" t="s">
        <v>96</v>
      </c>
      <c r="D1350" s="263" t="s">
        <v>3523</v>
      </c>
      <c r="E1350" s="263" t="s">
        <v>97</v>
      </c>
      <c r="F1350">
        <v>0</v>
      </c>
      <c r="G1350">
        <v>2</v>
      </c>
      <c r="H1350" s="263" t="s">
        <v>436</v>
      </c>
      <c r="I1350" s="264"/>
      <c r="J1350" s="263" t="s">
        <v>437</v>
      </c>
    </row>
    <row r="1351" spans="1:10" x14ac:dyDescent="0.15">
      <c r="A1351" s="263" t="s">
        <v>3524</v>
      </c>
      <c r="B1351" s="263" t="s">
        <v>3525</v>
      </c>
      <c r="C1351" s="263" t="s">
        <v>96</v>
      </c>
      <c r="D1351" s="263" t="s">
        <v>3526</v>
      </c>
      <c r="E1351" s="263" t="s">
        <v>97</v>
      </c>
      <c r="F1351">
        <v>0</v>
      </c>
      <c r="G1351">
        <v>2</v>
      </c>
      <c r="H1351" s="263" t="s">
        <v>436</v>
      </c>
      <c r="I1351" s="264"/>
      <c r="J1351" s="263" t="s">
        <v>437</v>
      </c>
    </row>
    <row r="1352" spans="1:10" x14ac:dyDescent="0.15">
      <c r="A1352" s="263" t="s">
        <v>3527</v>
      </c>
      <c r="B1352" s="263" t="s">
        <v>3528</v>
      </c>
      <c r="C1352" s="263" t="s">
        <v>96</v>
      </c>
      <c r="D1352" s="263" t="s">
        <v>3529</v>
      </c>
      <c r="E1352" s="263" t="s">
        <v>97</v>
      </c>
      <c r="F1352">
        <v>0</v>
      </c>
      <c r="G1352">
        <v>2</v>
      </c>
      <c r="H1352" s="263" t="s">
        <v>436</v>
      </c>
      <c r="I1352" s="264"/>
      <c r="J1352" s="263" t="s">
        <v>437</v>
      </c>
    </row>
    <row r="1353" spans="1:10" x14ac:dyDescent="0.15">
      <c r="A1353" s="263" t="s">
        <v>3530</v>
      </c>
      <c r="B1353" s="263" t="s">
        <v>3531</v>
      </c>
      <c r="C1353" s="263" t="s">
        <v>96</v>
      </c>
      <c r="D1353" s="263" t="s">
        <v>3532</v>
      </c>
      <c r="E1353" s="263" t="s">
        <v>97</v>
      </c>
      <c r="F1353">
        <v>0</v>
      </c>
      <c r="G1353">
        <v>2</v>
      </c>
      <c r="H1353" s="263" t="s">
        <v>436</v>
      </c>
      <c r="I1353" s="264"/>
      <c r="J1353" s="263" t="s">
        <v>437</v>
      </c>
    </row>
    <row r="1354" spans="1:10" x14ac:dyDescent="0.15">
      <c r="A1354" s="263" t="s">
        <v>3533</v>
      </c>
      <c r="B1354" s="263" t="s">
        <v>3534</v>
      </c>
      <c r="C1354" s="263" t="s">
        <v>96</v>
      </c>
      <c r="D1354" s="263" t="s">
        <v>3535</v>
      </c>
      <c r="E1354" s="263" t="s">
        <v>97</v>
      </c>
      <c r="F1354">
        <v>0</v>
      </c>
      <c r="G1354">
        <v>2</v>
      </c>
      <c r="H1354" s="263" t="s">
        <v>436</v>
      </c>
      <c r="I1354" s="264"/>
      <c r="J1354" s="263" t="s">
        <v>437</v>
      </c>
    </row>
    <row r="1355" spans="1:10" x14ac:dyDescent="0.15">
      <c r="A1355" s="263" t="s">
        <v>3536</v>
      </c>
      <c r="B1355" s="263" t="s">
        <v>3537</v>
      </c>
      <c r="C1355" s="263" t="s">
        <v>96</v>
      </c>
      <c r="D1355" s="263" t="s">
        <v>3538</v>
      </c>
      <c r="E1355" s="263" t="s">
        <v>97</v>
      </c>
      <c r="F1355">
        <v>0</v>
      </c>
      <c r="G1355">
        <v>2</v>
      </c>
      <c r="H1355" s="263" t="s">
        <v>436</v>
      </c>
      <c r="I1355" s="264"/>
      <c r="J1355" s="263" t="s">
        <v>437</v>
      </c>
    </row>
    <row r="1356" spans="1:10" x14ac:dyDescent="0.15">
      <c r="A1356" s="263" t="s">
        <v>3539</v>
      </c>
      <c r="B1356" s="263" t="s">
        <v>3540</v>
      </c>
      <c r="C1356" s="263" t="s">
        <v>96</v>
      </c>
      <c r="D1356" s="263" t="s">
        <v>3541</v>
      </c>
      <c r="E1356" s="263" t="s">
        <v>97</v>
      </c>
      <c r="F1356">
        <v>0</v>
      </c>
      <c r="G1356">
        <v>2</v>
      </c>
      <c r="H1356" s="263" t="s">
        <v>436</v>
      </c>
      <c r="I1356" s="264"/>
      <c r="J1356" s="263" t="s">
        <v>437</v>
      </c>
    </row>
    <row r="1357" spans="1:10" x14ac:dyDescent="0.15">
      <c r="A1357" s="263" t="s">
        <v>3542</v>
      </c>
      <c r="B1357" s="263" t="s">
        <v>3543</v>
      </c>
      <c r="C1357" s="263" t="s">
        <v>96</v>
      </c>
      <c r="D1357" s="263" t="s">
        <v>3544</v>
      </c>
      <c r="E1357" s="263" t="s">
        <v>97</v>
      </c>
      <c r="F1357">
        <v>0</v>
      </c>
      <c r="G1357">
        <v>2</v>
      </c>
      <c r="H1357" s="263" t="s">
        <v>436</v>
      </c>
      <c r="I1357" s="264"/>
      <c r="J1357" s="263" t="s">
        <v>437</v>
      </c>
    </row>
    <row r="1358" spans="1:10" x14ac:dyDescent="0.15">
      <c r="A1358" s="263" t="s">
        <v>3545</v>
      </c>
      <c r="B1358" s="263" t="s">
        <v>3546</v>
      </c>
      <c r="C1358" s="263" t="s">
        <v>96</v>
      </c>
      <c r="D1358" s="263" t="s">
        <v>3547</v>
      </c>
      <c r="E1358" s="263" t="s">
        <v>97</v>
      </c>
      <c r="F1358">
        <v>0</v>
      </c>
      <c r="G1358">
        <v>2</v>
      </c>
      <c r="H1358" s="263" t="s">
        <v>436</v>
      </c>
      <c r="I1358" s="264"/>
      <c r="J1358" s="263" t="s">
        <v>437</v>
      </c>
    </row>
    <row r="1359" spans="1:10" x14ac:dyDescent="0.15">
      <c r="A1359" s="263" t="s">
        <v>3548</v>
      </c>
      <c r="B1359" s="263" t="s">
        <v>3549</v>
      </c>
      <c r="C1359" s="263" t="s">
        <v>96</v>
      </c>
      <c r="D1359" s="263" t="s">
        <v>3550</v>
      </c>
      <c r="E1359" s="263" t="s">
        <v>97</v>
      </c>
      <c r="F1359">
        <v>0</v>
      </c>
      <c r="G1359">
        <v>2</v>
      </c>
      <c r="H1359" s="263" t="s">
        <v>436</v>
      </c>
      <c r="I1359" s="264"/>
      <c r="J1359" s="263" t="s">
        <v>437</v>
      </c>
    </row>
    <row r="1360" spans="1:10" x14ac:dyDescent="0.15">
      <c r="A1360" s="263" t="s">
        <v>3551</v>
      </c>
      <c r="B1360" s="263" t="s">
        <v>3552</v>
      </c>
      <c r="C1360" s="263" t="s">
        <v>96</v>
      </c>
      <c r="D1360" s="263" t="s">
        <v>3553</v>
      </c>
      <c r="E1360" s="263" t="s">
        <v>97</v>
      </c>
      <c r="F1360">
        <v>0</v>
      </c>
      <c r="G1360">
        <v>2</v>
      </c>
      <c r="H1360" s="263" t="s">
        <v>436</v>
      </c>
      <c r="I1360" s="264"/>
      <c r="J1360" s="263" t="s">
        <v>437</v>
      </c>
    </row>
    <row r="1361" spans="1:10" x14ac:dyDescent="0.15">
      <c r="A1361" s="263" t="s">
        <v>3554</v>
      </c>
      <c r="B1361" s="263" t="s">
        <v>3555</v>
      </c>
      <c r="C1361" s="263" t="s">
        <v>81</v>
      </c>
      <c r="D1361" s="263" t="s">
        <v>3556</v>
      </c>
      <c r="E1361" s="263" t="s">
        <v>88</v>
      </c>
      <c r="F1361">
        <v>0</v>
      </c>
      <c r="G1361">
        <v>2</v>
      </c>
      <c r="H1361" s="263" t="s">
        <v>436</v>
      </c>
      <c r="I1361" s="264"/>
      <c r="J1361" s="263" t="s">
        <v>437</v>
      </c>
    </row>
    <row r="1362" spans="1:10" x14ac:dyDescent="0.15">
      <c r="A1362" s="263" t="s">
        <v>3557</v>
      </c>
      <c r="B1362" s="263" t="s">
        <v>3558</v>
      </c>
      <c r="C1362" s="263" t="s">
        <v>81</v>
      </c>
      <c r="D1362" s="263" t="s">
        <v>3559</v>
      </c>
      <c r="E1362" s="263" t="s">
        <v>88</v>
      </c>
      <c r="F1362">
        <v>0</v>
      </c>
      <c r="G1362">
        <v>2</v>
      </c>
      <c r="H1362" s="263" t="s">
        <v>436</v>
      </c>
      <c r="I1362" s="264"/>
      <c r="J1362" s="263" t="s">
        <v>437</v>
      </c>
    </row>
    <row r="1363" spans="1:10" x14ac:dyDescent="0.15">
      <c r="A1363" s="263" t="s">
        <v>3560</v>
      </c>
      <c r="B1363" s="263" t="s">
        <v>3561</v>
      </c>
      <c r="C1363" s="263" t="s">
        <v>81</v>
      </c>
      <c r="D1363" s="263" t="s">
        <v>3562</v>
      </c>
      <c r="E1363" s="263" t="s">
        <v>88</v>
      </c>
      <c r="F1363">
        <v>0</v>
      </c>
      <c r="G1363">
        <v>2</v>
      </c>
      <c r="H1363" s="263" t="s">
        <v>436</v>
      </c>
      <c r="I1363" s="264"/>
      <c r="J1363" s="263" t="s">
        <v>437</v>
      </c>
    </row>
    <row r="1364" spans="1:10" x14ac:dyDescent="0.15">
      <c r="A1364" s="263" t="s">
        <v>3563</v>
      </c>
      <c r="B1364" s="263" t="s">
        <v>3564</v>
      </c>
      <c r="C1364" s="263" t="s">
        <v>81</v>
      </c>
      <c r="D1364" s="263" t="s">
        <v>3565</v>
      </c>
      <c r="E1364" s="263" t="s">
        <v>88</v>
      </c>
      <c r="F1364">
        <v>0</v>
      </c>
      <c r="G1364">
        <v>2</v>
      </c>
      <c r="H1364" s="263" t="s">
        <v>436</v>
      </c>
      <c r="I1364" s="264"/>
      <c r="J1364" s="263" t="s">
        <v>437</v>
      </c>
    </row>
    <row r="1365" spans="1:10" x14ac:dyDescent="0.15">
      <c r="A1365" s="263" t="s">
        <v>3566</v>
      </c>
      <c r="B1365" s="263" t="s">
        <v>3567</v>
      </c>
      <c r="C1365" s="263" t="s">
        <v>81</v>
      </c>
      <c r="D1365" s="263" t="s">
        <v>3568</v>
      </c>
      <c r="E1365" s="263" t="s">
        <v>88</v>
      </c>
      <c r="F1365">
        <v>0</v>
      </c>
      <c r="G1365">
        <v>2</v>
      </c>
      <c r="H1365" s="263" t="s">
        <v>436</v>
      </c>
      <c r="I1365" s="264"/>
      <c r="J1365" s="263" t="s">
        <v>437</v>
      </c>
    </row>
    <row r="1366" spans="1:10" x14ac:dyDescent="0.15">
      <c r="A1366" s="263" t="s">
        <v>3569</v>
      </c>
      <c r="B1366" s="263" t="s">
        <v>3570</v>
      </c>
      <c r="C1366" s="263" t="s">
        <v>81</v>
      </c>
      <c r="D1366" s="263" t="s">
        <v>3571</v>
      </c>
      <c r="E1366" s="263" t="s">
        <v>88</v>
      </c>
      <c r="F1366">
        <v>0</v>
      </c>
      <c r="G1366">
        <v>2</v>
      </c>
      <c r="H1366" s="263" t="s">
        <v>436</v>
      </c>
      <c r="I1366" s="264"/>
      <c r="J1366" s="263" t="s">
        <v>437</v>
      </c>
    </row>
    <row r="1367" spans="1:10" x14ac:dyDescent="0.15">
      <c r="A1367" s="263" t="s">
        <v>3572</v>
      </c>
      <c r="B1367" s="263" t="s">
        <v>3573</v>
      </c>
      <c r="C1367" s="263" t="s">
        <v>81</v>
      </c>
      <c r="D1367" s="263" t="s">
        <v>3574</v>
      </c>
      <c r="E1367" s="263" t="s">
        <v>88</v>
      </c>
      <c r="F1367">
        <v>0</v>
      </c>
      <c r="G1367">
        <v>2</v>
      </c>
      <c r="H1367" s="263" t="s">
        <v>436</v>
      </c>
      <c r="I1367" s="264"/>
      <c r="J1367" s="263" t="s">
        <v>437</v>
      </c>
    </row>
    <row r="1368" spans="1:10" x14ac:dyDescent="0.15">
      <c r="A1368" s="263" t="s">
        <v>3575</v>
      </c>
      <c r="B1368" s="263" t="s">
        <v>3576</v>
      </c>
      <c r="C1368" s="263" t="s">
        <v>81</v>
      </c>
      <c r="D1368" s="263" t="s">
        <v>3577</v>
      </c>
      <c r="E1368" s="263" t="s">
        <v>88</v>
      </c>
      <c r="F1368">
        <v>0</v>
      </c>
      <c r="G1368">
        <v>2</v>
      </c>
      <c r="H1368" s="263" t="s">
        <v>436</v>
      </c>
      <c r="I1368" s="264"/>
      <c r="J1368" s="263" t="s">
        <v>437</v>
      </c>
    </row>
    <row r="1369" spans="1:10" x14ac:dyDescent="0.15">
      <c r="A1369" s="263" t="s">
        <v>3578</v>
      </c>
      <c r="B1369" s="263" t="s">
        <v>3579</v>
      </c>
      <c r="C1369" s="263" t="s">
        <v>81</v>
      </c>
      <c r="D1369" s="263" t="s">
        <v>3580</v>
      </c>
      <c r="E1369" s="263" t="s">
        <v>88</v>
      </c>
      <c r="F1369">
        <v>0</v>
      </c>
      <c r="G1369">
        <v>2</v>
      </c>
      <c r="H1369" s="263" t="s">
        <v>436</v>
      </c>
      <c r="I1369" s="264"/>
      <c r="J1369" s="263" t="s">
        <v>437</v>
      </c>
    </row>
    <row r="1370" spans="1:10" x14ac:dyDescent="0.15">
      <c r="A1370" s="263" t="s">
        <v>3581</v>
      </c>
      <c r="B1370" s="263" t="s">
        <v>3582</v>
      </c>
      <c r="C1370" s="263" t="s">
        <v>81</v>
      </c>
      <c r="D1370" s="263" t="s">
        <v>3583</v>
      </c>
      <c r="E1370" s="263" t="s">
        <v>88</v>
      </c>
      <c r="F1370">
        <v>0</v>
      </c>
      <c r="G1370">
        <v>2</v>
      </c>
      <c r="H1370" s="263" t="s">
        <v>436</v>
      </c>
      <c r="I1370" s="264"/>
      <c r="J1370" s="263" t="s">
        <v>437</v>
      </c>
    </row>
    <row r="1371" spans="1:10" x14ac:dyDescent="0.15">
      <c r="A1371" s="263" t="s">
        <v>3584</v>
      </c>
      <c r="B1371" s="263" t="s">
        <v>3585</v>
      </c>
      <c r="C1371" s="263" t="s">
        <v>81</v>
      </c>
      <c r="D1371" s="263" t="s">
        <v>3586</v>
      </c>
      <c r="E1371" s="263" t="s">
        <v>88</v>
      </c>
      <c r="F1371">
        <v>0</v>
      </c>
      <c r="G1371">
        <v>2</v>
      </c>
      <c r="H1371" s="263" t="s">
        <v>436</v>
      </c>
      <c r="I1371" s="264"/>
      <c r="J1371" s="263" t="s">
        <v>437</v>
      </c>
    </row>
    <row r="1372" spans="1:10" x14ac:dyDescent="0.15">
      <c r="A1372" s="263" t="s">
        <v>3587</v>
      </c>
      <c r="B1372" s="263" t="s">
        <v>3588</v>
      </c>
      <c r="C1372" s="263" t="s">
        <v>81</v>
      </c>
      <c r="D1372" s="263" t="s">
        <v>3589</v>
      </c>
      <c r="E1372" s="263" t="s">
        <v>88</v>
      </c>
      <c r="F1372">
        <v>0</v>
      </c>
      <c r="G1372">
        <v>2</v>
      </c>
      <c r="H1372" s="263" t="s">
        <v>436</v>
      </c>
      <c r="I1372" s="264"/>
      <c r="J1372" s="263" t="s">
        <v>437</v>
      </c>
    </row>
    <row r="1373" spans="1:10" x14ac:dyDescent="0.15">
      <c r="A1373" s="263" t="s">
        <v>3590</v>
      </c>
      <c r="B1373" s="263" t="s">
        <v>3591</v>
      </c>
      <c r="C1373" s="263" t="s">
        <v>81</v>
      </c>
      <c r="D1373" s="263" t="s">
        <v>3592</v>
      </c>
      <c r="E1373" s="263" t="s">
        <v>88</v>
      </c>
      <c r="F1373">
        <v>0</v>
      </c>
      <c r="G1373">
        <v>2</v>
      </c>
      <c r="H1373" s="263" t="s">
        <v>436</v>
      </c>
      <c r="I1373" s="264"/>
      <c r="J1373" s="263" t="s">
        <v>437</v>
      </c>
    </row>
    <row r="1374" spans="1:10" x14ac:dyDescent="0.15">
      <c r="A1374" s="263" t="s">
        <v>3593</v>
      </c>
      <c r="B1374" s="263" t="s">
        <v>3594</v>
      </c>
      <c r="C1374" s="263" t="s">
        <v>81</v>
      </c>
      <c r="D1374" s="263" t="s">
        <v>3595</v>
      </c>
      <c r="E1374" s="263" t="s">
        <v>88</v>
      </c>
      <c r="F1374">
        <v>0</v>
      </c>
      <c r="G1374">
        <v>2</v>
      </c>
      <c r="H1374" s="263" t="s">
        <v>436</v>
      </c>
      <c r="I1374" s="264"/>
      <c r="J1374" s="263" t="s">
        <v>437</v>
      </c>
    </row>
    <row r="1375" spans="1:10" x14ac:dyDescent="0.15">
      <c r="A1375" s="263" t="s">
        <v>3596</v>
      </c>
      <c r="B1375" s="263" t="s">
        <v>3597</v>
      </c>
      <c r="C1375" s="263" t="s">
        <v>81</v>
      </c>
      <c r="D1375" s="263" t="s">
        <v>3598</v>
      </c>
      <c r="E1375" s="263" t="s">
        <v>88</v>
      </c>
      <c r="F1375">
        <v>0</v>
      </c>
      <c r="G1375">
        <v>2</v>
      </c>
      <c r="H1375" s="263" t="s">
        <v>436</v>
      </c>
      <c r="I1375" s="264"/>
      <c r="J1375" s="263" t="s">
        <v>437</v>
      </c>
    </row>
    <row r="1376" spans="1:10" x14ac:dyDescent="0.15">
      <c r="A1376" s="263" t="s">
        <v>3599</v>
      </c>
      <c r="B1376" s="263" t="s">
        <v>3600</v>
      </c>
      <c r="C1376" s="263" t="s">
        <v>81</v>
      </c>
      <c r="D1376" s="263" t="s">
        <v>3601</v>
      </c>
      <c r="E1376" s="263" t="s">
        <v>88</v>
      </c>
      <c r="F1376">
        <v>0</v>
      </c>
      <c r="G1376">
        <v>2</v>
      </c>
      <c r="H1376" s="263" t="s">
        <v>436</v>
      </c>
      <c r="I1376" s="264"/>
      <c r="J1376" s="263" t="s">
        <v>437</v>
      </c>
    </row>
    <row r="1377" spans="1:10" x14ac:dyDescent="0.15">
      <c r="A1377" s="263" t="s">
        <v>3602</v>
      </c>
      <c r="B1377" s="263" t="s">
        <v>3603</v>
      </c>
      <c r="C1377" s="263" t="s">
        <v>81</v>
      </c>
      <c r="D1377" s="263" t="s">
        <v>3604</v>
      </c>
      <c r="E1377" s="263" t="s">
        <v>88</v>
      </c>
      <c r="F1377">
        <v>0</v>
      </c>
      <c r="G1377">
        <v>2</v>
      </c>
      <c r="H1377" s="263" t="s">
        <v>436</v>
      </c>
      <c r="I1377" s="264"/>
      <c r="J1377" s="263" t="s">
        <v>437</v>
      </c>
    </row>
    <row r="1378" spans="1:10" x14ac:dyDescent="0.15">
      <c r="A1378" s="263" t="s">
        <v>3605</v>
      </c>
      <c r="B1378" s="263" t="s">
        <v>3606</v>
      </c>
      <c r="C1378" s="263" t="s">
        <v>81</v>
      </c>
      <c r="D1378" s="263" t="s">
        <v>3607</v>
      </c>
      <c r="E1378" s="263" t="s">
        <v>88</v>
      </c>
      <c r="F1378">
        <v>0</v>
      </c>
      <c r="G1378">
        <v>2</v>
      </c>
      <c r="H1378" s="263" t="s">
        <v>436</v>
      </c>
      <c r="I1378" s="264"/>
      <c r="J1378" s="263" t="s">
        <v>437</v>
      </c>
    </row>
    <row r="1379" spans="1:10" x14ac:dyDescent="0.15">
      <c r="A1379" s="263" t="s">
        <v>3608</v>
      </c>
      <c r="B1379" s="263" t="s">
        <v>3609</v>
      </c>
      <c r="C1379" s="263" t="s">
        <v>81</v>
      </c>
      <c r="D1379" s="263" t="s">
        <v>3610</v>
      </c>
      <c r="E1379" s="263" t="s">
        <v>88</v>
      </c>
      <c r="F1379">
        <v>0</v>
      </c>
      <c r="G1379">
        <v>2</v>
      </c>
      <c r="H1379" s="263" t="s">
        <v>436</v>
      </c>
      <c r="I1379" s="264"/>
      <c r="J1379" s="263" t="s">
        <v>437</v>
      </c>
    </row>
    <row r="1380" spans="1:10" x14ac:dyDescent="0.15">
      <c r="A1380" s="263" t="s">
        <v>3611</v>
      </c>
      <c r="B1380" s="263" t="s">
        <v>3612</v>
      </c>
      <c r="C1380" s="263" t="s">
        <v>81</v>
      </c>
      <c r="D1380" s="263" t="s">
        <v>3613</v>
      </c>
      <c r="E1380" s="263" t="s">
        <v>88</v>
      </c>
      <c r="F1380">
        <v>0</v>
      </c>
      <c r="G1380">
        <v>2</v>
      </c>
      <c r="H1380" s="263" t="s">
        <v>436</v>
      </c>
      <c r="I1380" s="264"/>
      <c r="J1380" s="263" t="s">
        <v>437</v>
      </c>
    </row>
    <row r="1381" spans="1:10" x14ac:dyDescent="0.15">
      <c r="A1381" s="263" t="s">
        <v>3614</v>
      </c>
      <c r="B1381" s="263" t="s">
        <v>3615</v>
      </c>
      <c r="C1381" s="263" t="s">
        <v>81</v>
      </c>
      <c r="D1381" s="263" t="s">
        <v>3616</v>
      </c>
      <c r="E1381" s="263" t="s">
        <v>88</v>
      </c>
      <c r="F1381">
        <v>0</v>
      </c>
      <c r="G1381">
        <v>2</v>
      </c>
      <c r="H1381" s="263" t="s">
        <v>436</v>
      </c>
      <c r="I1381" s="264"/>
      <c r="J1381" s="263" t="s">
        <v>437</v>
      </c>
    </row>
    <row r="1382" spans="1:10" x14ac:dyDescent="0.15">
      <c r="A1382" s="263" t="s">
        <v>3617</v>
      </c>
      <c r="B1382" s="263" t="s">
        <v>3618</v>
      </c>
      <c r="C1382" s="263" t="s">
        <v>81</v>
      </c>
      <c r="D1382" s="263" t="s">
        <v>3619</v>
      </c>
      <c r="E1382" s="263" t="s">
        <v>88</v>
      </c>
      <c r="F1382">
        <v>0</v>
      </c>
      <c r="G1382">
        <v>2</v>
      </c>
      <c r="H1382" s="263" t="s">
        <v>436</v>
      </c>
      <c r="I1382" s="264"/>
      <c r="J1382" s="263" t="s">
        <v>437</v>
      </c>
    </row>
    <row r="1383" spans="1:10" x14ac:dyDescent="0.15">
      <c r="A1383" s="263" t="s">
        <v>3620</v>
      </c>
      <c r="B1383" s="263" t="s">
        <v>3621</v>
      </c>
      <c r="C1383" s="263" t="s">
        <v>81</v>
      </c>
      <c r="D1383" s="263" t="s">
        <v>3622</v>
      </c>
      <c r="E1383" s="263" t="s">
        <v>88</v>
      </c>
      <c r="F1383">
        <v>0</v>
      </c>
      <c r="G1383">
        <v>2</v>
      </c>
      <c r="H1383" s="263" t="s">
        <v>436</v>
      </c>
      <c r="I1383" s="264"/>
      <c r="J1383" s="263" t="s">
        <v>437</v>
      </c>
    </row>
    <row r="1384" spans="1:10" x14ac:dyDescent="0.15">
      <c r="A1384" s="263" t="s">
        <v>3623</v>
      </c>
      <c r="B1384" s="263" t="s">
        <v>3624</v>
      </c>
      <c r="C1384" s="263" t="s">
        <v>81</v>
      </c>
      <c r="D1384" s="263" t="s">
        <v>3625</v>
      </c>
      <c r="E1384" s="263" t="s">
        <v>88</v>
      </c>
      <c r="F1384">
        <v>0</v>
      </c>
      <c r="G1384">
        <v>2</v>
      </c>
      <c r="H1384" s="263" t="s">
        <v>436</v>
      </c>
      <c r="I1384" s="264"/>
      <c r="J1384" s="263" t="s">
        <v>437</v>
      </c>
    </row>
    <row r="1385" spans="1:10" x14ac:dyDescent="0.15">
      <c r="A1385" s="263" t="s">
        <v>3626</v>
      </c>
      <c r="B1385" s="263" t="s">
        <v>3627</v>
      </c>
      <c r="C1385" s="263" t="s">
        <v>81</v>
      </c>
      <c r="D1385" s="263" t="s">
        <v>3628</v>
      </c>
      <c r="E1385" s="263" t="s">
        <v>88</v>
      </c>
      <c r="F1385">
        <v>0</v>
      </c>
      <c r="G1385">
        <v>2</v>
      </c>
      <c r="H1385" s="263" t="s">
        <v>436</v>
      </c>
      <c r="I1385" s="264"/>
      <c r="J1385" s="263" t="s">
        <v>437</v>
      </c>
    </row>
    <row r="1386" spans="1:10" x14ac:dyDescent="0.15">
      <c r="A1386" s="263" t="s">
        <v>3629</v>
      </c>
      <c r="B1386" s="263" t="s">
        <v>3630</v>
      </c>
      <c r="C1386" s="263" t="s">
        <v>81</v>
      </c>
      <c r="D1386" s="263" t="s">
        <v>3631</v>
      </c>
      <c r="E1386" s="263" t="s">
        <v>88</v>
      </c>
      <c r="F1386">
        <v>0</v>
      </c>
      <c r="G1386">
        <v>2</v>
      </c>
      <c r="H1386" s="263" t="s">
        <v>436</v>
      </c>
      <c r="I1386" s="264"/>
      <c r="J1386" s="263" t="s">
        <v>437</v>
      </c>
    </row>
    <row r="1387" spans="1:10" x14ac:dyDescent="0.15">
      <c r="A1387" s="263" t="s">
        <v>3632</v>
      </c>
      <c r="B1387" s="263" t="s">
        <v>3633</v>
      </c>
      <c r="C1387" s="263" t="s">
        <v>81</v>
      </c>
      <c r="D1387" s="263" t="s">
        <v>3634</v>
      </c>
      <c r="E1387" s="263" t="s">
        <v>88</v>
      </c>
      <c r="F1387">
        <v>0</v>
      </c>
      <c r="G1387">
        <v>2</v>
      </c>
      <c r="H1387" s="263" t="s">
        <v>436</v>
      </c>
      <c r="I1387" s="264"/>
      <c r="J1387" s="263" t="s">
        <v>437</v>
      </c>
    </row>
    <row r="1388" spans="1:10" x14ac:dyDescent="0.15">
      <c r="A1388" s="263" t="s">
        <v>3635</v>
      </c>
      <c r="B1388" s="263" t="s">
        <v>3636</v>
      </c>
      <c r="C1388" s="263" t="s">
        <v>81</v>
      </c>
      <c r="D1388" s="263" t="s">
        <v>3637</v>
      </c>
      <c r="E1388" s="263" t="s">
        <v>88</v>
      </c>
      <c r="F1388">
        <v>0</v>
      </c>
      <c r="G1388">
        <v>2</v>
      </c>
      <c r="H1388" s="263" t="s">
        <v>436</v>
      </c>
      <c r="I1388" s="264"/>
      <c r="J1388" s="263" t="s">
        <v>437</v>
      </c>
    </row>
    <row r="1389" spans="1:10" x14ac:dyDescent="0.15">
      <c r="A1389" s="263" t="s">
        <v>3638</v>
      </c>
      <c r="B1389" s="263" t="s">
        <v>3639</v>
      </c>
      <c r="C1389" s="263" t="s">
        <v>81</v>
      </c>
      <c r="D1389" s="263" t="s">
        <v>3640</v>
      </c>
      <c r="E1389" s="263" t="s">
        <v>88</v>
      </c>
      <c r="F1389">
        <v>0</v>
      </c>
      <c r="G1389">
        <v>2</v>
      </c>
      <c r="H1389" s="263" t="s">
        <v>436</v>
      </c>
      <c r="I1389" s="264"/>
      <c r="J1389" s="263" t="s">
        <v>437</v>
      </c>
    </row>
    <row r="1390" spans="1:10" x14ac:dyDescent="0.15">
      <c r="A1390" s="263" t="s">
        <v>3641</v>
      </c>
      <c r="B1390" s="263" t="s">
        <v>3642</v>
      </c>
      <c r="C1390" s="263" t="s">
        <v>81</v>
      </c>
      <c r="D1390" s="263" t="s">
        <v>3643</v>
      </c>
      <c r="E1390" s="263" t="s">
        <v>88</v>
      </c>
      <c r="F1390">
        <v>0</v>
      </c>
      <c r="G1390">
        <v>2</v>
      </c>
      <c r="H1390" s="263" t="s">
        <v>436</v>
      </c>
      <c r="I1390" s="264"/>
      <c r="J1390" s="263" t="s">
        <v>437</v>
      </c>
    </row>
    <row r="1391" spans="1:10" x14ac:dyDescent="0.15">
      <c r="A1391" s="263" t="s">
        <v>3644</v>
      </c>
      <c r="B1391" s="263" t="s">
        <v>3645</v>
      </c>
      <c r="C1391" s="263" t="s">
        <v>81</v>
      </c>
      <c r="D1391" s="263" t="s">
        <v>3646</v>
      </c>
      <c r="E1391" s="263" t="s">
        <v>88</v>
      </c>
      <c r="F1391">
        <v>0</v>
      </c>
      <c r="G1391">
        <v>2</v>
      </c>
      <c r="H1391" s="263" t="s">
        <v>436</v>
      </c>
      <c r="I1391" s="264"/>
      <c r="J1391" s="263" t="s">
        <v>437</v>
      </c>
    </row>
    <row r="1392" spans="1:10" x14ac:dyDescent="0.15">
      <c r="A1392" s="263" t="s">
        <v>3647</v>
      </c>
      <c r="B1392" s="263" t="s">
        <v>3648</v>
      </c>
      <c r="C1392" s="263" t="s">
        <v>81</v>
      </c>
      <c r="D1392" s="263" t="s">
        <v>3649</v>
      </c>
      <c r="E1392" s="263" t="s">
        <v>88</v>
      </c>
      <c r="F1392">
        <v>0</v>
      </c>
      <c r="G1392">
        <v>2</v>
      </c>
      <c r="H1392" s="263" t="s">
        <v>436</v>
      </c>
      <c r="I1392" s="264"/>
      <c r="J1392" s="263" t="s">
        <v>437</v>
      </c>
    </row>
    <row r="1393" spans="1:10" x14ac:dyDescent="0.15">
      <c r="A1393" s="263" t="s">
        <v>3650</v>
      </c>
      <c r="B1393" s="263" t="s">
        <v>3651</v>
      </c>
      <c r="C1393" s="263" t="s">
        <v>81</v>
      </c>
      <c r="D1393" s="263" t="s">
        <v>3652</v>
      </c>
      <c r="E1393" s="263" t="s">
        <v>88</v>
      </c>
      <c r="F1393">
        <v>0</v>
      </c>
      <c r="G1393">
        <v>2</v>
      </c>
      <c r="H1393" s="263" t="s">
        <v>436</v>
      </c>
      <c r="I1393" s="264"/>
      <c r="J1393" s="263" t="s">
        <v>437</v>
      </c>
    </row>
    <row r="1394" spans="1:10" x14ac:dyDescent="0.15">
      <c r="A1394" s="263" t="s">
        <v>3653</v>
      </c>
      <c r="B1394" s="263" t="s">
        <v>3654</v>
      </c>
      <c r="C1394" s="263" t="s">
        <v>81</v>
      </c>
      <c r="D1394" s="263" t="s">
        <v>3655</v>
      </c>
      <c r="E1394" s="263" t="s">
        <v>88</v>
      </c>
      <c r="F1394">
        <v>0</v>
      </c>
      <c r="G1394">
        <v>2</v>
      </c>
      <c r="H1394" s="263" t="s">
        <v>436</v>
      </c>
      <c r="I1394" s="264"/>
      <c r="J1394" s="263" t="s">
        <v>437</v>
      </c>
    </row>
    <row r="1395" spans="1:10" x14ac:dyDescent="0.15">
      <c r="A1395" s="263" t="s">
        <v>3656</v>
      </c>
      <c r="B1395" s="263" t="s">
        <v>3657</v>
      </c>
      <c r="C1395" s="263" t="s">
        <v>81</v>
      </c>
      <c r="D1395" s="263" t="s">
        <v>3658</v>
      </c>
      <c r="E1395" s="263" t="s">
        <v>88</v>
      </c>
      <c r="F1395">
        <v>0</v>
      </c>
      <c r="G1395">
        <v>2</v>
      </c>
      <c r="H1395" s="263" t="s">
        <v>436</v>
      </c>
      <c r="I1395" s="264"/>
      <c r="J1395" s="263" t="s">
        <v>437</v>
      </c>
    </row>
    <row r="1396" spans="1:10" x14ac:dyDescent="0.15">
      <c r="A1396" s="263" t="s">
        <v>3659</v>
      </c>
      <c r="B1396" s="263" t="s">
        <v>3660</v>
      </c>
      <c r="C1396" s="263" t="s">
        <v>81</v>
      </c>
      <c r="D1396" s="263" t="s">
        <v>3661</v>
      </c>
      <c r="E1396" s="263" t="s">
        <v>88</v>
      </c>
      <c r="F1396">
        <v>0</v>
      </c>
      <c r="G1396">
        <v>2</v>
      </c>
      <c r="H1396" s="263" t="s">
        <v>436</v>
      </c>
      <c r="I1396" s="264"/>
      <c r="J1396" s="263" t="s">
        <v>437</v>
      </c>
    </row>
    <row r="1397" spans="1:10" x14ac:dyDescent="0.15">
      <c r="A1397" s="263" t="s">
        <v>3662</v>
      </c>
      <c r="B1397" s="263" t="s">
        <v>3663</v>
      </c>
      <c r="C1397" s="263" t="s">
        <v>81</v>
      </c>
      <c r="D1397" s="263" t="s">
        <v>3664</v>
      </c>
      <c r="E1397" s="263" t="s">
        <v>88</v>
      </c>
      <c r="F1397">
        <v>0</v>
      </c>
      <c r="G1397">
        <v>2</v>
      </c>
      <c r="H1397" s="263" t="s">
        <v>436</v>
      </c>
      <c r="I1397" s="264"/>
      <c r="J1397" s="263" t="s">
        <v>437</v>
      </c>
    </row>
    <row r="1398" spans="1:10" x14ac:dyDescent="0.15">
      <c r="A1398" s="263" t="s">
        <v>3665</v>
      </c>
      <c r="B1398" s="263" t="s">
        <v>3666</v>
      </c>
      <c r="C1398" s="263" t="s">
        <v>81</v>
      </c>
      <c r="D1398" s="263" t="s">
        <v>3667</v>
      </c>
      <c r="E1398" s="263" t="s">
        <v>88</v>
      </c>
      <c r="F1398">
        <v>0</v>
      </c>
      <c r="G1398">
        <v>2</v>
      </c>
      <c r="H1398" s="263" t="s">
        <v>436</v>
      </c>
      <c r="I1398" s="264"/>
      <c r="J1398" s="263" t="s">
        <v>437</v>
      </c>
    </row>
    <row r="1399" spans="1:10" x14ac:dyDescent="0.15">
      <c r="A1399" s="263" t="s">
        <v>3668</v>
      </c>
      <c r="B1399" s="263" t="s">
        <v>3669</v>
      </c>
      <c r="C1399" s="263" t="s">
        <v>81</v>
      </c>
      <c r="D1399" s="263" t="s">
        <v>3670</v>
      </c>
      <c r="E1399" s="263" t="s">
        <v>88</v>
      </c>
      <c r="F1399">
        <v>0</v>
      </c>
      <c r="G1399">
        <v>2</v>
      </c>
      <c r="H1399" s="263" t="s">
        <v>436</v>
      </c>
      <c r="I1399" s="264"/>
      <c r="J1399" s="263" t="s">
        <v>437</v>
      </c>
    </row>
    <row r="1400" spans="1:10" x14ac:dyDescent="0.15">
      <c r="A1400" s="263" t="s">
        <v>3671</v>
      </c>
      <c r="B1400" s="263" t="s">
        <v>3672</v>
      </c>
      <c r="C1400" s="263" t="s">
        <v>81</v>
      </c>
      <c r="D1400" s="263" t="s">
        <v>3673</v>
      </c>
      <c r="E1400" s="263" t="s">
        <v>88</v>
      </c>
      <c r="F1400">
        <v>0</v>
      </c>
      <c r="G1400">
        <v>2</v>
      </c>
      <c r="H1400" s="263" t="s">
        <v>436</v>
      </c>
      <c r="I1400" s="264"/>
      <c r="J1400" s="263" t="s">
        <v>437</v>
      </c>
    </row>
    <row r="1401" spans="1:10" x14ac:dyDescent="0.15">
      <c r="A1401" s="263" t="s">
        <v>3674</v>
      </c>
      <c r="B1401" s="263" t="s">
        <v>3675</v>
      </c>
      <c r="C1401" s="263" t="s">
        <v>81</v>
      </c>
      <c r="D1401" s="263" t="s">
        <v>3676</v>
      </c>
      <c r="E1401" s="263" t="s">
        <v>88</v>
      </c>
      <c r="F1401">
        <v>0</v>
      </c>
      <c r="G1401">
        <v>2</v>
      </c>
      <c r="H1401" s="263" t="s">
        <v>436</v>
      </c>
      <c r="I1401" s="264"/>
      <c r="J1401" s="263" t="s">
        <v>437</v>
      </c>
    </row>
    <row r="1402" spans="1:10" x14ac:dyDescent="0.15">
      <c r="A1402" s="263" t="s">
        <v>3677</v>
      </c>
      <c r="B1402" s="263" t="s">
        <v>3678</v>
      </c>
      <c r="C1402" s="263" t="s">
        <v>81</v>
      </c>
      <c r="D1402" s="263" t="s">
        <v>3679</v>
      </c>
      <c r="E1402" s="263" t="s">
        <v>88</v>
      </c>
      <c r="F1402">
        <v>0</v>
      </c>
      <c r="G1402">
        <v>2</v>
      </c>
      <c r="H1402" s="263" t="s">
        <v>436</v>
      </c>
      <c r="I1402" s="264"/>
      <c r="J1402" s="263" t="s">
        <v>437</v>
      </c>
    </row>
    <row r="1403" spans="1:10" x14ac:dyDescent="0.15">
      <c r="A1403" s="263" t="s">
        <v>3680</v>
      </c>
      <c r="B1403" s="263" t="s">
        <v>3681</v>
      </c>
      <c r="C1403" s="263" t="s">
        <v>81</v>
      </c>
      <c r="D1403" s="263" t="s">
        <v>3682</v>
      </c>
      <c r="E1403" s="263" t="s">
        <v>88</v>
      </c>
      <c r="F1403">
        <v>0</v>
      </c>
      <c r="G1403">
        <v>2</v>
      </c>
      <c r="H1403" s="263" t="s">
        <v>436</v>
      </c>
      <c r="I1403" s="264"/>
      <c r="J1403" s="263" t="s">
        <v>437</v>
      </c>
    </row>
    <row r="1404" spans="1:10" x14ac:dyDescent="0.15">
      <c r="A1404" s="263" t="s">
        <v>3683</v>
      </c>
      <c r="B1404" s="263" t="s">
        <v>3684</v>
      </c>
      <c r="C1404" s="263" t="s">
        <v>81</v>
      </c>
      <c r="D1404" s="263" t="s">
        <v>3685</v>
      </c>
      <c r="E1404" s="263" t="s">
        <v>88</v>
      </c>
      <c r="F1404">
        <v>0</v>
      </c>
      <c r="G1404">
        <v>2</v>
      </c>
      <c r="H1404" s="263" t="s">
        <v>436</v>
      </c>
      <c r="I1404" s="264"/>
      <c r="J1404" s="263" t="s">
        <v>437</v>
      </c>
    </row>
    <row r="1405" spans="1:10" x14ac:dyDescent="0.15">
      <c r="A1405" s="263" t="s">
        <v>3686</v>
      </c>
      <c r="B1405" s="263" t="s">
        <v>3687</v>
      </c>
      <c r="C1405" s="263" t="s">
        <v>81</v>
      </c>
      <c r="D1405" s="263" t="s">
        <v>3688</v>
      </c>
      <c r="E1405" s="263" t="s">
        <v>88</v>
      </c>
      <c r="F1405">
        <v>0</v>
      </c>
      <c r="G1405">
        <v>2</v>
      </c>
      <c r="H1405" s="263" t="s">
        <v>436</v>
      </c>
      <c r="I1405" s="264"/>
      <c r="J1405" s="263" t="s">
        <v>437</v>
      </c>
    </row>
    <row r="1406" spans="1:10" x14ac:dyDescent="0.15">
      <c r="A1406" s="263" t="s">
        <v>3689</v>
      </c>
      <c r="B1406" s="263" t="s">
        <v>3690</v>
      </c>
      <c r="C1406" s="263" t="s">
        <v>81</v>
      </c>
      <c r="D1406" s="263" t="s">
        <v>3691</v>
      </c>
      <c r="E1406" s="263" t="s">
        <v>88</v>
      </c>
      <c r="F1406">
        <v>0</v>
      </c>
      <c r="G1406">
        <v>2</v>
      </c>
      <c r="H1406" s="263" t="s">
        <v>436</v>
      </c>
      <c r="I1406" s="264"/>
      <c r="J1406" s="263" t="s">
        <v>437</v>
      </c>
    </row>
    <row r="1407" spans="1:10" x14ac:dyDescent="0.15">
      <c r="A1407" s="263" t="s">
        <v>3692</v>
      </c>
      <c r="B1407" s="263" t="s">
        <v>3693</v>
      </c>
      <c r="C1407" s="263" t="s">
        <v>81</v>
      </c>
      <c r="D1407" s="263" t="s">
        <v>3694</v>
      </c>
      <c r="E1407" s="263" t="s">
        <v>88</v>
      </c>
      <c r="F1407">
        <v>0</v>
      </c>
      <c r="G1407">
        <v>2</v>
      </c>
      <c r="H1407" s="263" t="s">
        <v>436</v>
      </c>
      <c r="I1407" s="264"/>
      <c r="J1407" s="263" t="s">
        <v>437</v>
      </c>
    </row>
    <row r="1408" spans="1:10" x14ac:dyDescent="0.15">
      <c r="A1408" s="263" t="s">
        <v>3695</v>
      </c>
      <c r="B1408" s="263" t="s">
        <v>3696</v>
      </c>
      <c r="C1408" s="263" t="s">
        <v>81</v>
      </c>
      <c r="D1408" s="263" t="s">
        <v>3697</v>
      </c>
      <c r="E1408" s="263" t="s">
        <v>88</v>
      </c>
      <c r="F1408">
        <v>0</v>
      </c>
      <c r="G1408">
        <v>2</v>
      </c>
      <c r="H1408" s="263" t="s">
        <v>436</v>
      </c>
      <c r="I1408" s="264"/>
      <c r="J1408" s="263" t="s">
        <v>437</v>
      </c>
    </row>
    <row r="1409" spans="1:10" x14ac:dyDescent="0.15">
      <c r="A1409" s="263" t="s">
        <v>3698</v>
      </c>
      <c r="B1409" s="263" t="s">
        <v>3699</v>
      </c>
      <c r="C1409" s="263" t="s">
        <v>81</v>
      </c>
      <c r="D1409" s="263" t="s">
        <v>3700</v>
      </c>
      <c r="E1409" s="263" t="s">
        <v>88</v>
      </c>
      <c r="F1409">
        <v>0</v>
      </c>
      <c r="G1409">
        <v>2</v>
      </c>
      <c r="H1409" s="263" t="s">
        <v>436</v>
      </c>
      <c r="I1409" s="264"/>
      <c r="J1409" s="263" t="s">
        <v>437</v>
      </c>
    </row>
    <row r="1410" spans="1:10" x14ac:dyDescent="0.15">
      <c r="A1410" s="263" t="s">
        <v>3701</v>
      </c>
      <c r="B1410" s="263" t="s">
        <v>3702</v>
      </c>
      <c r="C1410" s="263" t="s">
        <v>81</v>
      </c>
      <c r="D1410" s="263" t="s">
        <v>3703</v>
      </c>
      <c r="E1410" s="263" t="s">
        <v>88</v>
      </c>
      <c r="F1410">
        <v>0</v>
      </c>
      <c r="G1410">
        <v>2</v>
      </c>
      <c r="H1410" s="263" t="s">
        <v>436</v>
      </c>
      <c r="I1410" s="264"/>
      <c r="J1410" s="263" t="s">
        <v>437</v>
      </c>
    </row>
    <row r="1411" spans="1:10" x14ac:dyDescent="0.15">
      <c r="A1411" s="263" t="s">
        <v>3704</v>
      </c>
      <c r="B1411" s="263" t="s">
        <v>3705</v>
      </c>
      <c r="C1411" s="263" t="s">
        <v>81</v>
      </c>
      <c r="D1411" s="263" t="s">
        <v>3706</v>
      </c>
      <c r="E1411" s="263" t="s">
        <v>88</v>
      </c>
      <c r="F1411">
        <v>0</v>
      </c>
      <c r="G1411">
        <v>2</v>
      </c>
      <c r="H1411" s="263" t="s">
        <v>436</v>
      </c>
      <c r="I1411" s="264"/>
      <c r="J1411" s="263" t="s">
        <v>437</v>
      </c>
    </row>
    <row r="1412" spans="1:10" x14ac:dyDescent="0.15">
      <c r="A1412" s="263" t="s">
        <v>3707</v>
      </c>
      <c r="B1412" s="263" t="s">
        <v>3708</v>
      </c>
      <c r="C1412" s="263" t="s">
        <v>81</v>
      </c>
      <c r="D1412" s="263" t="s">
        <v>3709</v>
      </c>
      <c r="E1412" s="263" t="s">
        <v>88</v>
      </c>
      <c r="F1412">
        <v>0</v>
      </c>
      <c r="G1412">
        <v>2</v>
      </c>
      <c r="H1412" s="263" t="s">
        <v>436</v>
      </c>
      <c r="I1412" s="264"/>
      <c r="J1412" s="263" t="s">
        <v>437</v>
      </c>
    </row>
    <row r="1413" spans="1:10" x14ac:dyDescent="0.15">
      <c r="A1413" s="263" t="s">
        <v>3710</v>
      </c>
      <c r="B1413" s="263" t="s">
        <v>3711</v>
      </c>
      <c r="C1413" s="263" t="s">
        <v>81</v>
      </c>
      <c r="D1413" s="263" t="s">
        <v>3712</v>
      </c>
      <c r="E1413" s="263" t="s">
        <v>88</v>
      </c>
      <c r="F1413">
        <v>0</v>
      </c>
      <c r="G1413">
        <v>2</v>
      </c>
      <c r="H1413" s="263" t="s">
        <v>436</v>
      </c>
      <c r="I1413" s="264"/>
      <c r="J1413" s="263" t="s">
        <v>437</v>
      </c>
    </row>
    <row r="1414" spans="1:10" x14ac:dyDescent="0.15">
      <c r="A1414" s="263" t="s">
        <v>3713</v>
      </c>
      <c r="B1414" s="263" t="s">
        <v>3714</v>
      </c>
      <c r="C1414" s="263" t="s">
        <v>81</v>
      </c>
      <c r="D1414" s="263" t="s">
        <v>3715</v>
      </c>
      <c r="E1414" s="263" t="s">
        <v>88</v>
      </c>
      <c r="F1414">
        <v>0</v>
      </c>
      <c r="G1414">
        <v>2</v>
      </c>
      <c r="H1414" s="263" t="s">
        <v>436</v>
      </c>
      <c r="I1414" s="264"/>
      <c r="J1414" s="263" t="s">
        <v>437</v>
      </c>
    </row>
    <row r="1415" spans="1:10" x14ac:dyDescent="0.15">
      <c r="A1415" s="263" t="s">
        <v>3716</v>
      </c>
      <c r="B1415" s="263" t="s">
        <v>3717</v>
      </c>
      <c r="C1415" s="263" t="s">
        <v>81</v>
      </c>
      <c r="D1415" s="263" t="s">
        <v>3718</v>
      </c>
      <c r="E1415" s="263" t="s">
        <v>88</v>
      </c>
      <c r="F1415">
        <v>0</v>
      </c>
      <c r="G1415">
        <v>2</v>
      </c>
      <c r="H1415" s="263" t="s">
        <v>436</v>
      </c>
      <c r="I1415" s="264"/>
      <c r="J1415" s="263" t="s">
        <v>437</v>
      </c>
    </row>
    <row r="1416" spans="1:10" x14ac:dyDescent="0.15">
      <c r="A1416" s="263" t="s">
        <v>3719</v>
      </c>
      <c r="B1416" s="263" t="s">
        <v>3720</v>
      </c>
      <c r="C1416" s="263" t="s">
        <v>81</v>
      </c>
      <c r="D1416" s="263" t="s">
        <v>3721</v>
      </c>
      <c r="E1416" s="263" t="s">
        <v>88</v>
      </c>
      <c r="F1416">
        <v>0</v>
      </c>
      <c r="G1416">
        <v>2</v>
      </c>
      <c r="H1416" s="263" t="s">
        <v>436</v>
      </c>
      <c r="I1416" s="264"/>
      <c r="J1416" s="263" t="s">
        <v>437</v>
      </c>
    </row>
    <row r="1417" spans="1:10" x14ac:dyDescent="0.15">
      <c r="A1417" s="263" t="s">
        <v>3722</v>
      </c>
      <c r="B1417" s="263" t="s">
        <v>3723</v>
      </c>
      <c r="C1417" s="263" t="s">
        <v>81</v>
      </c>
      <c r="D1417" s="263" t="s">
        <v>3724</v>
      </c>
      <c r="E1417" s="263" t="s">
        <v>88</v>
      </c>
      <c r="F1417">
        <v>0</v>
      </c>
      <c r="G1417">
        <v>2</v>
      </c>
      <c r="H1417" s="263" t="s">
        <v>436</v>
      </c>
      <c r="I1417" s="264"/>
      <c r="J1417" s="263" t="s">
        <v>437</v>
      </c>
    </row>
    <row r="1418" spans="1:10" x14ac:dyDescent="0.15">
      <c r="A1418" s="263" t="s">
        <v>3725</v>
      </c>
      <c r="B1418" s="263" t="s">
        <v>3726</v>
      </c>
      <c r="C1418" s="263" t="s">
        <v>81</v>
      </c>
      <c r="D1418" s="263" t="s">
        <v>3727</v>
      </c>
      <c r="E1418" s="263" t="s">
        <v>88</v>
      </c>
      <c r="F1418">
        <v>0</v>
      </c>
      <c r="G1418">
        <v>2</v>
      </c>
      <c r="H1418" s="263" t="s">
        <v>436</v>
      </c>
      <c r="I1418" s="264"/>
      <c r="J1418" s="263" t="s">
        <v>437</v>
      </c>
    </row>
    <row r="1419" spans="1:10" x14ac:dyDescent="0.15">
      <c r="A1419" s="263" t="s">
        <v>3728</v>
      </c>
      <c r="B1419" s="263" t="s">
        <v>3729</v>
      </c>
      <c r="C1419" s="263" t="s">
        <v>81</v>
      </c>
      <c r="D1419" s="263" t="s">
        <v>3730</v>
      </c>
      <c r="E1419" s="263" t="s">
        <v>88</v>
      </c>
      <c r="F1419">
        <v>0</v>
      </c>
      <c r="G1419">
        <v>2</v>
      </c>
      <c r="H1419" s="263" t="s">
        <v>436</v>
      </c>
      <c r="I1419" s="264"/>
      <c r="J1419" s="263" t="s">
        <v>437</v>
      </c>
    </row>
    <row r="1420" spans="1:10" x14ac:dyDescent="0.15">
      <c r="A1420" s="263" t="s">
        <v>3731</v>
      </c>
      <c r="B1420" s="263" t="s">
        <v>3732</v>
      </c>
      <c r="C1420" s="263" t="s">
        <v>81</v>
      </c>
      <c r="D1420" s="263" t="s">
        <v>3733</v>
      </c>
      <c r="E1420" s="263" t="s">
        <v>88</v>
      </c>
      <c r="F1420">
        <v>0</v>
      </c>
      <c r="G1420">
        <v>2</v>
      </c>
      <c r="H1420" s="263" t="s">
        <v>436</v>
      </c>
      <c r="I1420" s="264"/>
      <c r="J1420" s="263" t="s">
        <v>437</v>
      </c>
    </row>
    <row r="1421" spans="1:10" x14ac:dyDescent="0.15">
      <c r="A1421" s="263" t="s">
        <v>3734</v>
      </c>
      <c r="B1421" s="263" t="s">
        <v>3735</v>
      </c>
      <c r="C1421" s="263" t="s">
        <v>81</v>
      </c>
      <c r="D1421" s="263" t="s">
        <v>3736</v>
      </c>
      <c r="E1421" s="263" t="s">
        <v>88</v>
      </c>
      <c r="F1421">
        <v>0</v>
      </c>
      <c r="G1421">
        <v>2</v>
      </c>
      <c r="H1421" s="263" t="s">
        <v>436</v>
      </c>
      <c r="I1421" s="264"/>
      <c r="J1421" s="263" t="s">
        <v>437</v>
      </c>
    </row>
    <row r="1422" spans="1:10" x14ac:dyDescent="0.15">
      <c r="A1422" s="263" t="s">
        <v>3737</v>
      </c>
      <c r="B1422" s="263" t="s">
        <v>3738</v>
      </c>
      <c r="C1422" s="263" t="s">
        <v>81</v>
      </c>
      <c r="D1422" s="263" t="s">
        <v>3739</v>
      </c>
      <c r="E1422" s="263" t="s">
        <v>88</v>
      </c>
      <c r="F1422">
        <v>0</v>
      </c>
      <c r="G1422">
        <v>2</v>
      </c>
      <c r="H1422" s="263" t="s">
        <v>436</v>
      </c>
      <c r="I1422" s="264"/>
      <c r="J1422" s="263" t="s">
        <v>437</v>
      </c>
    </row>
    <row r="1423" spans="1:10" x14ac:dyDescent="0.15">
      <c r="A1423" s="263" t="s">
        <v>3740</v>
      </c>
      <c r="B1423" s="263" t="s">
        <v>3741</v>
      </c>
      <c r="C1423" s="263" t="s">
        <v>81</v>
      </c>
      <c r="D1423" s="263" t="s">
        <v>3742</v>
      </c>
      <c r="E1423" s="263" t="s">
        <v>88</v>
      </c>
      <c r="F1423">
        <v>0</v>
      </c>
      <c r="G1423">
        <v>2</v>
      </c>
      <c r="H1423" s="263" t="s">
        <v>436</v>
      </c>
      <c r="I1423" s="264"/>
      <c r="J1423" s="263" t="s">
        <v>437</v>
      </c>
    </row>
    <row r="1424" spans="1:10" x14ac:dyDescent="0.15">
      <c r="A1424" s="263" t="s">
        <v>3743</v>
      </c>
      <c r="B1424" s="263" t="s">
        <v>3744</v>
      </c>
      <c r="C1424" s="263" t="s">
        <v>81</v>
      </c>
      <c r="D1424" s="263" t="s">
        <v>3745</v>
      </c>
      <c r="E1424" s="263" t="s">
        <v>88</v>
      </c>
      <c r="F1424">
        <v>0</v>
      </c>
      <c r="G1424">
        <v>2</v>
      </c>
      <c r="H1424" s="263" t="s">
        <v>436</v>
      </c>
      <c r="I1424" s="264"/>
      <c r="J1424" s="263" t="s">
        <v>437</v>
      </c>
    </row>
    <row r="1425" spans="1:10" x14ac:dyDescent="0.15">
      <c r="A1425" s="263" t="s">
        <v>3746</v>
      </c>
      <c r="B1425" s="263" t="s">
        <v>3747</v>
      </c>
      <c r="C1425" s="263" t="s">
        <v>81</v>
      </c>
      <c r="D1425" s="263" t="s">
        <v>3748</v>
      </c>
      <c r="E1425" s="263" t="s">
        <v>88</v>
      </c>
      <c r="F1425">
        <v>0</v>
      </c>
      <c r="G1425">
        <v>2</v>
      </c>
      <c r="H1425" s="263" t="s">
        <v>436</v>
      </c>
      <c r="I1425" s="264"/>
      <c r="J1425" s="263" t="s">
        <v>437</v>
      </c>
    </row>
    <row r="1426" spans="1:10" x14ac:dyDescent="0.15">
      <c r="A1426" s="263" t="s">
        <v>3749</v>
      </c>
      <c r="B1426" s="263" t="s">
        <v>3750</v>
      </c>
      <c r="C1426" s="263" t="s">
        <v>96</v>
      </c>
      <c r="D1426" s="263" t="s">
        <v>3751</v>
      </c>
      <c r="E1426" s="263" t="s">
        <v>97</v>
      </c>
      <c r="F1426">
        <v>0</v>
      </c>
      <c r="G1426">
        <v>2</v>
      </c>
      <c r="H1426" s="263" t="s">
        <v>436</v>
      </c>
      <c r="I1426" s="264"/>
      <c r="J1426" s="263" t="s">
        <v>437</v>
      </c>
    </row>
    <row r="1427" spans="1:10" x14ac:dyDescent="0.15">
      <c r="A1427" s="263" t="s">
        <v>3752</v>
      </c>
      <c r="B1427" s="263" t="s">
        <v>3753</v>
      </c>
      <c r="C1427" s="263" t="s">
        <v>96</v>
      </c>
      <c r="D1427" s="263" t="s">
        <v>3754</v>
      </c>
      <c r="E1427" s="263" t="s">
        <v>97</v>
      </c>
      <c r="F1427">
        <v>0</v>
      </c>
      <c r="G1427">
        <v>2</v>
      </c>
      <c r="H1427" s="263" t="s">
        <v>436</v>
      </c>
      <c r="I1427" s="264"/>
      <c r="J1427" s="263" t="s">
        <v>437</v>
      </c>
    </row>
    <row r="1428" spans="1:10" x14ac:dyDescent="0.15">
      <c r="A1428" s="263" t="s">
        <v>3755</v>
      </c>
      <c r="B1428" s="263" t="s">
        <v>3756</v>
      </c>
      <c r="C1428" s="263" t="s">
        <v>96</v>
      </c>
      <c r="D1428" s="263" t="s">
        <v>3757</v>
      </c>
      <c r="E1428" s="263" t="s">
        <v>97</v>
      </c>
      <c r="F1428">
        <v>0</v>
      </c>
      <c r="G1428">
        <v>2</v>
      </c>
      <c r="H1428" s="263" t="s">
        <v>436</v>
      </c>
      <c r="I1428" s="264"/>
      <c r="J1428" s="263" t="s">
        <v>437</v>
      </c>
    </row>
    <row r="1429" spans="1:10" x14ac:dyDescent="0.15">
      <c r="A1429" s="263" t="s">
        <v>3758</v>
      </c>
      <c r="B1429" s="263" t="s">
        <v>3759</v>
      </c>
      <c r="C1429" s="263" t="s">
        <v>96</v>
      </c>
      <c r="D1429" s="263" t="s">
        <v>3760</v>
      </c>
      <c r="E1429" s="263" t="s">
        <v>97</v>
      </c>
      <c r="F1429">
        <v>0</v>
      </c>
      <c r="G1429">
        <v>2</v>
      </c>
      <c r="H1429" s="263" t="s">
        <v>436</v>
      </c>
      <c r="I1429" s="264"/>
      <c r="J1429" s="263" t="s">
        <v>437</v>
      </c>
    </row>
    <row r="1430" spans="1:10" x14ac:dyDescent="0.15">
      <c r="A1430" s="263" t="s">
        <v>3761</v>
      </c>
      <c r="B1430" s="263" t="s">
        <v>3762</v>
      </c>
      <c r="C1430" s="263" t="s">
        <v>96</v>
      </c>
      <c r="D1430" s="263" t="s">
        <v>3763</v>
      </c>
      <c r="E1430" s="263" t="s">
        <v>97</v>
      </c>
      <c r="F1430">
        <v>0</v>
      </c>
      <c r="G1430">
        <v>2</v>
      </c>
      <c r="H1430" s="263" t="s">
        <v>436</v>
      </c>
      <c r="I1430" s="264"/>
      <c r="J1430" s="263" t="s">
        <v>437</v>
      </c>
    </row>
    <row r="1431" spans="1:10" x14ac:dyDescent="0.15">
      <c r="A1431" s="263" t="s">
        <v>3764</v>
      </c>
      <c r="B1431" s="263" t="s">
        <v>3765</v>
      </c>
      <c r="C1431" s="263" t="s">
        <v>96</v>
      </c>
      <c r="D1431" s="263" t="s">
        <v>3766</v>
      </c>
      <c r="E1431" s="263" t="s">
        <v>97</v>
      </c>
      <c r="F1431">
        <v>0</v>
      </c>
      <c r="G1431">
        <v>2</v>
      </c>
      <c r="H1431" s="263" t="s">
        <v>436</v>
      </c>
      <c r="I1431" s="264"/>
      <c r="J1431" s="263" t="s">
        <v>437</v>
      </c>
    </row>
    <row r="1432" spans="1:10" x14ac:dyDescent="0.15">
      <c r="A1432" s="263" t="s">
        <v>3767</v>
      </c>
      <c r="B1432" s="263" t="s">
        <v>3768</v>
      </c>
      <c r="C1432" s="263" t="s">
        <v>96</v>
      </c>
      <c r="D1432" s="263" t="s">
        <v>3769</v>
      </c>
      <c r="E1432" s="263" t="s">
        <v>97</v>
      </c>
      <c r="F1432">
        <v>0</v>
      </c>
      <c r="G1432">
        <v>2</v>
      </c>
      <c r="H1432" s="263" t="s">
        <v>436</v>
      </c>
      <c r="I1432" s="264"/>
      <c r="J1432" s="263" t="s">
        <v>437</v>
      </c>
    </row>
    <row r="1433" spans="1:10" x14ac:dyDescent="0.15">
      <c r="A1433" s="263" t="s">
        <v>3770</v>
      </c>
      <c r="B1433" s="263" t="s">
        <v>3771</v>
      </c>
      <c r="C1433" s="263" t="s">
        <v>96</v>
      </c>
      <c r="D1433" s="263" t="s">
        <v>3772</v>
      </c>
      <c r="E1433" s="263" t="s">
        <v>97</v>
      </c>
      <c r="F1433">
        <v>0</v>
      </c>
      <c r="G1433">
        <v>2</v>
      </c>
      <c r="H1433" s="263" t="s">
        <v>436</v>
      </c>
      <c r="I1433" s="264"/>
      <c r="J1433" s="263" t="s">
        <v>437</v>
      </c>
    </row>
    <row r="1434" spans="1:10" x14ac:dyDescent="0.15">
      <c r="A1434" s="263" t="s">
        <v>3773</v>
      </c>
      <c r="B1434" s="263" t="s">
        <v>3774</v>
      </c>
      <c r="C1434" s="263" t="s">
        <v>96</v>
      </c>
      <c r="D1434" s="263" t="s">
        <v>3775</v>
      </c>
      <c r="E1434" s="263" t="s">
        <v>97</v>
      </c>
      <c r="F1434">
        <v>0</v>
      </c>
      <c r="G1434">
        <v>2</v>
      </c>
      <c r="H1434" s="263" t="s">
        <v>436</v>
      </c>
      <c r="I1434" s="264"/>
      <c r="J1434" s="263" t="s">
        <v>437</v>
      </c>
    </row>
    <row r="1435" spans="1:10" x14ac:dyDescent="0.15">
      <c r="A1435" s="263" t="s">
        <v>3776</v>
      </c>
      <c r="B1435" s="263" t="s">
        <v>3777</v>
      </c>
      <c r="C1435" s="263" t="s">
        <v>96</v>
      </c>
      <c r="D1435" s="263" t="s">
        <v>3778</v>
      </c>
      <c r="E1435" s="263" t="s">
        <v>97</v>
      </c>
      <c r="F1435">
        <v>0</v>
      </c>
      <c r="G1435">
        <v>2</v>
      </c>
      <c r="H1435" s="263" t="s">
        <v>436</v>
      </c>
      <c r="I1435" s="264"/>
      <c r="J1435" s="263" t="s">
        <v>437</v>
      </c>
    </row>
    <row r="1436" spans="1:10" x14ac:dyDescent="0.15">
      <c r="A1436" s="263" t="s">
        <v>3779</v>
      </c>
      <c r="B1436" s="263" t="s">
        <v>3780</v>
      </c>
      <c r="C1436" s="263" t="s">
        <v>96</v>
      </c>
      <c r="D1436" s="263" t="s">
        <v>3781</v>
      </c>
      <c r="E1436" s="263" t="s">
        <v>97</v>
      </c>
      <c r="F1436">
        <v>0</v>
      </c>
      <c r="G1436">
        <v>2</v>
      </c>
      <c r="H1436" s="263" t="s">
        <v>436</v>
      </c>
      <c r="I1436" s="264"/>
      <c r="J1436" s="263" t="s">
        <v>437</v>
      </c>
    </row>
    <row r="1437" spans="1:10" x14ac:dyDescent="0.15">
      <c r="A1437" s="263" t="s">
        <v>3782</v>
      </c>
      <c r="B1437" s="263" t="s">
        <v>3783</v>
      </c>
      <c r="C1437" s="263" t="s">
        <v>96</v>
      </c>
      <c r="D1437" s="263" t="s">
        <v>3784</v>
      </c>
      <c r="E1437" s="263" t="s">
        <v>97</v>
      </c>
      <c r="F1437">
        <v>0</v>
      </c>
      <c r="G1437">
        <v>2</v>
      </c>
      <c r="H1437" s="263" t="s">
        <v>436</v>
      </c>
      <c r="I1437" s="264"/>
      <c r="J1437" s="263" t="s">
        <v>437</v>
      </c>
    </row>
    <row r="1438" spans="1:10" x14ac:dyDescent="0.15">
      <c r="A1438" s="263" t="s">
        <v>3785</v>
      </c>
      <c r="B1438" s="263" t="s">
        <v>3786</v>
      </c>
      <c r="C1438" s="263" t="s">
        <v>96</v>
      </c>
      <c r="D1438" s="263" t="s">
        <v>3787</v>
      </c>
      <c r="E1438" s="263" t="s">
        <v>97</v>
      </c>
      <c r="F1438">
        <v>0</v>
      </c>
      <c r="G1438">
        <v>2</v>
      </c>
      <c r="H1438" s="263" t="s">
        <v>436</v>
      </c>
      <c r="I1438" s="264"/>
      <c r="J1438" s="263" t="s">
        <v>437</v>
      </c>
    </row>
    <row r="1439" spans="1:10" x14ac:dyDescent="0.15">
      <c r="A1439" s="263" t="s">
        <v>3788</v>
      </c>
      <c r="B1439" s="263" t="s">
        <v>3789</v>
      </c>
      <c r="C1439" s="263" t="s">
        <v>96</v>
      </c>
      <c r="D1439" s="263" t="s">
        <v>3790</v>
      </c>
      <c r="E1439" s="263" t="s">
        <v>97</v>
      </c>
      <c r="F1439">
        <v>0</v>
      </c>
      <c r="G1439">
        <v>2</v>
      </c>
      <c r="H1439" s="263" t="s">
        <v>436</v>
      </c>
      <c r="I1439" s="264"/>
      <c r="J1439" s="263" t="s">
        <v>437</v>
      </c>
    </row>
    <row r="1440" spans="1:10" x14ac:dyDescent="0.15">
      <c r="A1440" s="263" t="s">
        <v>3791</v>
      </c>
      <c r="B1440" s="263" t="s">
        <v>3792</v>
      </c>
      <c r="C1440" s="263" t="s">
        <v>96</v>
      </c>
      <c r="D1440" s="263" t="s">
        <v>3793</v>
      </c>
      <c r="E1440" s="263" t="s">
        <v>97</v>
      </c>
      <c r="F1440">
        <v>0</v>
      </c>
      <c r="G1440">
        <v>2</v>
      </c>
      <c r="H1440" s="263" t="s">
        <v>436</v>
      </c>
      <c r="I1440" s="264"/>
      <c r="J1440" s="263" t="s">
        <v>437</v>
      </c>
    </row>
    <row r="1441" spans="1:10" x14ac:dyDescent="0.15">
      <c r="A1441" s="263" t="s">
        <v>3794</v>
      </c>
      <c r="B1441" s="263" t="s">
        <v>3795</v>
      </c>
      <c r="C1441" s="263" t="s">
        <v>96</v>
      </c>
      <c r="D1441" s="263" t="s">
        <v>3796</v>
      </c>
      <c r="E1441" s="263" t="s">
        <v>97</v>
      </c>
      <c r="F1441">
        <v>0</v>
      </c>
      <c r="G1441">
        <v>2</v>
      </c>
      <c r="H1441" s="263" t="s">
        <v>436</v>
      </c>
      <c r="I1441" s="264"/>
      <c r="J1441" s="263" t="s">
        <v>437</v>
      </c>
    </row>
    <row r="1442" spans="1:10" x14ac:dyDescent="0.15">
      <c r="A1442" s="263" t="s">
        <v>3797</v>
      </c>
      <c r="B1442" s="263" t="s">
        <v>3798</v>
      </c>
      <c r="C1442" s="263" t="s">
        <v>96</v>
      </c>
      <c r="D1442" s="263" t="s">
        <v>3799</v>
      </c>
      <c r="E1442" s="263" t="s">
        <v>97</v>
      </c>
      <c r="F1442">
        <v>0</v>
      </c>
      <c r="G1442">
        <v>2</v>
      </c>
      <c r="H1442" s="263" t="s">
        <v>436</v>
      </c>
      <c r="I1442" s="264"/>
      <c r="J1442" s="263" t="s">
        <v>437</v>
      </c>
    </row>
    <row r="1443" spans="1:10" x14ac:dyDescent="0.15">
      <c r="A1443" s="263" t="s">
        <v>3800</v>
      </c>
      <c r="B1443" s="263" t="s">
        <v>3801</v>
      </c>
      <c r="C1443" s="263" t="s">
        <v>96</v>
      </c>
      <c r="D1443" s="263" t="s">
        <v>3802</v>
      </c>
      <c r="E1443" s="263" t="s">
        <v>97</v>
      </c>
      <c r="F1443">
        <v>0</v>
      </c>
      <c r="G1443">
        <v>2</v>
      </c>
      <c r="H1443" s="263" t="s">
        <v>436</v>
      </c>
      <c r="I1443" s="264"/>
      <c r="J1443" s="263" t="s">
        <v>437</v>
      </c>
    </row>
    <row r="1444" spans="1:10" x14ac:dyDescent="0.15">
      <c r="A1444" s="263" t="s">
        <v>3803</v>
      </c>
      <c r="B1444" s="263" t="s">
        <v>3804</v>
      </c>
      <c r="C1444" s="263" t="s">
        <v>96</v>
      </c>
      <c r="D1444" s="263" t="s">
        <v>3805</v>
      </c>
      <c r="E1444" s="263" t="s">
        <v>97</v>
      </c>
      <c r="F1444">
        <v>0</v>
      </c>
      <c r="G1444">
        <v>2</v>
      </c>
      <c r="H1444" s="263" t="s">
        <v>436</v>
      </c>
      <c r="I1444" s="264"/>
      <c r="J1444" s="263" t="s">
        <v>437</v>
      </c>
    </row>
    <row r="1445" spans="1:10" x14ac:dyDescent="0.15">
      <c r="A1445" s="263" t="s">
        <v>3806</v>
      </c>
      <c r="B1445" s="263" t="s">
        <v>3807</v>
      </c>
      <c r="C1445" s="263" t="s">
        <v>96</v>
      </c>
      <c r="D1445" s="263" t="s">
        <v>3808</v>
      </c>
      <c r="E1445" s="263" t="s">
        <v>97</v>
      </c>
      <c r="F1445">
        <v>0</v>
      </c>
      <c r="G1445">
        <v>2</v>
      </c>
      <c r="H1445" s="263" t="s">
        <v>436</v>
      </c>
      <c r="I1445" s="264"/>
      <c r="J1445" s="263" t="s">
        <v>437</v>
      </c>
    </row>
    <row r="1446" spans="1:10" x14ac:dyDescent="0.15">
      <c r="A1446" s="263" t="s">
        <v>3809</v>
      </c>
      <c r="B1446" s="263" t="s">
        <v>3810</v>
      </c>
      <c r="C1446" s="263" t="s">
        <v>96</v>
      </c>
      <c r="D1446" s="263" t="s">
        <v>3811</v>
      </c>
      <c r="E1446" s="263" t="s">
        <v>97</v>
      </c>
      <c r="F1446">
        <v>0</v>
      </c>
      <c r="G1446">
        <v>2</v>
      </c>
      <c r="H1446" s="263" t="s">
        <v>436</v>
      </c>
      <c r="I1446" s="264"/>
      <c r="J1446" s="263" t="s">
        <v>437</v>
      </c>
    </row>
    <row r="1447" spans="1:10" x14ac:dyDescent="0.15">
      <c r="A1447" s="263" t="s">
        <v>3812</v>
      </c>
      <c r="B1447" s="263" t="s">
        <v>3813</v>
      </c>
      <c r="C1447" s="263" t="s">
        <v>96</v>
      </c>
      <c r="D1447" s="263" t="s">
        <v>3814</v>
      </c>
      <c r="E1447" s="263" t="s">
        <v>97</v>
      </c>
      <c r="F1447">
        <v>0</v>
      </c>
      <c r="G1447">
        <v>2</v>
      </c>
      <c r="H1447" s="263" t="s">
        <v>436</v>
      </c>
      <c r="I1447" s="264"/>
      <c r="J1447" s="263" t="s">
        <v>437</v>
      </c>
    </row>
    <row r="1448" spans="1:10" x14ac:dyDescent="0.15">
      <c r="A1448" s="263" t="s">
        <v>3815</v>
      </c>
      <c r="B1448" s="263" t="s">
        <v>3816</v>
      </c>
      <c r="C1448" s="263" t="s">
        <v>96</v>
      </c>
      <c r="D1448" s="263" t="s">
        <v>3817</v>
      </c>
      <c r="E1448" s="263" t="s">
        <v>97</v>
      </c>
      <c r="F1448">
        <v>0</v>
      </c>
      <c r="G1448">
        <v>2</v>
      </c>
      <c r="H1448" s="263" t="s">
        <v>436</v>
      </c>
      <c r="I1448" s="264"/>
      <c r="J1448" s="263" t="s">
        <v>437</v>
      </c>
    </row>
    <row r="1449" spans="1:10" x14ac:dyDescent="0.15">
      <c r="A1449" s="263" t="s">
        <v>3818</v>
      </c>
      <c r="B1449" s="263" t="s">
        <v>3819</v>
      </c>
      <c r="C1449" s="263" t="s">
        <v>96</v>
      </c>
      <c r="D1449" s="263" t="s">
        <v>3820</v>
      </c>
      <c r="E1449" s="263" t="s">
        <v>97</v>
      </c>
      <c r="F1449">
        <v>0</v>
      </c>
      <c r="G1449">
        <v>2</v>
      </c>
      <c r="H1449" s="263" t="s">
        <v>436</v>
      </c>
      <c r="I1449" s="264"/>
      <c r="J1449" s="263" t="s">
        <v>437</v>
      </c>
    </row>
    <row r="1450" spans="1:10" x14ac:dyDescent="0.15">
      <c r="A1450" s="263" t="s">
        <v>3821</v>
      </c>
      <c r="B1450" s="263" t="s">
        <v>3822</v>
      </c>
      <c r="C1450" s="263" t="s">
        <v>96</v>
      </c>
      <c r="D1450" s="263" t="s">
        <v>3823</v>
      </c>
      <c r="E1450" s="263" t="s">
        <v>97</v>
      </c>
      <c r="F1450">
        <v>0</v>
      </c>
      <c r="G1450">
        <v>2</v>
      </c>
      <c r="H1450" s="263" t="s">
        <v>436</v>
      </c>
      <c r="I1450" s="264"/>
      <c r="J1450" s="263" t="s">
        <v>437</v>
      </c>
    </row>
    <row r="1451" spans="1:10" x14ac:dyDescent="0.15">
      <c r="A1451" s="263" t="s">
        <v>3824</v>
      </c>
      <c r="B1451" s="263" t="s">
        <v>3825</v>
      </c>
      <c r="C1451" s="263" t="s">
        <v>96</v>
      </c>
      <c r="D1451" s="263" t="s">
        <v>3826</v>
      </c>
      <c r="E1451" s="263" t="s">
        <v>97</v>
      </c>
      <c r="F1451">
        <v>0</v>
      </c>
      <c r="G1451">
        <v>2</v>
      </c>
      <c r="H1451" s="263" t="s">
        <v>436</v>
      </c>
      <c r="I1451" s="264"/>
      <c r="J1451" s="263" t="s">
        <v>437</v>
      </c>
    </row>
    <row r="1452" spans="1:10" x14ac:dyDescent="0.15">
      <c r="A1452" s="263" t="s">
        <v>3827</v>
      </c>
      <c r="B1452" s="263" t="s">
        <v>3828</v>
      </c>
      <c r="C1452" s="263" t="s">
        <v>96</v>
      </c>
      <c r="D1452" s="263" t="s">
        <v>3829</v>
      </c>
      <c r="E1452" s="263" t="s">
        <v>97</v>
      </c>
      <c r="F1452">
        <v>0</v>
      </c>
      <c r="G1452">
        <v>2</v>
      </c>
      <c r="H1452" s="263" t="s">
        <v>436</v>
      </c>
      <c r="I1452" s="264"/>
      <c r="J1452" s="263" t="s">
        <v>437</v>
      </c>
    </row>
    <row r="1453" spans="1:10" x14ac:dyDescent="0.15">
      <c r="A1453" s="263" t="s">
        <v>3830</v>
      </c>
      <c r="B1453" s="263" t="s">
        <v>3831</v>
      </c>
      <c r="C1453" s="263" t="s">
        <v>96</v>
      </c>
      <c r="D1453" s="263" t="s">
        <v>3832</v>
      </c>
      <c r="E1453" s="263" t="s">
        <v>97</v>
      </c>
      <c r="F1453">
        <v>0</v>
      </c>
      <c r="G1453">
        <v>2</v>
      </c>
      <c r="H1453" s="263" t="s">
        <v>436</v>
      </c>
      <c r="I1453" s="264"/>
      <c r="J1453" s="263" t="s">
        <v>437</v>
      </c>
    </row>
    <row r="1454" spans="1:10" x14ac:dyDescent="0.15">
      <c r="A1454" s="263" t="s">
        <v>3833</v>
      </c>
      <c r="B1454" s="263" t="s">
        <v>3834</v>
      </c>
      <c r="C1454" s="263" t="s">
        <v>96</v>
      </c>
      <c r="D1454" s="263" t="s">
        <v>3835</v>
      </c>
      <c r="E1454" s="263" t="s">
        <v>97</v>
      </c>
      <c r="F1454">
        <v>0</v>
      </c>
      <c r="G1454">
        <v>2</v>
      </c>
      <c r="H1454" s="263" t="s">
        <v>436</v>
      </c>
      <c r="I1454" s="264"/>
      <c r="J1454" s="263" t="s">
        <v>437</v>
      </c>
    </row>
    <row r="1455" spans="1:10" x14ac:dyDescent="0.15">
      <c r="A1455" s="263" t="s">
        <v>3836</v>
      </c>
      <c r="B1455" s="263" t="s">
        <v>3837</v>
      </c>
      <c r="C1455" s="263" t="s">
        <v>96</v>
      </c>
      <c r="D1455" s="263" t="s">
        <v>3838</v>
      </c>
      <c r="E1455" s="263" t="s">
        <v>97</v>
      </c>
      <c r="F1455">
        <v>0</v>
      </c>
      <c r="G1455">
        <v>2</v>
      </c>
      <c r="H1455" s="263" t="s">
        <v>436</v>
      </c>
      <c r="I1455" s="264"/>
      <c r="J1455" s="263" t="s">
        <v>437</v>
      </c>
    </row>
    <row r="1456" spans="1:10" x14ac:dyDescent="0.15">
      <c r="A1456" s="263" t="s">
        <v>3839</v>
      </c>
      <c r="B1456" s="263" t="s">
        <v>3840</v>
      </c>
      <c r="C1456" s="263" t="s">
        <v>96</v>
      </c>
      <c r="D1456" s="263" t="s">
        <v>3841</v>
      </c>
      <c r="E1456" s="263" t="s">
        <v>97</v>
      </c>
      <c r="F1456">
        <v>0</v>
      </c>
      <c r="G1456">
        <v>2</v>
      </c>
      <c r="H1456" s="263" t="s">
        <v>436</v>
      </c>
      <c r="I1456" s="264"/>
      <c r="J1456" s="263" t="s">
        <v>437</v>
      </c>
    </row>
    <row r="1457" spans="1:10" x14ac:dyDescent="0.15">
      <c r="A1457" s="263" t="s">
        <v>3842</v>
      </c>
      <c r="B1457" s="263" t="s">
        <v>3843</v>
      </c>
      <c r="C1457" s="263" t="s">
        <v>96</v>
      </c>
      <c r="D1457" s="263" t="s">
        <v>3844</v>
      </c>
      <c r="E1457" s="263" t="s">
        <v>97</v>
      </c>
      <c r="F1457">
        <v>0</v>
      </c>
      <c r="G1457">
        <v>2</v>
      </c>
      <c r="H1457" s="263" t="s">
        <v>436</v>
      </c>
      <c r="I1457" s="264"/>
      <c r="J1457" s="263" t="s">
        <v>437</v>
      </c>
    </row>
    <row r="1458" spans="1:10" x14ac:dyDescent="0.15">
      <c r="A1458" s="263" t="s">
        <v>3845</v>
      </c>
      <c r="B1458" s="263" t="s">
        <v>3846</v>
      </c>
      <c r="C1458" s="263" t="s">
        <v>96</v>
      </c>
      <c r="D1458" s="263" t="s">
        <v>3847</v>
      </c>
      <c r="E1458" s="263" t="s">
        <v>97</v>
      </c>
      <c r="F1458">
        <v>0</v>
      </c>
      <c r="G1458">
        <v>2</v>
      </c>
      <c r="H1458" s="263" t="s">
        <v>436</v>
      </c>
      <c r="I1458" s="264"/>
      <c r="J1458" s="263" t="s">
        <v>437</v>
      </c>
    </row>
    <row r="1459" spans="1:10" x14ac:dyDescent="0.15">
      <c r="A1459" s="263" t="s">
        <v>3848</v>
      </c>
      <c r="B1459" s="263" t="s">
        <v>3849</v>
      </c>
      <c r="C1459" s="263" t="s">
        <v>96</v>
      </c>
      <c r="D1459" s="263" t="s">
        <v>3850</v>
      </c>
      <c r="E1459" s="263" t="s">
        <v>97</v>
      </c>
      <c r="F1459">
        <v>0</v>
      </c>
      <c r="G1459">
        <v>2</v>
      </c>
      <c r="H1459" s="263" t="s">
        <v>436</v>
      </c>
      <c r="I1459" s="264"/>
      <c r="J1459" s="263" t="s">
        <v>437</v>
      </c>
    </row>
    <row r="1460" spans="1:10" x14ac:dyDescent="0.15">
      <c r="A1460" s="263" t="s">
        <v>3851</v>
      </c>
      <c r="B1460" s="263" t="s">
        <v>3852</v>
      </c>
      <c r="C1460" s="263" t="s">
        <v>96</v>
      </c>
      <c r="D1460" s="263" t="s">
        <v>3853</v>
      </c>
      <c r="E1460" s="263" t="s">
        <v>97</v>
      </c>
      <c r="F1460">
        <v>0</v>
      </c>
      <c r="G1460">
        <v>2</v>
      </c>
      <c r="H1460" s="263" t="s">
        <v>436</v>
      </c>
      <c r="I1460" s="264"/>
      <c r="J1460" s="263" t="s">
        <v>437</v>
      </c>
    </row>
    <row r="1461" spans="1:10" x14ac:dyDescent="0.15">
      <c r="A1461" s="263" t="s">
        <v>3854</v>
      </c>
      <c r="B1461" s="263" t="s">
        <v>3855</v>
      </c>
      <c r="C1461" s="263" t="s">
        <v>96</v>
      </c>
      <c r="D1461" s="263" t="s">
        <v>3856</v>
      </c>
      <c r="E1461" s="263" t="s">
        <v>97</v>
      </c>
      <c r="F1461">
        <v>0</v>
      </c>
      <c r="G1461">
        <v>2</v>
      </c>
      <c r="H1461" s="263" t="s">
        <v>436</v>
      </c>
      <c r="I1461" s="264"/>
      <c r="J1461" s="263" t="s">
        <v>437</v>
      </c>
    </row>
    <row r="1462" spans="1:10" x14ac:dyDescent="0.15">
      <c r="A1462" s="263" t="s">
        <v>3857</v>
      </c>
      <c r="B1462" s="263" t="s">
        <v>3858</v>
      </c>
      <c r="C1462" s="263" t="s">
        <v>96</v>
      </c>
      <c r="D1462" s="263" t="s">
        <v>3859</v>
      </c>
      <c r="E1462" s="263" t="s">
        <v>97</v>
      </c>
      <c r="F1462">
        <v>0</v>
      </c>
      <c r="G1462">
        <v>2</v>
      </c>
      <c r="H1462" s="263" t="s">
        <v>436</v>
      </c>
      <c r="I1462" s="264"/>
      <c r="J1462" s="263" t="s">
        <v>437</v>
      </c>
    </row>
    <row r="1463" spans="1:10" x14ac:dyDescent="0.15">
      <c r="A1463" s="263" t="s">
        <v>3860</v>
      </c>
      <c r="B1463" s="263" t="s">
        <v>3861</v>
      </c>
      <c r="C1463" s="263" t="s">
        <v>96</v>
      </c>
      <c r="D1463" s="263" t="s">
        <v>3862</v>
      </c>
      <c r="E1463" s="263" t="s">
        <v>97</v>
      </c>
      <c r="F1463">
        <v>0</v>
      </c>
      <c r="G1463">
        <v>2</v>
      </c>
      <c r="H1463" s="263" t="s">
        <v>436</v>
      </c>
      <c r="I1463" s="264"/>
      <c r="J1463" s="263" t="s">
        <v>437</v>
      </c>
    </row>
    <row r="1464" spans="1:10" x14ac:dyDescent="0.15">
      <c r="A1464" s="263" t="s">
        <v>3863</v>
      </c>
      <c r="B1464" s="263" t="s">
        <v>3864</v>
      </c>
      <c r="C1464" s="263" t="s">
        <v>96</v>
      </c>
      <c r="D1464" s="263" t="s">
        <v>3865</v>
      </c>
      <c r="E1464" s="263" t="s">
        <v>97</v>
      </c>
      <c r="F1464">
        <v>0</v>
      </c>
      <c r="G1464">
        <v>2</v>
      </c>
      <c r="H1464" s="263" t="s">
        <v>436</v>
      </c>
      <c r="I1464" s="264"/>
      <c r="J1464" s="263" t="s">
        <v>437</v>
      </c>
    </row>
    <row r="1465" spans="1:10" x14ac:dyDescent="0.15">
      <c r="A1465" s="263" t="s">
        <v>3866</v>
      </c>
      <c r="B1465" s="263" t="s">
        <v>3867</v>
      </c>
      <c r="C1465" s="263" t="s">
        <v>96</v>
      </c>
      <c r="D1465" s="263" t="s">
        <v>3868</v>
      </c>
      <c r="E1465" s="263" t="s">
        <v>97</v>
      </c>
      <c r="F1465">
        <v>0</v>
      </c>
      <c r="G1465">
        <v>2</v>
      </c>
      <c r="H1465" s="263" t="s">
        <v>436</v>
      </c>
      <c r="I1465" s="264"/>
      <c r="J1465" s="263" t="s">
        <v>437</v>
      </c>
    </row>
    <row r="1466" spans="1:10" x14ac:dyDescent="0.15">
      <c r="A1466" s="263" t="s">
        <v>3869</v>
      </c>
      <c r="B1466" s="263" t="s">
        <v>3870</v>
      </c>
      <c r="C1466" s="263" t="s">
        <v>96</v>
      </c>
      <c r="D1466" s="263" t="s">
        <v>3871</v>
      </c>
      <c r="E1466" s="263" t="s">
        <v>97</v>
      </c>
      <c r="F1466">
        <v>0</v>
      </c>
      <c r="G1466">
        <v>2</v>
      </c>
      <c r="H1466" s="263" t="s">
        <v>436</v>
      </c>
      <c r="I1466" s="264"/>
      <c r="J1466" s="263" t="s">
        <v>437</v>
      </c>
    </row>
    <row r="1467" spans="1:10" x14ac:dyDescent="0.15">
      <c r="A1467" s="263" t="s">
        <v>3872</v>
      </c>
      <c r="B1467" s="263" t="s">
        <v>3873</v>
      </c>
      <c r="C1467" s="263" t="s">
        <v>96</v>
      </c>
      <c r="D1467" s="263" t="s">
        <v>3874</v>
      </c>
      <c r="E1467" s="263" t="s">
        <v>97</v>
      </c>
      <c r="F1467">
        <v>0</v>
      </c>
      <c r="G1467">
        <v>2</v>
      </c>
      <c r="H1467" s="263" t="s">
        <v>436</v>
      </c>
      <c r="I1467" s="264"/>
      <c r="J1467" s="263" t="s">
        <v>437</v>
      </c>
    </row>
    <row r="1468" spans="1:10" x14ac:dyDescent="0.15">
      <c r="A1468" s="263" t="s">
        <v>3875</v>
      </c>
      <c r="B1468" s="263" t="s">
        <v>3876</v>
      </c>
      <c r="C1468" s="263" t="s">
        <v>96</v>
      </c>
      <c r="D1468" s="263" t="s">
        <v>3877</v>
      </c>
      <c r="E1468" s="263" t="s">
        <v>97</v>
      </c>
      <c r="F1468">
        <v>0</v>
      </c>
      <c r="G1468">
        <v>2</v>
      </c>
      <c r="H1468" s="263" t="s">
        <v>436</v>
      </c>
      <c r="I1468" s="264"/>
      <c r="J1468" s="263" t="s">
        <v>437</v>
      </c>
    </row>
    <row r="1469" spans="1:10" x14ac:dyDescent="0.15">
      <c r="A1469" s="263" t="s">
        <v>3878</v>
      </c>
      <c r="B1469" s="263" t="s">
        <v>3879</v>
      </c>
      <c r="C1469" s="263" t="s">
        <v>96</v>
      </c>
      <c r="D1469" s="263" t="s">
        <v>3880</v>
      </c>
      <c r="E1469" s="263" t="s">
        <v>97</v>
      </c>
      <c r="F1469">
        <v>0</v>
      </c>
      <c r="G1469">
        <v>2</v>
      </c>
      <c r="H1469" s="263" t="s">
        <v>436</v>
      </c>
      <c r="I1469" s="264"/>
      <c r="J1469" s="263" t="s">
        <v>437</v>
      </c>
    </row>
    <row r="1470" spans="1:10" x14ac:dyDescent="0.15">
      <c r="A1470" s="263" t="s">
        <v>3881</v>
      </c>
      <c r="B1470" s="263" t="s">
        <v>3882</v>
      </c>
      <c r="C1470" s="263" t="s">
        <v>96</v>
      </c>
      <c r="D1470" s="263" t="s">
        <v>3883</v>
      </c>
      <c r="E1470" s="263" t="s">
        <v>97</v>
      </c>
      <c r="F1470">
        <v>0</v>
      </c>
      <c r="G1470">
        <v>2</v>
      </c>
      <c r="H1470" s="263" t="s">
        <v>436</v>
      </c>
      <c r="I1470" s="264"/>
      <c r="J1470" s="263" t="s">
        <v>437</v>
      </c>
    </row>
    <row r="1471" spans="1:10" x14ac:dyDescent="0.15">
      <c r="A1471" s="263" t="s">
        <v>3884</v>
      </c>
      <c r="B1471" s="263" t="s">
        <v>3885</v>
      </c>
      <c r="C1471" s="263" t="s">
        <v>96</v>
      </c>
      <c r="D1471" s="263" t="s">
        <v>3886</v>
      </c>
      <c r="E1471" s="263" t="s">
        <v>97</v>
      </c>
      <c r="F1471">
        <v>0</v>
      </c>
      <c r="G1471">
        <v>2</v>
      </c>
      <c r="H1471" s="263" t="s">
        <v>436</v>
      </c>
      <c r="I1471" s="264"/>
      <c r="J1471" s="263" t="s">
        <v>437</v>
      </c>
    </row>
    <row r="1472" spans="1:10" x14ac:dyDescent="0.15">
      <c r="A1472" s="263" t="s">
        <v>3887</v>
      </c>
      <c r="B1472" s="263" t="s">
        <v>3888</v>
      </c>
      <c r="C1472" s="263" t="s">
        <v>96</v>
      </c>
      <c r="D1472" s="263" t="s">
        <v>3889</v>
      </c>
      <c r="E1472" s="263" t="s">
        <v>97</v>
      </c>
      <c r="F1472">
        <v>0</v>
      </c>
      <c r="G1472">
        <v>2</v>
      </c>
      <c r="H1472" s="263" t="s">
        <v>436</v>
      </c>
      <c r="I1472" s="264"/>
      <c r="J1472" s="263" t="s">
        <v>437</v>
      </c>
    </row>
    <row r="1473" spans="1:10" x14ac:dyDescent="0.15">
      <c r="A1473" s="263" t="s">
        <v>3890</v>
      </c>
      <c r="B1473" s="263" t="s">
        <v>3891</v>
      </c>
      <c r="C1473" s="263" t="s">
        <v>96</v>
      </c>
      <c r="D1473" s="263" t="s">
        <v>3892</v>
      </c>
      <c r="E1473" s="263" t="s">
        <v>97</v>
      </c>
      <c r="F1473">
        <v>0</v>
      </c>
      <c r="G1473">
        <v>2</v>
      </c>
      <c r="H1473" s="263" t="s">
        <v>436</v>
      </c>
      <c r="I1473" s="264"/>
      <c r="J1473" s="263" t="s">
        <v>437</v>
      </c>
    </row>
    <row r="1474" spans="1:10" x14ac:dyDescent="0.15">
      <c r="A1474" s="263" t="s">
        <v>3893</v>
      </c>
      <c r="B1474" s="263" t="s">
        <v>3894</v>
      </c>
      <c r="C1474" s="263" t="s">
        <v>96</v>
      </c>
      <c r="D1474" s="263" t="s">
        <v>3895</v>
      </c>
      <c r="E1474" s="263" t="s">
        <v>97</v>
      </c>
      <c r="F1474">
        <v>0</v>
      </c>
      <c r="G1474">
        <v>2</v>
      </c>
      <c r="H1474" s="263" t="s">
        <v>436</v>
      </c>
      <c r="I1474" s="264"/>
      <c r="J1474" s="263" t="s">
        <v>437</v>
      </c>
    </row>
    <row r="1475" spans="1:10" x14ac:dyDescent="0.15">
      <c r="A1475" s="263" t="s">
        <v>3896</v>
      </c>
      <c r="B1475" s="263" t="s">
        <v>3897</v>
      </c>
      <c r="C1475" s="263" t="s">
        <v>96</v>
      </c>
      <c r="D1475" s="263" t="s">
        <v>3898</v>
      </c>
      <c r="E1475" s="263" t="s">
        <v>97</v>
      </c>
      <c r="F1475">
        <v>0</v>
      </c>
      <c r="G1475">
        <v>2</v>
      </c>
      <c r="H1475" s="263" t="s">
        <v>436</v>
      </c>
      <c r="I1475" s="264"/>
      <c r="J1475" s="263" t="s">
        <v>437</v>
      </c>
    </row>
    <row r="1476" spans="1:10" x14ac:dyDescent="0.15">
      <c r="A1476" s="263" t="s">
        <v>3899</v>
      </c>
      <c r="B1476" s="263" t="s">
        <v>3900</v>
      </c>
      <c r="C1476" s="263" t="s">
        <v>96</v>
      </c>
      <c r="D1476" s="263" t="s">
        <v>3901</v>
      </c>
      <c r="E1476" s="263" t="s">
        <v>97</v>
      </c>
      <c r="F1476">
        <v>0</v>
      </c>
      <c r="G1476">
        <v>2</v>
      </c>
      <c r="H1476" s="263" t="s">
        <v>436</v>
      </c>
      <c r="I1476" s="264"/>
      <c r="J1476" s="263" t="s">
        <v>437</v>
      </c>
    </row>
    <row r="1477" spans="1:10" x14ac:dyDescent="0.15">
      <c r="A1477" s="263" t="s">
        <v>3902</v>
      </c>
      <c r="B1477" s="263" t="s">
        <v>3903</v>
      </c>
      <c r="C1477" s="263" t="s">
        <v>96</v>
      </c>
      <c r="D1477" s="263" t="s">
        <v>3904</v>
      </c>
      <c r="E1477" s="263" t="s">
        <v>97</v>
      </c>
      <c r="F1477">
        <v>0</v>
      </c>
      <c r="G1477">
        <v>2</v>
      </c>
      <c r="H1477" s="263" t="s">
        <v>436</v>
      </c>
      <c r="I1477" s="264"/>
      <c r="J1477" s="263" t="s">
        <v>437</v>
      </c>
    </row>
    <row r="1478" spans="1:10" x14ac:dyDescent="0.15">
      <c r="A1478" s="263" t="s">
        <v>3905</v>
      </c>
      <c r="B1478" s="263" t="s">
        <v>3906</v>
      </c>
      <c r="C1478" s="263" t="s">
        <v>96</v>
      </c>
      <c r="D1478" s="263" t="s">
        <v>3907</v>
      </c>
      <c r="E1478" s="263" t="s">
        <v>97</v>
      </c>
      <c r="F1478">
        <v>0</v>
      </c>
      <c r="G1478">
        <v>2</v>
      </c>
      <c r="H1478" s="263" t="s">
        <v>436</v>
      </c>
      <c r="I1478" s="264"/>
      <c r="J1478" s="263" t="s">
        <v>437</v>
      </c>
    </row>
    <row r="1479" spans="1:10" x14ac:dyDescent="0.15">
      <c r="A1479" s="263" t="s">
        <v>3908</v>
      </c>
      <c r="B1479" s="263" t="s">
        <v>3909</v>
      </c>
      <c r="C1479" s="263" t="s">
        <v>96</v>
      </c>
      <c r="D1479" s="263" t="s">
        <v>3910</v>
      </c>
      <c r="E1479" s="263" t="s">
        <v>97</v>
      </c>
      <c r="F1479">
        <v>0</v>
      </c>
      <c r="G1479">
        <v>2</v>
      </c>
      <c r="H1479" s="263" t="s">
        <v>436</v>
      </c>
      <c r="I1479" s="264"/>
      <c r="J1479" s="263" t="s">
        <v>437</v>
      </c>
    </row>
    <row r="1480" spans="1:10" x14ac:dyDescent="0.15">
      <c r="A1480" s="263" t="s">
        <v>3911</v>
      </c>
      <c r="B1480" s="263" t="s">
        <v>3912</v>
      </c>
      <c r="C1480" s="263" t="s">
        <v>96</v>
      </c>
      <c r="D1480" s="263" t="s">
        <v>3913</v>
      </c>
      <c r="E1480" s="263" t="s">
        <v>97</v>
      </c>
      <c r="F1480">
        <v>0</v>
      </c>
      <c r="G1480">
        <v>2</v>
      </c>
      <c r="H1480" s="263" t="s">
        <v>436</v>
      </c>
      <c r="I1480" s="264"/>
      <c r="J1480" s="263" t="s">
        <v>437</v>
      </c>
    </row>
    <row r="1481" spans="1:10" x14ac:dyDescent="0.15">
      <c r="A1481" s="263" t="s">
        <v>3914</v>
      </c>
      <c r="B1481" s="263" t="s">
        <v>3915</v>
      </c>
      <c r="C1481" s="263" t="s">
        <v>96</v>
      </c>
      <c r="D1481" s="263" t="s">
        <v>3916</v>
      </c>
      <c r="E1481" s="263" t="s">
        <v>97</v>
      </c>
      <c r="F1481">
        <v>0</v>
      </c>
      <c r="G1481">
        <v>2</v>
      </c>
      <c r="H1481" s="263" t="s">
        <v>436</v>
      </c>
      <c r="I1481" s="264"/>
      <c r="J1481" s="263" t="s">
        <v>437</v>
      </c>
    </row>
    <row r="1482" spans="1:10" x14ac:dyDescent="0.15">
      <c r="A1482" s="263" t="s">
        <v>3917</v>
      </c>
      <c r="B1482" s="263" t="s">
        <v>3918</v>
      </c>
      <c r="C1482" s="263" t="s">
        <v>96</v>
      </c>
      <c r="D1482" s="263" t="s">
        <v>3919</v>
      </c>
      <c r="E1482" s="263" t="s">
        <v>97</v>
      </c>
      <c r="F1482">
        <v>0</v>
      </c>
      <c r="G1482">
        <v>2</v>
      </c>
      <c r="H1482" s="263" t="s">
        <v>436</v>
      </c>
      <c r="I1482" s="264"/>
      <c r="J1482" s="263" t="s">
        <v>437</v>
      </c>
    </row>
    <row r="1483" spans="1:10" x14ac:dyDescent="0.15">
      <c r="A1483" s="263" t="s">
        <v>3920</v>
      </c>
      <c r="B1483" s="263" t="s">
        <v>3921</v>
      </c>
      <c r="C1483" s="263" t="s">
        <v>96</v>
      </c>
      <c r="D1483" s="263" t="s">
        <v>3922</v>
      </c>
      <c r="E1483" s="263" t="s">
        <v>97</v>
      </c>
      <c r="F1483">
        <v>0</v>
      </c>
      <c r="G1483">
        <v>2</v>
      </c>
      <c r="H1483" s="263" t="s">
        <v>436</v>
      </c>
      <c r="I1483" s="264"/>
      <c r="J1483" s="263" t="s">
        <v>437</v>
      </c>
    </row>
    <row r="1484" spans="1:10" x14ac:dyDescent="0.15">
      <c r="A1484" s="263" t="s">
        <v>3923</v>
      </c>
      <c r="B1484" s="263" t="s">
        <v>3924</v>
      </c>
      <c r="C1484" s="263" t="s">
        <v>96</v>
      </c>
      <c r="D1484" s="263" t="s">
        <v>3925</v>
      </c>
      <c r="E1484" s="263" t="s">
        <v>97</v>
      </c>
      <c r="F1484">
        <v>0</v>
      </c>
      <c r="G1484">
        <v>2</v>
      </c>
      <c r="H1484" s="263" t="s">
        <v>436</v>
      </c>
      <c r="I1484" s="264"/>
      <c r="J1484" s="263" t="s">
        <v>437</v>
      </c>
    </row>
    <row r="1485" spans="1:10" x14ac:dyDescent="0.15">
      <c r="A1485" s="263" t="s">
        <v>3926</v>
      </c>
      <c r="B1485" s="263" t="s">
        <v>3927</v>
      </c>
      <c r="C1485" s="263" t="s">
        <v>96</v>
      </c>
      <c r="D1485" s="263" t="s">
        <v>3928</v>
      </c>
      <c r="E1485" s="263" t="s">
        <v>97</v>
      </c>
      <c r="F1485">
        <v>0</v>
      </c>
      <c r="G1485">
        <v>2</v>
      </c>
      <c r="H1485" s="263" t="s">
        <v>436</v>
      </c>
      <c r="I1485" s="264"/>
      <c r="J1485" s="263" t="s">
        <v>437</v>
      </c>
    </row>
    <row r="1486" spans="1:10" x14ac:dyDescent="0.15">
      <c r="A1486" s="263" t="s">
        <v>3929</v>
      </c>
      <c r="B1486" s="263" t="s">
        <v>3930</v>
      </c>
      <c r="C1486" s="263" t="s">
        <v>96</v>
      </c>
      <c r="D1486" s="263" t="s">
        <v>3931</v>
      </c>
      <c r="E1486" s="263" t="s">
        <v>97</v>
      </c>
      <c r="F1486">
        <v>0</v>
      </c>
      <c r="G1486">
        <v>2</v>
      </c>
      <c r="H1486" s="263" t="s">
        <v>436</v>
      </c>
      <c r="I1486" s="264"/>
      <c r="J1486" s="263" t="s">
        <v>437</v>
      </c>
    </row>
    <row r="1487" spans="1:10" x14ac:dyDescent="0.15">
      <c r="A1487" s="263" t="s">
        <v>3932</v>
      </c>
      <c r="B1487" s="263" t="s">
        <v>3933</v>
      </c>
      <c r="C1487" s="263" t="s">
        <v>96</v>
      </c>
      <c r="D1487" s="263" t="s">
        <v>3934</v>
      </c>
      <c r="E1487" s="263" t="s">
        <v>97</v>
      </c>
      <c r="F1487">
        <v>0</v>
      </c>
      <c r="G1487">
        <v>2</v>
      </c>
      <c r="H1487" s="263" t="s">
        <v>436</v>
      </c>
      <c r="I1487" s="264"/>
      <c r="J1487" s="263" t="s">
        <v>437</v>
      </c>
    </row>
    <row r="1488" spans="1:10" x14ac:dyDescent="0.15">
      <c r="A1488" s="263" t="s">
        <v>3935</v>
      </c>
      <c r="B1488" s="263" t="s">
        <v>3936</v>
      </c>
      <c r="C1488" s="263" t="s">
        <v>96</v>
      </c>
      <c r="D1488" s="263" t="s">
        <v>3937</v>
      </c>
      <c r="E1488" s="263" t="s">
        <v>97</v>
      </c>
      <c r="F1488">
        <v>0</v>
      </c>
      <c r="G1488">
        <v>2</v>
      </c>
      <c r="H1488" s="263" t="s">
        <v>436</v>
      </c>
      <c r="I1488" s="264"/>
      <c r="J1488" s="263" t="s">
        <v>437</v>
      </c>
    </row>
    <row r="1489" spans="1:10" x14ac:dyDescent="0.15">
      <c r="A1489" s="263" t="s">
        <v>3938</v>
      </c>
      <c r="B1489" s="263" t="s">
        <v>3939</v>
      </c>
      <c r="C1489" s="263" t="s">
        <v>96</v>
      </c>
      <c r="D1489" s="263" t="s">
        <v>3940</v>
      </c>
      <c r="E1489" s="263" t="s">
        <v>97</v>
      </c>
      <c r="F1489">
        <v>0</v>
      </c>
      <c r="G1489">
        <v>2</v>
      </c>
      <c r="H1489" s="263" t="s">
        <v>436</v>
      </c>
      <c r="I1489" s="264"/>
      <c r="J1489" s="263" t="s">
        <v>437</v>
      </c>
    </row>
    <row r="1490" spans="1:10" x14ac:dyDescent="0.15">
      <c r="A1490" s="263" t="s">
        <v>3941</v>
      </c>
      <c r="B1490" s="263" t="s">
        <v>3942</v>
      </c>
      <c r="C1490" s="263" t="s">
        <v>96</v>
      </c>
      <c r="D1490" s="263" t="s">
        <v>3943</v>
      </c>
      <c r="E1490" s="263" t="s">
        <v>97</v>
      </c>
      <c r="F1490">
        <v>0</v>
      </c>
      <c r="G1490">
        <v>2</v>
      </c>
      <c r="H1490" s="263" t="s">
        <v>436</v>
      </c>
      <c r="I1490" s="264"/>
      <c r="J1490" s="263" t="s">
        <v>437</v>
      </c>
    </row>
    <row r="1491" spans="1:10" x14ac:dyDescent="0.15">
      <c r="A1491" s="263" t="s">
        <v>3944</v>
      </c>
      <c r="B1491" s="263" t="s">
        <v>3945</v>
      </c>
      <c r="C1491" s="263" t="s">
        <v>96</v>
      </c>
      <c r="D1491" s="263" t="s">
        <v>3946</v>
      </c>
      <c r="E1491" s="263" t="s">
        <v>97</v>
      </c>
      <c r="F1491">
        <v>0</v>
      </c>
      <c r="G1491">
        <v>2</v>
      </c>
      <c r="H1491" s="263" t="s">
        <v>436</v>
      </c>
      <c r="I1491" s="264"/>
      <c r="J1491" s="263" t="s">
        <v>437</v>
      </c>
    </row>
    <row r="1492" spans="1:10" x14ac:dyDescent="0.15">
      <c r="A1492" s="263" t="s">
        <v>3947</v>
      </c>
      <c r="B1492" s="263" t="s">
        <v>3948</v>
      </c>
      <c r="C1492" s="263" t="s">
        <v>96</v>
      </c>
      <c r="D1492" s="263" t="s">
        <v>3949</v>
      </c>
      <c r="E1492" s="263" t="s">
        <v>97</v>
      </c>
      <c r="F1492">
        <v>0</v>
      </c>
      <c r="G1492">
        <v>2</v>
      </c>
      <c r="H1492" s="263" t="s">
        <v>436</v>
      </c>
      <c r="I1492" s="264"/>
      <c r="J1492" s="263" t="s">
        <v>437</v>
      </c>
    </row>
    <row r="1493" spans="1:10" x14ac:dyDescent="0.15">
      <c r="A1493" s="263" t="s">
        <v>3950</v>
      </c>
      <c r="B1493" s="263" t="s">
        <v>3951</v>
      </c>
      <c r="C1493" s="263" t="s">
        <v>96</v>
      </c>
      <c r="D1493" s="263" t="s">
        <v>3952</v>
      </c>
      <c r="E1493" s="263" t="s">
        <v>97</v>
      </c>
      <c r="F1493">
        <v>0</v>
      </c>
      <c r="G1493">
        <v>2</v>
      </c>
      <c r="H1493" s="263" t="s">
        <v>436</v>
      </c>
      <c r="I1493" s="264"/>
      <c r="J1493" s="263" t="s">
        <v>437</v>
      </c>
    </row>
    <row r="1494" spans="1:10" x14ac:dyDescent="0.15">
      <c r="A1494" s="263" t="s">
        <v>3953</v>
      </c>
      <c r="B1494" s="263" t="s">
        <v>3954</v>
      </c>
      <c r="C1494" s="263" t="s">
        <v>96</v>
      </c>
      <c r="D1494" s="263" t="s">
        <v>3955</v>
      </c>
      <c r="E1494" s="263" t="s">
        <v>97</v>
      </c>
      <c r="F1494">
        <v>0</v>
      </c>
      <c r="G1494">
        <v>2</v>
      </c>
      <c r="H1494" s="263" t="s">
        <v>436</v>
      </c>
      <c r="I1494" s="264"/>
      <c r="J1494" s="263" t="s">
        <v>437</v>
      </c>
    </row>
    <row r="1495" spans="1:10" x14ac:dyDescent="0.15">
      <c r="A1495" s="263" t="s">
        <v>3956</v>
      </c>
      <c r="B1495" s="263" t="s">
        <v>3957</v>
      </c>
      <c r="C1495" s="263" t="s">
        <v>96</v>
      </c>
      <c r="D1495" s="263" t="s">
        <v>3958</v>
      </c>
      <c r="E1495" s="263" t="s">
        <v>97</v>
      </c>
      <c r="F1495">
        <v>0</v>
      </c>
      <c r="G1495">
        <v>2</v>
      </c>
      <c r="H1495" s="263" t="s">
        <v>436</v>
      </c>
      <c r="I1495" s="264"/>
      <c r="J1495" s="263" t="s">
        <v>437</v>
      </c>
    </row>
    <row r="1496" spans="1:10" x14ac:dyDescent="0.15">
      <c r="A1496" s="263" t="s">
        <v>3959</v>
      </c>
      <c r="B1496" s="263" t="s">
        <v>3960</v>
      </c>
      <c r="C1496" s="263" t="s">
        <v>96</v>
      </c>
      <c r="D1496" s="263" t="s">
        <v>3961</v>
      </c>
      <c r="E1496" s="263" t="s">
        <v>97</v>
      </c>
      <c r="F1496">
        <v>0</v>
      </c>
      <c r="G1496">
        <v>2</v>
      </c>
      <c r="H1496" s="263" t="s">
        <v>436</v>
      </c>
      <c r="I1496" s="264"/>
      <c r="J1496" s="263" t="s">
        <v>437</v>
      </c>
    </row>
    <row r="1497" spans="1:10" x14ac:dyDescent="0.15">
      <c r="A1497" s="263" t="s">
        <v>3962</v>
      </c>
      <c r="B1497" s="263" t="s">
        <v>3963</v>
      </c>
      <c r="C1497" s="263" t="s">
        <v>96</v>
      </c>
      <c r="D1497" s="263" t="s">
        <v>3964</v>
      </c>
      <c r="E1497" s="263" t="s">
        <v>97</v>
      </c>
      <c r="F1497">
        <v>0</v>
      </c>
      <c r="G1497">
        <v>2</v>
      </c>
      <c r="H1497" s="263" t="s">
        <v>436</v>
      </c>
      <c r="I1497" s="264"/>
      <c r="J1497" s="263" t="s">
        <v>437</v>
      </c>
    </row>
    <row r="1498" spans="1:10" x14ac:dyDescent="0.15">
      <c r="A1498" s="263" t="s">
        <v>3965</v>
      </c>
      <c r="B1498" s="263" t="s">
        <v>3966</v>
      </c>
      <c r="C1498" s="263" t="s">
        <v>96</v>
      </c>
      <c r="D1498" s="263" t="s">
        <v>3967</v>
      </c>
      <c r="E1498" s="263" t="s">
        <v>97</v>
      </c>
      <c r="F1498">
        <v>0</v>
      </c>
      <c r="G1498">
        <v>2</v>
      </c>
      <c r="H1498" s="263" t="s">
        <v>436</v>
      </c>
      <c r="I1498" s="264"/>
      <c r="J1498" s="263" t="s">
        <v>437</v>
      </c>
    </row>
    <row r="1499" spans="1:10" x14ac:dyDescent="0.15">
      <c r="A1499" s="263" t="s">
        <v>3968</v>
      </c>
      <c r="B1499" s="263" t="s">
        <v>3969</v>
      </c>
      <c r="C1499" s="263" t="s">
        <v>96</v>
      </c>
      <c r="D1499" s="263" t="s">
        <v>3970</v>
      </c>
      <c r="E1499" s="263" t="s">
        <v>97</v>
      </c>
      <c r="F1499">
        <v>0</v>
      </c>
      <c r="G1499">
        <v>2</v>
      </c>
      <c r="H1499" s="263" t="s">
        <v>436</v>
      </c>
      <c r="I1499" s="264"/>
      <c r="J1499" s="263" t="s">
        <v>437</v>
      </c>
    </row>
    <row r="1500" spans="1:10" x14ac:dyDescent="0.15">
      <c r="A1500" s="263" t="s">
        <v>9072</v>
      </c>
      <c r="B1500" s="263" t="s">
        <v>9073</v>
      </c>
      <c r="C1500" s="263" t="s">
        <v>96</v>
      </c>
      <c r="D1500" s="263" t="s">
        <v>9074</v>
      </c>
      <c r="E1500" s="263" t="s">
        <v>97</v>
      </c>
      <c r="F1500">
        <v>0</v>
      </c>
      <c r="G1500">
        <v>2</v>
      </c>
      <c r="H1500" s="263" t="s">
        <v>436</v>
      </c>
      <c r="I1500" s="264"/>
      <c r="J1500" s="263" t="s">
        <v>437</v>
      </c>
    </row>
    <row r="1501" spans="1:10" x14ac:dyDescent="0.15">
      <c r="A1501" s="263" t="s">
        <v>3971</v>
      </c>
      <c r="B1501" s="263" t="s">
        <v>3972</v>
      </c>
      <c r="C1501" s="263" t="s">
        <v>96</v>
      </c>
      <c r="D1501" s="263" t="s">
        <v>3973</v>
      </c>
      <c r="E1501" s="263" t="s">
        <v>97</v>
      </c>
      <c r="F1501">
        <v>0</v>
      </c>
      <c r="G1501">
        <v>2</v>
      </c>
      <c r="H1501" s="263" t="s">
        <v>436</v>
      </c>
      <c r="I1501" s="264"/>
      <c r="J1501" s="263" t="s">
        <v>437</v>
      </c>
    </row>
    <row r="1502" spans="1:10" x14ac:dyDescent="0.15">
      <c r="A1502" s="263" t="s">
        <v>3974</v>
      </c>
      <c r="B1502" s="263" t="s">
        <v>3975</v>
      </c>
      <c r="C1502" s="263" t="s">
        <v>96</v>
      </c>
      <c r="D1502" s="263" t="s">
        <v>3976</v>
      </c>
      <c r="E1502" s="263" t="s">
        <v>97</v>
      </c>
      <c r="F1502">
        <v>0</v>
      </c>
      <c r="G1502">
        <v>2</v>
      </c>
      <c r="H1502" s="263" t="s">
        <v>436</v>
      </c>
      <c r="I1502" s="264"/>
      <c r="J1502" s="263" t="s">
        <v>437</v>
      </c>
    </row>
    <row r="1503" spans="1:10" x14ac:dyDescent="0.15">
      <c r="A1503" s="263" t="s">
        <v>3977</v>
      </c>
      <c r="B1503" s="263" t="s">
        <v>3978</v>
      </c>
      <c r="C1503" s="263" t="s">
        <v>96</v>
      </c>
      <c r="D1503" s="263" t="s">
        <v>3979</v>
      </c>
      <c r="E1503" s="263" t="s">
        <v>97</v>
      </c>
      <c r="F1503">
        <v>0</v>
      </c>
      <c r="G1503">
        <v>2</v>
      </c>
      <c r="H1503" s="263" t="s">
        <v>436</v>
      </c>
      <c r="I1503" s="264"/>
      <c r="J1503" s="263" t="s">
        <v>437</v>
      </c>
    </row>
    <row r="1504" spans="1:10" x14ac:dyDescent="0.15">
      <c r="A1504" s="263" t="s">
        <v>3980</v>
      </c>
      <c r="B1504" s="263" t="s">
        <v>3981</v>
      </c>
      <c r="C1504" s="263" t="s">
        <v>96</v>
      </c>
      <c r="D1504" s="263" t="s">
        <v>3982</v>
      </c>
      <c r="E1504" s="263" t="s">
        <v>97</v>
      </c>
      <c r="F1504">
        <v>0</v>
      </c>
      <c r="G1504">
        <v>2</v>
      </c>
      <c r="H1504" s="263" t="s">
        <v>436</v>
      </c>
      <c r="I1504" s="264"/>
      <c r="J1504" s="263" t="s">
        <v>437</v>
      </c>
    </row>
    <row r="1505" spans="1:10" x14ac:dyDescent="0.15">
      <c r="A1505" s="263" t="s">
        <v>3983</v>
      </c>
      <c r="B1505" s="263" t="s">
        <v>3984</v>
      </c>
      <c r="C1505" s="263" t="s">
        <v>96</v>
      </c>
      <c r="D1505" s="263" t="s">
        <v>3985</v>
      </c>
      <c r="E1505" s="263" t="s">
        <v>97</v>
      </c>
      <c r="F1505">
        <v>0</v>
      </c>
      <c r="G1505">
        <v>2</v>
      </c>
      <c r="H1505" s="263" t="s">
        <v>436</v>
      </c>
      <c r="I1505" s="264"/>
      <c r="J1505" s="263" t="s">
        <v>437</v>
      </c>
    </row>
    <row r="1506" spans="1:10" x14ac:dyDescent="0.15">
      <c r="A1506" s="263" t="s">
        <v>3986</v>
      </c>
      <c r="B1506" s="263" t="s">
        <v>3987</v>
      </c>
      <c r="C1506" s="263" t="s">
        <v>96</v>
      </c>
      <c r="D1506" s="263" t="s">
        <v>3988</v>
      </c>
      <c r="E1506" s="263" t="s">
        <v>97</v>
      </c>
      <c r="F1506">
        <v>0</v>
      </c>
      <c r="G1506">
        <v>2</v>
      </c>
      <c r="H1506" s="263" t="s">
        <v>436</v>
      </c>
      <c r="I1506" s="264"/>
      <c r="J1506" s="263" t="s">
        <v>437</v>
      </c>
    </row>
    <row r="1507" spans="1:10" x14ac:dyDescent="0.15">
      <c r="A1507" s="263" t="s">
        <v>3989</v>
      </c>
      <c r="B1507" s="263" t="s">
        <v>3990</v>
      </c>
      <c r="C1507" s="263" t="s">
        <v>96</v>
      </c>
      <c r="D1507" s="263" t="s">
        <v>3991</v>
      </c>
      <c r="E1507" s="263" t="s">
        <v>97</v>
      </c>
      <c r="F1507">
        <v>0</v>
      </c>
      <c r="G1507">
        <v>2</v>
      </c>
      <c r="H1507" s="263" t="s">
        <v>436</v>
      </c>
      <c r="I1507" s="264"/>
      <c r="J1507" s="263" t="s">
        <v>437</v>
      </c>
    </row>
    <row r="1508" spans="1:10" x14ac:dyDescent="0.15">
      <c r="A1508" s="263" t="s">
        <v>3992</v>
      </c>
      <c r="B1508" s="263" t="s">
        <v>3993</v>
      </c>
      <c r="C1508" s="263" t="s">
        <v>96</v>
      </c>
      <c r="D1508" s="263" t="s">
        <v>3994</v>
      </c>
      <c r="E1508" s="263" t="s">
        <v>97</v>
      </c>
      <c r="F1508">
        <v>0</v>
      </c>
      <c r="G1508">
        <v>2</v>
      </c>
      <c r="H1508" s="263" t="s">
        <v>436</v>
      </c>
      <c r="I1508" s="264"/>
      <c r="J1508" s="263" t="s">
        <v>437</v>
      </c>
    </row>
    <row r="1509" spans="1:10" x14ac:dyDescent="0.15">
      <c r="A1509" s="263" t="s">
        <v>3995</v>
      </c>
      <c r="B1509" s="263" t="s">
        <v>3996</v>
      </c>
      <c r="C1509" s="263" t="s">
        <v>96</v>
      </c>
      <c r="D1509" s="263" t="s">
        <v>3997</v>
      </c>
      <c r="E1509" s="263" t="s">
        <v>97</v>
      </c>
      <c r="F1509">
        <v>0</v>
      </c>
      <c r="G1509">
        <v>2</v>
      </c>
      <c r="H1509" s="263" t="s">
        <v>436</v>
      </c>
      <c r="I1509" s="264"/>
      <c r="J1509" s="263" t="s">
        <v>437</v>
      </c>
    </row>
    <row r="1510" spans="1:10" x14ac:dyDescent="0.15">
      <c r="A1510" s="263" t="s">
        <v>3998</v>
      </c>
      <c r="B1510" s="263" t="s">
        <v>3999</v>
      </c>
      <c r="C1510" s="263" t="s">
        <v>96</v>
      </c>
      <c r="D1510" s="263" t="s">
        <v>4000</v>
      </c>
      <c r="E1510" s="263" t="s">
        <v>97</v>
      </c>
      <c r="F1510">
        <v>0</v>
      </c>
      <c r="G1510">
        <v>2</v>
      </c>
      <c r="H1510" s="263" t="s">
        <v>436</v>
      </c>
      <c r="I1510" s="264"/>
      <c r="J1510" s="263" t="s">
        <v>437</v>
      </c>
    </row>
    <row r="1511" spans="1:10" x14ac:dyDescent="0.15">
      <c r="A1511" s="263" t="s">
        <v>4001</v>
      </c>
      <c r="B1511" s="263" t="s">
        <v>4002</v>
      </c>
      <c r="C1511" s="263" t="s">
        <v>96</v>
      </c>
      <c r="D1511" s="263" t="s">
        <v>4003</v>
      </c>
      <c r="E1511" s="263" t="s">
        <v>97</v>
      </c>
      <c r="F1511">
        <v>0</v>
      </c>
      <c r="G1511">
        <v>2</v>
      </c>
      <c r="H1511" s="263" t="s">
        <v>436</v>
      </c>
      <c r="I1511" s="264"/>
      <c r="J1511" s="263" t="s">
        <v>437</v>
      </c>
    </row>
    <row r="1512" spans="1:10" x14ac:dyDescent="0.15">
      <c r="A1512" s="263" t="s">
        <v>4004</v>
      </c>
      <c r="B1512" s="263" t="s">
        <v>4005</v>
      </c>
      <c r="C1512" s="263" t="s">
        <v>96</v>
      </c>
      <c r="D1512" s="263" t="s">
        <v>4006</v>
      </c>
      <c r="E1512" s="263" t="s">
        <v>97</v>
      </c>
      <c r="F1512">
        <v>0</v>
      </c>
      <c r="G1512">
        <v>2</v>
      </c>
      <c r="H1512" s="263" t="s">
        <v>436</v>
      </c>
      <c r="I1512" s="264"/>
      <c r="J1512" s="263" t="s">
        <v>437</v>
      </c>
    </row>
    <row r="1513" spans="1:10" x14ac:dyDescent="0.15">
      <c r="A1513" s="263" t="s">
        <v>4007</v>
      </c>
      <c r="B1513" s="263" t="s">
        <v>4008</v>
      </c>
      <c r="C1513" s="263" t="s">
        <v>96</v>
      </c>
      <c r="D1513" s="263" t="s">
        <v>4009</v>
      </c>
      <c r="E1513" s="263" t="s">
        <v>97</v>
      </c>
      <c r="F1513">
        <v>0</v>
      </c>
      <c r="G1513">
        <v>2</v>
      </c>
      <c r="H1513" s="263" t="s">
        <v>436</v>
      </c>
      <c r="I1513" s="264"/>
      <c r="J1513" s="263" t="s">
        <v>437</v>
      </c>
    </row>
    <row r="1514" spans="1:10" x14ac:dyDescent="0.15">
      <c r="A1514" s="263" t="s">
        <v>4010</v>
      </c>
      <c r="B1514" s="263" t="s">
        <v>4011</v>
      </c>
      <c r="C1514" s="263" t="s">
        <v>96</v>
      </c>
      <c r="D1514" s="263" t="s">
        <v>4012</v>
      </c>
      <c r="E1514" s="263" t="s">
        <v>97</v>
      </c>
      <c r="F1514">
        <v>0</v>
      </c>
      <c r="G1514">
        <v>2</v>
      </c>
      <c r="H1514" s="263" t="s">
        <v>436</v>
      </c>
      <c r="I1514" s="264"/>
      <c r="J1514" s="263" t="s">
        <v>437</v>
      </c>
    </row>
    <row r="1515" spans="1:10" x14ac:dyDescent="0.15">
      <c r="A1515" s="263" t="s">
        <v>4013</v>
      </c>
      <c r="B1515" s="263" t="s">
        <v>4014</v>
      </c>
      <c r="C1515" s="263" t="s">
        <v>96</v>
      </c>
      <c r="D1515" s="263" t="s">
        <v>4015</v>
      </c>
      <c r="E1515" s="263" t="s">
        <v>97</v>
      </c>
      <c r="F1515">
        <v>0</v>
      </c>
      <c r="G1515">
        <v>2</v>
      </c>
      <c r="H1515" s="263" t="s">
        <v>436</v>
      </c>
      <c r="I1515" s="264"/>
      <c r="J1515" s="263" t="s">
        <v>437</v>
      </c>
    </row>
    <row r="1516" spans="1:10" x14ac:dyDescent="0.15">
      <c r="A1516" s="263" t="s">
        <v>4016</v>
      </c>
      <c r="B1516" s="263" t="s">
        <v>4017</v>
      </c>
      <c r="C1516" s="263" t="s">
        <v>96</v>
      </c>
      <c r="D1516" s="263" t="s">
        <v>4018</v>
      </c>
      <c r="E1516" s="263" t="s">
        <v>97</v>
      </c>
      <c r="F1516">
        <v>0</v>
      </c>
      <c r="G1516">
        <v>2</v>
      </c>
      <c r="H1516" s="263" t="s">
        <v>436</v>
      </c>
      <c r="I1516" s="264"/>
      <c r="J1516" s="263" t="s">
        <v>437</v>
      </c>
    </row>
    <row r="1517" spans="1:10" x14ac:dyDescent="0.15">
      <c r="A1517" s="263" t="s">
        <v>4019</v>
      </c>
      <c r="B1517" s="263" t="s">
        <v>4020</v>
      </c>
      <c r="C1517" s="263" t="s">
        <v>96</v>
      </c>
      <c r="D1517" s="263" t="s">
        <v>4021</v>
      </c>
      <c r="E1517" s="263" t="s">
        <v>97</v>
      </c>
      <c r="F1517">
        <v>0</v>
      </c>
      <c r="G1517">
        <v>2</v>
      </c>
      <c r="H1517" s="263" t="s">
        <v>436</v>
      </c>
      <c r="I1517" s="264"/>
      <c r="J1517" s="263" t="s">
        <v>437</v>
      </c>
    </row>
    <row r="1518" spans="1:10" x14ac:dyDescent="0.15">
      <c r="A1518" s="263" t="s">
        <v>4022</v>
      </c>
      <c r="B1518" s="263" t="s">
        <v>4023</v>
      </c>
      <c r="C1518" s="263" t="s">
        <v>96</v>
      </c>
      <c r="D1518" s="263" t="s">
        <v>4024</v>
      </c>
      <c r="E1518" s="263" t="s">
        <v>97</v>
      </c>
      <c r="F1518">
        <v>0</v>
      </c>
      <c r="G1518">
        <v>2</v>
      </c>
      <c r="H1518" s="263" t="s">
        <v>436</v>
      </c>
      <c r="I1518" s="264"/>
      <c r="J1518" s="263" t="s">
        <v>437</v>
      </c>
    </row>
    <row r="1519" spans="1:10" x14ac:dyDescent="0.15">
      <c r="A1519" s="263" t="s">
        <v>4025</v>
      </c>
      <c r="B1519" s="263" t="s">
        <v>4026</v>
      </c>
      <c r="C1519" s="263" t="s">
        <v>96</v>
      </c>
      <c r="D1519" s="263" t="s">
        <v>4027</v>
      </c>
      <c r="E1519" s="263" t="s">
        <v>97</v>
      </c>
      <c r="F1519">
        <v>0</v>
      </c>
      <c r="G1519">
        <v>2</v>
      </c>
      <c r="H1519" s="263" t="s">
        <v>436</v>
      </c>
      <c r="I1519" s="264"/>
      <c r="J1519" s="263" t="s">
        <v>437</v>
      </c>
    </row>
    <row r="1520" spans="1:10" x14ac:dyDescent="0.15">
      <c r="A1520" s="263" t="s">
        <v>4028</v>
      </c>
      <c r="B1520" s="263" t="s">
        <v>4029</v>
      </c>
      <c r="C1520" s="263" t="s">
        <v>96</v>
      </c>
      <c r="D1520" s="263" t="s">
        <v>4030</v>
      </c>
      <c r="E1520" s="263" t="s">
        <v>97</v>
      </c>
      <c r="F1520">
        <v>0</v>
      </c>
      <c r="G1520">
        <v>2</v>
      </c>
      <c r="H1520" s="263" t="s">
        <v>436</v>
      </c>
      <c r="I1520" s="264"/>
      <c r="J1520" s="263" t="s">
        <v>437</v>
      </c>
    </row>
    <row r="1521" spans="1:10" x14ac:dyDescent="0.15">
      <c r="A1521" s="263" t="s">
        <v>4031</v>
      </c>
      <c r="B1521" s="263" t="s">
        <v>4032</v>
      </c>
      <c r="C1521" s="263" t="s">
        <v>96</v>
      </c>
      <c r="D1521" s="263" t="s">
        <v>4033</v>
      </c>
      <c r="E1521" s="263" t="s">
        <v>97</v>
      </c>
      <c r="F1521">
        <v>0</v>
      </c>
      <c r="G1521">
        <v>2</v>
      </c>
      <c r="H1521" s="263" t="s">
        <v>436</v>
      </c>
      <c r="I1521" s="264"/>
      <c r="J1521" s="263" t="s">
        <v>437</v>
      </c>
    </row>
    <row r="1522" spans="1:10" x14ac:dyDescent="0.15">
      <c r="A1522" s="263" t="s">
        <v>4034</v>
      </c>
      <c r="B1522" s="263" t="s">
        <v>4035</v>
      </c>
      <c r="C1522" s="263" t="s">
        <v>96</v>
      </c>
      <c r="D1522" s="263" t="s">
        <v>4036</v>
      </c>
      <c r="E1522" s="263" t="s">
        <v>97</v>
      </c>
      <c r="F1522">
        <v>0</v>
      </c>
      <c r="G1522">
        <v>2</v>
      </c>
      <c r="H1522" s="263" t="s">
        <v>436</v>
      </c>
      <c r="I1522" s="264"/>
      <c r="J1522" s="263" t="s">
        <v>437</v>
      </c>
    </row>
    <row r="1523" spans="1:10" x14ac:dyDescent="0.15">
      <c r="A1523" s="263" t="s">
        <v>4037</v>
      </c>
      <c r="B1523" s="263" t="s">
        <v>4038</v>
      </c>
      <c r="C1523" s="263" t="s">
        <v>96</v>
      </c>
      <c r="D1523" s="263" t="s">
        <v>4039</v>
      </c>
      <c r="E1523" s="263" t="s">
        <v>97</v>
      </c>
      <c r="F1523">
        <v>0</v>
      </c>
      <c r="G1523">
        <v>2</v>
      </c>
      <c r="H1523" s="263" t="s">
        <v>436</v>
      </c>
      <c r="I1523" s="264"/>
      <c r="J1523" s="263" t="s">
        <v>437</v>
      </c>
    </row>
    <row r="1524" spans="1:10" x14ac:dyDescent="0.15">
      <c r="A1524" s="263" t="s">
        <v>4040</v>
      </c>
      <c r="B1524" s="263" t="s">
        <v>4041</v>
      </c>
      <c r="C1524" s="263" t="s">
        <v>96</v>
      </c>
      <c r="D1524" s="263" t="s">
        <v>4042</v>
      </c>
      <c r="E1524" s="263" t="s">
        <v>97</v>
      </c>
      <c r="F1524">
        <v>0</v>
      </c>
      <c r="G1524">
        <v>2</v>
      </c>
      <c r="H1524" s="263" t="s">
        <v>436</v>
      </c>
      <c r="I1524" s="264"/>
      <c r="J1524" s="263" t="s">
        <v>437</v>
      </c>
    </row>
    <row r="1525" spans="1:10" x14ac:dyDescent="0.15">
      <c r="A1525" s="263" t="s">
        <v>4043</v>
      </c>
      <c r="B1525" s="263" t="s">
        <v>4044</v>
      </c>
      <c r="C1525" s="263" t="s">
        <v>96</v>
      </c>
      <c r="D1525" s="263" t="s">
        <v>4045</v>
      </c>
      <c r="E1525" s="263" t="s">
        <v>97</v>
      </c>
      <c r="F1525">
        <v>0</v>
      </c>
      <c r="G1525">
        <v>2</v>
      </c>
      <c r="H1525" s="263" t="s">
        <v>436</v>
      </c>
      <c r="I1525" s="264"/>
      <c r="J1525" s="263" t="s">
        <v>437</v>
      </c>
    </row>
    <row r="1526" spans="1:10" x14ac:dyDescent="0.15">
      <c r="A1526" s="263" t="s">
        <v>4046</v>
      </c>
      <c r="B1526" s="263" t="s">
        <v>4047</v>
      </c>
      <c r="C1526" s="263" t="s">
        <v>96</v>
      </c>
      <c r="D1526" s="263" t="s">
        <v>4048</v>
      </c>
      <c r="E1526" s="263" t="s">
        <v>97</v>
      </c>
      <c r="F1526">
        <v>0</v>
      </c>
      <c r="G1526">
        <v>2</v>
      </c>
      <c r="H1526" s="263" t="s">
        <v>436</v>
      </c>
      <c r="I1526" s="264"/>
      <c r="J1526" s="263" t="s">
        <v>437</v>
      </c>
    </row>
    <row r="1527" spans="1:10" x14ac:dyDescent="0.15">
      <c r="A1527" s="263" t="s">
        <v>4049</v>
      </c>
      <c r="B1527" s="263" t="s">
        <v>4050</v>
      </c>
      <c r="C1527" s="263" t="s">
        <v>96</v>
      </c>
      <c r="D1527" s="263" t="s">
        <v>4051</v>
      </c>
      <c r="E1527" s="263" t="s">
        <v>97</v>
      </c>
      <c r="F1527">
        <v>0</v>
      </c>
      <c r="G1527">
        <v>2</v>
      </c>
      <c r="H1527" s="263" t="s">
        <v>436</v>
      </c>
      <c r="I1527" s="264"/>
      <c r="J1527" s="263" t="s">
        <v>437</v>
      </c>
    </row>
    <row r="1528" spans="1:10" x14ac:dyDescent="0.15">
      <c r="A1528" s="263" t="s">
        <v>4052</v>
      </c>
      <c r="B1528" s="263" t="s">
        <v>4053</v>
      </c>
      <c r="C1528" s="263" t="s">
        <v>96</v>
      </c>
      <c r="D1528" s="263" t="s">
        <v>4054</v>
      </c>
      <c r="E1528" s="263" t="s">
        <v>97</v>
      </c>
      <c r="F1528">
        <v>0</v>
      </c>
      <c r="G1528">
        <v>2</v>
      </c>
      <c r="H1528" s="263" t="s">
        <v>436</v>
      </c>
      <c r="I1528" s="264"/>
      <c r="J1528" s="263" t="s">
        <v>437</v>
      </c>
    </row>
    <row r="1529" spans="1:10" x14ac:dyDescent="0.15">
      <c r="A1529" s="263" t="s">
        <v>4055</v>
      </c>
      <c r="B1529" s="263" t="s">
        <v>4056</v>
      </c>
      <c r="C1529" s="263" t="s">
        <v>96</v>
      </c>
      <c r="D1529" s="263" t="s">
        <v>4057</v>
      </c>
      <c r="E1529" s="263" t="s">
        <v>97</v>
      </c>
      <c r="F1529">
        <v>0</v>
      </c>
      <c r="G1529">
        <v>2</v>
      </c>
      <c r="H1529" s="263" t="s">
        <v>436</v>
      </c>
      <c r="I1529" s="264"/>
      <c r="J1529" s="263" t="s">
        <v>437</v>
      </c>
    </row>
    <row r="1530" spans="1:10" x14ac:dyDescent="0.15">
      <c r="A1530" s="263" t="s">
        <v>4058</v>
      </c>
      <c r="B1530" s="263" t="s">
        <v>4059</v>
      </c>
      <c r="C1530" s="263" t="s">
        <v>96</v>
      </c>
      <c r="D1530" s="263" t="s">
        <v>4060</v>
      </c>
      <c r="E1530" s="263" t="s">
        <v>97</v>
      </c>
      <c r="F1530">
        <v>0</v>
      </c>
      <c r="G1530">
        <v>2</v>
      </c>
      <c r="H1530" s="263" t="s">
        <v>436</v>
      </c>
      <c r="I1530" s="264"/>
      <c r="J1530" s="263" t="s">
        <v>437</v>
      </c>
    </row>
    <row r="1531" spans="1:10" x14ac:dyDescent="0.15">
      <c r="A1531" s="263" t="s">
        <v>9075</v>
      </c>
      <c r="B1531" s="263" t="s">
        <v>9076</v>
      </c>
      <c r="C1531" s="263" t="s">
        <v>96</v>
      </c>
      <c r="D1531" s="263" t="s">
        <v>9077</v>
      </c>
      <c r="E1531" s="263" t="s">
        <v>97</v>
      </c>
      <c r="F1531">
        <v>0</v>
      </c>
      <c r="G1531">
        <v>2</v>
      </c>
      <c r="H1531" s="263" t="s">
        <v>436</v>
      </c>
      <c r="I1531" s="264"/>
      <c r="J1531" s="263" t="s">
        <v>437</v>
      </c>
    </row>
    <row r="1532" spans="1:10" x14ac:dyDescent="0.15">
      <c r="A1532" s="263" t="s">
        <v>4061</v>
      </c>
      <c r="B1532" s="263" t="s">
        <v>9078</v>
      </c>
      <c r="C1532" s="263" t="s">
        <v>96</v>
      </c>
      <c r="D1532" s="263" t="s">
        <v>4062</v>
      </c>
      <c r="E1532" s="263" t="s">
        <v>97</v>
      </c>
      <c r="F1532">
        <v>0</v>
      </c>
      <c r="G1532">
        <v>2</v>
      </c>
      <c r="H1532" s="263" t="s">
        <v>436</v>
      </c>
      <c r="I1532" s="264"/>
      <c r="J1532" s="263" t="s">
        <v>437</v>
      </c>
    </row>
    <row r="1533" spans="1:10" x14ac:dyDescent="0.15">
      <c r="A1533" s="263" t="s">
        <v>9079</v>
      </c>
      <c r="B1533" s="263" t="s">
        <v>9080</v>
      </c>
      <c r="C1533" s="263" t="s">
        <v>96</v>
      </c>
      <c r="D1533" s="263" t="s">
        <v>9081</v>
      </c>
      <c r="E1533" s="263" t="s">
        <v>97</v>
      </c>
      <c r="F1533">
        <v>0</v>
      </c>
      <c r="G1533">
        <v>2</v>
      </c>
      <c r="H1533" s="263" t="s">
        <v>436</v>
      </c>
      <c r="I1533" s="264"/>
      <c r="J1533" s="263" t="s">
        <v>437</v>
      </c>
    </row>
    <row r="1534" spans="1:10" x14ac:dyDescent="0.15">
      <c r="A1534" s="263" t="s">
        <v>4063</v>
      </c>
      <c r="B1534" s="263" t="s">
        <v>4064</v>
      </c>
      <c r="C1534" s="263" t="s">
        <v>96</v>
      </c>
      <c r="D1534" s="263" t="s">
        <v>4065</v>
      </c>
      <c r="E1534" s="263" t="s">
        <v>97</v>
      </c>
      <c r="F1534">
        <v>0</v>
      </c>
      <c r="G1534">
        <v>2</v>
      </c>
      <c r="H1534" s="263" t="s">
        <v>436</v>
      </c>
      <c r="I1534" s="264"/>
      <c r="J1534" s="263" t="s">
        <v>437</v>
      </c>
    </row>
    <row r="1535" spans="1:10" x14ac:dyDescent="0.15">
      <c r="A1535" s="263" t="s">
        <v>4066</v>
      </c>
      <c r="B1535" s="263" t="s">
        <v>4067</v>
      </c>
      <c r="C1535" s="263" t="s">
        <v>96</v>
      </c>
      <c r="D1535" s="263" t="s">
        <v>4068</v>
      </c>
      <c r="E1535" s="263" t="s">
        <v>97</v>
      </c>
      <c r="F1535">
        <v>0</v>
      </c>
      <c r="G1535">
        <v>2</v>
      </c>
      <c r="H1535" s="263" t="s">
        <v>436</v>
      </c>
      <c r="I1535" s="264"/>
      <c r="J1535" s="263" t="s">
        <v>437</v>
      </c>
    </row>
    <row r="1536" spans="1:10" x14ac:dyDescent="0.15">
      <c r="A1536" s="263" t="s">
        <v>4069</v>
      </c>
      <c r="B1536" s="263" t="s">
        <v>4070</v>
      </c>
      <c r="C1536" s="263" t="s">
        <v>96</v>
      </c>
      <c r="D1536" s="263" t="s">
        <v>4071</v>
      </c>
      <c r="E1536" s="263" t="s">
        <v>97</v>
      </c>
      <c r="F1536">
        <v>0</v>
      </c>
      <c r="G1536">
        <v>2</v>
      </c>
      <c r="H1536" s="263" t="s">
        <v>436</v>
      </c>
      <c r="I1536" s="264"/>
      <c r="J1536" s="263" t="s">
        <v>437</v>
      </c>
    </row>
    <row r="1537" spans="1:10" x14ac:dyDescent="0.15">
      <c r="A1537" s="263" t="s">
        <v>4072</v>
      </c>
      <c r="B1537" s="263" t="s">
        <v>4073</v>
      </c>
      <c r="C1537" s="263" t="s">
        <v>96</v>
      </c>
      <c r="D1537" s="263" t="s">
        <v>4074</v>
      </c>
      <c r="E1537" s="263" t="s">
        <v>97</v>
      </c>
      <c r="F1537">
        <v>0</v>
      </c>
      <c r="G1537">
        <v>2</v>
      </c>
      <c r="H1537" s="263" t="s">
        <v>436</v>
      </c>
      <c r="I1537" s="264"/>
      <c r="J1537" s="263" t="s">
        <v>437</v>
      </c>
    </row>
    <row r="1538" spans="1:10" x14ac:dyDescent="0.15">
      <c r="A1538" s="263" t="s">
        <v>4075</v>
      </c>
      <c r="B1538" s="263" t="s">
        <v>4076</v>
      </c>
      <c r="C1538" s="263" t="s">
        <v>96</v>
      </c>
      <c r="D1538" s="263" t="s">
        <v>4077</v>
      </c>
      <c r="E1538" s="263" t="s">
        <v>97</v>
      </c>
      <c r="F1538">
        <v>0</v>
      </c>
      <c r="G1538">
        <v>2</v>
      </c>
      <c r="H1538" s="263" t="s">
        <v>436</v>
      </c>
      <c r="I1538" s="264"/>
      <c r="J1538" s="263" t="s">
        <v>437</v>
      </c>
    </row>
    <row r="1539" spans="1:10" x14ac:dyDescent="0.15">
      <c r="A1539" s="263" t="s">
        <v>4078</v>
      </c>
      <c r="B1539" s="263" t="s">
        <v>4079</v>
      </c>
      <c r="C1539" s="263" t="s">
        <v>96</v>
      </c>
      <c r="D1539" s="263" t="s">
        <v>4080</v>
      </c>
      <c r="E1539" s="263" t="s">
        <v>97</v>
      </c>
      <c r="F1539">
        <v>0</v>
      </c>
      <c r="G1539">
        <v>2</v>
      </c>
      <c r="H1539" s="263" t="s">
        <v>436</v>
      </c>
      <c r="I1539" s="264"/>
      <c r="J1539" s="263" t="s">
        <v>437</v>
      </c>
    </row>
    <row r="1540" spans="1:10" x14ac:dyDescent="0.15">
      <c r="A1540" s="263" t="s">
        <v>4081</v>
      </c>
      <c r="B1540" s="263" t="s">
        <v>4082</v>
      </c>
      <c r="C1540" s="263" t="s">
        <v>96</v>
      </c>
      <c r="D1540" s="263" t="s">
        <v>4083</v>
      </c>
      <c r="E1540" s="263" t="s">
        <v>97</v>
      </c>
      <c r="F1540">
        <v>0</v>
      </c>
      <c r="G1540">
        <v>2</v>
      </c>
      <c r="H1540" s="263" t="s">
        <v>436</v>
      </c>
      <c r="I1540" s="264"/>
      <c r="J1540" s="263" t="s">
        <v>437</v>
      </c>
    </row>
    <row r="1541" spans="1:10" x14ac:dyDescent="0.15">
      <c r="A1541" s="263" t="s">
        <v>4084</v>
      </c>
      <c r="B1541" s="263" t="s">
        <v>4085</v>
      </c>
      <c r="C1541" s="263" t="s">
        <v>96</v>
      </c>
      <c r="D1541" s="263" t="s">
        <v>4086</v>
      </c>
      <c r="E1541" s="263" t="s">
        <v>97</v>
      </c>
      <c r="F1541">
        <v>0</v>
      </c>
      <c r="G1541">
        <v>2</v>
      </c>
      <c r="H1541" s="263" t="s">
        <v>436</v>
      </c>
      <c r="I1541" s="264"/>
      <c r="J1541" s="263" t="s">
        <v>437</v>
      </c>
    </row>
    <row r="1542" spans="1:10" x14ac:dyDescent="0.15">
      <c r="A1542" s="263" t="s">
        <v>4087</v>
      </c>
      <c r="B1542" s="263" t="s">
        <v>4088</v>
      </c>
      <c r="C1542" s="263" t="s">
        <v>96</v>
      </c>
      <c r="D1542" s="263" t="s">
        <v>4089</v>
      </c>
      <c r="E1542" s="263" t="s">
        <v>97</v>
      </c>
      <c r="F1542">
        <v>0</v>
      </c>
      <c r="G1542">
        <v>2</v>
      </c>
      <c r="H1542" s="263" t="s">
        <v>436</v>
      </c>
      <c r="I1542" s="264"/>
      <c r="J1542" s="263" t="s">
        <v>437</v>
      </c>
    </row>
    <row r="1543" spans="1:10" x14ac:dyDescent="0.15">
      <c r="A1543" s="263" t="s">
        <v>4090</v>
      </c>
      <c r="B1543" s="263" t="s">
        <v>4091</v>
      </c>
      <c r="C1543" s="263" t="s">
        <v>96</v>
      </c>
      <c r="D1543" s="263" t="s">
        <v>4092</v>
      </c>
      <c r="E1543" s="263" t="s">
        <v>97</v>
      </c>
      <c r="F1543">
        <v>0</v>
      </c>
      <c r="G1543">
        <v>2</v>
      </c>
      <c r="H1543" s="263" t="s">
        <v>436</v>
      </c>
      <c r="I1543" s="264"/>
      <c r="J1543" s="263" t="s">
        <v>437</v>
      </c>
    </row>
    <row r="1544" spans="1:10" x14ac:dyDescent="0.15">
      <c r="A1544" s="263" t="s">
        <v>4093</v>
      </c>
      <c r="B1544" s="263" t="s">
        <v>4094</v>
      </c>
      <c r="C1544" s="263" t="s">
        <v>96</v>
      </c>
      <c r="D1544" s="263" t="s">
        <v>4095</v>
      </c>
      <c r="E1544" s="263" t="s">
        <v>97</v>
      </c>
      <c r="F1544">
        <v>0</v>
      </c>
      <c r="G1544">
        <v>2</v>
      </c>
      <c r="H1544" s="263" t="s">
        <v>436</v>
      </c>
      <c r="I1544" s="264"/>
      <c r="J1544" s="263" t="s">
        <v>437</v>
      </c>
    </row>
    <row r="1545" spans="1:10" x14ac:dyDescent="0.15">
      <c r="A1545" s="263" t="s">
        <v>4096</v>
      </c>
      <c r="B1545" s="263" t="s">
        <v>4097</v>
      </c>
      <c r="C1545" s="263" t="s">
        <v>96</v>
      </c>
      <c r="D1545" s="263" t="s">
        <v>4098</v>
      </c>
      <c r="E1545" s="263" t="s">
        <v>97</v>
      </c>
      <c r="F1545">
        <v>0</v>
      </c>
      <c r="G1545">
        <v>2</v>
      </c>
      <c r="H1545" s="263" t="s">
        <v>436</v>
      </c>
      <c r="I1545" s="264"/>
      <c r="J1545" s="263" t="s">
        <v>437</v>
      </c>
    </row>
    <row r="1546" spans="1:10" x14ac:dyDescent="0.15">
      <c r="A1546" s="263" t="s">
        <v>4099</v>
      </c>
      <c r="B1546" s="263" t="s">
        <v>4100</v>
      </c>
      <c r="C1546" s="263" t="s">
        <v>96</v>
      </c>
      <c r="D1546" s="263" t="s">
        <v>4101</v>
      </c>
      <c r="E1546" s="263" t="s">
        <v>97</v>
      </c>
      <c r="F1546">
        <v>0</v>
      </c>
      <c r="G1546">
        <v>2</v>
      </c>
      <c r="H1546" s="263" t="s">
        <v>436</v>
      </c>
      <c r="I1546" s="264"/>
      <c r="J1546" s="263" t="s">
        <v>437</v>
      </c>
    </row>
    <row r="1547" spans="1:10" x14ac:dyDescent="0.15">
      <c r="A1547" s="263" t="s">
        <v>4102</v>
      </c>
      <c r="B1547" s="263" t="s">
        <v>4103</v>
      </c>
      <c r="C1547" s="263" t="s">
        <v>96</v>
      </c>
      <c r="D1547" s="263" t="s">
        <v>4104</v>
      </c>
      <c r="E1547" s="263" t="s">
        <v>97</v>
      </c>
      <c r="F1547">
        <v>0</v>
      </c>
      <c r="G1547">
        <v>2</v>
      </c>
      <c r="H1547" s="263" t="s">
        <v>436</v>
      </c>
      <c r="I1547" s="264"/>
      <c r="J1547" s="263" t="s">
        <v>437</v>
      </c>
    </row>
    <row r="1548" spans="1:10" x14ac:dyDescent="0.15">
      <c r="A1548" s="263" t="s">
        <v>4105</v>
      </c>
      <c r="B1548" s="263" t="s">
        <v>4106</v>
      </c>
      <c r="C1548" s="263" t="s">
        <v>96</v>
      </c>
      <c r="D1548" s="263" t="s">
        <v>4107</v>
      </c>
      <c r="E1548" s="263" t="s">
        <v>97</v>
      </c>
      <c r="F1548">
        <v>0</v>
      </c>
      <c r="G1548">
        <v>2</v>
      </c>
      <c r="H1548" s="263" t="s">
        <v>436</v>
      </c>
      <c r="I1548" s="264"/>
      <c r="J1548" s="263" t="s">
        <v>437</v>
      </c>
    </row>
    <row r="1549" spans="1:10" x14ac:dyDescent="0.15">
      <c r="A1549" s="263" t="s">
        <v>4108</v>
      </c>
      <c r="B1549" s="263" t="s">
        <v>4109</v>
      </c>
      <c r="C1549" s="263" t="s">
        <v>96</v>
      </c>
      <c r="D1549" s="263" t="s">
        <v>4110</v>
      </c>
      <c r="E1549" s="263" t="s">
        <v>97</v>
      </c>
      <c r="F1549">
        <v>0</v>
      </c>
      <c r="G1549">
        <v>2</v>
      </c>
      <c r="H1549" s="263" t="s">
        <v>436</v>
      </c>
      <c r="I1549" s="264"/>
      <c r="J1549" s="263" t="s">
        <v>437</v>
      </c>
    </row>
    <row r="1550" spans="1:10" x14ac:dyDescent="0.15">
      <c r="A1550" s="263" t="s">
        <v>4111</v>
      </c>
      <c r="B1550" s="263" t="s">
        <v>4112</v>
      </c>
      <c r="C1550" s="263" t="s">
        <v>96</v>
      </c>
      <c r="D1550" s="263" t="s">
        <v>4113</v>
      </c>
      <c r="E1550" s="263" t="s">
        <v>97</v>
      </c>
      <c r="F1550">
        <v>0</v>
      </c>
      <c r="G1550">
        <v>2</v>
      </c>
      <c r="H1550" s="263" t="s">
        <v>436</v>
      </c>
      <c r="I1550" s="264"/>
      <c r="J1550" s="263" t="s">
        <v>437</v>
      </c>
    </row>
    <row r="1551" spans="1:10" x14ac:dyDescent="0.15">
      <c r="A1551" s="263" t="s">
        <v>4114</v>
      </c>
      <c r="B1551" s="263" t="s">
        <v>4115</v>
      </c>
      <c r="C1551" s="263" t="s">
        <v>96</v>
      </c>
      <c r="D1551" s="263" t="s">
        <v>4116</v>
      </c>
      <c r="E1551" s="263" t="s">
        <v>97</v>
      </c>
      <c r="F1551">
        <v>0</v>
      </c>
      <c r="G1551">
        <v>2</v>
      </c>
      <c r="H1551" s="263" t="s">
        <v>436</v>
      </c>
      <c r="I1551" s="264"/>
      <c r="J1551" s="263" t="s">
        <v>437</v>
      </c>
    </row>
    <row r="1552" spans="1:10" x14ac:dyDescent="0.15">
      <c r="A1552" s="263" t="s">
        <v>4117</v>
      </c>
      <c r="B1552" s="263" t="s">
        <v>4118</v>
      </c>
      <c r="C1552" s="263" t="s">
        <v>96</v>
      </c>
      <c r="D1552" s="263" t="s">
        <v>4119</v>
      </c>
      <c r="E1552" s="263" t="s">
        <v>97</v>
      </c>
      <c r="F1552">
        <v>0</v>
      </c>
      <c r="G1552">
        <v>2</v>
      </c>
      <c r="H1552" s="263" t="s">
        <v>436</v>
      </c>
      <c r="I1552" s="264"/>
      <c r="J1552" s="263" t="s">
        <v>437</v>
      </c>
    </row>
    <row r="1553" spans="1:10" x14ac:dyDescent="0.15">
      <c r="A1553" s="263" t="s">
        <v>4120</v>
      </c>
      <c r="B1553" s="263" t="s">
        <v>4121</v>
      </c>
      <c r="C1553" s="263" t="s">
        <v>96</v>
      </c>
      <c r="D1553" s="263" t="s">
        <v>4122</v>
      </c>
      <c r="E1553" s="263" t="s">
        <v>97</v>
      </c>
      <c r="F1553">
        <v>0</v>
      </c>
      <c r="G1553">
        <v>2</v>
      </c>
      <c r="H1553" s="263" t="s">
        <v>436</v>
      </c>
      <c r="I1553" s="264"/>
      <c r="J1553" s="263" t="s">
        <v>437</v>
      </c>
    </row>
    <row r="1554" spans="1:10" x14ac:dyDescent="0.15">
      <c r="A1554" s="263" t="s">
        <v>4123</v>
      </c>
      <c r="B1554" s="263" t="s">
        <v>4124</v>
      </c>
      <c r="C1554" s="263" t="s">
        <v>96</v>
      </c>
      <c r="D1554" s="263" t="s">
        <v>4125</v>
      </c>
      <c r="E1554" s="263" t="s">
        <v>97</v>
      </c>
      <c r="F1554">
        <v>0</v>
      </c>
      <c r="G1554">
        <v>2</v>
      </c>
      <c r="H1554" s="263" t="s">
        <v>436</v>
      </c>
      <c r="I1554" s="264"/>
      <c r="J1554" s="263" t="s">
        <v>437</v>
      </c>
    </row>
    <row r="1555" spans="1:10" x14ac:dyDescent="0.15">
      <c r="A1555" s="263" t="s">
        <v>4126</v>
      </c>
      <c r="B1555" s="263" t="s">
        <v>4127</v>
      </c>
      <c r="C1555" s="263" t="s">
        <v>96</v>
      </c>
      <c r="D1555" s="263" t="s">
        <v>4128</v>
      </c>
      <c r="E1555" s="263" t="s">
        <v>97</v>
      </c>
      <c r="F1555">
        <v>0</v>
      </c>
      <c r="G1555">
        <v>2</v>
      </c>
      <c r="H1555" s="263" t="s">
        <v>436</v>
      </c>
      <c r="I1555" s="264"/>
      <c r="J1555" s="263" t="s">
        <v>437</v>
      </c>
    </row>
    <row r="1556" spans="1:10" x14ac:dyDescent="0.15">
      <c r="A1556" s="263" t="s">
        <v>4129</v>
      </c>
      <c r="B1556" s="263" t="s">
        <v>4130</v>
      </c>
      <c r="C1556" s="263" t="s">
        <v>96</v>
      </c>
      <c r="D1556" s="263" t="s">
        <v>4131</v>
      </c>
      <c r="E1556" s="263" t="s">
        <v>97</v>
      </c>
      <c r="F1556">
        <v>0</v>
      </c>
      <c r="G1556">
        <v>2</v>
      </c>
      <c r="H1556" s="263" t="s">
        <v>436</v>
      </c>
      <c r="I1556" s="264"/>
      <c r="J1556" s="263" t="s">
        <v>437</v>
      </c>
    </row>
    <row r="1557" spans="1:10" x14ac:dyDescent="0.15">
      <c r="A1557" s="263" t="s">
        <v>4132</v>
      </c>
      <c r="B1557" s="263" t="s">
        <v>4133</v>
      </c>
      <c r="C1557" s="263" t="s">
        <v>96</v>
      </c>
      <c r="D1557" s="263" t="s">
        <v>4134</v>
      </c>
      <c r="E1557" s="263" t="s">
        <v>97</v>
      </c>
      <c r="F1557">
        <v>0</v>
      </c>
      <c r="G1557">
        <v>2</v>
      </c>
      <c r="H1557" s="263" t="s">
        <v>436</v>
      </c>
      <c r="I1557" s="264"/>
      <c r="J1557" s="263" t="s">
        <v>437</v>
      </c>
    </row>
    <row r="1558" spans="1:10" x14ac:dyDescent="0.15">
      <c r="A1558" s="263" t="s">
        <v>4135</v>
      </c>
      <c r="B1558" s="263" t="s">
        <v>4136</v>
      </c>
      <c r="C1558" s="263" t="s">
        <v>96</v>
      </c>
      <c r="D1558" s="263" t="s">
        <v>4137</v>
      </c>
      <c r="E1558" s="263" t="s">
        <v>97</v>
      </c>
      <c r="F1558">
        <v>0</v>
      </c>
      <c r="G1558">
        <v>2</v>
      </c>
      <c r="H1558" s="263" t="s">
        <v>436</v>
      </c>
      <c r="I1558" s="264"/>
      <c r="J1558" s="263" t="s">
        <v>437</v>
      </c>
    </row>
    <row r="1559" spans="1:10" x14ac:dyDescent="0.15">
      <c r="A1559" s="263" t="s">
        <v>4138</v>
      </c>
      <c r="B1559" s="263" t="s">
        <v>4139</v>
      </c>
      <c r="C1559" s="263" t="s">
        <v>96</v>
      </c>
      <c r="D1559" s="263" t="s">
        <v>4140</v>
      </c>
      <c r="E1559" s="263" t="s">
        <v>97</v>
      </c>
      <c r="F1559">
        <v>0</v>
      </c>
      <c r="G1559">
        <v>2</v>
      </c>
      <c r="H1559" s="263" t="s">
        <v>436</v>
      </c>
      <c r="I1559" s="264"/>
      <c r="J1559" s="263" t="s">
        <v>437</v>
      </c>
    </row>
    <row r="1560" spans="1:10" x14ac:dyDescent="0.15">
      <c r="A1560" s="263" t="s">
        <v>4141</v>
      </c>
      <c r="B1560" s="263" t="s">
        <v>4142</v>
      </c>
      <c r="C1560" s="263" t="s">
        <v>96</v>
      </c>
      <c r="D1560" s="263" t="s">
        <v>4143</v>
      </c>
      <c r="E1560" s="263" t="s">
        <v>97</v>
      </c>
      <c r="F1560">
        <v>0</v>
      </c>
      <c r="G1560">
        <v>2</v>
      </c>
      <c r="H1560" s="263" t="s">
        <v>436</v>
      </c>
      <c r="I1560" s="264"/>
      <c r="J1560" s="263" t="s">
        <v>437</v>
      </c>
    </row>
    <row r="1561" spans="1:10" x14ac:dyDescent="0.15">
      <c r="A1561" s="263" t="s">
        <v>4144</v>
      </c>
      <c r="B1561" s="263" t="s">
        <v>4145</v>
      </c>
      <c r="C1561" s="263" t="s">
        <v>96</v>
      </c>
      <c r="D1561" s="263" t="s">
        <v>4146</v>
      </c>
      <c r="E1561" s="263" t="s">
        <v>97</v>
      </c>
      <c r="F1561">
        <v>0</v>
      </c>
      <c r="G1561">
        <v>2</v>
      </c>
      <c r="H1561" s="263" t="s">
        <v>436</v>
      </c>
      <c r="I1561" s="264"/>
      <c r="J1561" s="263" t="s">
        <v>437</v>
      </c>
    </row>
    <row r="1562" spans="1:10" x14ac:dyDescent="0.15">
      <c r="A1562" s="263" t="s">
        <v>4147</v>
      </c>
      <c r="B1562" s="263" t="s">
        <v>4148</v>
      </c>
      <c r="C1562" s="263" t="s">
        <v>96</v>
      </c>
      <c r="D1562" s="263" t="s">
        <v>4149</v>
      </c>
      <c r="E1562" s="263" t="s">
        <v>97</v>
      </c>
      <c r="F1562">
        <v>0</v>
      </c>
      <c r="G1562">
        <v>2</v>
      </c>
      <c r="H1562" s="263" t="s">
        <v>436</v>
      </c>
      <c r="I1562" s="264"/>
      <c r="J1562" s="263" t="s">
        <v>437</v>
      </c>
    </row>
    <row r="1563" spans="1:10" x14ac:dyDescent="0.15">
      <c r="A1563" s="263" t="s">
        <v>4150</v>
      </c>
      <c r="B1563" s="263" t="s">
        <v>4151</v>
      </c>
      <c r="C1563" s="263" t="s">
        <v>96</v>
      </c>
      <c r="D1563" s="263" t="s">
        <v>4152</v>
      </c>
      <c r="E1563" s="263" t="s">
        <v>97</v>
      </c>
      <c r="F1563">
        <v>0</v>
      </c>
      <c r="G1563">
        <v>2</v>
      </c>
      <c r="H1563" s="263" t="s">
        <v>436</v>
      </c>
      <c r="I1563" s="264"/>
      <c r="J1563" s="263" t="s">
        <v>437</v>
      </c>
    </row>
    <row r="1564" spans="1:10" x14ac:dyDescent="0.15">
      <c r="A1564" s="263" t="s">
        <v>4153</v>
      </c>
      <c r="B1564" s="263" t="s">
        <v>4154</v>
      </c>
      <c r="C1564" s="263" t="s">
        <v>96</v>
      </c>
      <c r="D1564" s="263" t="s">
        <v>4155</v>
      </c>
      <c r="E1564" s="263" t="s">
        <v>97</v>
      </c>
      <c r="F1564">
        <v>0</v>
      </c>
      <c r="G1564">
        <v>2</v>
      </c>
      <c r="H1564" s="263" t="s">
        <v>436</v>
      </c>
      <c r="I1564" s="264"/>
      <c r="J1564" s="263" t="s">
        <v>437</v>
      </c>
    </row>
    <row r="1565" spans="1:10" x14ac:dyDescent="0.15">
      <c r="A1565" s="263" t="s">
        <v>4156</v>
      </c>
      <c r="B1565" s="263" t="s">
        <v>4157</v>
      </c>
      <c r="C1565" s="263" t="s">
        <v>96</v>
      </c>
      <c r="D1565" s="263" t="s">
        <v>4158</v>
      </c>
      <c r="E1565" s="263" t="s">
        <v>97</v>
      </c>
      <c r="F1565">
        <v>0</v>
      </c>
      <c r="G1565">
        <v>2</v>
      </c>
      <c r="H1565" s="263" t="s">
        <v>436</v>
      </c>
      <c r="I1565" s="264"/>
      <c r="J1565" s="263" t="s">
        <v>437</v>
      </c>
    </row>
    <row r="1566" spans="1:10" x14ac:dyDescent="0.15">
      <c r="A1566" s="263" t="s">
        <v>4159</v>
      </c>
      <c r="B1566" s="263" t="s">
        <v>4160</v>
      </c>
      <c r="C1566" s="263" t="s">
        <v>96</v>
      </c>
      <c r="D1566" s="263" t="s">
        <v>4161</v>
      </c>
      <c r="E1566" s="263" t="s">
        <v>97</v>
      </c>
      <c r="F1566">
        <v>0</v>
      </c>
      <c r="G1566">
        <v>2</v>
      </c>
      <c r="H1566" s="263" t="s">
        <v>436</v>
      </c>
      <c r="I1566" s="264"/>
      <c r="J1566" s="263" t="s">
        <v>437</v>
      </c>
    </row>
    <row r="1567" spans="1:10" x14ac:dyDescent="0.15">
      <c r="A1567" s="263" t="s">
        <v>4162</v>
      </c>
      <c r="B1567" s="263" t="s">
        <v>4163</v>
      </c>
      <c r="C1567" s="263" t="s">
        <v>96</v>
      </c>
      <c r="D1567" s="263" t="s">
        <v>4164</v>
      </c>
      <c r="E1567" s="263" t="s">
        <v>97</v>
      </c>
      <c r="F1567">
        <v>0</v>
      </c>
      <c r="G1567">
        <v>2</v>
      </c>
      <c r="H1567" s="263" t="s">
        <v>436</v>
      </c>
      <c r="I1567" s="264"/>
      <c r="J1567" s="263" t="s">
        <v>437</v>
      </c>
    </row>
    <row r="1568" spans="1:10" x14ac:dyDescent="0.15">
      <c r="A1568" s="263" t="s">
        <v>4165</v>
      </c>
      <c r="B1568" s="263" t="s">
        <v>4166</v>
      </c>
      <c r="C1568" s="263" t="s">
        <v>96</v>
      </c>
      <c r="D1568" s="263" t="s">
        <v>4167</v>
      </c>
      <c r="E1568" s="263" t="s">
        <v>97</v>
      </c>
      <c r="F1568">
        <v>0</v>
      </c>
      <c r="G1568">
        <v>2</v>
      </c>
      <c r="H1568" s="263" t="s">
        <v>436</v>
      </c>
      <c r="I1568" s="264"/>
      <c r="J1568" s="263" t="s">
        <v>437</v>
      </c>
    </row>
    <row r="1569" spans="1:10" x14ac:dyDescent="0.15">
      <c r="A1569" s="263" t="s">
        <v>4168</v>
      </c>
      <c r="B1569" s="263" t="s">
        <v>4169</v>
      </c>
      <c r="C1569" s="263" t="s">
        <v>96</v>
      </c>
      <c r="D1569" s="263" t="s">
        <v>4170</v>
      </c>
      <c r="E1569" s="263" t="s">
        <v>97</v>
      </c>
      <c r="F1569">
        <v>0</v>
      </c>
      <c r="G1569">
        <v>2</v>
      </c>
      <c r="H1569" s="263" t="s">
        <v>436</v>
      </c>
      <c r="I1569" s="264"/>
      <c r="J1569" s="263" t="s">
        <v>437</v>
      </c>
    </row>
    <row r="1570" spans="1:10" x14ac:dyDescent="0.15">
      <c r="A1570" s="263" t="s">
        <v>4171</v>
      </c>
      <c r="B1570" s="263" t="s">
        <v>4172</v>
      </c>
      <c r="C1570" s="263" t="s">
        <v>96</v>
      </c>
      <c r="D1570" s="263" t="s">
        <v>4173</v>
      </c>
      <c r="E1570" s="263" t="s">
        <v>97</v>
      </c>
      <c r="F1570">
        <v>0</v>
      </c>
      <c r="G1570">
        <v>2</v>
      </c>
      <c r="H1570" s="263" t="s">
        <v>436</v>
      </c>
      <c r="I1570" s="264"/>
      <c r="J1570" s="263" t="s">
        <v>437</v>
      </c>
    </row>
    <row r="1571" spans="1:10" x14ac:dyDescent="0.15">
      <c r="A1571" s="263" t="s">
        <v>4174</v>
      </c>
      <c r="B1571" s="263" t="s">
        <v>4175</v>
      </c>
      <c r="C1571" s="263" t="s">
        <v>96</v>
      </c>
      <c r="D1571" s="263" t="s">
        <v>4176</v>
      </c>
      <c r="E1571" s="263" t="s">
        <v>97</v>
      </c>
      <c r="F1571">
        <v>0</v>
      </c>
      <c r="G1571">
        <v>2</v>
      </c>
      <c r="H1571" s="263" t="s">
        <v>436</v>
      </c>
      <c r="I1571" s="264"/>
      <c r="J1571" s="263" t="s">
        <v>437</v>
      </c>
    </row>
    <row r="1572" spans="1:10" x14ac:dyDescent="0.15">
      <c r="A1572" s="263" t="s">
        <v>4177</v>
      </c>
      <c r="B1572" s="263" t="s">
        <v>4178</v>
      </c>
      <c r="C1572" s="263" t="s">
        <v>96</v>
      </c>
      <c r="D1572" s="263" t="s">
        <v>4179</v>
      </c>
      <c r="E1572" s="263" t="s">
        <v>97</v>
      </c>
      <c r="F1572">
        <v>0</v>
      </c>
      <c r="G1572">
        <v>2</v>
      </c>
      <c r="H1572" s="263" t="s">
        <v>436</v>
      </c>
      <c r="I1572" s="264"/>
      <c r="J1572" s="263" t="s">
        <v>437</v>
      </c>
    </row>
    <row r="1573" spans="1:10" x14ac:dyDescent="0.15">
      <c r="A1573" s="263" t="s">
        <v>4180</v>
      </c>
      <c r="B1573" s="263" t="s">
        <v>4181</v>
      </c>
      <c r="C1573" s="263" t="s">
        <v>96</v>
      </c>
      <c r="D1573" s="263" t="s">
        <v>4182</v>
      </c>
      <c r="E1573" s="263" t="s">
        <v>97</v>
      </c>
      <c r="F1573">
        <v>0</v>
      </c>
      <c r="G1573">
        <v>2</v>
      </c>
      <c r="H1573" s="263" t="s">
        <v>436</v>
      </c>
      <c r="I1573" s="264"/>
      <c r="J1573" s="263" t="s">
        <v>437</v>
      </c>
    </row>
    <row r="1574" spans="1:10" x14ac:dyDescent="0.15">
      <c r="A1574" s="263" t="s">
        <v>4183</v>
      </c>
      <c r="B1574" s="263" t="s">
        <v>4184</v>
      </c>
      <c r="C1574" s="263" t="s">
        <v>96</v>
      </c>
      <c r="D1574" s="263" t="s">
        <v>4185</v>
      </c>
      <c r="E1574" s="263" t="s">
        <v>97</v>
      </c>
      <c r="F1574">
        <v>0</v>
      </c>
      <c r="G1574">
        <v>2</v>
      </c>
      <c r="H1574" s="263" t="s">
        <v>436</v>
      </c>
      <c r="I1574" s="264"/>
      <c r="J1574" s="263" t="s">
        <v>437</v>
      </c>
    </row>
    <row r="1575" spans="1:10" x14ac:dyDescent="0.15">
      <c r="A1575" s="263" t="s">
        <v>4186</v>
      </c>
      <c r="B1575" s="263" t="s">
        <v>4187</v>
      </c>
      <c r="C1575" s="263" t="s">
        <v>96</v>
      </c>
      <c r="D1575" s="263" t="s">
        <v>4188</v>
      </c>
      <c r="E1575" s="263" t="s">
        <v>97</v>
      </c>
      <c r="F1575">
        <v>0</v>
      </c>
      <c r="G1575">
        <v>2</v>
      </c>
      <c r="H1575" s="263" t="s">
        <v>436</v>
      </c>
      <c r="I1575" s="264"/>
      <c r="J1575" s="263" t="s">
        <v>437</v>
      </c>
    </row>
    <row r="1576" spans="1:10" x14ac:dyDescent="0.15">
      <c r="A1576" s="263" t="s">
        <v>4189</v>
      </c>
      <c r="B1576" s="263" t="s">
        <v>4190</v>
      </c>
      <c r="C1576" s="263" t="s">
        <v>96</v>
      </c>
      <c r="D1576" s="263" t="s">
        <v>4191</v>
      </c>
      <c r="E1576" s="263" t="s">
        <v>97</v>
      </c>
      <c r="F1576">
        <v>0</v>
      </c>
      <c r="G1576">
        <v>2</v>
      </c>
      <c r="H1576" s="263" t="s">
        <v>436</v>
      </c>
      <c r="I1576" s="264"/>
      <c r="J1576" s="263" t="s">
        <v>437</v>
      </c>
    </row>
    <row r="1577" spans="1:10" x14ac:dyDescent="0.15">
      <c r="A1577" s="263" t="s">
        <v>4192</v>
      </c>
      <c r="B1577" s="263" t="s">
        <v>4193</v>
      </c>
      <c r="C1577" s="263" t="s">
        <v>96</v>
      </c>
      <c r="D1577" s="263" t="s">
        <v>4194</v>
      </c>
      <c r="E1577" s="263" t="s">
        <v>97</v>
      </c>
      <c r="F1577">
        <v>0</v>
      </c>
      <c r="G1577">
        <v>2</v>
      </c>
      <c r="H1577" s="263" t="s">
        <v>436</v>
      </c>
      <c r="I1577" s="264"/>
      <c r="J1577" s="263" t="s">
        <v>437</v>
      </c>
    </row>
    <row r="1578" spans="1:10" x14ac:dyDescent="0.15">
      <c r="A1578" s="263" t="s">
        <v>4195</v>
      </c>
      <c r="B1578" s="263" t="s">
        <v>4196</v>
      </c>
      <c r="C1578" s="263" t="s">
        <v>96</v>
      </c>
      <c r="D1578" s="263" t="s">
        <v>4197</v>
      </c>
      <c r="E1578" s="263" t="s">
        <v>97</v>
      </c>
      <c r="F1578">
        <v>0</v>
      </c>
      <c r="G1578">
        <v>2</v>
      </c>
      <c r="H1578" s="263" t="s">
        <v>436</v>
      </c>
      <c r="I1578" s="264"/>
      <c r="J1578" s="263" t="s">
        <v>437</v>
      </c>
    </row>
    <row r="1579" spans="1:10" x14ac:dyDescent="0.15">
      <c r="A1579" s="263" t="s">
        <v>4198</v>
      </c>
      <c r="B1579" s="263" t="s">
        <v>4199</v>
      </c>
      <c r="C1579" s="263" t="s">
        <v>96</v>
      </c>
      <c r="D1579" s="263" t="s">
        <v>4200</v>
      </c>
      <c r="E1579" s="263" t="s">
        <v>97</v>
      </c>
      <c r="F1579">
        <v>0</v>
      </c>
      <c r="G1579">
        <v>2</v>
      </c>
      <c r="H1579" s="263" t="s">
        <v>436</v>
      </c>
      <c r="I1579" s="264"/>
      <c r="J1579" s="263" t="s">
        <v>437</v>
      </c>
    </row>
    <row r="1580" spans="1:10" x14ac:dyDescent="0.15">
      <c r="A1580" s="263" t="s">
        <v>4201</v>
      </c>
      <c r="B1580" s="263" t="s">
        <v>4202</v>
      </c>
      <c r="C1580" s="263" t="s">
        <v>96</v>
      </c>
      <c r="D1580" s="263" t="s">
        <v>4203</v>
      </c>
      <c r="E1580" s="263" t="s">
        <v>97</v>
      </c>
      <c r="F1580">
        <v>0</v>
      </c>
      <c r="G1580">
        <v>2</v>
      </c>
      <c r="H1580" s="263" t="s">
        <v>436</v>
      </c>
      <c r="I1580" s="264"/>
      <c r="J1580" s="263" t="s">
        <v>437</v>
      </c>
    </row>
    <row r="1581" spans="1:10" x14ac:dyDescent="0.15">
      <c r="A1581" s="263" t="s">
        <v>4204</v>
      </c>
      <c r="B1581" s="263" t="s">
        <v>4205</v>
      </c>
      <c r="C1581" s="263" t="s">
        <v>96</v>
      </c>
      <c r="D1581" s="263" t="s">
        <v>4206</v>
      </c>
      <c r="E1581" s="263" t="s">
        <v>97</v>
      </c>
      <c r="F1581">
        <v>0</v>
      </c>
      <c r="G1581">
        <v>2</v>
      </c>
      <c r="H1581" s="263" t="s">
        <v>436</v>
      </c>
      <c r="I1581" s="264"/>
      <c r="J1581" s="263" t="s">
        <v>437</v>
      </c>
    </row>
    <row r="1582" spans="1:10" x14ac:dyDescent="0.15">
      <c r="A1582" s="263" t="s">
        <v>4207</v>
      </c>
      <c r="B1582" s="263" t="s">
        <v>4208</v>
      </c>
      <c r="C1582" s="263" t="s">
        <v>96</v>
      </c>
      <c r="D1582" s="263" t="s">
        <v>4209</v>
      </c>
      <c r="E1582" s="263" t="s">
        <v>97</v>
      </c>
      <c r="F1582">
        <v>0</v>
      </c>
      <c r="G1582">
        <v>2</v>
      </c>
      <c r="H1582" s="263" t="s">
        <v>436</v>
      </c>
      <c r="I1582" s="264"/>
      <c r="J1582" s="263" t="s">
        <v>437</v>
      </c>
    </row>
    <row r="1583" spans="1:10" x14ac:dyDescent="0.15">
      <c r="A1583" s="263" t="s">
        <v>4210</v>
      </c>
      <c r="B1583" s="263" t="s">
        <v>4211</v>
      </c>
      <c r="C1583" s="263" t="s">
        <v>96</v>
      </c>
      <c r="D1583" s="263" t="s">
        <v>4212</v>
      </c>
      <c r="E1583" s="263" t="s">
        <v>97</v>
      </c>
      <c r="F1583">
        <v>0</v>
      </c>
      <c r="G1583">
        <v>2</v>
      </c>
      <c r="H1583" s="263" t="s">
        <v>436</v>
      </c>
      <c r="I1583" s="264"/>
      <c r="J1583" s="263" t="s">
        <v>437</v>
      </c>
    </row>
    <row r="1584" spans="1:10" x14ac:dyDescent="0.15">
      <c r="A1584" s="263" t="s">
        <v>4213</v>
      </c>
      <c r="B1584" s="263" t="s">
        <v>4214</v>
      </c>
      <c r="C1584" s="263" t="s">
        <v>96</v>
      </c>
      <c r="D1584" s="263" t="s">
        <v>4215</v>
      </c>
      <c r="E1584" s="263" t="s">
        <v>97</v>
      </c>
      <c r="F1584">
        <v>0</v>
      </c>
      <c r="G1584">
        <v>2</v>
      </c>
      <c r="H1584" s="263" t="s">
        <v>436</v>
      </c>
      <c r="I1584" s="264"/>
      <c r="J1584" s="263" t="s">
        <v>437</v>
      </c>
    </row>
    <row r="1585" spans="1:10" x14ac:dyDescent="0.15">
      <c r="A1585" s="263" t="s">
        <v>4216</v>
      </c>
      <c r="B1585" s="263" t="s">
        <v>4217</v>
      </c>
      <c r="C1585" s="263" t="s">
        <v>96</v>
      </c>
      <c r="D1585" s="263" t="s">
        <v>4218</v>
      </c>
      <c r="E1585" s="263" t="s">
        <v>97</v>
      </c>
      <c r="F1585">
        <v>0</v>
      </c>
      <c r="G1585">
        <v>2</v>
      </c>
      <c r="H1585" s="263" t="s">
        <v>436</v>
      </c>
      <c r="I1585" s="264"/>
      <c r="J1585" s="263" t="s">
        <v>437</v>
      </c>
    </row>
    <row r="1586" spans="1:10" x14ac:dyDescent="0.15">
      <c r="A1586" s="263" t="s">
        <v>4219</v>
      </c>
      <c r="B1586" s="263" t="s">
        <v>4220</v>
      </c>
      <c r="C1586" s="263" t="s">
        <v>96</v>
      </c>
      <c r="D1586" s="263" t="s">
        <v>4221</v>
      </c>
      <c r="E1586" s="263" t="s">
        <v>97</v>
      </c>
      <c r="F1586">
        <v>0</v>
      </c>
      <c r="G1586">
        <v>2</v>
      </c>
      <c r="H1586" s="263" t="s">
        <v>436</v>
      </c>
      <c r="I1586" s="264"/>
      <c r="J1586" s="263" t="s">
        <v>437</v>
      </c>
    </row>
    <row r="1587" spans="1:10" x14ac:dyDescent="0.15">
      <c r="A1587" s="263" t="s">
        <v>4222</v>
      </c>
      <c r="B1587" s="263" t="s">
        <v>4223</v>
      </c>
      <c r="C1587" s="263" t="s">
        <v>96</v>
      </c>
      <c r="D1587" s="263" t="s">
        <v>4224</v>
      </c>
      <c r="E1587" s="263" t="s">
        <v>97</v>
      </c>
      <c r="F1587">
        <v>0</v>
      </c>
      <c r="G1587">
        <v>2</v>
      </c>
      <c r="H1587" s="263" t="s">
        <v>436</v>
      </c>
      <c r="I1587" s="264"/>
      <c r="J1587" s="263" t="s">
        <v>437</v>
      </c>
    </row>
    <row r="1588" spans="1:10" x14ac:dyDescent="0.15">
      <c r="A1588" s="263" t="s">
        <v>4225</v>
      </c>
      <c r="B1588" s="263" t="s">
        <v>4226</v>
      </c>
      <c r="C1588" s="263" t="s">
        <v>96</v>
      </c>
      <c r="D1588" s="263" t="s">
        <v>4227</v>
      </c>
      <c r="E1588" s="263" t="s">
        <v>97</v>
      </c>
      <c r="F1588">
        <v>0</v>
      </c>
      <c r="G1588">
        <v>2</v>
      </c>
      <c r="H1588" s="263" t="s">
        <v>436</v>
      </c>
      <c r="I1588" s="264"/>
      <c r="J1588" s="263" t="s">
        <v>437</v>
      </c>
    </row>
    <row r="1589" spans="1:10" x14ac:dyDescent="0.15">
      <c r="A1589" s="263" t="s">
        <v>4228</v>
      </c>
      <c r="B1589" s="263" t="s">
        <v>4229</v>
      </c>
      <c r="C1589" s="263" t="s">
        <v>96</v>
      </c>
      <c r="D1589" s="263" t="s">
        <v>4230</v>
      </c>
      <c r="E1589" s="263" t="s">
        <v>97</v>
      </c>
      <c r="F1589">
        <v>0</v>
      </c>
      <c r="G1589">
        <v>2</v>
      </c>
      <c r="H1589" s="263" t="s">
        <v>436</v>
      </c>
      <c r="I1589" s="264"/>
      <c r="J1589" s="263" t="s">
        <v>437</v>
      </c>
    </row>
    <row r="1590" spans="1:10" x14ac:dyDescent="0.15">
      <c r="A1590" s="263" t="s">
        <v>4231</v>
      </c>
      <c r="B1590" s="263" t="s">
        <v>4232</v>
      </c>
      <c r="C1590" s="263" t="s">
        <v>96</v>
      </c>
      <c r="D1590" s="263" t="s">
        <v>4233</v>
      </c>
      <c r="E1590" s="263" t="s">
        <v>97</v>
      </c>
      <c r="F1590">
        <v>0</v>
      </c>
      <c r="G1590">
        <v>2</v>
      </c>
      <c r="H1590" s="263" t="s">
        <v>436</v>
      </c>
      <c r="I1590" s="264"/>
      <c r="J1590" s="263" t="s">
        <v>437</v>
      </c>
    </row>
    <row r="1591" spans="1:10" x14ac:dyDescent="0.15">
      <c r="A1591" s="263" t="s">
        <v>4234</v>
      </c>
      <c r="B1591" s="263" t="s">
        <v>4235</v>
      </c>
      <c r="C1591" s="263" t="s">
        <v>96</v>
      </c>
      <c r="D1591" s="263" t="s">
        <v>4236</v>
      </c>
      <c r="E1591" s="263" t="s">
        <v>97</v>
      </c>
      <c r="F1591">
        <v>0</v>
      </c>
      <c r="G1591">
        <v>2</v>
      </c>
      <c r="H1591" s="263" t="s">
        <v>436</v>
      </c>
      <c r="I1591" s="264"/>
      <c r="J1591" s="263" t="s">
        <v>437</v>
      </c>
    </row>
    <row r="1592" spans="1:10" x14ac:dyDescent="0.15">
      <c r="A1592" s="263" t="s">
        <v>4237</v>
      </c>
      <c r="B1592" s="263" t="s">
        <v>4238</v>
      </c>
      <c r="C1592" s="263" t="s">
        <v>96</v>
      </c>
      <c r="D1592" s="263" t="s">
        <v>4239</v>
      </c>
      <c r="E1592" s="263" t="s">
        <v>97</v>
      </c>
      <c r="F1592">
        <v>0</v>
      </c>
      <c r="G1592">
        <v>2</v>
      </c>
      <c r="H1592" s="263" t="s">
        <v>436</v>
      </c>
      <c r="I1592" s="264"/>
      <c r="J1592" s="263" t="s">
        <v>437</v>
      </c>
    </row>
    <row r="1593" spans="1:10" x14ac:dyDescent="0.15">
      <c r="A1593" s="263" t="s">
        <v>4240</v>
      </c>
      <c r="B1593" s="263" t="s">
        <v>4241</v>
      </c>
      <c r="C1593" s="263" t="s">
        <v>96</v>
      </c>
      <c r="D1593" s="263" t="s">
        <v>4242</v>
      </c>
      <c r="E1593" s="263" t="s">
        <v>97</v>
      </c>
      <c r="F1593">
        <v>0</v>
      </c>
      <c r="G1593">
        <v>2</v>
      </c>
      <c r="H1593" s="263" t="s">
        <v>436</v>
      </c>
      <c r="I1593" s="264"/>
      <c r="J1593" s="263" t="s">
        <v>437</v>
      </c>
    </row>
    <row r="1594" spans="1:10" x14ac:dyDescent="0.15">
      <c r="A1594" s="263" t="s">
        <v>4243</v>
      </c>
      <c r="B1594" s="263" t="s">
        <v>4244</v>
      </c>
      <c r="C1594" s="263" t="s">
        <v>96</v>
      </c>
      <c r="D1594" s="263" t="s">
        <v>4245</v>
      </c>
      <c r="E1594" s="263" t="s">
        <v>97</v>
      </c>
      <c r="F1594">
        <v>0</v>
      </c>
      <c r="G1594">
        <v>2</v>
      </c>
      <c r="H1594" s="263" t="s">
        <v>436</v>
      </c>
      <c r="I1594" s="264"/>
      <c r="J1594" s="263" t="s">
        <v>437</v>
      </c>
    </row>
    <row r="1595" spans="1:10" x14ac:dyDescent="0.15">
      <c r="A1595" s="263" t="s">
        <v>4246</v>
      </c>
      <c r="B1595" s="263" t="s">
        <v>4247</v>
      </c>
      <c r="C1595" s="263" t="s">
        <v>96</v>
      </c>
      <c r="D1595" s="263" t="s">
        <v>4248</v>
      </c>
      <c r="E1595" s="263" t="s">
        <v>97</v>
      </c>
      <c r="F1595">
        <v>0</v>
      </c>
      <c r="G1595">
        <v>2</v>
      </c>
      <c r="H1595" s="263" t="s">
        <v>436</v>
      </c>
      <c r="I1595" s="264"/>
      <c r="J1595" s="263" t="s">
        <v>437</v>
      </c>
    </row>
    <row r="1596" spans="1:10" x14ac:dyDescent="0.15">
      <c r="A1596" s="263" t="s">
        <v>4249</v>
      </c>
      <c r="B1596" s="263" t="s">
        <v>4250</v>
      </c>
      <c r="C1596" s="263" t="s">
        <v>96</v>
      </c>
      <c r="D1596" s="263" t="s">
        <v>4251</v>
      </c>
      <c r="E1596" s="263" t="s">
        <v>97</v>
      </c>
      <c r="F1596">
        <v>0</v>
      </c>
      <c r="G1596">
        <v>2</v>
      </c>
      <c r="H1596" s="263" t="s">
        <v>436</v>
      </c>
      <c r="I1596" s="264"/>
      <c r="J1596" s="263" t="s">
        <v>437</v>
      </c>
    </row>
    <row r="1597" spans="1:10" x14ac:dyDescent="0.15">
      <c r="A1597" s="263" t="s">
        <v>4252</v>
      </c>
      <c r="B1597" s="263" t="s">
        <v>4253</v>
      </c>
      <c r="C1597" s="263" t="s">
        <v>96</v>
      </c>
      <c r="D1597" s="263" t="s">
        <v>4254</v>
      </c>
      <c r="E1597" s="263" t="s">
        <v>97</v>
      </c>
      <c r="F1597">
        <v>0</v>
      </c>
      <c r="G1597">
        <v>2</v>
      </c>
      <c r="H1597" s="263" t="s">
        <v>436</v>
      </c>
      <c r="I1597" s="264"/>
      <c r="J1597" s="263" t="s">
        <v>437</v>
      </c>
    </row>
    <row r="1598" spans="1:10" x14ac:dyDescent="0.15">
      <c r="A1598" s="263" t="s">
        <v>4255</v>
      </c>
      <c r="B1598" s="263" t="s">
        <v>4256</v>
      </c>
      <c r="C1598" s="263" t="s">
        <v>96</v>
      </c>
      <c r="D1598" s="263" t="s">
        <v>4257</v>
      </c>
      <c r="E1598" s="263" t="s">
        <v>97</v>
      </c>
      <c r="F1598">
        <v>0</v>
      </c>
      <c r="G1598">
        <v>2</v>
      </c>
      <c r="H1598" s="263" t="s">
        <v>436</v>
      </c>
      <c r="I1598" s="264"/>
      <c r="J1598" s="263" t="s">
        <v>437</v>
      </c>
    </row>
    <row r="1599" spans="1:10" x14ac:dyDescent="0.15">
      <c r="A1599" s="263" t="s">
        <v>4258</v>
      </c>
      <c r="B1599" s="263" t="s">
        <v>4259</v>
      </c>
      <c r="C1599" s="263" t="s">
        <v>96</v>
      </c>
      <c r="D1599" s="263" t="s">
        <v>4260</v>
      </c>
      <c r="E1599" s="263" t="s">
        <v>97</v>
      </c>
      <c r="F1599">
        <v>0</v>
      </c>
      <c r="G1599">
        <v>2</v>
      </c>
      <c r="H1599" s="263" t="s">
        <v>436</v>
      </c>
      <c r="I1599" s="264"/>
      <c r="J1599" s="263" t="s">
        <v>437</v>
      </c>
    </row>
    <row r="1600" spans="1:10" x14ac:dyDescent="0.15">
      <c r="A1600" s="263" t="s">
        <v>4261</v>
      </c>
      <c r="B1600" s="263" t="s">
        <v>4262</v>
      </c>
      <c r="C1600" s="263" t="s">
        <v>96</v>
      </c>
      <c r="D1600" s="263" t="s">
        <v>4263</v>
      </c>
      <c r="E1600" s="263" t="s">
        <v>97</v>
      </c>
      <c r="F1600">
        <v>0</v>
      </c>
      <c r="G1600">
        <v>2</v>
      </c>
      <c r="H1600" s="263" t="s">
        <v>436</v>
      </c>
      <c r="I1600" s="264"/>
      <c r="J1600" s="263" t="s">
        <v>437</v>
      </c>
    </row>
    <row r="1601" spans="1:10" x14ac:dyDescent="0.15">
      <c r="A1601" s="263" t="s">
        <v>4264</v>
      </c>
      <c r="B1601" s="263" t="s">
        <v>4265</v>
      </c>
      <c r="C1601" s="263" t="s">
        <v>96</v>
      </c>
      <c r="D1601" s="263" t="s">
        <v>4266</v>
      </c>
      <c r="E1601" s="263" t="s">
        <v>97</v>
      </c>
      <c r="F1601">
        <v>0</v>
      </c>
      <c r="G1601">
        <v>2</v>
      </c>
      <c r="H1601" s="263" t="s">
        <v>436</v>
      </c>
      <c r="I1601" s="264"/>
      <c r="J1601" s="263" t="s">
        <v>437</v>
      </c>
    </row>
    <row r="1602" spans="1:10" x14ac:dyDescent="0.15">
      <c r="A1602" s="263" t="s">
        <v>4267</v>
      </c>
      <c r="B1602" s="263" t="s">
        <v>4268</v>
      </c>
      <c r="C1602" s="263" t="s">
        <v>96</v>
      </c>
      <c r="D1602" s="263" t="s">
        <v>4269</v>
      </c>
      <c r="E1602" s="263" t="s">
        <v>97</v>
      </c>
      <c r="F1602">
        <v>0</v>
      </c>
      <c r="G1602">
        <v>2</v>
      </c>
      <c r="H1602" s="263" t="s">
        <v>436</v>
      </c>
      <c r="I1602" s="264"/>
      <c r="J1602" s="263" t="s">
        <v>437</v>
      </c>
    </row>
    <row r="1603" spans="1:10" x14ac:dyDescent="0.15">
      <c r="A1603" s="263" t="s">
        <v>4270</v>
      </c>
      <c r="B1603" s="263" t="s">
        <v>4271</v>
      </c>
      <c r="C1603" s="263" t="s">
        <v>96</v>
      </c>
      <c r="D1603" s="263" t="s">
        <v>4272</v>
      </c>
      <c r="E1603" s="263" t="s">
        <v>97</v>
      </c>
      <c r="F1603">
        <v>0</v>
      </c>
      <c r="G1603">
        <v>2</v>
      </c>
      <c r="H1603" s="263" t="s">
        <v>436</v>
      </c>
      <c r="I1603" s="264"/>
      <c r="J1603" s="263" t="s">
        <v>437</v>
      </c>
    </row>
    <row r="1604" spans="1:10" x14ac:dyDescent="0.15">
      <c r="A1604" s="263" t="s">
        <v>4273</v>
      </c>
      <c r="B1604" s="263" t="s">
        <v>4274</v>
      </c>
      <c r="C1604" s="263" t="s">
        <v>96</v>
      </c>
      <c r="D1604" s="263" t="s">
        <v>4275</v>
      </c>
      <c r="E1604" s="263" t="s">
        <v>97</v>
      </c>
      <c r="F1604">
        <v>0</v>
      </c>
      <c r="G1604">
        <v>2</v>
      </c>
      <c r="H1604" s="263" t="s">
        <v>436</v>
      </c>
      <c r="I1604" s="264"/>
      <c r="J1604" s="263" t="s">
        <v>437</v>
      </c>
    </row>
    <row r="1605" spans="1:10" x14ac:dyDescent="0.15">
      <c r="A1605" s="263" t="s">
        <v>4276</v>
      </c>
      <c r="B1605" s="263" t="s">
        <v>4277</v>
      </c>
      <c r="C1605" s="263" t="s">
        <v>96</v>
      </c>
      <c r="D1605" s="263" t="s">
        <v>4278</v>
      </c>
      <c r="E1605" s="263" t="s">
        <v>97</v>
      </c>
      <c r="F1605">
        <v>0</v>
      </c>
      <c r="G1605">
        <v>2</v>
      </c>
      <c r="H1605" s="263" t="s">
        <v>436</v>
      </c>
      <c r="I1605" s="264"/>
      <c r="J1605" s="263" t="s">
        <v>437</v>
      </c>
    </row>
    <row r="1606" spans="1:10" x14ac:dyDescent="0.15">
      <c r="A1606" s="263" t="s">
        <v>4279</v>
      </c>
      <c r="B1606" s="263" t="s">
        <v>4280</v>
      </c>
      <c r="C1606" s="263" t="s">
        <v>96</v>
      </c>
      <c r="D1606" s="263" t="s">
        <v>4281</v>
      </c>
      <c r="E1606" s="263" t="s">
        <v>97</v>
      </c>
      <c r="F1606">
        <v>0</v>
      </c>
      <c r="G1606">
        <v>2</v>
      </c>
      <c r="H1606" s="263" t="s">
        <v>436</v>
      </c>
      <c r="I1606" s="264"/>
      <c r="J1606" s="263" t="s">
        <v>437</v>
      </c>
    </row>
    <row r="1607" spans="1:10" x14ac:dyDescent="0.15">
      <c r="A1607" s="263" t="s">
        <v>4282</v>
      </c>
      <c r="B1607" s="263" t="s">
        <v>4283</v>
      </c>
      <c r="C1607" s="263" t="s">
        <v>96</v>
      </c>
      <c r="D1607" s="263" t="s">
        <v>4284</v>
      </c>
      <c r="E1607" s="263" t="s">
        <v>97</v>
      </c>
      <c r="F1607">
        <v>0</v>
      </c>
      <c r="G1607">
        <v>2</v>
      </c>
      <c r="H1607" s="263" t="s">
        <v>436</v>
      </c>
      <c r="I1607" s="264"/>
      <c r="J1607" s="263" t="s">
        <v>437</v>
      </c>
    </row>
    <row r="1608" spans="1:10" x14ac:dyDescent="0.15">
      <c r="A1608" s="263" t="s">
        <v>4285</v>
      </c>
      <c r="B1608" s="263" t="s">
        <v>4286</v>
      </c>
      <c r="C1608" s="263" t="s">
        <v>96</v>
      </c>
      <c r="D1608" s="263" t="s">
        <v>4287</v>
      </c>
      <c r="E1608" s="263" t="s">
        <v>97</v>
      </c>
      <c r="F1608">
        <v>0</v>
      </c>
      <c r="G1608">
        <v>2</v>
      </c>
      <c r="H1608" s="263" t="s">
        <v>436</v>
      </c>
      <c r="I1608" s="264"/>
      <c r="J1608" s="263" t="s">
        <v>437</v>
      </c>
    </row>
    <row r="1609" spans="1:10" x14ac:dyDescent="0.15">
      <c r="A1609" s="263" t="s">
        <v>4288</v>
      </c>
      <c r="B1609" s="263" t="s">
        <v>4289</v>
      </c>
      <c r="C1609" s="263" t="s">
        <v>96</v>
      </c>
      <c r="D1609" s="263" t="s">
        <v>4290</v>
      </c>
      <c r="E1609" s="263" t="s">
        <v>97</v>
      </c>
      <c r="F1609">
        <v>0</v>
      </c>
      <c r="G1609">
        <v>2</v>
      </c>
      <c r="H1609" s="263" t="s">
        <v>436</v>
      </c>
      <c r="I1609" s="264"/>
      <c r="J1609" s="263" t="s">
        <v>437</v>
      </c>
    </row>
    <row r="1610" spans="1:10" x14ac:dyDescent="0.15">
      <c r="A1610" s="263" t="s">
        <v>4291</v>
      </c>
      <c r="B1610" s="263" t="s">
        <v>4292</v>
      </c>
      <c r="C1610" s="263" t="s">
        <v>96</v>
      </c>
      <c r="D1610" s="263" t="s">
        <v>4293</v>
      </c>
      <c r="E1610" s="263" t="s">
        <v>97</v>
      </c>
      <c r="F1610">
        <v>0</v>
      </c>
      <c r="G1610">
        <v>2</v>
      </c>
      <c r="H1610" s="263" t="s">
        <v>436</v>
      </c>
      <c r="I1610" s="264"/>
      <c r="J1610" s="263" t="s">
        <v>437</v>
      </c>
    </row>
    <row r="1611" spans="1:10" x14ac:dyDescent="0.15">
      <c r="A1611" s="263" t="s">
        <v>4294</v>
      </c>
      <c r="B1611" s="263" t="s">
        <v>4295</v>
      </c>
      <c r="C1611" s="263" t="s">
        <v>96</v>
      </c>
      <c r="D1611" s="263" t="s">
        <v>4296</v>
      </c>
      <c r="E1611" s="263" t="s">
        <v>97</v>
      </c>
      <c r="F1611">
        <v>0</v>
      </c>
      <c r="G1611">
        <v>2</v>
      </c>
      <c r="H1611" s="263" t="s">
        <v>436</v>
      </c>
      <c r="I1611" s="264"/>
      <c r="J1611" s="263" t="s">
        <v>437</v>
      </c>
    </row>
    <row r="1612" spans="1:10" x14ac:dyDescent="0.15">
      <c r="A1612" s="263" t="s">
        <v>4297</v>
      </c>
      <c r="B1612" s="263" t="s">
        <v>4298</v>
      </c>
      <c r="C1612" s="263" t="s">
        <v>96</v>
      </c>
      <c r="D1612" s="263" t="s">
        <v>4299</v>
      </c>
      <c r="E1612" s="263" t="s">
        <v>97</v>
      </c>
      <c r="F1612">
        <v>0</v>
      </c>
      <c r="G1612">
        <v>2</v>
      </c>
      <c r="H1612" s="263" t="s">
        <v>436</v>
      </c>
      <c r="I1612" s="264"/>
      <c r="J1612" s="263" t="s">
        <v>437</v>
      </c>
    </row>
    <row r="1613" spans="1:10" x14ac:dyDescent="0.15">
      <c r="A1613" s="263" t="s">
        <v>4300</v>
      </c>
      <c r="B1613" s="263" t="s">
        <v>4301</v>
      </c>
      <c r="C1613" s="263" t="s">
        <v>96</v>
      </c>
      <c r="D1613" s="263" t="s">
        <v>4302</v>
      </c>
      <c r="E1613" s="263" t="s">
        <v>97</v>
      </c>
      <c r="F1613">
        <v>0</v>
      </c>
      <c r="G1613">
        <v>2</v>
      </c>
      <c r="H1613" s="263" t="s">
        <v>436</v>
      </c>
      <c r="I1613" s="264"/>
      <c r="J1613" s="263" t="s">
        <v>437</v>
      </c>
    </row>
    <row r="1614" spans="1:10" x14ac:dyDescent="0.15">
      <c r="A1614" s="263" t="s">
        <v>4303</v>
      </c>
      <c r="B1614" s="263" t="s">
        <v>4304</v>
      </c>
      <c r="C1614" s="263" t="s">
        <v>96</v>
      </c>
      <c r="D1614" s="263" t="s">
        <v>4305</v>
      </c>
      <c r="E1614" s="263" t="s">
        <v>97</v>
      </c>
      <c r="F1614">
        <v>0</v>
      </c>
      <c r="G1614">
        <v>2</v>
      </c>
      <c r="H1614" s="263" t="s">
        <v>436</v>
      </c>
      <c r="I1614" s="264"/>
      <c r="J1614" s="263" t="s">
        <v>437</v>
      </c>
    </row>
    <row r="1615" spans="1:10" x14ac:dyDescent="0.15">
      <c r="A1615" s="263" t="s">
        <v>4306</v>
      </c>
      <c r="B1615" s="263" t="s">
        <v>4307</v>
      </c>
      <c r="C1615" s="263" t="s">
        <v>96</v>
      </c>
      <c r="D1615" s="263" t="s">
        <v>4308</v>
      </c>
      <c r="E1615" s="263" t="s">
        <v>97</v>
      </c>
      <c r="F1615">
        <v>0</v>
      </c>
      <c r="G1615">
        <v>2</v>
      </c>
      <c r="H1615" s="263" t="s">
        <v>436</v>
      </c>
      <c r="I1615" s="264"/>
      <c r="J1615" s="263" t="s">
        <v>437</v>
      </c>
    </row>
    <row r="1616" spans="1:10" x14ac:dyDescent="0.15">
      <c r="A1616" s="263" t="s">
        <v>4309</v>
      </c>
      <c r="B1616" s="263" t="s">
        <v>4310</v>
      </c>
      <c r="C1616" s="263" t="s">
        <v>96</v>
      </c>
      <c r="D1616" s="263" t="s">
        <v>4311</v>
      </c>
      <c r="E1616" s="263" t="s">
        <v>97</v>
      </c>
      <c r="F1616">
        <v>0</v>
      </c>
      <c r="G1616">
        <v>2</v>
      </c>
      <c r="H1616" s="263" t="s">
        <v>436</v>
      </c>
      <c r="I1616" s="264"/>
      <c r="J1616" s="263" t="s">
        <v>437</v>
      </c>
    </row>
    <row r="1617" spans="1:10" x14ac:dyDescent="0.15">
      <c r="A1617" s="263" t="s">
        <v>4312</v>
      </c>
      <c r="B1617" s="263" t="s">
        <v>4313</v>
      </c>
      <c r="C1617" s="263" t="s">
        <v>96</v>
      </c>
      <c r="D1617" s="263" t="s">
        <v>4314</v>
      </c>
      <c r="E1617" s="263" t="s">
        <v>97</v>
      </c>
      <c r="F1617">
        <v>0</v>
      </c>
      <c r="G1617">
        <v>2</v>
      </c>
      <c r="H1617" s="263" t="s">
        <v>436</v>
      </c>
      <c r="I1617" s="264"/>
      <c r="J1617" s="263" t="s">
        <v>437</v>
      </c>
    </row>
    <row r="1618" spans="1:10" x14ac:dyDescent="0.15">
      <c r="A1618" s="263" t="s">
        <v>4315</v>
      </c>
      <c r="B1618" s="263" t="s">
        <v>4316</v>
      </c>
      <c r="C1618" s="263" t="s">
        <v>96</v>
      </c>
      <c r="D1618" s="263" t="s">
        <v>4317</v>
      </c>
      <c r="E1618" s="263" t="s">
        <v>97</v>
      </c>
      <c r="F1618">
        <v>0</v>
      </c>
      <c r="G1618">
        <v>2</v>
      </c>
      <c r="H1618" s="263" t="s">
        <v>436</v>
      </c>
      <c r="I1618" s="264"/>
      <c r="J1618" s="263" t="s">
        <v>437</v>
      </c>
    </row>
    <row r="1619" spans="1:10" x14ac:dyDescent="0.15">
      <c r="A1619" s="263" t="s">
        <v>4318</v>
      </c>
      <c r="B1619" s="263" t="s">
        <v>4319</v>
      </c>
      <c r="C1619" s="263" t="s">
        <v>96</v>
      </c>
      <c r="D1619" s="263" t="s">
        <v>4320</v>
      </c>
      <c r="E1619" s="263" t="s">
        <v>97</v>
      </c>
      <c r="F1619">
        <v>0</v>
      </c>
      <c r="G1619">
        <v>2</v>
      </c>
      <c r="H1619" s="263" t="s">
        <v>436</v>
      </c>
      <c r="I1619" s="264"/>
      <c r="J1619" s="263" t="s">
        <v>437</v>
      </c>
    </row>
    <row r="1620" spans="1:10" x14ac:dyDescent="0.15">
      <c r="A1620" s="263" t="s">
        <v>4321</v>
      </c>
      <c r="B1620" s="263" t="s">
        <v>4322</v>
      </c>
      <c r="C1620" s="263" t="s">
        <v>96</v>
      </c>
      <c r="D1620" s="263" t="s">
        <v>4323</v>
      </c>
      <c r="E1620" s="263" t="s">
        <v>97</v>
      </c>
      <c r="F1620">
        <v>0</v>
      </c>
      <c r="G1620">
        <v>2</v>
      </c>
      <c r="H1620" s="263" t="s">
        <v>436</v>
      </c>
      <c r="I1620" s="264"/>
      <c r="J1620" s="263" t="s">
        <v>437</v>
      </c>
    </row>
    <row r="1621" spans="1:10" x14ac:dyDescent="0.15">
      <c r="A1621" s="263" t="s">
        <v>4324</v>
      </c>
      <c r="B1621" s="263" t="s">
        <v>4325</v>
      </c>
      <c r="C1621" s="263" t="s">
        <v>96</v>
      </c>
      <c r="D1621" s="263" t="s">
        <v>4326</v>
      </c>
      <c r="E1621" s="263" t="s">
        <v>97</v>
      </c>
      <c r="F1621">
        <v>0</v>
      </c>
      <c r="G1621">
        <v>2</v>
      </c>
      <c r="H1621" s="263" t="s">
        <v>436</v>
      </c>
      <c r="I1621" s="264"/>
      <c r="J1621" s="263" t="s">
        <v>437</v>
      </c>
    </row>
    <row r="1622" spans="1:10" x14ac:dyDescent="0.15">
      <c r="A1622" s="263" t="s">
        <v>4327</v>
      </c>
      <c r="B1622" s="263" t="s">
        <v>4328</v>
      </c>
      <c r="C1622" s="263" t="s">
        <v>96</v>
      </c>
      <c r="D1622" s="263" t="s">
        <v>4329</v>
      </c>
      <c r="E1622" s="263" t="s">
        <v>97</v>
      </c>
      <c r="F1622">
        <v>0</v>
      </c>
      <c r="G1622">
        <v>2</v>
      </c>
      <c r="H1622" s="263" t="s">
        <v>436</v>
      </c>
      <c r="I1622" s="264"/>
      <c r="J1622" s="263" t="s">
        <v>437</v>
      </c>
    </row>
    <row r="1623" spans="1:10" x14ac:dyDescent="0.15">
      <c r="A1623" s="263" t="s">
        <v>4330</v>
      </c>
      <c r="B1623" s="263" t="s">
        <v>4331</v>
      </c>
      <c r="C1623" s="263" t="s">
        <v>96</v>
      </c>
      <c r="D1623" s="263" t="s">
        <v>4332</v>
      </c>
      <c r="E1623" s="263" t="s">
        <v>97</v>
      </c>
      <c r="F1623">
        <v>0</v>
      </c>
      <c r="G1623">
        <v>2</v>
      </c>
      <c r="H1623" s="263" t="s">
        <v>436</v>
      </c>
      <c r="I1623" s="264"/>
      <c r="J1623" s="263" t="s">
        <v>437</v>
      </c>
    </row>
    <row r="1624" spans="1:10" x14ac:dyDescent="0.15">
      <c r="A1624" s="263" t="s">
        <v>4333</v>
      </c>
      <c r="B1624" s="263" t="s">
        <v>4334</v>
      </c>
      <c r="C1624" s="263" t="s">
        <v>96</v>
      </c>
      <c r="D1624" s="263" t="s">
        <v>4335</v>
      </c>
      <c r="E1624" s="263" t="s">
        <v>97</v>
      </c>
      <c r="F1624">
        <v>0</v>
      </c>
      <c r="G1624">
        <v>2</v>
      </c>
      <c r="H1624" s="263" t="s">
        <v>436</v>
      </c>
      <c r="I1624" s="264"/>
      <c r="J1624" s="263" t="s">
        <v>437</v>
      </c>
    </row>
    <row r="1625" spans="1:10" x14ac:dyDescent="0.15">
      <c r="A1625" s="263" t="s">
        <v>4336</v>
      </c>
      <c r="B1625" s="263" t="s">
        <v>4337</v>
      </c>
      <c r="C1625" s="263" t="s">
        <v>96</v>
      </c>
      <c r="D1625" s="263" t="s">
        <v>4338</v>
      </c>
      <c r="E1625" s="263" t="s">
        <v>97</v>
      </c>
      <c r="F1625">
        <v>0</v>
      </c>
      <c r="G1625">
        <v>2</v>
      </c>
      <c r="H1625" s="263" t="s">
        <v>436</v>
      </c>
      <c r="I1625" s="264"/>
      <c r="J1625" s="263" t="s">
        <v>437</v>
      </c>
    </row>
    <row r="1626" spans="1:10" x14ac:dyDescent="0.15">
      <c r="A1626" s="263" t="s">
        <v>4339</v>
      </c>
      <c r="B1626" s="263" t="s">
        <v>4340</v>
      </c>
      <c r="C1626" s="263" t="s">
        <v>96</v>
      </c>
      <c r="D1626" s="263" t="s">
        <v>4341</v>
      </c>
      <c r="E1626" s="263" t="s">
        <v>97</v>
      </c>
      <c r="F1626">
        <v>0</v>
      </c>
      <c r="G1626">
        <v>2</v>
      </c>
      <c r="H1626" s="263" t="s">
        <v>436</v>
      </c>
      <c r="I1626" s="264"/>
      <c r="J1626" s="263" t="s">
        <v>437</v>
      </c>
    </row>
    <row r="1627" spans="1:10" x14ac:dyDescent="0.15">
      <c r="A1627" s="263" t="s">
        <v>4342</v>
      </c>
      <c r="B1627" s="263" t="s">
        <v>4343</v>
      </c>
      <c r="C1627" s="263" t="s">
        <v>96</v>
      </c>
      <c r="D1627" s="263" t="s">
        <v>4344</v>
      </c>
      <c r="E1627" s="263" t="s">
        <v>97</v>
      </c>
      <c r="F1627">
        <v>0</v>
      </c>
      <c r="G1627">
        <v>2</v>
      </c>
      <c r="H1627" s="263" t="s">
        <v>436</v>
      </c>
      <c r="I1627" s="264"/>
      <c r="J1627" s="263" t="s">
        <v>437</v>
      </c>
    </row>
    <row r="1628" spans="1:10" x14ac:dyDescent="0.15">
      <c r="A1628" s="263" t="s">
        <v>4345</v>
      </c>
      <c r="B1628" s="263" t="s">
        <v>4346</v>
      </c>
      <c r="C1628" s="263" t="s">
        <v>96</v>
      </c>
      <c r="D1628" s="263" t="s">
        <v>4347</v>
      </c>
      <c r="E1628" s="263" t="s">
        <v>97</v>
      </c>
      <c r="F1628">
        <v>0</v>
      </c>
      <c r="G1628">
        <v>2</v>
      </c>
      <c r="H1628" s="263" t="s">
        <v>436</v>
      </c>
      <c r="I1628" s="264"/>
      <c r="J1628" s="263" t="s">
        <v>437</v>
      </c>
    </row>
    <row r="1629" spans="1:10" x14ac:dyDescent="0.15">
      <c r="A1629" s="263" t="s">
        <v>4348</v>
      </c>
      <c r="B1629" s="263" t="s">
        <v>4349</v>
      </c>
      <c r="C1629" s="263" t="s">
        <v>96</v>
      </c>
      <c r="D1629" s="263" t="s">
        <v>4350</v>
      </c>
      <c r="E1629" s="263" t="s">
        <v>97</v>
      </c>
      <c r="F1629">
        <v>0</v>
      </c>
      <c r="G1629">
        <v>2</v>
      </c>
      <c r="H1629" s="263" t="s">
        <v>436</v>
      </c>
      <c r="I1629" s="264"/>
      <c r="J1629" s="263" t="s">
        <v>437</v>
      </c>
    </row>
    <row r="1630" spans="1:10" x14ac:dyDescent="0.15">
      <c r="A1630" s="263" t="s">
        <v>4351</v>
      </c>
      <c r="B1630" s="263" t="s">
        <v>4352</v>
      </c>
      <c r="C1630" s="263" t="s">
        <v>96</v>
      </c>
      <c r="D1630" s="263" t="s">
        <v>4353</v>
      </c>
      <c r="E1630" s="263" t="s">
        <v>97</v>
      </c>
      <c r="F1630">
        <v>0</v>
      </c>
      <c r="G1630">
        <v>2</v>
      </c>
      <c r="H1630" s="263" t="s">
        <v>436</v>
      </c>
      <c r="I1630" s="264"/>
      <c r="J1630" s="263" t="s">
        <v>437</v>
      </c>
    </row>
    <row r="1631" spans="1:10" x14ac:dyDescent="0.15">
      <c r="A1631" s="263" t="s">
        <v>4354</v>
      </c>
      <c r="B1631" s="263" t="s">
        <v>4355</v>
      </c>
      <c r="C1631" s="263" t="s">
        <v>96</v>
      </c>
      <c r="D1631" s="263" t="s">
        <v>4356</v>
      </c>
      <c r="E1631" s="263" t="s">
        <v>97</v>
      </c>
      <c r="F1631">
        <v>0</v>
      </c>
      <c r="G1631">
        <v>2</v>
      </c>
      <c r="H1631" s="263" t="s">
        <v>436</v>
      </c>
      <c r="I1631" s="264"/>
      <c r="J1631" s="263" t="s">
        <v>437</v>
      </c>
    </row>
    <row r="1632" spans="1:10" x14ac:dyDescent="0.15">
      <c r="A1632" s="263" t="s">
        <v>4357</v>
      </c>
      <c r="B1632" s="263" t="s">
        <v>4358</v>
      </c>
      <c r="C1632" s="263" t="s">
        <v>96</v>
      </c>
      <c r="D1632" s="263" t="s">
        <v>4359</v>
      </c>
      <c r="E1632" s="263" t="s">
        <v>97</v>
      </c>
      <c r="F1632">
        <v>0</v>
      </c>
      <c r="G1632">
        <v>2</v>
      </c>
      <c r="H1632" s="263" t="s">
        <v>436</v>
      </c>
      <c r="I1632" s="264"/>
      <c r="J1632" s="263" t="s">
        <v>437</v>
      </c>
    </row>
    <row r="1633" spans="1:10" x14ac:dyDescent="0.15">
      <c r="A1633" s="263" t="s">
        <v>4360</v>
      </c>
      <c r="B1633" s="263" t="s">
        <v>4361</v>
      </c>
      <c r="C1633" s="263" t="s">
        <v>96</v>
      </c>
      <c r="D1633" s="263" t="s">
        <v>4362</v>
      </c>
      <c r="E1633" s="263" t="s">
        <v>97</v>
      </c>
      <c r="F1633">
        <v>0</v>
      </c>
      <c r="G1633">
        <v>2</v>
      </c>
      <c r="H1633" s="263" t="s">
        <v>436</v>
      </c>
      <c r="I1633" s="264"/>
      <c r="J1633" s="263" t="s">
        <v>437</v>
      </c>
    </row>
    <row r="1634" spans="1:10" x14ac:dyDescent="0.15">
      <c r="A1634" s="263" t="s">
        <v>4363</v>
      </c>
      <c r="B1634" s="263" t="s">
        <v>4364</v>
      </c>
      <c r="C1634" s="263" t="s">
        <v>96</v>
      </c>
      <c r="D1634" s="263" t="s">
        <v>4365</v>
      </c>
      <c r="E1634" s="263" t="s">
        <v>97</v>
      </c>
      <c r="F1634">
        <v>0</v>
      </c>
      <c r="G1634">
        <v>2</v>
      </c>
      <c r="H1634" s="263" t="s">
        <v>436</v>
      </c>
      <c r="I1634" s="264"/>
      <c r="J1634" s="263" t="s">
        <v>437</v>
      </c>
    </row>
    <row r="1635" spans="1:10" x14ac:dyDescent="0.15">
      <c r="A1635" s="263" t="s">
        <v>4366</v>
      </c>
      <c r="B1635" s="263" t="s">
        <v>4367</v>
      </c>
      <c r="C1635" s="263" t="s">
        <v>96</v>
      </c>
      <c r="D1635" s="263" t="s">
        <v>4368</v>
      </c>
      <c r="E1635" s="263" t="s">
        <v>97</v>
      </c>
      <c r="F1635">
        <v>0</v>
      </c>
      <c r="G1635">
        <v>2</v>
      </c>
      <c r="H1635" s="263" t="s">
        <v>436</v>
      </c>
      <c r="I1635" s="264"/>
      <c r="J1635" s="263" t="s">
        <v>437</v>
      </c>
    </row>
    <row r="1636" spans="1:10" x14ac:dyDescent="0.15">
      <c r="A1636" s="263" t="s">
        <v>4369</v>
      </c>
      <c r="B1636" s="263" t="s">
        <v>4370</v>
      </c>
      <c r="C1636" s="263" t="s">
        <v>96</v>
      </c>
      <c r="D1636" s="263" t="s">
        <v>4371</v>
      </c>
      <c r="E1636" s="263" t="s">
        <v>97</v>
      </c>
      <c r="F1636">
        <v>0</v>
      </c>
      <c r="G1636">
        <v>2</v>
      </c>
      <c r="H1636" s="263" t="s">
        <v>436</v>
      </c>
      <c r="I1636" s="264"/>
      <c r="J1636" s="263" t="s">
        <v>437</v>
      </c>
    </row>
    <row r="1637" spans="1:10" x14ac:dyDescent="0.15">
      <c r="A1637" s="263" t="s">
        <v>4372</v>
      </c>
      <c r="B1637" s="263" t="s">
        <v>4373</v>
      </c>
      <c r="C1637" s="263" t="s">
        <v>96</v>
      </c>
      <c r="D1637" s="263" t="s">
        <v>4374</v>
      </c>
      <c r="E1637" s="263" t="s">
        <v>97</v>
      </c>
      <c r="F1637">
        <v>0</v>
      </c>
      <c r="G1637">
        <v>2</v>
      </c>
      <c r="H1637" s="263" t="s">
        <v>436</v>
      </c>
      <c r="I1637" s="264"/>
      <c r="J1637" s="263" t="s">
        <v>437</v>
      </c>
    </row>
    <row r="1638" spans="1:10" x14ac:dyDescent="0.15">
      <c r="A1638" s="263" t="s">
        <v>4375</v>
      </c>
      <c r="B1638" s="263" t="s">
        <v>4376</v>
      </c>
      <c r="C1638" s="263" t="s">
        <v>96</v>
      </c>
      <c r="D1638" s="263" t="s">
        <v>4377</v>
      </c>
      <c r="E1638" s="263" t="s">
        <v>97</v>
      </c>
      <c r="F1638">
        <v>0</v>
      </c>
      <c r="G1638">
        <v>2</v>
      </c>
      <c r="H1638" s="263" t="s">
        <v>436</v>
      </c>
      <c r="I1638" s="264"/>
      <c r="J1638" s="263" t="s">
        <v>437</v>
      </c>
    </row>
    <row r="1639" spans="1:10" x14ac:dyDescent="0.15">
      <c r="A1639" s="263" t="s">
        <v>4378</v>
      </c>
      <c r="B1639" s="263" t="s">
        <v>4379</v>
      </c>
      <c r="C1639" s="263" t="s">
        <v>96</v>
      </c>
      <c r="D1639" s="263" t="s">
        <v>4380</v>
      </c>
      <c r="E1639" s="263" t="s">
        <v>97</v>
      </c>
      <c r="F1639">
        <v>0</v>
      </c>
      <c r="G1639">
        <v>2</v>
      </c>
      <c r="H1639" s="263" t="s">
        <v>436</v>
      </c>
      <c r="I1639" s="264"/>
      <c r="J1639" s="263" t="s">
        <v>437</v>
      </c>
    </row>
    <row r="1640" spans="1:10" x14ac:dyDescent="0.15">
      <c r="A1640" s="263" t="s">
        <v>4381</v>
      </c>
      <c r="B1640" s="263" t="s">
        <v>4382</v>
      </c>
      <c r="C1640" s="263" t="s">
        <v>96</v>
      </c>
      <c r="D1640" s="263" t="s">
        <v>4383</v>
      </c>
      <c r="E1640" s="263" t="s">
        <v>97</v>
      </c>
      <c r="F1640">
        <v>0</v>
      </c>
      <c r="G1640">
        <v>2</v>
      </c>
      <c r="H1640" s="263" t="s">
        <v>436</v>
      </c>
      <c r="I1640" s="264"/>
      <c r="J1640" s="263" t="s">
        <v>437</v>
      </c>
    </row>
    <row r="1641" spans="1:10" x14ac:dyDescent="0.15">
      <c r="A1641" s="263" t="s">
        <v>4384</v>
      </c>
      <c r="B1641" s="263" t="s">
        <v>4385</v>
      </c>
      <c r="C1641" s="263" t="s">
        <v>96</v>
      </c>
      <c r="D1641" s="263" t="s">
        <v>4386</v>
      </c>
      <c r="E1641" s="263" t="s">
        <v>97</v>
      </c>
      <c r="F1641">
        <v>0</v>
      </c>
      <c r="G1641">
        <v>2</v>
      </c>
      <c r="H1641" s="263" t="s">
        <v>436</v>
      </c>
      <c r="I1641" s="264"/>
      <c r="J1641" s="263" t="s">
        <v>437</v>
      </c>
    </row>
    <row r="1642" spans="1:10" x14ac:dyDescent="0.15">
      <c r="A1642" s="263" t="s">
        <v>4387</v>
      </c>
      <c r="B1642" s="263" t="s">
        <v>4388</v>
      </c>
      <c r="C1642" s="263" t="s">
        <v>96</v>
      </c>
      <c r="D1642" s="263" t="s">
        <v>4389</v>
      </c>
      <c r="E1642" s="263" t="s">
        <v>97</v>
      </c>
      <c r="F1642">
        <v>0</v>
      </c>
      <c r="G1642">
        <v>2</v>
      </c>
      <c r="H1642" s="263" t="s">
        <v>436</v>
      </c>
      <c r="I1642" s="264"/>
      <c r="J1642" s="263" t="s">
        <v>437</v>
      </c>
    </row>
    <row r="1643" spans="1:10" x14ac:dyDescent="0.15">
      <c r="A1643" s="263" t="s">
        <v>4390</v>
      </c>
      <c r="B1643" s="263" t="s">
        <v>4391</v>
      </c>
      <c r="C1643" s="263" t="s">
        <v>96</v>
      </c>
      <c r="D1643" s="263" t="s">
        <v>4392</v>
      </c>
      <c r="E1643" s="263" t="s">
        <v>97</v>
      </c>
      <c r="F1643">
        <v>0</v>
      </c>
      <c r="G1643">
        <v>2</v>
      </c>
      <c r="H1643" s="263" t="s">
        <v>436</v>
      </c>
      <c r="I1643" s="264"/>
      <c r="J1643" s="263" t="s">
        <v>437</v>
      </c>
    </row>
    <row r="1644" spans="1:10" x14ac:dyDescent="0.15">
      <c r="A1644" s="263" t="s">
        <v>4393</v>
      </c>
      <c r="B1644" s="263" t="s">
        <v>4394</v>
      </c>
      <c r="C1644" s="263" t="s">
        <v>96</v>
      </c>
      <c r="D1644" s="263" t="s">
        <v>4395</v>
      </c>
      <c r="E1644" s="263" t="s">
        <v>97</v>
      </c>
      <c r="F1644">
        <v>0</v>
      </c>
      <c r="G1644">
        <v>2</v>
      </c>
      <c r="H1644" s="263" t="s">
        <v>436</v>
      </c>
      <c r="I1644" s="264"/>
      <c r="J1644" s="263" t="s">
        <v>437</v>
      </c>
    </row>
    <row r="1645" spans="1:10" x14ac:dyDescent="0.15">
      <c r="A1645" s="263" t="s">
        <v>4396</v>
      </c>
      <c r="B1645" s="263" t="s">
        <v>4397</v>
      </c>
      <c r="C1645" s="263" t="s">
        <v>96</v>
      </c>
      <c r="D1645" s="263" t="s">
        <v>4398</v>
      </c>
      <c r="E1645" s="263" t="s">
        <v>97</v>
      </c>
      <c r="F1645">
        <v>0</v>
      </c>
      <c r="G1645">
        <v>2</v>
      </c>
      <c r="H1645" s="263" t="s">
        <v>436</v>
      </c>
      <c r="I1645" s="264"/>
      <c r="J1645" s="263" t="s">
        <v>437</v>
      </c>
    </row>
    <row r="1646" spans="1:10" x14ac:dyDescent="0.15">
      <c r="A1646" s="263" t="s">
        <v>4399</v>
      </c>
      <c r="B1646" s="263" t="s">
        <v>4400</v>
      </c>
      <c r="C1646" s="263" t="s">
        <v>96</v>
      </c>
      <c r="D1646" s="263" t="s">
        <v>4401</v>
      </c>
      <c r="E1646" s="263" t="s">
        <v>97</v>
      </c>
      <c r="F1646">
        <v>0</v>
      </c>
      <c r="G1646">
        <v>2</v>
      </c>
      <c r="H1646" s="263" t="s">
        <v>436</v>
      </c>
      <c r="I1646" s="264"/>
      <c r="J1646" s="263" t="s">
        <v>437</v>
      </c>
    </row>
    <row r="1647" spans="1:10" x14ac:dyDescent="0.15">
      <c r="A1647" s="263" t="s">
        <v>4402</v>
      </c>
      <c r="B1647" s="263" t="s">
        <v>4403</v>
      </c>
      <c r="C1647" s="263" t="s">
        <v>96</v>
      </c>
      <c r="D1647" s="263" t="s">
        <v>4404</v>
      </c>
      <c r="E1647" s="263" t="s">
        <v>97</v>
      </c>
      <c r="F1647">
        <v>0</v>
      </c>
      <c r="G1647">
        <v>2</v>
      </c>
      <c r="H1647" s="263" t="s">
        <v>436</v>
      </c>
      <c r="I1647" s="264"/>
      <c r="J1647" s="263" t="s">
        <v>437</v>
      </c>
    </row>
    <row r="1648" spans="1:10" x14ac:dyDescent="0.15">
      <c r="A1648" s="263" t="s">
        <v>4405</v>
      </c>
      <c r="B1648" s="263" t="s">
        <v>4406</v>
      </c>
      <c r="C1648" s="263" t="s">
        <v>96</v>
      </c>
      <c r="D1648" s="263" t="s">
        <v>4407</v>
      </c>
      <c r="E1648" s="263" t="s">
        <v>97</v>
      </c>
      <c r="F1648">
        <v>0</v>
      </c>
      <c r="G1648">
        <v>2</v>
      </c>
      <c r="H1648" s="263" t="s">
        <v>436</v>
      </c>
      <c r="I1648" s="264"/>
      <c r="J1648" s="263" t="s">
        <v>437</v>
      </c>
    </row>
    <row r="1649" spans="1:10" x14ac:dyDescent="0.15">
      <c r="A1649" s="263" t="s">
        <v>4408</v>
      </c>
      <c r="B1649" s="263" t="s">
        <v>4409</v>
      </c>
      <c r="C1649" s="263" t="s">
        <v>96</v>
      </c>
      <c r="D1649" s="263" t="s">
        <v>4410</v>
      </c>
      <c r="E1649" s="263" t="s">
        <v>97</v>
      </c>
      <c r="F1649">
        <v>0</v>
      </c>
      <c r="G1649">
        <v>2</v>
      </c>
      <c r="H1649" s="263" t="s">
        <v>436</v>
      </c>
      <c r="I1649" s="264"/>
      <c r="J1649" s="263" t="s">
        <v>437</v>
      </c>
    </row>
    <row r="1650" spans="1:10" x14ac:dyDescent="0.15">
      <c r="A1650" s="263" t="s">
        <v>4411</v>
      </c>
      <c r="B1650" s="263" t="s">
        <v>4412</v>
      </c>
      <c r="C1650" s="263" t="s">
        <v>96</v>
      </c>
      <c r="D1650" s="263" t="s">
        <v>4413</v>
      </c>
      <c r="E1650" s="263" t="s">
        <v>97</v>
      </c>
      <c r="F1650">
        <v>0</v>
      </c>
      <c r="G1650">
        <v>2</v>
      </c>
      <c r="H1650" s="263" t="s">
        <v>436</v>
      </c>
      <c r="I1650" s="264"/>
      <c r="J1650" s="263" t="s">
        <v>437</v>
      </c>
    </row>
    <row r="1651" spans="1:10" x14ac:dyDescent="0.15">
      <c r="A1651" s="263" t="s">
        <v>4414</v>
      </c>
      <c r="B1651" s="263" t="s">
        <v>4415</v>
      </c>
      <c r="C1651" s="263" t="s">
        <v>96</v>
      </c>
      <c r="D1651" s="263" t="s">
        <v>4416</v>
      </c>
      <c r="E1651" s="263" t="s">
        <v>97</v>
      </c>
      <c r="F1651">
        <v>0</v>
      </c>
      <c r="G1651">
        <v>2</v>
      </c>
      <c r="H1651" s="263" t="s">
        <v>436</v>
      </c>
      <c r="I1651" s="264"/>
      <c r="J1651" s="263" t="s">
        <v>437</v>
      </c>
    </row>
    <row r="1652" spans="1:10" x14ac:dyDescent="0.15">
      <c r="A1652" s="263" t="s">
        <v>4417</v>
      </c>
      <c r="B1652" s="263" t="s">
        <v>4418</v>
      </c>
      <c r="C1652" s="263" t="s">
        <v>96</v>
      </c>
      <c r="D1652" s="263" t="s">
        <v>4419</v>
      </c>
      <c r="E1652" s="263" t="s">
        <v>97</v>
      </c>
      <c r="F1652">
        <v>0</v>
      </c>
      <c r="G1652">
        <v>2</v>
      </c>
      <c r="H1652" s="263" t="s">
        <v>436</v>
      </c>
      <c r="I1652" s="264"/>
      <c r="J1652" s="263" t="s">
        <v>437</v>
      </c>
    </row>
    <row r="1653" spans="1:10" x14ac:dyDescent="0.15">
      <c r="A1653" s="263" t="s">
        <v>4420</v>
      </c>
      <c r="B1653" s="263" t="s">
        <v>4421</v>
      </c>
      <c r="C1653" s="263" t="s">
        <v>96</v>
      </c>
      <c r="D1653" s="263" t="s">
        <v>4422</v>
      </c>
      <c r="E1653" s="263" t="s">
        <v>97</v>
      </c>
      <c r="F1653">
        <v>0</v>
      </c>
      <c r="G1653">
        <v>2</v>
      </c>
      <c r="H1653" s="263" t="s">
        <v>436</v>
      </c>
      <c r="I1653" s="264"/>
      <c r="J1653" s="263" t="s">
        <v>437</v>
      </c>
    </row>
    <row r="1654" spans="1:10" x14ac:dyDescent="0.15">
      <c r="A1654" s="263" t="s">
        <v>4423</v>
      </c>
      <c r="B1654" s="263" t="s">
        <v>4424</v>
      </c>
      <c r="C1654" s="263" t="s">
        <v>96</v>
      </c>
      <c r="D1654" s="263" t="s">
        <v>4425</v>
      </c>
      <c r="E1654" s="263" t="s">
        <v>97</v>
      </c>
      <c r="F1654">
        <v>0</v>
      </c>
      <c r="G1654">
        <v>2</v>
      </c>
      <c r="H1654" s="263" t="s">
        <v>436</v>
      </c>
      <c r="I1654" s="264"/>
      <c r="J1654" s="263" t="s">
        <v>437</v>
      </c>
    </row>
    <row r="1655" spans="1:10" x14ac:dyDescent="0.15">
      <c r="A1655" s="263" t="s">
        <v>4426</v>
      </c>
      <c r="B1655" s="263" t="s">
        <v>4427</v>
      </c>
      <c r="C1655" s="263" t="s">
        <v>96</v>
      </c>
      <c r="D1655" s="263" t="s">
        <v>4428</v>
      </c>
      <c r="E1655" s="263" t="s">
        <v>97</v>
      </c>
      <c r="F1655">
        <v>0</v>
      </c>
      <c r="G1655">
        <v>2</v>
      </c>
      <c r="H1655" s="263" t="s">
        <v>436</v>
      </c>
      <c r="I1655" s="264"/>
      <c r="J1655" s="263" t="s">
        <v>437</v>
      </c>
    </row>
    <row r="1656" spans="1:10" x14ac:dyDescent="0.15">
      <c r="A1656" s="263" t="s">
        <v>4429</v>
      </c>
      <c r="B1656" s="263" t="s">
        <v>4430</v>
      </c>
      <c r="C1656" s="263" t="s">
        <v>96</v>
      </c>
      <c r="D1656" s="263" t="s">
        <v>4431</v>
      </c>
      <c r="E1656" s="263" t="s">
        <v>97</v>
      </c>
      <c r="F1656">
        <v>0</v>
      </c>
      <c r="G1656">
        <v>2</v>
      </c>
      <c r="H1656" s="263" t="s">
        <v>436</v>
      </c>
      <c r="I1656" s="264"/>
      <c r="J1656" s="263" t="s">
        <v>437</v>
      </c>
    </row>
    <row r="1657" spans="1:10" x14ac:dyDescent="0.15">
      <c r="A1657" s="263" t="s">
        <v>4432</v>
      </c>
      <c r="B1657" s="263" t="s">
        <v>4433</v>
      </c>
      <c r="C1657" s="263" t="s">
        <v>96</v>
      </c>
      <c r="D1657" s="263" t="s">
        <v>4434</v>
      </c>
      <c r="E1657" s="263" t="s">
        <v>97</v>
      </c>
      <c r="F1657">
        <v>0</v>
      </c>
      <c r="G1657">
        <v>2</v>
      </c>
      <c r="H1657" s="263" t="s">
        <v>436</v>
      </c>
      <c r="I1657" s="264"/>
      <c r="J1657" s="263" t="s">
        <v>437</v>
      </c>
    </row>
    <row r="1658" spans="1:10" x14ac:dyDescent="0.15">
      <c r="A1658" s="263" t="s">
        <v>4435</v>
      </c>
      <c r="B1658" s="263" t="s">
        <v>4436</v>
      </c>
      <c r="C1658" s="263" t="s">
        <v>96</v>
      </c>
      <c r="D1658" s="263" t="s">
        <v>4437</v>
      </c>
      <c r="E1658" s="263" t="s">
        <v>97</v>
      </c>
      <c r="F1658">
        <v>0</v>
      </c>
      <c r="G1658">
        <v>2</v>
      </c>
      <c r="H1658" s="263" t="s">
        <v>436</v>
      </c>
      <c r="I1658" s="264"/>
      <c r="J1658" s="263" t="s">
        <v>437</v>
      </c>
    </row>
    <row r="1659" spans="1:10" x14ac:dyDescent="0.15">
      <c r="A1659" s="263" t="s">
        <v>4438</v>
      </c>
      <c r="B1659" s="263" t="s">
        <v>4439</v>
      </c>
      <c r="C1659" s="263" t="s">
        <v>96</v>
      </c>
      <c r="D1659" s="263" t="s">
        <v>4440</v>
      </c>
      <c r="E1659" s="263" t="s">
        <v>97</v>
      </c>
      <c r="F1659">
        <v>0</v>
      </c>
      <c r="G1659">
        <v>2</v>
      </c>
      <c r="H1659" s="263" t="s">
        <v>436</v>
      </c>
      <c r="I1659" s="264"/>
      <c r="J1659" s="263" t="s">
        <v>437</v>
      </c>
    </row>
    <row r="1660" spans="1:10" x14ac:dyDescent="0.15">
      <c r="A1660" s="263" t="s">
        <v>4441</v>
      </c>
      <c r="B1660" s="263" t="s">
        <v>4442</v>
      </c>
      <c r="C1660" s="263" t="s">
        <v>96</v>
      </c>
      <c r="D1660" s="263" t="s">
        <v>4443</v>
      </c>
      <c r="E1660" s="263" t="s">
        <v>97</v>
      </c>
      <c r="F1660">
        <v>0</v>
      </c>
      <c r="G1660">
        <v>2</v>
      </c>
      <c r="H1660" s="263" t="s">
        <v>436</v>
      </c>
      <c r="I1660" s="264"/>
      <c r="J1660" s="263" t="s">
        <v>437</v>
      </c>
    </row>
    <row r="1661" spans="1:10" x14ac:dyDescent="0.15">
      <c r="A1661" s="263" t="s">
        <v>4444</v>
      </c>
      <c r="B1661" s="263" t="s">
        <v>4445</v>
      </c>
      <c r="C1661" s="263" t="s">
        <v>96</v>
      </c>
      <c r="D1661" s="263" t="s">
        <v>4446</v>
      </c>
      <c r="E1661" s="263" t="s">
        <v>97</v>
      </c>
      <c r="F1661">
        <v>0</v>
      </c>
      <c r="G1661">
        <v>2</v>
      </c>
      <c r="H1661" s="263" t="s">
        <v>436</v>
      </c>
      <c r="I1661" s="264"/>
      <c r="J1661" s="263" t="s">
        <v>437</v>
      </c>
    </row>
    <row r="1662" spans="1:10" x14ac:dyDescent="0.15">
      <c r="A1662" s="263" t="s">
        <v>4447</v>
      </c>
      <c r="B1662" s="263" t="s">
        <v>4448</v>
      </c>
      <c r="C1662" s="263" t="s">
        <v>96</v>
      </c>
      <c r="D1662" s="263" t="s">
        <v>4449</v>
      </c>
      <c r="E1662" s="263" t="s">
        <v>97</v>
      </c>
      <c r="F1662">
        <v>0</v>
      </c>
      <c r="G1662">
        <v>2</v>
      </c>
      <c r="H1662" s="263" t="s">
        <v>436</v>
      </c>
      <c r="I1662" s="264"/>
      <c r="J1662" s="263" t="s">
        <v>437</v>
      </c>
    </row>
    <row r="1663" spans="1:10" x14ac:dyDescent="0.15">
      <c r="A1663" s="263" t="s">
        <v>4450</v>
      </c>
      <c r="B1663" s="263" t="s">
        <v>4451</v>
      </c>
      <c r="C1663" s="263" t="s">
        <v>96</v>
      </c>
      <c r="D1663" s="263" t="s">
        <v>4452</v>
      </c>
      <c r="E1663" s="263" t="s">
        <v>97</v>
      </c>
      <c r="F1663">
        <v>0</v>
      </c>
      <c r="G1663">
        <v>2</v>
      </c>
      <c r="H1663" s="263" t="s">
        <v>436</v>
      </c>
      <c r="I1663" s="264"/>
      <c r="J1663" s="263" t="s">
        <v>437</v>
      </c>
    </row>
    <row r="1664" spans="1:10" x14ac:dyDescent="0.15">
      <c r="A1664" s="263" t="s">
        <v>4453</v>
      </c>
      <c r="B1664" s="263" t="s">
        <v>4454</v>
      </c>
      <c r="C1664" s="263" t="s">
        <v>96</v>
      </c>
      <c r="D1664" s="263" t="s">
        <v>4455</v>
      </c>
      <c r="E1664" s="263" t="s">
        <v>97</v>
      </c>
      <c r="F1664">
        <v>0</v>
      </c>
      <c r="G1664">
        <v>2</v>
      </c>
      <c r="H1664" s="263" t="s">
        <v>436</v>
      </c>
      <c r="I1664" s="264"/>
      <c r="J1664" s="263" t="s">
        <v>437</v>
      </c>
    </row>
    <row r="1665" spans="1:10" x14ac:dyDescent="0.15">
      <c r="A1665" s="263" t="s">
        <v>4456</v>
      </c>
      <c r="B1665" s="263" t="s">
        <v>4457</v>
      </c>
      <c r="C1665" s="263" t="s">
        <v>96</v>
      </c>
      <c r="D1665" s="263" t="s">
        <v>4458</v>
      </c>
      <c r="E1665" s="263" t="s">
        <v>97</v>
      </c>
      <c r="F1665">
        <v>0</v>
      </c>
      <c r="G1665">
        <v>2</v>
      </c>
      <c r="H1665" s="263" t="s">
        <v>436</v>
      </c>
      <c r="I1665" s="264"/>
      <c r="J1665" s="263" t="s">
        <v>437</v>
      </c>
    </row>
    <row r="1666" spans="1:10" x14ac:dyDescent="0.15">
      <c r="A1666" s="263" t="s">
        <v>4459</v>
      </c>
      <c r="B1666" s="263" t="s">
        <v>4460</v>
      </c>
      <c r="C1666" s="263" t="s">
        <v>96</v>
      </c>
      <c r="D1666" s="263" t="s">
        <v>4461</v>
      </c>
      <c r="E1666" s="263" t="s">
        <v>97</v>
      </c>
      <c r="F1666">
        <v>0</v>
      </c>
      <c r="G1666">
        <v>2</v>
      </c>
      <c r="H1666" s="263" t="s">
        <v>436</v>
      </c>
      <c r="I1666" s="264"/>
      <c r="J1666" s="263" t="s">
        <v>437</v>
      </c>
    </row>
    <row r="1667" spans="1:10" x14ac:dyDescent="0.15">
      <c r="A1667" s="263" t="s">
        <v>4462</v>
      </c>
      <c r="B1667" s="263" t="s">
        <v>4463</v>
      </c>
      <c r="C1667" s="263" t="s">
        <v>96</v>
      </c>
      <c r="D1667" s="263" t="s">
        <v>4464</v>
      </c>
      <c r="E1667" s="263" t="s">
        <v>97</v>
      </c>
      <c r="F1667">
        <v>0</v>
      </c>
      <c r="G1667">
        <v>2</v>
      </c>
      <c r="H1667" s="263" t="s">
        <v>436</v>
      </c>
      <c r="I1667" s="264"/>
      <c r="J1667" s="263" t="s">
        <v>437</v>
      </c>
    </row>
    <row r="1668" spans="1:10" x14ac:dyDescent="0.15">
      <c r="A1668" s="263" t="s">
        <v>4465</v>
      </c>
      <c r="B1668" s="263" t="s">
        <v>4466</v>
      </c>
      <c r="C1668" s="263" t="s">
        <v>96</v>
      </c>
      <c r="D1668" s="263" t="s">
        <v>4467</v>
      </c>
      <c r="E1668" s="263" t="s">
        <v>97</v>
      </c>
      <c r="F1668">
        <v>0</v>
      </c>
      <c r="G1668">
        <v>2</v>
      </c>
      <c r="H1668" s="263" t="s">
        <v>436</v>
      </c>
      <c r="I1668" s="264"/>
      <c r="J1668" s="263" t="s">
        <v>437</v>
      </c>
    </row>
    <row r="1669" spans="1:10" x14ac:dyDescent="0.15">
      <c r="A1669" s="263" t="s">
        <v>4468</v>
      </c>
      <c r="B1669" s="263" t="s">
        <v>4469</v>
      </c>
      <c r="C1669" s="263" t="s">
        <v>96</v>
      </c>
      <c r="D1669" s="263" t="s">
        <v>4470</v>
      </c>
      <c r="E1669" s="263" t="s">
        <v>97</v>
      </c>
      <c r="F1669">
        <v>0</v>
      </c>
      <c r="G1669">
        <v>2</v>
      </c>
      <c r="H1669" s="263" t="s">
        <v>436</v>
      </c>
      <c r="I1669" s="264"/>
      <c r="J1669" s="263" t="s">
        <v>437</v>
      </c>
    </row>
    <row r="1670" spans="1:10" x14ac:dyDescent="0.15">
      <c r="A1670" s="263" t="s">
        <v>4471</v>
      </c>
      <c r="B1670" s="263" t="s">
        <v>4472</v>
      </c>
      <c r="C1670" s="263" t="s">
        <v>96</v>
      </c>
      <c r="D1670" s="263" t="s">
        <v>4473</v>
      </c>
      <c r="E1670" s="263" t="s">
        <v>97</v>
      </c>
      <c r="F1670">
        <v>0</v>
      </c>
      <c r="G1670">
        <v>2</v>
      </c>
      <c r="H1670" s="263" t="s">
        <v>436</v>
      </c>
      <c r="I1670" s="264"/>
      <c r="J1670" s="263" t="s">
        <v>437</v>
      </c>
    </row>
    <row r="1671" spans="1:10" x14ac:dyDescent="0.15">
      <c r="A1671" s="263" t="s">
        <v>4474</v>
      </c>
      <c r="B1671" s="263" t="s">
        <v>4475</v>
      </c>
      <c r="C1671" s="263" t="s">
        <v>96</v>
      </c>
      <c r="D1671" s="263" t="s">
        <v>4476</v>
      </c>
      <c r="E1671" s="263" t="s">
        <v>97</v>
      </c>
      <c r="F1671">
        <v>0</v>
      </c>
      <c r="G1671">
        <v>2</v>
      </c>
      <c r="H1671" s="263" t="s">
        <v>436</v>
      </c>
      <c r="I1671" s="264"/>
      <c r="J1671" s="263" t="s">
        <v>437</v>
      </c>
    </row>
    <row r="1672" spans="1:10" x14ac:dyDescent="0.15">
      <c r="A1672" s="263" t="s">
        <v>4477</v>
      </c>
      <c r="B1672" s="263" t="s">
        <v>4478</v>
      </c>
      <c r="C1672" s="263" t="s">
        <v>96</v>
      </c>
      <c r="D1672" s="263" t="s">
        <v>4479</v>
      </c>
      <c r="E1672" s="263" t="s">
        <v>97</v>
      </c>
      <c r="F1672">
        <v>0</v>
      </c>
      <c r="G1672">
        <v>2</v>
      </c>
      <c r="H1672" s="263" t="s">
        <v>436</v>
      </c>
      <c r="I1672" s="264"/>
      <c r="J1672" s="263" t="s">
        <v>437</v>
      </c>
    </row>
    <row r="1673" spans="1:10" x14ac:dyDescent="0.15">
      <c r="A1673" s="263" t="s">
        <v>4480</v>
      </c>
      <c r="B1673" s="263" t="s">
        <v>4481</v>
      </c>
      <c r="C1673" s="263" t="s">
        <v>96</v>
      </c>
      <c r="D1673" s="263" t="s">
        <v>4482</v>
      </c>
      <c r="E1673" s="263" t="s">
        <v>97</v>
      </c>
      <c r="F1673">
        <v>0</v>
      </c>
      <c r="G1673">
        <v>2</v>
      </c>
      <c r="H1673" s="263" t="s">
        <v>436</v>
      </c>
      <c r="I1673" s="264"/>
      <c r="J1673" s="263" t="s">
        <v>437</v>
      </c>
    </row>
    <row r="1674" spans="1:10" x14ac:dyDescent="0.15">
      <c r="A1674" s="263" t="s">
        <v>4483</v>
      </c>
      <c r="B1674" s="263" t="s">
        <v>4484</v>
      </c>
      <c r="C1674" s="263" t="s">
        <v>96</v>
      </c>
      <c r="D1674" s="263" t="s">
        <v>4485</v>
      </c>
      <c r="E1674" s="263" t="s">
        <v>97</v>
      </c>
      <c r="F1674">
        <v>0</v>
      </c>
      <c r="G1674">
        <v>2</v>
      </c>
      <c r="H1674" s="263" t="s">
        <v>436</v>
      </c>
      <c r="I1674" s="264"/>
      <c r="J1674" s="263" t="s">
        <v>437</v>
      </c>
    </row>
    <row r="1675" spans="1:10" x14ac:dyDescent="0.15">
      <c r="A1675" s="263" t="s">
        <v>4486</v>
      </c>
      <c r="B1675" s="263" t="s">
        <v>4487</v>
      </c>
      <c r="C1675" s="263" t="s">
        <v>96</v>
      </c>
      <c r="D1675" s="263" t="s">
        <v>4488</v>
      </c>
      <c r="E1675" s="263" t="s">
        <v>97</v>
      </c>
      <c r="F1675">
        <v>0</v>
      </c>
      <c r="G1675">
        <v>2</v>
      </c>
      <c r="H1675" s="263" t="s">
        <v>436</v>
      </c>
      <c r="I1675" s="264"/>
      <c r="J1675" s="263" t="s">
        <v>437</v>
      </c>
    </row>
    <row r="1676" spans="1:10" x14ac:dyDescent="0.15">
      <c r="A1676" s="263" t="s">
        <v>4489</v>
      </c>
      <c r="B1676" s="263" t="s">
        <v>4490</v>
      </c>
      <c r="C1676" s="263" t="s">
        <v>96</v>
      </c>
      <c r="D1676" s="263" t="s">
        <v>4491</v>
      </c>
      <c r="E1676" s="263" t="s">
        <v>97</v>
      </c>
      <c r="F1676">
        <v>0</v>
      </c>
      <c r="G1676">
        <v>2</v>
      </c>
      <c r="H1676" s="263" t="s">
        <v>436</v>
      </c>
      <c r="I1676" s="264"/>
      <c r="J1676" s="263" t="s">
        <v>437</v>
      </c>
    </row>
    <row r="1677" spans="1:10" x14ac:dyDescent="0.15">
      <c r="A1677" s="263" t="s">
        <v>4492</v>
      </c>
      <c r="B1677" s="263" t="s">
        <v>4493</v>
      </c>
      <c r="C1677" s="263" t="s">
        <v>96</v>
      </c>
      <c r="D1677" s="263" t="s">
        <v>4494</v>
      </c>
      <c r="E1677" s="263" t="s">
        <v>97</v>
      </c>
      <c r="F1677">
        <v>0</v>
      </c>
      <c r="G1677">
        <v>2</v>
      </c>
      <c r="H1677" s="263" t="s">
        <v>436</v>
      </c>
      <c r="I1677" s="264"/>
      <c r="J1677" s="263" t="s">
        <v>437</v>
      </c>
    </row>
    <row r="1678" spans="1:10" x14ac:dyDescent="0.15">
      <c r="A1678" s="263" t="s">
        <v>4495</v>
      </c>
      <c r="B1678" s="263" t="s">
        <v>4496</v>
      </c>
      <c r="C1678" s="263" t="s">
        <v>96</v>
      </c>
      <c r="D1678" s="263" t="s">
        <v>4497</v>
      </c>
      <c r="E1678" s="263" t="s">
        <v>97</v>
      </c>
      <c r="F1678">
        <v>0</v>
      </c>
      <c r="G1678">
        <v>2</v>
      </c>
      <c r="H1678" s="263" t="s">
        <v>436</v>
      </c>
      <c r="I1678" s="264"/>
      <c r="J1678" s="263" t="s">
        <v>437</v>
      </c>
    </row>
    <row r="1679" spans="1:10" x14ac:dyDescent="0.15">
      <c r="A1679" s="263" t="s">
        <v>4498</v>
      </c>
      <c r="B1679" s="263" t="s">
        <v>4499</v>
      </c>
      <c r="C1679" s="263" t="s">
        <v>96</v>
      </c>
      <c r="D1679" s="263" t="s">
        <v>4500</v>
      </c>
      <c r="E1679" s="263" t="s">
        <v>97</v>
      </c>
      <c r="F1679">
        <v>0</v>
      </c>
      <c r="G1679">
        <v>2</v>
      </c>
      <c r="H1679" s="263" t="s">
        <v>436</v>
      </c>
      <c r="I1679" s="264"/>
      <c r="J1679" s="263" t="s">
        <v>437</v>
      </c>
    </row>
    <row r="1680" spans="1:10" x14ac:dyDescent="0.15">
      <c r="A1680" s="263" t="s">
        <v>4501</v>
      </c>
      <c r="B1680" s="263" t="s">
        <v>4502</v>
      </c>
      <c r="C1680" s="263" t="s">
        <v>96</v>
      </c>
      <c r="D1680" s="263" t="s">
        <v>4503</v>
      </c>
      <c r="E1680" s="263" t="s">
        <v>97</v>
      </c>
      <c r="F1680">
        <v>0</v>
      </c>
      <c r="G1680">
        <v>2</v>
      </c>
      <c r="H1680" s="263" t="s">
        <v>436</v>
      </c>
      <c r="I1680" s="264"/>
      <c r="J1680" s="263" t="s">
        <v>437</v>
      </c>
    </row>
    <row r="1681" spans="1:10" x14ac:dyDescent="0.15">
      <c r="A1681" s="263" t="s">
        <v>4504</v>
      </c>
      <c r="B1681" s="263" t="s">
        <v>4505</v>
      </c>
      <c r="C1681" s="263" t="s">
        <v>96</v>
      </c>
      <c r="D1681" s="263" t="s">
        <v>4506</v>
      </c>
      <c r="E1681" s="263" t="s">
        <v>97</v>
      </c>
      <c r="F1681">
        <v>0</v>
      </c>
      <c r="G1681">
        <v>2</v>
      </c>
      <c r="H1681" s="263" t="s">
        <v>436</v>
      </c>
      <c r="I1681" s="264"/>
      <c r="J1681" s="263" t="s">
        <v>437</v>
      </c>
    </row>
    <row r="1682" spans="1:10" x14ac:dyDescent="0.15">
      <c r="A1682" s="263" t="s">
        <v>4507</v>
      </c>
      <c r="B1682" s="263" t="s">
        <v>4508</v>
      </c>
      <c r="C1682" s="263" t="s">
        <v>96</v>
      </c>
      <c r="D1682" s="263" t="s">
        <v>4509</v>
      </c>
      <c r="E1682" s="263" t="s">
        <v>97</v>
      </c>
      <c r="F1682">
        <v>0</v>
      </c>
      <c r="G1682">
        <v>2</v>
      </c>
      <c r="H1682" s="263" t="s">
        <v>436</v>
      </c>
      <c r="I1682" s="264"/>
      <c r="J1682" s="263" t="s">
        <v>437</v>
      </c>
    </row>
    <row r="1683" spans="1:10" x14ac:dyDescent="0.15">
      <c r="A1683" s="263" t="s">
        <v>4510</v>
      </c>
      <c r="B1683" s="263" t="s">
        <v>4511</v>
      </c>
      <c r="C1683" s="263" t="s">
        <v>96</v>
      </c>
      <c r="D1683" s="263" t="s">
        <v>4512</v>
      </c>
      <c r="E1683" s="263" t="s">
        <v>97</v>
      </c>
      <c r="F1683">
        <v>0</v>
      </c>
      <c r="G1683">
        <v>2</v>
      </c>
      <c r="H1683" s="263" t="s">
        <v>436</v>
      </c>
      <c r="I1683" s="264"/>
      <c r="J1683" s="263" t="s">
        <v>437</v>
      </c>
    </row>
    <row r="1684" spans="1:10" x14ac:dyDescent="0.15">
      <c r="A1684" s="263" t="s">
        <v>4513</v>
      </c>
      <c r="B1684" s="263" t="s">
        <v>4514</v>
      </c>
      <c r="C1684" s="263" t="s">
        <v>96</v>
      </c>
      <c r="D1684" s="263" t="s">
        <v>4515</v>
      </c>
      <c r="E1684" s="263" t="s">
        <v>97</v>
      </c>
      <c r="F1684">
        <v>0</v>
      </c>
      <c r="G1684">
        <v>2</v>
      </c>
      <c r="H1684" s="263" t="s">
        <v>436</v>
      </c>
      <c r="I1684" s="264"/>
      <c r="J1684" s="263" t="s">
        <v>437</v>
      </c>
    </row>
    <row r="1685" spans="1:10" x14ac:dyDescent="0.15">
      <c r="A1685" s="263" t="s">
        <v>4516</v>
      </c>
      <c r="B1685" s="263" t="s">
        <v>4517</v>
      </c>
      <c r="C1685" s="263" t="s">
        <v>96</v>
      </c>
      <c r="D1685" s="263" t="s">
        <v>4518</v>
      </c>
      <c r="E1685" s="263" t="s">
        <v>97</v>
      </c>
      <c r="F1685">
        <v>0</v>
      </c>
      <c r="G1685">
        <v>2</v>
      </c>
      <c r="H1685" s="263" t="s">
        <v>436</v>
      </c>
      <c r="I1685" s="264"/>
      <c r="J1685" s="263" t="s">
        <v>437</v>
      </c>
    </row>
    <row r="1686" spans="1:10" x14ac:dyDescent="0.15">
      <c r="A1686" s="263" t="s">
        <v>4519</v>
      </c>
      <c r="B1686" s="263" t="s">
        <v>4520</v>
      </c>
      <c r="C1686" s="263" t="s">
        <v>96</v>
      </c>
      <c r="D1686" s="263" t="s">
        <v>4521</v>
      </c>
      <c r="E1686" s="263" t="s">
        <v>97</v>
      </c>
      <c r="F1686">
        <v>0</v>
      </c>
      <c r="G1686">
        <v>2</v>
      </c>
      <c r="H1686" s="263" t="s">
        <v>436</v>
      </c>
      <c r="I1686" s="264"/>
      <c r="J1686" s="263" t="s">
        <v>437</v>
      </c>
    </row>
    <row r="1687" spans="1:10" x14ac:dyDescent="0.15">
      <c r="A1687" s="263" t="s">
        <v>4522</v>
      </c>
      <c r="B1687" s="263" t="s">
        <v>4523</v>
      </c>
      <c r="C1687" s="263" t="s">
        <v>96</v>
      </c>
      <c r="D1687" s="263" t="s">
        <v>4524</v>
      </c>
      <c r="E1687" s="263" t="s">
        <v>97</v>
      </c>
      <c r="F1687">
        <v>0</v>
      </c>
      <c r="G1687">
        <v>2</v>
      </c>
      <c r="H1687" s="263" t="s">
        <v>436</v>
      </c>
      <c r="I1687" s="264"/>
      <c r="J1687" s="263" t="s">
        <v>437</v>
      </c>
    </row>
    <row r="1688" spans="1:10" x14ac:dyDescent="0.15">
      <c r="A1688" s="263" t="s">
        <v>4525</v>
      </c>
      <c r="B1688" s="263" t="s">
        <v>4526</v>
      </c>
      <c r="C1688" s="263" t="s">
        <v>96</v>
      </c>
      <c r="D1688" s="263" t="s">
        <v>4527</v>
      </c>
      <c r="E1688" s="263" t="s">
        <v>97</v>
      </c>
      <c r="F1688">
        <v>0</v>
      </c>
      <c r="G1688">
        <v>2</v>
      </c>
      <c r="H1688" s="263" t="s">
        <v>436</v>
      </c>
      <c r="I1688" s="264"/>
      <c r="J1688" s="263" t="s">
        <v>437</v>
      </c>
    </row>
    <row r="1689" spans="1:10" x14ac:dyDescent="0.15">
      <c r="A1689" s="263" t="s">
        <v>4528</v>
      </c>
      <c r="B1689" s="263" t="s">
        <v>4529</v>
      </c>
      <c r="C1689" s="263" t="s">
        <v>96</v>
      </c>
      <c r="D1689" s="263" t="s">
        <v>4530</v>
      </c>
      <c r="E1689" s="263" t="s">
        <v>97</v>
      </c>
      <c r="F1689">
        <v>0</v>
      </c>
      <c r="G1689">
        <v>2</v>
      </c>
      <c r="H1689" s="263" t="s">
        <v>436</v>
      </c>
      <c r="I1689" s="264"/>
      <c r="J1689" s="263" t="s">
        <v>437</v>
      </c>
    </row>
    <row r="1690" spans="1:10" x14ac:dyDescent="0.15">
      <c r="A1690" s="263" t="s">
        <v>4531</v>
      </c>
      <c r="B1690" s="263" t="s">
        <v>4532</v>
      </c>
      <c r="C1690" s="263" t="s">
        <v>96</v>
      </c>
      <c r="D1690" s="263" t="s">
        <v>4533</v>
      </c>
      <c r="E1690" s="263" t="s">
        <v>97</v>
      </c>
      <c r="F1690">
        <v>0</v>
      </c>
      <c r="G1690">
        <v>2</v>
      </c>
      <c r="H1690" s="263" t="s">
        <v>436</v>
      </c>
      <c r="I1690" s="264"/>
      <c r="J1690" s="263" t="s">
        <v>437</v>
      </c>
    </row>
    <row r="1691" spans="1:10" x14ac:dyDescent="0.15">
      <c r="A1691" s="263" t="s">
        <v>4534</v>
      </c>
      <c r="B1691" s="263" t="s">
        <v>4535</v>
      </c>
      <c r="C1691" s="263" t="s">
        <v>96</v>
      </c>
      <c r="D1691" s="263" t="s">
        <v>4536</v>
      </c>
      <c r="E1691" s="263" t="s">
        <v>97</v>
      </c>
      <c r="F1691">
        <v>0</v>
      </c>
      <c r="G1691">
        <v>2</v>
      </c>
      <c r="H1691" s="263" t="s">
        <v>436</v>
      </c>
      <c r="I1691" s="264"/>
      <c r="J1691" s="263" t="s">
        <v>437</v>
      </c>
    </row>
    <row r="1692" spans="1:10" x14ac:dyDescent="0.15">
      <c r="A1692" s="263" t="s">
        <v>4537</v>
      </c>
      <c r="B1692" s="263" t="s">
        <v>4538</v>
      </c>
      <c r="C1692" s="263" t="s">
        <v>96</v>
      </c>
      <c r="D1692" s="263" t="s">
        <v>4539</v>
      </c>
      <c r="E1692" s="263" t="s">
        <v>97</v>
      </c>
      <c r="F1692">
        <v>0</v>
      </c>
      <c r="G1692">
        <v>2</v>
      </c>
      <c r="H1692" s="263" t="s">
        <v>436</v>
      </c>
      <c r="I1692" s="264"/>
      <c r="J1692" s="263" t="s">
        <v>437</v>
      </c>
    </row>
    <row r="1693" spans="1:10" x14ac:dyDescent="0.15">
      <c r="A1693" s="263" t="s">
        <v>4540</v>
      </c>
      <c r="B1693" s="263" t="s">
        <v>4541</v>
      </c>
      <c r="C1693" s="263" t="s">
        <v>96</v>
      </c>
      <c r="D1693" s="263" t="s">
        <v>4542</v>
      </c>
      <c r="E1693" s="263" t="s">
        <v>97</v>
      </c>
      <c r="F1693">
        <v>0</v>
      </c>
      <c r="G1693">
        <v>2</v>
      </c>
      <c r="H1693" s="263" t="s">
        <v>436</v>
      </c>
      <c r="I1693" s="264"/>
      <c r="J1693" s="263" t="s">
        <v>437</v>
      </c>
    </row>
    <row r="1694" spans="1:10" x14ac:dyDescent="0.15">
      <c r="A1694" s="263" t="s">
        <v>4543</v>
      </c>
      <c r="B1694" s="263" t="s">
        <v>4544</v>
      </c>
      <c r="C1694" s="263" t="s">
        <v>96</v>
      </c>
      <c r="D1694" s="263" t="s">
        <v>4545</v>
      </c>
      <c r="E1694" s="263" t="s">
        <v>97</v>
      </c>
      <c r="F1694">
        <v>0</v>
      </c>
      <c r="G1694">
        <v>2</v>
      </c>
      <c r="H1694" s="263" t="s">
        <v>436</v>
      </c>
      <c r="I1694" s="264"/>
      <c r="J1694" s="263" t="s">
        <v>437</v>
      </c>
    </row>
    <row r="1695" spans="1:10" x14ac:dyDescent="0.15">
      <c r="A1695" s="263" t="s">
        <v>4546</v>
      </c>
      <c r="B1695" s="263" t="s">
        <v>4547</v>
      </c>
      <c r="C1695" s="263" t="s">
        <v>96</v>
      </c>
      <c r="D1695" s="263" t="s">
        <v>4548</v>
      </c>
      <c r="E1695" s="263" t="s">
        <v>97</v>
      </c>
      <c r="F1695">
        <v>0</v>
      </c>
      <c r="G1695">
        <v>2</v>
      </c>
      <c r="H1695" s="263" t="s">
        <v>436</v>
      </c>
      <c r="I1695" s="264"/>
      <c r="J1695" s="263" t="s">
        <v>437</v>
      </c>
    </row>
    <row r="1696" spans="1:10" x14ac:dyDescent="0.15">
      <c r="A1696" s="263" t="s">
        <v>4549</v>
      </c>
      <c r="B1696" s="263" t="s">
        <v>4550</v>
      </c>
      <c r="C1696" s="263" t="s">
        <v>96</v>
      </c>
      <c r="D1696" s="263" t="s">
        <v>4551</v>
      </c>
      <c r="E1696" s="263" t="s">
        <v>97</v>
      </c>
      <c r="F1696">
        <v>0</v>
      </c>
      <c r="G1696">
        <v>2</v>
      </c>
      <c r="H1696" s="263" t="s">
        <v>436</v>
      </c>
      <c r="I1696" s="264"/>
      <c r="J1696" s="263" t="s">
        <v>437</v>
      </c>
    </row>
    <row r="1697" spans="1:10" x14ac:dyDescent="0.15">
      <c r="A1697" s="263" t="s">
        <v>4552</v>
      </c>
      <c r="B1697" s="263" t="s">
        <v>4553</v>
      </c>
      <c r="C1697" s="263" t="s">
        <v>96</v>
      </c>
      <c r="D1697" s="263" t="s">
        <v>4554</v>
      </c>
      <c r="E1697" s="263" t="s">
        <v>97</v>
      </c>
      <c r="F1697">
        <v>0</v>
      </c>
      <c r="G1697">
        <v>2</v>
      </c>
      <c r="H1697" s="263" t="s">
        <v>436</v>
      </c>
      <c r="I1697" s="264"/>
      <c r="J1697" s="263" t="s">
        <v>437</v>
      </c>
    </row>
    <row r="1698" spans="1:10" x14ac:dyDescent="0.15">
      <c r="A1698" s="263" t="s">
        <v>4555</v>
      </c>
      <c r="B1698" s="263" t="s">
        <v>4556</v>
      </c>
      <c r="C1698" s="263" t="s">
        <v>96</v>
      </c>
      <c r="D1698" s="263" t="s">
        <v>4557</v>
      </c>
      <c r="E1698" s="263" t="s">
        <v>97</v>
      </c>
      <c r="F1698">
        <v>0</v>
      </c>
      <c r="G1698">
        <v>2</v>
      </c>
      <c r="H1698" s="263" t="s">
        <v>436</v>
      </c>
      <c r="I1698" s="264"/>
      <c r="J1698" s="263" t="s">
        <v>437</v>
      </c>
    </row>
    <row r="1699" spans="1:10" x14ac:dyDescent="0.15">
      <c r="A1699" s="263" t="s">
        <v>4558</v>
      </c>
      <c r="B1699" s="263" t="s">
        <v>4559</v>
      </c>
      <c r="C1699" s="263" t="s">
        <v>96</v>
      </c>
      <c r="D1699" s="263" t="s">
        <v>4560</v>
      </c>
      <c r="E1699" s="263" t="s">
        <v>97</v>
      </c>
      <c r="F1699">
        <v>0</v>
      </c>
      <c r="G1699">
        <v>2</v>
      </c>
      <c r="H1699" s="263" t="s">
        <v>436</v>
      </c>
      <c r="I1699" s="264"/>
      <c r="J1699" s="263" t="s">
        <v>437</v>
      </c>
    </row>
    <row r="1700" spans="1:10" x14ac:dyDescent="0.15">
      <c r="A1700" s="263" t="s">
        <v>4561</v>
      </c>
      <c r="B1700" s="263" t="s">
        <v>4562</v>
      </c>
      <c r="C1700" s="263" t="s">
        <v>96</v>
      </c>
      <c r="D1700" s="263" t="s">
        <v>4563</v>
      </c>
      <c r="E1700" s="263" t="s">
        <v>97</v>
      </c>
      <c r="F1700">
        <v>0</v>
      </c>
      <c r="G1700">
        <v>2</v>
      </c>
      <c r="H1700" s="263" t="s">
        <v>436</v>
      </c>
      <c r="I1700" s="264"/>
      <c r="J1700" s="263" t="s">
        <v>437</v>
      </c>
    </row>
    <row r="1701" spans="1:10" x14ac:dyDescent="0.15">
      <c r="A1701" s="263" t="s">
        <v>4564</v>
      </c>
      <c r="B1701" s="263" t="s">
        <v>4565</v>
      </c>
      <c r="C1701" s="263" t="s">
        <v>96</v>
      </c>
      <c r="D1701" s="263" t="s">
        <v>4566</v>
      </c>
      <c r="E1701" s="263" t="s">
        <v>97</v>
      </c>
      <c r="F1701">
        <v>0</v>
      </c>
      <c r="G1701">
        <v>2</v>
      </c>
      <c r="H1701" s="263" t="s">
        <v>436</v>
      </c>
      <c r="I1701" s="264"/>
      <c r="J1701" s="263" t="s">
        <v>437</v>
      </c>
    </row>
    <row r="1702" spans="1:10" x14ac:dyDescent="0.15">
      <c r="A1702" s="263" t="s">
        <v>4567</v>
      </c>
      <c r="B1702" s="263" t="s">
        <v>4568</v>
      </c>
      <c r="C1702" s="263" t="s">
        <v>96</v>
      </c>
      <c r="D1702" s="263" t="s">
        <v>4569</v>
      </c>
      <c r="E1702" s="263" t="s">
        <v>97</v>
      </c>
      <c r="F1702">
        <v>0</v>
      </c>
      <c r="G1702">
        <v>2</v>
      </c>
      <c r="H1702" s="263" t="s">
        <v>436</v>
      </c>
      <c r="I1702" s="264"/>
      <c r="J1702" s="263" t="s">
        <v>437</v>
      </c>
    </row>
    <row r="1703" spans="1:10" x14ac:dyDescent="0.15">
      <c r="A1703" s="263" t="s">
        <v>4570</v>
      </c>
      <c r="B1703" s="263" t="s">
        <v>4571</v>
      </c>
      <c r="C1703" s="263" t="s">
        <v>96</v>
      </c>
      <c r="D1703" s="263" t="s">
        <v>4572</v>
      </c>
      <c r="E1703" s="263" t="s">
        <v>97</v>
      </c>
      <c r="F1703">
        <v>0</v>
      </c>
      <c r="G1703">
        <v>2</v>
      </c>
      <c r="H1703" s="263" t="s">
        <v>436</v>
      </c>
      <c r="I1703" s="264"/>
      <c r="J1703" s="263" t="s">
        <v>437</v>
      </c>
    </row>
    <row r="1704" spans="1:10" x14ac:dyDescent="0.15">
      <c r="A1704" s="263" t="s">
        <v>4573</v>
      </c>
      <c r="B1704" s="263" t="s">
        <v>4574</v>
      </c>
      <c r="C1704" s="263" t="s">
        <v>96</v>
      </c>
      <c r="D1704" s="263" t="s">
        <v>4575</v>
      </c>
      <c r="E1704" s="263" t="s">
        <v>97</v>
      </c>
      <c r="F1704">
        <v>0</v>
      </c>
      <c r="G1704">
        <v>2</v>
      </c>
      <c r="H1704" s="263" t="s">
        <v>436</v>
      </c>
      <c r="I1704" s="264"/>
      <c r="J1704" s="263" t="s">
        <v>437</v>
      </c>
    </row>
    <row r="1705" spans="1:10" x14ac:dyDescent="0.15">
      <c r="A1705" s="263" t="s">
        <v>4576</v>
      </c>
      <c r="B1705" s="263" t="s">
        <v>4577</v>
      </c>
      <c r="C1705" s="263" t="s">
        <v>96</v>
      </c>
      <c r="D1705" s="263" t="s">
        <v>4578</v>
      </c>
      <c r="E1705" s="263" t="s">
        <v>97</v>
      </c>
      <c r="F1705">
        <v>0</v>
      </c>
      <c r="G1705">
        <v>2</v>
      </c>
      <c r="H1705" s="263" t="s">
        <v>436</v>
      </c>
      <c r="I1705" s="264"/>
      <c r="J1705" s="263" t="s">
        <v>437</v>
      </c>
    </row>
    <row r="1706" spans="1:10" x14ac:dyDescent="0.15">
      <c r="A1706" s="263" t="s">
        <v>4579</v>
      </c>
      <c r="B1706" s="263" t="s">
        <v>4580</v>
      </c>
      <c r="C1706" s="263" t="s">
        <v>96</v>
      </c>
      <c r="D1706" s="263" t="s">
        <v>4581</v>
      </c>
      <c r="E1706" s="263" t="s">
        <v>97</v>
      </c>
      <c r="F1706">
        <v>0</v>
      </c>
      <c r="G1706">
        <v>2</v>
      </c>
      <c r="H1706" s="263" t="s">
        <v>436</v>
      </c>
      <c r="I1706" s="264"/>
      <c r="J1706" s="263" t="s">
        <v>437</v>
      </c>
    </row>
    <row r="1707" spans="1:10" x14ac:dyDescent="0.15">
      <c r="A1707" s="263" t="s">
        <v>4582</v>
      </c>
      <c r="B1707" s="263" t="s">
        <v>4583</v>
      </c>
      <c r="C1707" s="263" t="s">
        <v>96</v>
      </c>
      <c r="D1707" s="263" t="s">
        <v>4584</v>
      </c>
      <c r="E1707" s="263" t="s">
        <v>97</v>
      </c>
      <c r="F1707">
        <v>0</v>
      </c>
      <c r="G1707">
        <v>2</v>
      </c>
      <c r="H1707" s="263" t="s">
        <v>436</v>
      </c>
      <c r="I1707" s="264"/>
      <c r="J1707" s="263" t="s">
        <v>437</v>
      </c>
    </row>
    <row r="1708" spans="1:10" x14ac:dyDescent="0.15">
      <c r="A1708" s="263" t="s">
        <v>4585</v>
      </c>
      <c r="B1708" s="263" t="s">
        <v>4586</v>
      </c>
      <c r="C1708" s="263" t="s">
        <v>96</v>
      </c>
      <c r="D1708" s="263" t="s">
        <v>4587</v>
      </c>
      <c r="E1708" s="263" t="s">
        <v>97</v>
      </c>
      <c r="F1708">
        <v>0</v>
      </c>
      <c r="G1708">
        <v>2</v>
      </c>
      <c r="H1708" s="263" t="s">
        <v>436</v>
      </c>
      <c r="I1708" s="264"/>
      <c r="J1708" s="263" t="s">
        <v>437</v>
      </c>
    </row>
    <row r="1709" spans="1:10" x14ac:dyDescent="0.15">
      <c r="A1709" s="263" t="s">
        <v>4588</v>
      </c>
      <c r="B1709" s="263" t="s">
        <v>4589</v>
      </c>
      <c r="C1709" s="263" t="s">
        <v>96</v>
      </c>
      <c r="D1709" s="263" t="s">
        <v>4590</v>
      </c>
      <c r="E1709" s="263" t="s">
        <v>97</v>
      </c>
      <c r="F1709">
        <v>0</v>
      </c>
      <c r="G1709">
        <v>2</v>
      </c>
      <c r="H1709" s="263" t="s">
        <v>436</v>
      </c>
      <c r="I1709" s="264"/>
      <c r="J1709" s="263" t="s">
        <v>437</v>
      </c>
    </row>
    <row r="1710" spans="1:10" x14ac:dyDescent="0.15">
      <c r="A1710" s="263" t="s">
        <v>4591</v>
      </c>
      <c r="B1710" s="263" t="s">
        <v>4592</v>
      </c>
      <c r="C1710" s="263" t="s">
        <v>96</v>
      </c>
      <c r="D1710" s="263" t="s">
        <v>4593</v>
      </c>
      <c r="E1710" s="263" t="s">
        <v>97</v>
      </c>
      <c r="F1710">
        <v>0</v>
      </c>
      <c r="G1710">
        <v>2</v>
      </c>
      <c r="H1710" s="263" t="s">
        <v>436</v>
      </c>
      <c r="I1710" s="264"/>
      <c r="J1710" s="263" t="s">
        <v>437</v>
      </c>
    </row>
    <row r="1711" spans="1:10" x14ac:dyDescent="0.15">
      <c r="A1711" s="263" t="s">
        <v>4594</v>
      </c>
      <c r="B1711" s="263" t="s">
        <v>4595</v>
      </c>
      <c r="C1711" s="263" t="s">
        <v>96</v>
      </c>
      <c r="D1711" s="263" t="s">
        <v>4596</v>
      </c>
      <c r="E1711" s="263" t="s">
        <v>97</v>
      </c>
      <c r="F1711">
        <v>0</v>
      </c>
      <c r="G1711">
        <v>2</v>
      </c>
      <c r="H1711" s="263" t="s">
        <v>436</v>
      </c>
      <c r="I1711" s="264"/>
      <c r="J1711" s="263" t="s">
        <v>437</v>
      </c>
    </row>
    <row r="1712" spans="1:10" x14ac:dyDescent="0.15">
      <c r="A1712" s="263" t="s">
        <v>4597</v>
      </c>
      <c r="B1712" s="263" t="s">
        <v>4598</v>
      </c>
      <c r="C1712" s="263" t="s">
        <v>96</v>
      </c>
      <c r="D1712" s="263" t="s">
        <v>4599</v>
      </c>
      <c r="E1712" s="263" t="s">
        <v>97</v>
      </c>
      <c r="F1712">
        <v>0</v>
      </c>
      <c r="G1712">
        <v>2</v>
      </c>
      <c r="H1712" s="263" t="s">
        <v>436</v>
      </c>
      <c r="I1712" s="264"/>
      <c r="J1712" s="263" t="s">
        <v>437</v>
      </c>
    </row>
    <row r="1713" spans="1:10" x14ac:dyDescent="0.15">
      <c r="A1713" s="263" t="s">
        <v>4600</v>
      </c>
      <c r="B1713" s="263" t="s">
        <v>4601</v>
      </c>
      <c r="C1713" s="263" t="s">
        <v>96</v>
      </c>
      <c r="D1713" s="263" t="s">
        <v>4602</v>
      </c>
      <c r="E1713" s="263" t="s">
        <v>97</v>
      </c>
      <c r="F1713">
        <v>0</v>
      </c>
      <c r="G1713">
        <v>2</v>
      </c>
      <c r="H1713" s="263" t="s">
        <v>436</v>
      </c>
      <c r="I1713" s="264"/>
      <c r="J1713" s="263" t="s">
        <v>437</v>
      </c>
    </row>
    <row r="1714" spans="1:10" x14ac:dyDescent="0.15">
      <c r="A1714" s="263" t="s">
        <v>4603</v>
      </c>
      <c r="B1714" s="263" t="s">
        <v>4604</v>
      </c>
      <c r="C1714" s="263" t="s">
        <v>96</v>
      </c>
      <c r="D1714" s="263" t="s">
        <v>4605</v>
      </c>
      <c r="E1714" s="263" t="s">
        <v>97</v>
      </c>
      <c r="F1714">
        <v>0</v>
      </c>
      <c r="G1714">
        <v>2</v>
      </c>
      <c r="H1714" s="263" t="s">
        <v>436</v>
      </c>
      <c r="I1714" s="264"/>
      <c r="J1714" s="263" t="s">
        <v>437</v>
      </c>
    </row>
    <row r="1715" spans="1:10" x14ac:dyDescent="0.15">
      <c r="A1715" s="263" t="s">
        <v>4606</v>
      </c>
      <c r="B1715" s="263" t="s">
        <v>4607</v>
      </c>
      <c r="C1715" s="263" t="s">
        <v>96</v>
      </c>
      <c r="D1715" s="263" t="s">
        <v>4608</v>
      </c>
      <c r="E1715" s="263" t="s">
        <v>97</v>
      </c>
      <c r="F1715">
        <v>0</v>
      </c>
      <c r="G1715">
        <v>2</v>
      </c>
      <c r="H1715" s="263" t="s">
        <v>436</v>
      </c>
      <c r="I1715" s="264"/>
      <c r="J1715" s="263" t="s">
        <v>437</v>
      </c>
    </row>
    <row r="1716" spans="1:10" x14ac:dyDescent="0.15">
      <c r="A1716" s="263" t="s">
        <v>4609</v>
      </c>
      <c r="B1716" s="263" t="s">
        <v>4610</v>
      </c>
      <c r="C1716" s="263" t="s">
        <v>96</v>
      </c>
      <c r="D1716" s="263" t="s">
        <v>4611</v>
      </c>
      <c r="E1716" s="263" t="s">
        <v>97</v>
      </c>
      <c r="F1716">
        <v>0</v>
      </c>
      <c r="G1716">
        <v>2</v>
      </c>
      <c r="H1716" s="263" t="s">
        <v>436</v>
      </c>
      <c r="I1716" s="264"/>
      <c r="J1716" s="263" t="s">
        <v>437</v>
      </c>
    </row>
    <row r="1717" spans="1:10" x14ac:dyDescent="0.15">
      <c r="A1717" s="263" t="s">
        <v>4612</v>
      </c>
      <c r="B1717" s="263" t="s">
        <v>4613</v>
      </c>
      <c r="C1717" s="263" t="s">
        <v>96</v>
      </c>
      <c r="D1717" s="263" t="s">
        <v>4614</v>
      </c>
      <c r="E1717" s="263" t="s">
        <v>97</v>
      </c>
      <c r="F1717">
        <v>0</v>
      </c>
      <c r="G1717">
        <v>2</v>
      </c>
      <c r="H1717" s="263" t="s">
        <v>436</v>
      </c>
      <c r="I1717" s="264"/>
      <c r="J1717" s="263" t="s">
        <v>437</v>
      </c>
    </row>
    <row r="1718" spans="1:10" x14ac:dyDescent="0.15">
      <c r="A1718" s="263" t="s">
        <v>4615</v>
      </c>
      <c r="B1718" s="263" t="s">
        <v>4616</v>
      </c>
      <c r="C1718" s="263" t="s">
        <v>96</v>
      </c>
      <c r="D1718" s="263" t="s">
        <v>4617</v>
      </c>
      <c r="E1718" s="263" t="s">
        <v>97</v>
      </c>
      <c r="F1718">
        <v>0</v>
      </c>
      <c r="G1718">
        <v>2</v>
      </c>
      <c r="H1718" s="263" t="s">
        <v>436</v>
      </c>
      <c r="I1718" s="264"/>
      <c r="J1718" s="263" t="s">
        <v>437</v>
      </c>
    </row>
    <row r="1719" spans="1:10" x14ac:dyDescent="0.15">
      <c r="A1719" s="263" t="s">
        <v>4618</v>
      </c>
      <c r="B1719" s="263" t="s">
        <v>4619</v>
      </c>
      <c r="C1719" s="263" t="s">
        <v>96</v>
      </c>
      <c r="D1719" s="263" t="s">
        <v>4620</v>
      </c>
      <c r="E1719" s="263" t="s">
        <v>97</v>
      </c>
      <c r="F1719">
        <v>0</v>
      </c>
      <c r="G1719">
        <v>2</v>
      </c>
      <c r="H1719" s="263" t="s">
        <v>436</v>
      </c>
      <c r="I1719" s="264"/>
      <c r="J1719" s="263" t="s">
        <v>437</v>
      </c>
    </row>
    <row r="1720" spans="1:10" x14ac:dyDescent="0.15">
      <c r="A1720" s="263" t="s">
        <v>4621</v>
      </c>
      <c r="B1720" s="263" t="s">
        <v>4622</v>
      </c>
      <c r="C1720" s="263" t="s">
        <v>96</v>
      </c>
      <c r="D1720" s="263" t="s">
        <v>4623</v>
      </c>
      <c r="E1720" s="263" t="s">
        <v>97</v>
      </c>
      <c r="F1720">
        <v>0</v>
      </c>
      <c r="G1720">
        <v>2</v>
      </c>
      <c r="H1720" s="263" t="s">
        <v>436</v>
      </c>
      <c r="I1720" s="264"/>
      <c r="J1720" s="263" t="s">
        <v>437</v>
      </c>
    </row>
    <row r="1721" spans="1:10" x14ac:dyDescent="0.15">
      <c r="A1721" s="263" t="s">
        <v>4624</v>
      </c>
      <c r="B1721" s="263" t="s">
        <v>4625</v>
      </c>
      <c r="C1721" s="263" t="s">
        <v>96</v>
      </c>
      <c r="D1721" s="263" t="s">
        <v>4626</v>
      </c>
      <c r="E1721" s="263" t="s">
        <v>97</v>
      </c>
      <c r="F1721">
        <v>0</v>
      </c>
      <c r="G1721">
        <v>2</v>
      </c>
      <c r="H1721" s="263" t="s">
        <v>436</v>
      </c>
      <c r="I1721" s="264"/>
      <c r="J1721" s="263" t="s">
        <v>437</v>
      </c>
    </row>
    <row r="1722" spans="1:10" x14ac:dyDescent="0.15">
      <c r="A1722" s="263" t="s">
        <v>4627</v>
      </c>
      <c r="B1722" s="263" t="s">
        <v>4628</v>
      </c>
      <c r="C1722" s="263" t="s">
        <v>96</v>
      </c>
      <c r="D1722" s="263" t="s">
        <v>4629</v>
      </c>
      <c r="E1722" s="263" t="s">
        <v>97</v>
      </c>
      <c r="F1722">
        <v>0</v>
      </c>
      <c r="G1722">
        <v>2</v>
      </c>
      <c r="H1722" s="263" t="s">
        <v>436</v>
      </c>
      <c r="I1722" s="264"/>
      <c r="J1722" s="263" t="s">
        <v>437</v>
      </c>
    </row>
    <row r="1723" spans="1:10" x14ac:dyDescent="0.15">
      <c r="A1723" s="263" t="s">
        <v>4630</v>
      </c>
      <c r="B1723" s="263" t="s">
        <v>4631</v>
      </c>
      <c r="C1723" s="263" t="s">
        <v>96</v>
      </c>
      <c r="D1723" s="263" t="s">
        <v>4632</v>
      </c>
      <c r="E1723" s="263" t="s">
        <v>97</v>
      </c>
      <c r="F1723">
        <v>0</v>
      </c>
      <c r="G1723">
        <v>2</v>
      </c>
      <c r="H1723" s="263" t="s">
        <v>436</v>
      </c>
      <c r="I1723" s="264"/>
      <c r="J1723" s="263" t="s">
        <v>437</v>
      </c>
    </row>
    <row r="1724" spans="1:10" x14ac:dyDescent="0.15">
      <c r="A1724" s="263" t="s">
        <v>4633</v>
      </c>
      <c r="B1724" s="263" t="s">
        <v>4634</v>
      </c>
      <c r="C1724" s="263" t="s">
        <v>96</v>
      </c>
      <c r="D1724" s="263" t="s">
        <v>4635</v>
      </c>
      <c r="E1724" s="263" t="s">
        <v>97</v>
      </c>
      <c r="F1724">
        <v>0</v>
      </c>
      <c r="G1724">
        <v>2</v>
      </c>
      <c r="H1724" s="263" t="s">
        <v>436</v>
      </c>
      <c r="I1724" s="264"/>
      <c r="J1724" s="263" t="s">
        <v>437</v>
      </c>
    </row>
    <row r="1725" spans="1:10" x14ac:dyDescent="0.15">
      <c r="A1725" s="263" t="s">
        <v>4636</v>
      </c>
      <c r="B1725" s="263" t="s">
        <v>4637</v>
      </c>
      <c r="C1725" s="263" t="s">
        <v>96</v>
      </c>
      <c r="D1725" s="263" t="s">
        <v>4638</v>
      </c>
      <c r="E1725" s="263" t="s">
        <v>97</v>
      </c>
      <c r="F1725">
        <v>0</v>
      </c>
      <c r="G1725">
        <v>2</v>
      </c>
      <c r="H1725" s="263" t="s">
        <v>436</v>
      </c>
      <c r="I1725" s="264"/>
      <c r="J1725" s="263" t="s">
        <v>437</v>
      </c>
    </row>
    <row r="1726" spans="1:10" x14ac:dyDescent="0.15">
      <c r="A1726" s="263" t="s">
        <v>4639</v>
      </c>
      <c r="B1726" s="263" t="s">
        <v>4640</v>
      </c>
      <c r="C1726" s="263" t="s">
        <v>96</v>
      </c>
      <c r="D1726" s="263" t="s">
        <v>4641</v>
      </c>
      <c r="E1726" s="263" t="s">
        <v>97</v>
      </c>
      <c r="F1726">
        <v>0</v>
      </c>
      <c r="G1726">
        <v>2</v>
      </c>
      <c r="H1726" s="263" t="s">
        <v>436</v>
      </c>
      <c r="I1726" s="264"/>
      <c r="J1726" s="263" t="s">
        <v>437</v>
      </c>
    </row>
    <row r="1727" spans="1:10" x14ac:dyDescent="0.15">
      <c r="A1727" s="263" t="s">
        <v>4642</v>
      </c>
      <c r="B1727" s="263" t="s">
        <v>4643</v>
      </c>
      <c r="C1727" s="263" t="s">
        <v>96</v>
      </c>
      <c r="D1727" s="263" t="s">
        <v>4644</v>
      </c>
      <c r="E1727" s="263" t="s">
        <v>97</v>
      </c>
      <c r="F1727">
        <v>0</v>
      </c>
      <c r="G1727">
        <v>2</v>
      </c>
      <c r="H1727" s="263" t="s">
        <v>436</v>
      </c>
      <c r="I1727" s="264"/>
      <c r="J1727" s="263" t="s">
        <v>437</v>
      </c>
    </row>
    <row r="1728" spans="1:10" x14ac:dyDescent="0.15">
      <c r="A1728" s="263" t="s">
        <v>4645</v>
      </c>
      <c r="B1728" s="263" t="s">
        <v>4646</v>
      </c>
      <c r="C1728" s="263" t="s">
        <v>96</v>
      </c>
      <c r="D1728" s="263" t="s">
        <v>4647</v>
      </c>
      <c r="E1728" s="263" t="s">
        <v>97</v>
      </c>
      <c r="F1728">
        <v>0</v>
      </c>
      <c r="G1728">
        <v>2</v>
      </c>
      <c r="H1728" s="263" t="s">
        <v>436</v>
      </c>
      <c r="I1728" s="264"/>
      <c r="J1728" s="263" t="s">
        <v>437</v>
      </c>
    </row>
    <row r="1729" spans="1:10" x14ac:dyDescent="0.15">
      <c r="A1729" s="263" t="s">
        <v>4648</v>
      </c>
      <c r="B1729" s="263" t="s">
        <v>4649</v>
      </c>
      <c r="C1729" s="263" t="s">
        <v>96</v>
      </c>
      <c r="D1729" s="263" t="s">
        <v>4650</v>
      </c>
      <c r="E1729" s="263" t="s">
        <v>97</v>
      </c>
      <c r="F1729">
        <v>0</v>
      </c>
      <c r="G1729">
        <v>2</v>
      </c>
      <c r="H1729" s="263" t="s">
        <v>436</v>
      </c>
      <c r="I1729" s="264"/>
      <c r="J1729" s="263" t="s">
        <v>437</v>
      </c>
    </row>
    <row r="1730" spans="1:10" x14ac:dyDescent="0.15">
      <c r="A1730" s="263" t="s">
        <v>4651</v>
      </c>
      <c r="B1730" s="263" t="s">
        <v>4652</v>
      </c>
      <c r="C1730" s="263" t="s">
        <v>96</v>
      </c>
      <c r="D1730" s="263" t="s">
        <v>4653</v>
      </c>
      <c r="E1730" s="263" t="s">
        <v>97</v>
      </c>
      <c r="F1730">
        <v>0</v>
      </c>
      <c r="G1730">
        <v>2</v>
      </c>
      <c r="H1730" s="263" t="s">
        <v>436</v>
      </c>
      <c r="I1730" s="264"/>
      <c r="J1730" s="263" t="s">
        <v>437</v>
      </c>
    </row>
    <row r="1731" spans="1:10" x14ac:dyDescent="0.15">
      <c r="A1731" s="263" t="s">
        <v>4654</v>
      </c>
      <c r="B1731" s="263" t="s">
        <v>4655</v>
      </c>
      <c r="C1731" s="263" t="s">
        <v>96</v>
      </c>
      <c r="D1731" s="263" t="s">
        <v>4656</v>
      </c>
      <c r="E1731" s="263" t="s">
        <v>97</v>
      </c>
      <c r="F1731">
        <v>0</v>
      </c>
      <c r="G1731">
        <v>2</v>
      </c>
      <c r="H1731" s="263" t="s">
        <v>436</v>
      </c>
      <c r="I1731" s="264"/>
      <c r="J1731" s="263" t="s">
        <v>437</v>
      </c>
    </row>
    <row r="1732" spans="1:10" x14ac:dyDescent="0.15">
      <c r="A1732" s="263" t="s">
        <v>4657</v>
      </c>
      <c r="B1732" s="263" t="s">
        <v>4658</v>
      </c>
      <c r="C1732" s="263" t="s">
        <v>96</v>
      </c>
      <c r="D1732" s="263" t="s">
        <v>4659</v>
      </c>
      <c r="E1732" s="263" t="s">
        <v>97</v>
      </c>
      <c r="F1732">
        <v>0</v>
      </c>
      <c r="G1732">
        <v>2</v>
      </c>
      <c r="H1732" s="263" t="s">
        <v>436</v>
      </c>
      <c r="I1732" s="264"/>
      <c r="J1732" s="263" t="s">
        <v>437</v>
      </c>
    </row>
    <row r="1733" spans="1:10" x14ac:dyDescent="0.15">
      <c r="A1733" s="263" t="s">
        <v>4660</v>
      </c>
      <c r="B1733" s="263" t="s">
        <v>4661</v>
      </c>
      <c r="C1733" s="263" t="s">
        <v>96</v>
      </c>
      <c r="D1733" s="263" t="s">
        <v>4662</v>
      </c>
      <c r="E1733" s="263" t="s">
        <v>97</v>
      </c>
      <c r="F1733">
        <v>0</v>
      </c>
      <c r="G1733">
        <v>2</v>
      </c>
      <c r="H1733" s="263" t="s">
        <v>436</v>
      </c>
      <c r="I1733" s="264"/>
      <c r="J1733" s="263" t="s">
        <v>437</v>
      </c>
    </row>
    <row r="1734" spans="1:10" x14ac:dyDescent="0.15">
      <c r="A1734" s="263" t="s">
        <v>4663</v>
      </c>
      <c r="B1734" s="263" t="s">
        <v>4664</v>
      </c>
      <c r="C1734" s="263" t="s">
        <v>96</v>
      </c>
      <c r="D1734" s="263" t="s">
        <v>4665</v>
      </c>
      <c r="E1734" s="263" t="s">
        <v>97</v>
      </c>
      <c r="F1734">
        <v>0</v>
      </c>
      <c r="G1734">
        <v>2</v>
      </c>
      <c r="H1734" s="263" t="s">
        <v>436</v>
      </c>
      <c r="I1734" s="264"/>
      <c r="J1734" s="263" t="s">
        <v>437</v>
      </c>
    </row>
    <row r="1735" spans="1:10" x14ac:dyDescent="0.15">
      <c r="A1735" s="263" t="s">
        <v>4666</v>
      </c>
      <c r="B1735" s="263" t="s">
        <v>4667</v>
      </c>
      <c r="C1735" s="263" t="s">
        <v>96</v>
      </c>
      <c r="D1735" s="263" t="s">
        <v>4668</v>
      </c>
      <c r="E1735" s="263" t="s">
        <v>97</v>
      </c>
      <c r="F1735">
        <v>0</v>
      </c>
      <c r="G1735">
        <v>2</v>
      </c>
      <c r="H1735" s="263" t="s">
        <v>436</v>
      </c>
      <c r="I1735" s="264"/>
      <c r="J1735" s="263" t="s">
        <v>437</v>
      </c>
    </row>
    <row r="1736" spans="1:10" x14ac:dyDescent="0.15">
      <c r="A1736" s="263" t="s">
        <v>4669</v>
      </c>
      <c r="B1736" s="263" t="s">
        <v>4670</v>
      </c>
      <c r="C1736" s="263" t="s">
        <v>96</v>
      </c>
      <c r="D1736" s="263" t="s">
        <v>4671</v>
      </c>
      <c r="E1736" s="263" t="s">
        <v>97</v>
      </c>
      <c r="F1736">
        <v>0</v>
      </c>
      <c r="G1736">
        <v>2</v>
      </c>
      <c r="H1736" s="263" t="s">
        <v>436</v>
      </c>
      <c r="I1736" s="264"/>
      <c r="J1736" s="263" t="s">
        <v>437</v>
      </c>
    </row>
    <row r="1737" spans="1:10" x14ac:dyDescent="0.15">
      <c r="A1737" s="263" t="s">
        <v>4672</v>
      </c>
      <c r="B1737" s="263" t="s">
        <v>4673</v>
      </c>
      <c r="C1737" s="263" t="s">
        <v>96</v>
      </c>
      <c r="D1737" s="263" t="s">
        <v>4674</v>
      </c>
      <c r="E1737" s="263" t="s">
        <v>97</v>
      </c>
      <c r="F1737">
        <v>0</v>
      </c>
      <c r="G1737">
        <v>2</v>
      </c>
      <c r="H1737" s="263" t="s">
        <v>436</v>
      </c>
      <c r="I1737" s="264"/>
      <c r="J1737" s="263" t="s">
        <v>437</v>
      </c>
    </row>
    <row r="1738" spans="1:10" x14ac:dyDescent="0.15">
      <c r="A1738" s="263" t="s">
        <v>4675</v>
      </c>
      <c r="B1738" s="263" t="s">
        <v>4676</v>
      </c>
      <c r="C1738" s="263" t="s">
        <v>96</v>
      </c>
      <c r="D1738" s="263" t="s">
        <v>4677</v>
      </c>
      <c r="E1738" s="263" t="s">
        <v>97</v>
      </c>
      <c r="F1738">
        <v>0</v>
      </c>
      <c r="G1738">
        <v>2</v>
      </c>
      <c r="H1738" s="263" t="s">
        <v>436</v>
      </c>
      <c r="I1738" s="264"/>
      <c r="J1738" s="263" t="s">
        <v>437</v>
      </c>
    </row>
    <row r="1739" spans="1:10" x14ac:dyDescent="0.15">
      <c r="A1739" s="263" t="s">
        <v>4678</v>
      </c>
      <c r="B1739" s="263" t="s">
        <v>4679</v>
      </c>
      <c r="C1739" s="263" t="s">
        <v>96</v>
      </c>
      <c r="D1739" s="263" t="s">
        <v>4680</v>
      </c>
      <c r="E1739" s="263" t="s">
        <v>97</v>
      </c>
      <c r="F1739">
        <v>0</v>
      </c>
      <c r="G1739">
        <v>2</v>
      </c>
      <c r="H1739" s="263" t="s">
        <v>436</v>
      </c>
      <c r="I1739" s="264"/>
      <c r="J1739" s="263" t="s">
        <v>437</v>
      </c>
    </row>
    <row r="1740" spans="1:10" x14ac:dyDescent="0.15">
      <c r="A1740" s="263" t="s">
        <v>4681</v>
      </c>
      <c r="B1740" s="263" t="s">
        <v>4682</v>
      </c>
      <c r="C1740" s="263" t="s">
        <v>96</v>
      </c>
      <c r="D1740" s="263" t="s">
        <v>4683</v>
      </c>
      <c r="E1740" s="263" t="s">
        <v>97</v>
      </c>
      <c r="F1740">
        <v>0</v>
      </c>
      <c r="G1740">
        <v>2</v>
      </c>
      <c r="H1740" s="263" t="s">
        <v>436</v>
      </c>
      <c r="I1740" s="264"/>
      <c r="J1740" s="263" t="s">
        <v>437</v>
      </c>
    </row>
    <row r="1741" spans="1:10" x14ac:dyDescent="0.15">
      <c r="A1741" s="263" t="s">
        <v>4684</v>
      </c>
      <c r="B1741" s="263" t="s">
        <v>4685</v>
      </c>
      <c r="C1741" s="263" t="s">
        <v>96</v>
      </c>
      <c r="D1741" s="263" t="s">
        <v>4686</v>
      </c>
      <c r="E1741" s="263" t="s">
        <v>97</v>
      </c>
      <c r="F1741">
        <v>0</v>
      </c>
      <c r="G1741">
        <v>2</v>
      </c>
      <c r="H1741" s="263" t="s">
        <v>436</v>
      </c>
      <c r="I1741" s="264"/>
      <c r="J1741" s="263" t="s">
        <v>437</v>
      </c>
    </row>
    <row r="1742" spans="1:10" x14ac:dyDescent="0.15">
      <c r="A1742" s="263" t="s">
        <v>4687</v>
      </c>
      <c r="B1742" s="263" t="s">
        <v>4688</v>
      </c>
      <c r="C1742" s="263" t="s">
        <v>96</v>
      </c>
      <c r="D1742" s="263" t="s">
        <v>4689</v>
      </c>
      <c r="E1742" s="263" t="s">
        <v>97</v>
      </c>
      <c r="F1742">
        <v>0</v>
      </c>
      <c r="G1742">
        <v>2</v>
      </c>
      <c r="H1742" s="263" t="s">
        <v>436</v>
      </c>
      <c r="I1742" s="264"/>
      <c r="J1742" s="263" t="s">
        <v>437</v>
      </c>
    </row>
    <row r="1743" spans="1:10" x14ac:dyDescent="0.15">
      <c r="A1743" s="263" t="s">
        <v>4690</v>
      </c>
      <c r="B1743" s="263" t="s">
        <v>4691</v>
      </c>
      <c r="C1743" s="263" t="s">
        <v>96</v>
      </c>
      <c r="D1743" s="263" t="s">
        <v>4692</v>
      </c>
      <c r="E1743" s="263" t="s">
        <v>97</v>
      </c>
      <c r="F1743">
        <v>0</v>
      </c>
      <c r="G1743">
        <v>2</v>
      </c>
      <c r="H1743" s="263" t="s">
        <v>436</v>
      </c>
      <c r="I1743" s="264"/>
      <c r="J1743" s="263" t="s">
        <v>437</v>
      </c>
    </row>
    <row r="1744" spans="1:10" x14ac:dyDescent="0.15">
      <c r="A1744" s="263" t="s">
        <v>4693</v>
      </c>
      <c r="B1744" s="263" t="s">
        <v>4694</v>
      </c>
      <c r="C1744" s="263" t="s">
        <v>96</v>
      </c>
      <c r="D1744" s="263" t="s">
        <v>4695</v>
      </c>
      <c r="E1744" s="263" t="s">
        <v>97</v>
      </c>
      <c r="F1744">
        <v>0</v>
      </c>
      <c r="G1744">
        <v>2</v>
      </c>
      <c r="H1744" s="263" t="s">
        <v>436</v>
      </c>
      <c r="I1744" s="264"/>
      <c r="J1744" s="263" t="s">
        <v>437</v>
      </c>
    </row>
    <row r="1745" spans="1:10" x14ac:dyDescent="0.15">
      <c r="A1745" s="263" t="s">
        <v>4696</v>
      </c>
      <c r="B1745" s="263" t="s">
        <v>4697</v>
      </c>
      <c r="C1745" s="263" t="s">
        <v>96</v>
      </c>
      <c r="D1745" s="263" t="s">
        <v>4698</v>
      </c>
      <c r="E1745" s="263" t="s">
        <v>97</v>
      </c>
      <c r="F1745">
        <v>0</v>
      </c>
      <c r="G1745">
        <v>2</v>
      </c>
      <c r="H1745" s="263" t="s">
        <v>436</v>
      </c>
      <c r="I1745" s="264"/>
      <c r="J1745" s="263" t="s">
        <v>437</v>
      </c>
    </row>
    <row r="1746" spans="1:10" x14ac:dyDescent="0.15">
      <c r="A1746" s="263" t="s">
        <v>4699</v>
      </c>
      <c r="B1746" s="263" t="s">
        <v>4700</v>
      </c>
      <c r="C1746" s="263" t="s">
        <v>96</v>
      </c>
      <c r="D1746" s="263" t="s">
        <v>4701</v>
      </c>
      <c r="E1746" s="263" t="s">
        <v>97</v>
      </c>
      <c r="F1746">
        <v>0</v>
      </c>
      <c r="G1746">
        <v>2</v>
      </c>
      <c r="H1746" s="263" t="s">
        <v>436</v>
      </c>
      <c r="I1746" s="264"/>
      <c r="J1746" s="263" t="s">
        <v>437</v>
      </c>
    </row>
    <row r="1747" spans="1:10" x14ac:dyDescent="0.15">
      <c r="A1747" s="263" t="s">
        <v>4702</v>
      </c>
      <c r="B1747" s="263" t="s">
        <v>4703</v>
      </c>
      <c r="C1747" s="263" t="s">
        <v>96</v>
      </c>
      <c r="D1747" s="263" t="s">
        <v>4704</v>
      </c>
      <c r="E1747" s="263" t="s">
        <v>97</v>
      </c>
      <c r="F1747">
        <v>0</v>
      </c>
      <c r="G1747">
        <v>2</v>
      </c>
      <c r="H1747" s="263" t="s">
        <v>436</v>
      </c>
      <c r="I1747" s="264"/>
      <c r="J1747" s="263" t="s">
        <v>437</v>
      </c>
    </row>
    <row r="1748" spans="1:10" x14ac:dyDescent="0.15">
      <c r="A1748" s="263" t="s">
        <v>4705</v>
      </c>
      <c r="B1748" s="263" t="s">
        <v>4706</v>
      </c>
      <c r="C1748" s="263" t="s">
        <v>96</v>
      </c>
      <c r="D1748" s="263" t="s">
        <v>4707</v>
      </c>
      <c r="E1748" s="263" t="s">
        <v>97</v>
      </c>
      <c r="F1748">
        <v>0</v>
      </c>
      <c r="G1748">
        <v>2</v>
      </c>
      <c r="H1748" s="263" t="s">
        <v>436</v>
      </c>
      <c r="I1748" s="264"/>
      <c r="J1748" s="263" t="s">
        <v>437</v>
      </c>
    </row>
    <row r="1749" spans="1:10" x14ac:dyDescent="0.15">
      <c r="A1749" s="263" t="s">
        <v>4708</v>
      </c>
      <c r="B1749" s="263" t="s">
        <v>4709</v>
      </c>
      <c r="C1749" s="263" t="s">
        <v>96</v>
      </c>
      <c r="D1749" s="263" t="s">
        <v>4710</v>
      </c>
      <c r="E1749" s="263" t="s">
        <v>97</v>
      </c>
      <c r="F1749">
        <v>0</v>
      </c>
      <c r="G1749">
        <v>2</v>
      </c>
      <c r="H1749" s="263" t="s">
        <v>436</v>
      </c>
      <c r="I1749" s="264"/>
      <c r="J1749" s="263" t="s">
        <v>437</v>
      </c>
    </row>
    <row r="1750" spans="1:10" x14ac:dyDescent="0.15">
      <c r="A1750" s="263" t="s">
        <v>4711</v>
      </c>
      <c r="B1750" s="263" t="s">
        <v>4712</v>
      </c>
      <c r="C1750" s="263" t="s">
        <v>96</v>
      </c>
      <c r="D1750" s="263" t="s">
        <v>4713</v>
      </c>
      <c r="E1750" s="263" t="s">
        <v>97</v>
      </c>
      <c r="F1750">
        <v>0</v>
      </c>
      <c r="G1750">
        <v>2</v>
      </c>
      <c r="H1750" s="263" t="s">
        <v>436</v>
      </c>
      <c r="I1750" s="264"/>
      <c r="J1750" s="263" t="s">
        <v>437</v>
      </c>
    </row>
    <row r="1751" spans="1:10" x14ac:dyDescent="0.15">
      <c r="A1751" s="263" t="s">
        <v>4714</v>
      </c>
      <c r="B1751" s="263" t="s">
        <v>4715</v>
      </c>
      <c r="C1751" s="263" t="s">
        <v>96</v>
      </c>
      <c r="D1751" s="263" t="s">
        <v>4716</v>
      </c>
      <c r="E1751" s="263" t="s">
        <v>97</v>
      </c>
      <c r="F1751">
        <v>0</v>
      </c>
      <c r="G1751">
        <v>2</v>
      </c>
      <c r="H1751" s="263" t="s">
        <v>436</v>
      </c>
      <c r="I1751" s="264"/>
      <c r="J1751" s="263" t="s">
        <v>437</v>
      </c>
    </row>
    <row r="1752" spans="1:10" x14ac:dyDescent="0.15">
      <c r="A1752" s="263" t="s">
        <v>4717</v>
      </c>
      <c r="B1752" s="263" t="s">
        <v>4718</v>
      </c>
      <c r="C1752" s="263" t="s">
        <v>96</v>
      </c>
      <c r="D1752" s="263" t="s">
        <v>4719</v>
      </c>
      <c r="E1752" s="263" t="s">
        <v>97</v>
      </c>
      <c r="F1752">
        <v>0</v>
      </c>
      <c r="G1752">
        <v>2</v>
      </c>
      <c r="H1752" s="263" t="s">
        <v>436</v>
      </c>
      <c r="I1752" s="264"/>
      <c r="J1752" s="263" t="s">
        <v>437</v>
      </c>
    </row>
    <row r="1753" spans="1:10" x14ac:dyDescent="0.15">
      <c r="A1753" s="263" t="s">
        <v>4720</v>
      </c>
      <c r="B1753" s="263" t="s">
        <v>4721</v>
      </c>
      <c r="C1753" s="263" t="s">
        <v>96</v>
      </c>
      <c r="D1753" s="263" t="s">
        <v>4722</v>
      </c>
      <c r="E1753" s="263" t="s">
        <v>97</v>
      </c>
      <c r="F1753">
        <v>0</v>
      </c>
      <c r="G1753">
        <v>2</v>
      </c>
      <c r="H1753" s="263" t="s">
        <v>436</v>
      </c>
      <c r="I1753" s="264"/>
      <c r="J1753" s="263" t="s">
        <v>437</v>
      </c>
    </row>
    <row r="1754" spans="1:10" x14ac:dyDescent="0.15">
      <c r="A1754" s="263" t="s">
        <v>4723</v>
      </c>
      <c r="B1754" s="263" t="s">
        <v>4724</v>
      </c>
      <c r="C1754" s="263" t="s">
        <v>96</v>
      </c>
      <c r="D1754" s="263" t="s">
        <v>4725</v>
      </c>
      <c r="E1754" s="263" t="s">
        <v>97</v>
      </c>
      <c r="F1754">
        <v>0</v>
      </c>
      <c r="G1754">
        <v>2</v>
      </c>
      <c r="H1754" s="263" t="s">
        <v>436</v>
      </c>
      <c r="I1754" s="264"/>
      <c r="J1754" s="263" t="s">
        <v>437</v>
      </c>
    </row>
    <row r="1755" spans="1:10" x14ac:dyDescent="0.15">
      <c r="A1755" s="263" t="s">
        <v>4726</v>
      </c>
      <c r="B1755" s="263" t="s">
        <v>4727</v>
      </c>
      <c r="C1755" s="263" t="s">
        <v>96</v>
      </c>
      <c r="D1755" s="263" t="s">
        <v>4728</v>
      </c>
      <c r="E1755" s="263" t="s">
        <v>97</v>
      </c>
      <c r="F1755">
        <v>0</v>
      </c>
      <c r="G1755">
        <v>2</v>
      </c>
      <c r="H1755" s="263" t="s">
        <v>436</v>
      </c>
      <c r="I1755" s="264"/>
      <c r="J1755" s="263" t="s">
        <v>437</v>
      </c>
    </row>
    <row r="1756" spans="1:10" x14ac:dyDescent="0.15">
      <c r="A1756" s="263" t="s">
        <v>4729</v>
      </c>
      <c r="B1756" s="263" t="s">
        <v>4730</v>
      </c>
      <c r="C1756" s="263" t="s">
        <v>96</v>
      </c>
      <c r="D1756" s="263" t="s">
        <v>4731</v>
      </c>
      <c r="E1756" s="263" t="s">
        <v>97</v>
      </c>
      <c r="F1756">
        <v>0</v>
      </c>
      <c r="G1756">
        <v>2</v>
      </c>
      <c r="H1756" s="263" t="s">
        <v>436</v>
      </c>
      <c r="I1756" s="264"/>
      <c r="J1756" s="263" t="s">
        <v>437</v>
      </c>
    </row>
    <row r="1757" spans="1:10" x14ac:dyDescent="0.15">
      <c r="A1757" s="263" t="s">
        <v>4732</v>
      </c>
      <c r="B1757" s="263" t="s">
        <v>4733</v>
      </c>
      <c r="C1757" s="263" t="s">
        <v>96</v>
      </c>
      <c r="D1757" s="263" t="s">
        <v>4734</v>
      </c>
      <c r="E1757" s="263" t="s">
        <v>97</v>
      </c>
      <c r="F1757">
        <v>0</v>
      </c>
      <c r="G1757">
        <v>2</v>
      </c>
      <c r="H1757" s="263" t="s">
        <v>436</v>
      </c>
      <c r="I1757" s="264"/>
      <c r="J1757" s="263" t="s">
        <v>437</v>
      </c>
    </row>
    <row r="1758" spans="1:10" x14ac:dyDescent="0.15">
      <c r="A1758" s="263" t="s">
        <v>4735</v>
      </c>
      <c r="B1758" s="263" t="s">
        <v>4736</v>
      </c>
      <c r="C1758" s="263" t="s">
        <v>96</v>
      </c>
      <c r="D1758" s="263" t="s">
        <v>4737</v>
      </c>
      <c r="E1758" s="263" t="s">
        <v>97</v>
      </c>
      <c r="F1758">
        <v>0</v>
      </c>
      <c r="G1758">
        <v>2</v>
      </c>
      <c r="H1758" s="263" t="s">
        <v>436</v>
      </c>
      <c r="I1758" s="264"/>
      <c r="J1758" s="263" t="s">
        <v>437</v>
      </c>
    </row>
    <row r="1759" spans="1:10" x14ac:dyDescent="0.15">
      <c r="A1759" s="263" t="s">
        <v>4738</v>
      </c>
      <c r="B1759" s="263" t="s">
        <v>4739</v>
      </c>
      <c r="C1759" s="263" t="s">
        <v>96</v>
      </c>
      <c r="D1759" s="263" t="s">
        <v>4740</v>
      </c>
      <c r="E1759" s="263" t="s">
        <v>97</v>
      </c>
      <c r="F1759">
        <v>0</v>
      </c>
      <c r="G1759">
        <v>2</v>
      </c>
      <c r="H1759" s="263" t="s">
        <v>436</v>
      </c>
      <c r="I1759" s="264"/>
      <c r="J1759" s="263" t="s">
        <v>437</v>
      </c>
    </row>
    <row r="1760" spans="1:10" x14ac:dyDescent="0.15">
      <c r="A1760" s="263" t="s">
        <v>4741</v>
      </c>
      <c r="B1760" s="263" t="s">
        <v>4742</v>
      </c>
      <c r="C1760" s="263" t="s">
        <v>96</v>
      </c>
      <c r="D1760" s="263" t="s">
        <v>4743</v>
      </c>
      <c r="E1760" s="263" t="s">
        <v>97</v>
      </c>
      <c r="F1760">
        <v>0</v>
      </c>
      <c r="G1760">
        <v>2</v>
      </c>
      <c r="H1760" s="263" t="s">
        <v>436</v>
      </c>
      <c r="I1760" s="264"/>
      <c r="J1760" s="263" t="s">
        <v>437</v>
      </c>
    </row>
    <row r="1761" spans="1:10" x14ac:dyDescent="0.15">
      <c r="A1761" s="263" t="s">
        <v>4744</v>
      </c>
      <c r="B1761" s="263" t="s">
        <v>4745</v>
      </c>
      <c r="C1761" s="263" t="s">
        <v>96</v>
      </c>
      <c r="D1761" s="263" t="s">
        <v>4746</v>
      </c>
      <c r="E1761" s="263" t="s">
        <v>97</v>
      </c>
      <c r="F1761">
        <v>0</v>
      </c>
      <c r="G1761">
        <v>2</v>
      </c>
      <c r="H1761" s="263" t="s">
        <v>436</v>
      </c>
      <c r="I1761" s="264"/>
      <c r="J1761" s="263" t="s">
        <v>437</v>
      </c>
    </row>
    <row r="1762" spans="1:10" x14ac:dyDescent="0.15">
      <c r="A1762" s="263" t="s">
        <v>4747</v>
      </c>
      <c r="B1762" s="263" t="s">
        <v>4748</v>
      </c>
      <c r="C1762" s="263" t="s">
        <v>96</v>
      </c>
      <c r="D1762" s="263" t="s">
        <v>4749</v>
      </c>
      <c r="E1762" s="263" t="s">
        <v>97</v>
      </c>
      <c r="F1762">
        <v>0</v>
      </c>
      <c r="G1762">
        <v>2</v>
      </c>
      <c r="H1762" s="263" t="s">
        <v>436</v>
      </c>
      <c r="I1762" s="264"/>
      <c r="J1762" s="263" t="s">
        <v>437</v>
      </c>
    </row>
    <row r="1763" spans="1:10" x14ac:dyDescent="0.15">
      <c r="A1763" s="263" t="s">
        <v>4750</v>
      </c>
      <c r="B1763" s="263" t="s">
        <v>4751</v>
      </c>
      <c r="C1763" s="263" t="s">
        <v>96</v>
      </c>
      <c r="D1763" s="263" t="s">
        <v>4752</v>
      </c>
      <c r="E1763" s="263" t="s">
        <v>97</v>
      </c>
      <c r="F1763">
        <v>0</v>
      </c>
      <c r="G1763">
        <v>2</v>
      </c>
      <c r="H1763" s="263" t="s">
        <v>436</v>
      </c>
      <c r="I1763" s="264"/>
      <c r="J1763" s="263" t="s">
        <v>437</v>
      </c>
    </row>
    <row r="1764" spans="1:10" x14ac:dyDescent="0.15">
      <c r="A1764" s="263" t="s">
        <v>4753</v>
      </c>
      <c r="B1764" s="263" t="s">
        <v>4754</v>
      </c>
      <c r="C1764" s="263" t="s">
        <v>96</v>
      </c>
      <c r="D1764" s="263" t="s">
        <v>4755</v>
      </c>
      <c r="E1764" s="263" t="s">
        <v>97</v>
      </c>
      <c r="F1764">
        <v>0</v>
      </c>
      <c r="G1764">
        <v>2</v>
      </c>
      <c r="H1764" s="263" t="s">
        <v>436</v>
      </c>
      <c r="I1764" s="264"/>
      <c r="J1764" s="263" t="s">
        <v>437</v>
      </c>
    </row>
    <row r="1765" spans="1:10" x14ac:dyDescent="0.15">
      <c r="A1765" s="263" t="s">
        <v>4756</v>
      </c>
      <c r="B1765" s="263" t="s">
        <v>4757</v>
      </c>
      <c r="C1765" s="263" t="s">
        <v>96</v>
      </c>
      <c r="D1765" s="263" t="s">
        <v>4758</v>
      </c>
      <c r="E1765" s="263" t="s">
        <v>97</v>
      </c>
      <c r="F1765">
        <v>0</v>
      </c>
      <c r="G1765">
        <v>2</v>
      </c>
      <c r="H1765" s="263" t="s">
        <v>436</v>
      </c>
      <c r="I1765" s="264"/>
      <c r="J1765" s="263" t="s">
        <v>437</v>
      </c>
    </row>
    <row r="1766" spans="1:10" x14ac:dyDescent="0.15">
      <c r="A1766" s="263" t="s">
        <v>4759</v>
      </c>
      <c r="B1766" s="263" t="s">
        <v>4760</v>
      </c>
      <c r="C1766" s="263" t="s">
        <v>96</v>
      </c>
      <c r="D1766" s="263" t="s">
        <v>4761</v>
      </c>
      <c r="E1766" s="263" t="s">
        <v>97</v>
      </c>
      <c r="F1766">
        <v>0</v>
      </c>
      <c r="G1766">
        <v>2</v>
      </c>
      <c r="H1766" s="263" t="s">
        <v>436</v>
      </c>
      <c r="I1766" s="264"/>
      <c r="J1766" s="263" t="s">
        <v>437</v>
      </c>
    </row>
    <row r="1767" spans="1:10" x14ac:dyDescent="0.15">
      <c r="A1767" s="263" t="s">
        <v>4762</v>
      </c>
      <c r="B1767" s="263" t="s">
        <v>4763</v>
      </c>
      <c r="C1767" s="263" t="s">
        <v>96</v>
      </c>
      <c r="D1767" s="263" t="s">
        <v>4764</v>
      </c>
      <c r="E1767" s="263" t="s">
        <v>97</v>
      </c>
      <c r="F1767">
        <v>0</v>
      </c>
      <c r="G1767">
        <v>2</v>
      </c>
      <c r="H1767" s="263" t="s">
        <v>436</v>
      </c>
      <c r="I1767" s="264"/>
      <c r="J1767" s="263" t="s">
        <v>437</v>
      </c>
    </row>
    <row r="1768" spans="1:10" x14ac:dyDescent="0.15">
      <c r="A1768" s="263" t="s">
        <v>4765</v>
      </c>
      <c r="B1768" s="263" t="s">
        <v>4766</v>
      </c>
      <c r="C1768" s="263" t="s">
        <v>96</v>
      </c>
      <c r="D1768" s="263" t="s">
        <v>4767</v>
      </c>
      <c r="E1768" s="263" t="s">
        <v>97</v>
      </c>
      <c r="F1768">
        <v>0</v>
      </c>
      <c r="G1768">
        <v>2</v>
      </c>
      <c r="H1768" s="263" t="s">
        <v>436</v>
      </c>
      <c r="I1768" s="264"/>
      <c r="J1768" s="263" t="s">
        <v>437</v>
      </c>
    </row>
    <row r="1769" spans="1:10" x14ac:dyDescent="0.15">
      <c r="A1769" s="263" t="s">
        <v>4768</v>
      </c>
      <c r="B1769" s="263" t="s">
        <v>4769</v>
      </c>
      <c r="C1769" s="263" t="s">
        <v>96</v>
      </c>
      <c r="D1769" s="263" t="s">
        <v>4770</v>
      </c>
      <c r="E1769" s="263" t="s">
        <v>97</v>
      </c>
      <c r="F1769">
        <v>0</v>
      </c>
      <c r="G1769">
        <v>2</v>
      </c>
      <c r="H1769" s="263" t="s">
        <v>436</v>
      </c>
      <c r="I1769" s="264"/>
      <c r="J1769" s="263" t="s">
        <v>437</v>
      </c>
    </row>
    <row r="1770" spans="1:10" x14ac:dyDescent="0.15">
      <c r="A1770" s="263" t="s">
        <v>4771</v>
      </c>
      <c r="B1770" s="263" t="s">
        <v>4772</v>
      </c>
      <c r="C1770" s="263" t="s">
        <v>96</v>
      </c>
      <c r="D1770" s="263" t="s">
        <v>4773</v>
      </c>
      <c r="E1770" s="263" t="s">
        <v>97</v>
      </c>
      <c r="F1770">
        <v>0</v>
      </c>
      <c r="G1770">
        <v>2</v>
      </c>
      <c r="H1770" s="263" t="s">
        <v>436</v>
      </c>
      <c r="I1770" s="264"/>
      <c r="J1770" s="263" t="s">
        <v>437</v>
      </c>
    </row>
    <row r="1771" spans="1:10" x14ac:dyDescent="0.15">
      <c r="A1771" s="263" t="s">
        <v>4774</v>
      </c>
      <c r="B1771" s="263" t="s">
        <v>4775</v>
      </c>
      <c r="C1771" s="263" t="s">
        <v>96</v>
      </c>
      <c r="D1771" s="263" t="s">
        <v>4776</v>
      </c>
      <c r="E1771" s="263" t="s">
        <v>97</v>
      </c>
      <c r="F1771">
        <v>0</v>
      </c>
      <c r="G1771">
        <v>2</v>
      </c>
      <c r="H1771" s="263" t="s">
        <v>436</v>
      </c>
      <c r="I1771" s="264"/>
      <c r="J1771" s="263" t="s">
        <v>437</v>
      </c>
    </row>
    <row r="1772" spans="1:10" x14ac:dyDescent="0.15">
      <c r="A1772" s="263" t="s">
        <v>4777</v>
      </c>
      <c r="B1772" s="263" t="s">
        <v>4778</v>
      </c>
      <c r="C1772" s="263" t="s">
        <v>96</v>
      </c>
      <c r="D1772" s="263" t="s">
        <v>4779</v>
      </c>
      <c r="E1772" s="263" t="s">
        <v>97</v>
      </c>
      <c r="F1772">
        <v>0</v>
      </c>
      <c r="G1772">
        <v>2</v>
      </c>
      <c r="H1772" s="263" t="s">
        <v>436</v>
      </c>
      <c r="I1772" s="264"/>
      <c r="J1772" s="263" t="s">
        <v>437</v>
      </c>
    </row>
    <row r="1773" spans="1:10" x14ac:dyDescent="0.15">
      <c r="A1773" s="263" t="s">
        <v>4780</v>
      </c>
      <c r="B1773" s="263" t="s">
        <v>4781</v>
      </c>
      <c r="C1773" s="263" t="s">
        <v>96</v>
      </c>
      <c r="D1773" s="263" t="s">
        <v>4782</v>
      </c>
      <c r="E1773" s="263" t="s">
        <v>97</v>
      </c>
      <c r="F1773">
        <v>0</v>
      </c>
      <c r="G1773">
        <v>2</v>
      </c>
      <c r="H1773" s="263" t="s">
        <v>436</v>
      </c>
      <c r="I1773" s="264"/>
      <c r="J1773" s="263" t="s">
        <v>437</v>
      </c>
    </row>
    <row r="1774" spans="1:10" x14ac:dyDescent="0.15">
      <c r="A1774" s="263" t="s">
        <v>4783</v>
      </c>
      <c r="B1774" s="263" t="s">
        <v>4784</v>
      </c>
      <c r="C1774" s="263" t="s">
        <v>96</v>
      </c>
      <c r="D1774" s="263" t="s">
        <v>4785</v>
      </c>
      <c r="E1774" s="263" t="s">
        <v>97</v>
      </c>
      <c r="F1774">
        <v>0</v>
      </c>
      <c r="G1774">
        <v>2</v>
      </c>
      <c r="H1774" s="263" t="s">
        <v>436</v>
      </c>
      <c r="I1774" s="264"/>
      <c r="J1774" s="263" t="s">
        <v>437</v>
      </c>
    </row>
    <row r="1775" spans="1:10" x14ac:dyDescent="0.15">
      <c r="A1775" s="263" t="s">
        <v>4786</v>
      </c>
      <c r="B1775" s="263" t="s">
        <v>4787</v>
      </c>
      <c r="C1775" s="263" t="s">
        <v>96</v>
      </c>
      <c r="D1775" s="263" t="s">
        <v>4788</v>
      </c>
      <c r="E1775" s="263" t="s">
        <v>97</v>
      </c>
      <c r="F1775">
        <v>0</v>
      </c>
      <c r="G1775">
        <v>2</v>
      </c>
      <c r="H1775" s="263" t="s">
        <v>436</v>
      </c>
      <c r="I1775" s="264"/>
      <c r="J1775" s="263" t="s">
        <v>437</v>
      </c>
    </row>
    <row r="1776" spans="1:10" x14ac:dyDescent="0.15">
      <c r="A1776" s="263" t="s">
        <v>4789</v>
      </c>
      <c r="B1776" s="263" t="s">
        <v>4790</v>
      </c>
      <c r="C1776" s="263" t="s">
        <v>96</v>
      </c>
      <c r="D1776" s="263" t="s">
        <v>4791</v>
      </c>
      <c r="E1776" s="263" t="s">
        <v>97</v>
      </c>
      <c r="F1776">
        <v>0</v>
      </c>
      <c r="G1776">
        <v>2</v>
      </c>
      <c r="H1776" s="263" t="s">
        <v>436</v>
      </c>
      <c r="I1776" s="264"/>
      <c r="J1776" s="263" t="s">
        <v>437</v>
      </c>
    </row>
    <row r="1777" spans="1:10" x14ac:dyDescent="0.15">
      <c r="A1777" s="263" t="s">
        <v>4792</v>
      </c>
      <c r="B1777" s="263" t="s">
        <v>4793</v>
      </c>
      <c r="C1777" s="263" t="s">
        <v>96</v>
      </c>
      <c r="D1777" s="263" t="s">
        <v>4794</v>
      </c>
      <c r="E1777" s="263" t="s">
        <v>97</v>
      </c>
      <c r="F1777">
        <v>0</v>
      </c>
      <c r="G1777">
        <v>2</v>
      </c>
      <c r="H1777" s="263" t="s">
        <v>436</v>
      </c>
      <c r="I1777" s="264"/>
      <c r="J1777" s="263" t="s">
        <v>437</v>
      </c>
    </row>
    <row r="1778" spans="1:10" x14ac:dyDescent="0.15">
      <c r="A1778" s="263" t="s">
        <v>4795</v>
      </c>
      <c r="B1778" s="263" t="s">
        <v>4796</v>
      </c>
      <c r="C1778" s="263" t="s">
        <v>96</v>
      </c>
      <c r="D1778" s="263" t="s">
        <v>4797</v>
      </c>
      <c r="E1778" s="263" t="s">
        <v>97</v>
      </c>
      <c r="F1778">
        <v>0</v>
      </c>
      <c r="G1778">
        <v>2</v>
      </c>
      <c r="H1778" s="263" t="s">
        <v>436</v>
      </c>
      <c r="I1778" s="264"/>
      <c r="J1778" s="263" t="s">
        <v>437</v>
      </c>
    </row>
    <row r="1779" spans="1:10" x14ac:dyDescent="0.15">
      <c r="A1779" s="263" t="s">
        <v>4798</v>
      </c>
      <c r="B1779" s="263" t="s">
        <v>4799</v>
      </c>
      <c r="C1779" s="263" t="s">
        <v>96</v>
      </c>
      <c r="D1779" s="263" t="s">
        <v>4800</v>
      </c>
      <c r="E1779" s="263" t="s">
        <v>97</v>
      </c>
      <c r="F1779">
        <v>0</v>
      </c>
      <c r="G1779">
        <v>2</v>
      </c>
      <c r="H1779" s="263" t="s">
        <v>436</v>
      </c>
      <c r="I1779" s="264"/>
      <c r="J1779" s="263" t="s">
        <v>437</v>
      </c>
    </row>
    <row r="1780" spans="1:10" x14ac:dyDescent="0.15">
      <c r="A1780" s="263" t="s">
        <v>4801</v>
      </c>
      <c r="B1780" s="263" t="s">
        <v>4802</v>
      </c>
      <c r="C1780" s="263" t="s">
        <v>96</v>
      </c>
      <c r="D1780" s="263" t="s">
        <v>4803</v>
      </c>
      <c r="E1780" s="263" t="s">
        <v>97</v>
      </c>
      <c r="F1780">
        <v>0</v>
      </c>
      <c r="G1780">
        <v>2</v>
      </c>
      <c r="H1780" s="263" t="s">
        <v>436</v>
      </c>
      <c r="I1780" s="264"/>
      <c r="J1780" s="263" t="s">
        <v>437</v>
      </c>
    </row>
    <row r="1781" spans="1:10" x14ac:dyDescent="0.15">
      <c r="A1781" s="263" t="s">
        <v>4804</v>
      </c>
      <c r="B1781" s="263" t="s">
        <v>4805</v>
      </c>
      <c r="C1781" s="263" t="s">
        <v>96</v>
      </c>
      <c r="D1781" s="263" t="s">
        <v>4806</v>
      </c>
      <c r="E1781" s="263" t="s">
        <v>97</v>
      </c>
      <c r="F1781">
        <v>0</v>
      </c>
      <c r="G1781">
        <v>2</v>
      </c>
      <c r="H1781" s="263" t="s">
        <v>436</v>
      </c>
      <c r="I1781" s="264"/>
      <c r="J1781" s="263" t="s">
        <v>437</v>
      </c>
    </row>
    <row r="1782" spans="1:10" x14ac:dyDescent="0.15">
      <c r="A1782" s="263" t="s">
        <v>4807</v>
      </c>
      <c r="B1782" s="263" t="s">
        <v>4808</v>
      </c>
      <c r="C1782" s="263" t="s">
        <v>96</v>
      </c>
      <c r="D1782" s="263" t="s">
        <v>4809</v>
      </c>
      <c r="E1782" s="263" t="s">
        <v>97</v>
      </c>
      <c r="F1782">
        <v>0</v>
      </c>
      <c r="G1782">
        <v>2</v>
      </c>
      <c r="H1782" s="263" t="s">
        <v>436</v>
      </c>
      <c r="I1782" s="264"/>
      <c r="J1782" s="263" t="s">
        <v>437</v>
      </c>
    </row>
    <row r="1783" spans="1:10" x14ac:dyDescent="0.15">
      <c r="A1783" s="263" t="s">
        <v>4810</v>
      </c>
      <c r="B1783" s="263" t="s">
        <v>4811</v>
      </c>
      <c r="C1783" s="263" t="s">
        <v>96</v>
      </c>
      <c r="D1783" s="263" t="s">
        <v>4812</v>
      </c>
      <c r="E1783" s="263" t="s">
        <v>97</v>
      </c>
      <c r="F1783">
        <v>0</v>
      </c>
      <c r="G1783">
        <v>2</v>
      </c>
      <c r="H1783" s="263" t="s">
        <v>436</v>
      </c>
      <c r="I1783" s="264"/>
      <c r="J1783" s="263" t="s">
        <v>437</v>
      </c>
    </row>
    <row r="1784" spans="1:10" x14ac:dyDescent="0.15">
      <c r="A1784" s="263" t="s">
        <v>4813</v>
      </c>
      <c r="B1784" s="263" t="s">
        <v>4814</v>
      </c>
      <c r="C1784" s="263" t="s">
        <v>96</v>
      </c>
      <c r="D1784" s="263" t="s">
        <v>4815</v>
      </c>
      <c r="E1784" s="263" t="s">
        <v>97</v>
      </c>
      <c r="F1784">
        <v>0</v>
      </c>
      <c r="G1784">
        <v>2</v>
      </c>
      <c r="H1784" s="263" t="s">
        <v>436</v>
      </c>
      <c r="I1784" s="264"/>
      <c r="J1784" s="263" t="s">
        <v>437</v>
      </c>
    </row>
    <row r="1785" spans="1:10" x14ac:dyDescent="0.15">
      <c r="A1785" s="263" t="s">
        <v>4816</v>
      </c>
      <c r="B1785" s="263" t="s">
        <v>4817</v>
      </c>
      <c r="C1785" s="263" t="s">
        <v>96</v>
      </c>
      <c r="D1785" s="263" t="s">
        <v>4818</v>
      </c>
      <c r="E1785" s="263" t="s">
        <v>97</v>
      </c>
      <c r="F1785">
        <v>0</v>
      </c>
      <c r="G1785">
        <v>2</v>
      </c>
      <c r="H1785" s="263" t="s">
        <v>436</v>
      </c>
      <c r="I1785" s="264"/>
      <c r="J1785" s="263" t="s">
        <v>437</v>
      </c>
    </row>
    <row r="1786" spans="1:10" x14ac:dyDescent="0.15">
      <c r="A1786" s="263" t="s">
        <v>4819</v>
      </c>
      <c r="B1786" s="263" t="s">
        <v>4820</v>
      </c>
      <c r="C1786" s="263" t="s">
        <v>96</v>
      </c>
      <c r="D1786" s="263" t="s">
        <v>4821</v>
      </c>
      <c r="E1786" s="263" t="s">
        <v>97</v>
      </c>
      <c r="F1786">
        <v>0</v>
      </c>
      <c r="G1786">
        <v>2</v>
      </c>
      <c r="H1786" s="263" t="s">
        <v>436</v>
      </c>
      <c r="I1786" s="264"/>
      <c r="J1786" s="263" t="s">
        <v>437</v>
      </c>
    </row>
    <row r="1787" spans="1:10" x14ac:dyDescent="0.15">
      <c r="A1787" s="263" t="s">
        <v>4822</v>
      </c>
      <c r="B1787" s="263" t="s">
        <v>4823</v>
      </c>
      <c r="C1787" s="263" t="s">
        <v>96</v>
      </c>
      <c r="D1787" s="263" t="s">
        <v>4824</v>
      </c>
      <c r="E1787" s="263" t="s">
        <v>97</v>
      </c>
      <c r="F1787">
        <v>0</v>
      </c>
      <c r="G1787">
        <v>2</v>
      </c>
      <c r="H1787" s="263" t="s">
        <v>436</v>
      </c>
      <c r="I1787" s="264"/>
      <c r="J1787" s="263" t="s">
        <v>437</v>
      </c>
    </row>
    <row r="1788" spans="1:10" x14ac:dyDescent="0.15">
      <c r="A1788" s="263" t="s">
        <v>4825</v>
      </c>
      <c r="B1788" s="263" t="s">
        <v>4826</v>
      </c>
      <c r="C1788" s="263" t="s">
        <v>96</v>
      </c>
      <c r="D1788" s="263" t="s">
        <v>4827</v>
      </c>
      <c r="E1788" s="263" t="s">
        <v>97</v>
      </c>
      <c r="F1788">
        <v>0</v>
      </c>
      <c r="G1788">
        <v>2</v>
      </c>
      <c r="H1788" s="263" t="s">
        <v>436</v>
      </c>
      <c r="I1788" s="264"/>
      <c r="J1788" s="263" t="s">
        <v>437</v>
      </c>
    </row>
    <row r="1789" spans="1:10" x14ac:dyDescent="0.15">
      <c r="A1789" s="263" t="s">
        <v>4828</v>
      </c>
      <c r="B1789" s="263" t="s">
        <v>4829</v>
      </c>
      <c r="C1789" s="263" t="s">
        <v>96</v>
      </c>
      <c r="D1789" s="263" t="s">
        <v>4830</v>
      </c>
      <c r="E1789" s="263" t="s">
        <v>97</v>
      </c>
      <c r="F1789">
        <v>0</v>
      </c>
      <c r="G1789">
        <v>2</v>
      </c>
      <c r="H1789" s="263" t="s">
        <v>436</v>
      </c>
      <c r="I1789" s="264"/>
      <c r="J1789" s="263" t="s">
        <v>437</v>
      </c>
    </row>
    <row r="1790" spans="1:10" x14ac:dyDescent="0.15">
      <c r="A1790" s="263" t="s">
        <v>4831</v>
      </c>
      <c r="B1790" s="263" t="s">
        <v>4832</v>
      </c>
      <c r="C1790" s="263" t="s">
        <v>96</v>
      </c>
      <c r="D1790" s="263" t="s">
        <v>4833</v>
      </c>
      <c r="E1790" s="263" t="s">
        <v>97</v>
      </c>
      <c r="F1790">
        <v>0</v>
      </c>
      <c r="G1790">
        <v>2</v>
      </c>
      <c r="H1790" s="263" t="s">
        <v>436</v>
      </c>
      <c r="I1790" s="264"/>
      <c r="J1790" s="263" t="s">
        <v>437</v>
      </c>
    </row>
    <row r="1791" spans="1:10" x14ac:dyDescent="0.15">
      <c r="A1791" s="263" t="s">
        <v>4834</v>
      </c>
      <c r="B1791" s="263" t="s">
        <v>4835</v>
      </c>
      <c r="C1791" s="263" t="s">
        <v>96</v>
      </c>
      <c r="D1791" s="263" t="s">
        <v>4836</v>
      </c>
      <c r="E1791" s="263" t="s">
        <v>97</v>
      </c>
      <c r="F1791">
        <v>0</v>
      </c>
      <c r="G1791">
        <v>2</v>
      </c>
      <c r="H1791" s="263" t="s">
        <v>436</v>
      </c>
      <c r="I1791" s="264"/>
      <c r="J1791" s="263" t="s">
        <v>437</v>
      </c>
    </row>
    <row r="1792" spans="1:10" x14ac:dyDescent="0.15">
      <c r="A1792" s="263" t="s">
        <v>4837</v>
      </c>
      <c r="B1792" s="263" t="s">
        <v>4838</v>
      </c>
      <c r="C1792" s="263" t="s">
        <v>96</v>
      </c>
      <c r="D1792" s="263" t="s">
        <v>4839</v>
      </c>
      <c r="E1792" s="263" t="s">
        <v>97</v>
      </c>
      <c r="F1792">
        <v>0</v>
      </c>
      <c r="G1792">
        <v>2</v>
      </c>
      <c r="H1792" s="263" t="s">
        <v>436</v>
      </c>
      <c r="I1792" s="264"/>
      <c r="J1792" s="263" t="s">
        <v>437</v>
      </c>
    </row>
    <row r="1793" spans="1:10" x14ac:dyDescent="0.15">
      <c r="A1793" s="263" t="s">
        <v>4840</v>
      </c>
      <c r="B1793" s="263" t="s">
        <v>4841</v>
      </c>
      <c r="C1793" s="263" t="s">
        <v>96</v>
      </c>
      <c r="D1793" s="263" t="s">
        <v>4842</v>
      </c>
      <c r="E1793" s="263" t="s">
        <v>97</v>
      </c>
      <c r="F1793">
        <v>0</v>
      </c>
      <c r="G1793">
        <v>2</v>
      </c>
      <c r="H1793" s="263" t="s">
        <v>436</v>
      </c>
      <c r="I1793" s="264"/>
      <c r="J1793" s="263" t="s">
        <v>437</v>
      </c>
    </row>
    <row r="1794" spans="1:10" x14ac:dyDescent="0.15">
      <c r="A1794" s="263" t="s">
        <v>4843</v>
      </c>
      <c r="B1794" s="263" t="s">
        <v>4844</v>
      </c>
      <c r="C1794" s="263" t="s">
        <v>96</v>
      </c>
      <c r="D1794" s="263" t="s">
        <v>4845</v>
      </c>
      <c r="E1794" s="263" t="s">
        <v>97</v>
      </c>
      <c r="F1794">
        <v>0</v>
      </c>
      <c r="G1794">
        <v>2</v>
      </c>
      <c r="H1794" s="263" t="s">
        <v>436</v>
      </c>
      <c r="I1794" s="264"/>
      <c r="J1794" s="263" t="s">
        <v>437</v>
      </c>
    </row>
    <row r="1795" spans="1:10" x14ac:dyDescent="0.15">
      <c r="A1795" s="263" t="s">
        <v>4846</v>
      </c>
      <c r="B1795" s="263" t="s">
        <v>4847</v>
      </c>
      <c r="C1795" s="263" t="s">
        <v>96</v>
      </c>
      <c r="D1795" s="263" t="s">
        <v>4848</v>
      </c>
      <c r="E1795" s="263" t="s">
        <v>97</v>
      </c>
      <c r="F1795">
        <v>0</v>
      </c>
      <c r="G1795">
        <v>2</v>
      </c>
      <c r="H1795" s="263" t="s">
        <v>436</v>
      </c>
      <c r="I1795" s="264"/>
      <c r="J1795" s="263" t="s">
        <v>437</v>
      </c>
    </row>
    <row r="1796" spans="1:10" x14ac:dyDescent="0.15">
      <c r="A1796" s="263" t="s">
        <v>4849</v>
      </c>
      <c r="B1796" s="263" t="s">
        <v>4850</v>
      </c>
      <c r="C1796" s="263" t="s">
        <v>96</v>
      </c>
      <c r="D1796" s="263" t="s">
        <v>4851</v>
      </c>
      <c r="E1796" s="263" t="s">
        <v>97</v>
      </c>
      <c r="F1796">
        <v>0</v>
      </c>
      <c r="G1796">
        <v>2</v>
      </c>
      <c r="H1796" s="263" t="s">
        <v>436</v>
      </c>
      <c r="I1796" s="264"/>
      <c r="J1796" s="263" t="s">
        <v>437</v>
      </c>
    </row>
    <row r="1797" spans="1:10" x14ac:dyDescent="0.15">
      <c r="A1797" s="263" t="s">
        <v>4852</v>
      </c>
      <c r="B1797" s="263" t="s">
        <v>4853</v>
      </c>
      <c r="C1797" s="263" t="s">
        <v>96</v>
      </c>
      <c r="D1797" s="263" t="s">
        <v>4854</v>
      </c>
      <c r="E1797" s="263" t="s">
        <v>97</v>
      </c>
      <c r="F1797">
        <v>0</v>
      </c>
      <c r="G1797">
        <v>2</v>
      </c>
      <c r="H1797" s="263" t="s">
        <v>436</v>
      </c>
      <c r="I1797" s="264"/>
      <c r="J1797" s="263" t="s">
        <v>437</v>
      </c>
    </row>
    <row r="1798" spans="1:10" x14ac:dyDescent="0.15">
      <c r="A1798" s="263" t="s">
        <v>4855</v>
      </c>
      <c r="B1798" s="263" t="s">
        <v>4856</v>
      </c>
      <c r="C1798" s="263" t="s">
        <v>96</v>
      </c>
      <c r="D1798" s="263" t="s">
        <v>4857</v>
      </c>
      <c r="E1798" s="263" t="s">
        <v>97</v>
      </c>
      <c r="F1798">
        <v>0</v>
      </c>
      <c r="G1798">
        <v>2</v>
      </c>
      <c r="H1798" s="263" t="s">
        <v>436</v>
      </c>
      <c r="I1798" s="264"/>
      <c r="J1798" s="263" t="s">
        <v>437</v>
      </c>
    </row>
    <row r="1799" spans="1:10" x14ac:dyDescent="0.15">
      <c r="A1799" s="263" t="s">
        <v>4858</v>
      </c>
      <c r="B1799" s="263" t="s">
        <v>4859</v>
      </c>
      <c r="C1799" s="263" t="s">
        <v>96</v>
      </c>
      <c r="D1799" s="263" t="s">
        <v>4860</v>
      </c>
      <c r="E1799" s="263" t="s">
        <v>97</v>
      </c>
      <c r="F1799">
        <v>0</v>
      </c>
      <c r="G1799">
        <v>2</v>
      </c>
      <c r="H1799" s="263" t="s">
        <v>436</v>
      </c>
      <c r="I1799" s="264"/>
      <c r="J1799" s="263" t="s">
        <v>437</v>
      </c>
    </row>
    <row r="1800" spans="1:10" x14ac:dyDescent="0.15">
      <c r="A1800" s="263" t="s">
        <v>4861</v>
      </c>
      <c r="B1800" s="263" t="s">
        <v>4862</v>
      </c>
      <c r="C1800" s="263" t="s">
        <v>96</v>
      </c>
      <c r="D1800" s="263" t="s">
        <v>4863</v>
      </c>
      <c r="E1800" s="263" t="s">
        <v>97</v>
      </c>
      <c r="F1800">
        <v>0</v>
      </c>
      <c r="G1800">
        <v>2</v>
      </c>
      <c r="H1800" s="263" t="s">
        <v>436</v>
      </c>
      <c r="I1800" s="264"/>
      <c r="J1800" s="263" t="s">
        <v>437</v>
      </c>
    </row>
    <row r="1801" spans="1:10" x14ac:dyDescent="0.15">
      <c r="A1801" s="263" t="s">
        <v>4864</v>
      </c>
      <c r="B1801" s="263" t="s">
        <v>4865</v>
      </c>
      <c r="C1801" s="263" t="s">
        <v>96</v>
      </c>
      <c r="D1801" s="263" t="s">
        <v>4866</v>
      </c>
      <c r="E1801" s="263" t="s">
        <v>97</v>
      </c>
      <c r="F1801">
        <v>0</v>
      </c>
      <c r="G1801">
        <v>2</v>
      </c>
      <c r="H1801" s="263" t="s">
        <v>436</v>
      </c>
      <c r="I1801" s="264"/>
      <c r="J1801" s="263" t="s">
        <v>437</v>
      </c>
    </row>
    <row r="1802" spans="1:10" x14ac:dyDescent="0.15">
      <c r="A1802" s="263" t="s">
        <v>4867</v>
      </c>
      <c r="B1802" s="263" t="s">
        <v>4868</v>
      </c>
      <c r="C1802" s="263" t="s">
        <v>96</v>
      </c>
      <c r="D1802" s="263" t="s">
        <v>4869</v>
      </c>
      <c r="E1802" s="263" t="s">
        <v>97</v>
      </c>
      <c r="F1802">
        <v>0</v>
      </c>
      <c r="G1802">
        <v>2</v>
      </c>
      <c r="H1802" s="263" t="s">
        <v>436</v>
      </c>
      <c r="I1802" s="264"/>
      <c r="J1802" s="263" t="s">
        <v>437</v>
      </c>
    </row>
    <row r="1803" spans="1:10" x14ac:dyDescent="0.15">
      <c r="A1803" s="263" t="s">
        <v>4870</v>
      </c>
      <c r="B1803" s="263" t="s">
        <v>4871</v>
      </c>
      <c r="C1803" s="263" t="s">
        <v>96</v>
      </c>
      <c r="D1803" s="263" t="s">
        <v>4872</v>
      </c>
      <c r="E1803" s="263" t="s">
        <v>97</v>
      </c>
      <c r="F1803">
        <v>0</v>
      </c>
      <c r="G1803">
        <v>2</v>
      </c>
      <c r="H1803" s="263" t="s">
        <v>436</v>
      </c>
      <c r="I1803" s="264"/>
      <c r="J1803" s="263" t="s">
        <v>437</v>
      </c>
    </row>
    <row r="1804" spans="1:10" x14ac:dyDescent="0.15">
      <c r="A1804" s="263" t="s">
        <v>4873</v>
      </c>
      <c r="B1804" s="263" t="s">
        <v>4874</v>
      </c>
      <c r="C1804" s="263" t="s">
        <v>96</v>
      </c>
      <c r="D1804" s="263" t="s">
        <v>4875</v>
      </c>
      <c r="E1804" s="263" t="s">
        <v>97</v>
      </c>
      <c r="F1804">
        <v>0</v>
      </c>
      <c r="G1804">
        <v>2</v>
      </c>
      <c r="H1804" s="263" t="s">
        <v>436</v>
      </c>
      <c r="I1804" s="264"/>
      <c r="J1804" s="263" t="s">
        <v>437</v>
      </c>
    </row>
    <row r="1805" spans="1:10" x14ac:dyDescent="0.15">
      <c r="A1805" s="263" t="s">
        <v>4876</v>
      </c>
      <c r="B1805" s="263" t="s">
        <v>4877</v>
      </c>
      <c r="C1805" s="263" t="s">
        <v>96</v>
      </c>
      <c r="D1805" s="263" t="s">
        <v>4878</v>
      </c>
      <c r="E1805" s="263" t="s">
        <v>97</v>
      </c>
      <c r="F1805">
        <v>0</v>
      </c>
      <c r="G1805">
        <v>2</v>
      </c>
      <c r="H1805" s="263" t="s">
        <v>436</v>
      </c>
      <c r="I1805" s="264"/>
      <c r="J1805" s="263" t="s">
        <v>437</v>
      </c>
    </row>
    <row r="1806" spans="1:10" x14ac:dyDescent="0.15">
      <c r="A1806" s="263" t="s">
        <v>4879</v>
      </c>
      <c r="B1806" s="263" t="s">
        <v>4880</v>
      </c>
      <c r="C1806" s="263" t="s">
        <v>96</v>
      </c>
      <c r="D1806" s="263" t="s">
        <v>4881</v>
      </c>
      <c r="E1806" s="263" t="s">
        <v>97</v>
      </c>
      <c r="F1806">
        <v>0</v>
      </c>
      <c r="G1806">
        <v>2</v>
      </c>
      <c r="H1806" s="263" t="s">
        <v>436</v>
      </c>
      <c r="I1806" s="264"/>
      <c r="J1806" s="263" t="s">
        <v>437</v>
      </c>
    </row>
    <row r="1807" spans="1:10" x14ac:dyDescent="0.15">
      <c r="A1807" s="263" t="s">
        <v>4882</v>
      </c>
      <c r="B1807" s="263" t="s">
        <v>4883</v>
      </c>
      <c r="C1807" s="263" t="s">
        <v>96</v>
      </c>
      <c r="D1807" s="263" t="s">
        <v>4884</v>
      </c>
      <c r="E1807" s="263" t="s">
        <v>97</v>
      </c>
      <c r="F1807">
        <v>0</v>
      </c>
      <c r="G1807">
        <v>2</v>
      </c>
      <c r="H1807" s="263" t="s">
        <v>436</v>
      </c>
      <c r="I1807" s="264"/>
      <c r="J1807" s="263" t="s">
        <v>437</v>
      </c>
    </row>
    <row r="1808" spans="1:10" x14ac:dyDescent="0.15">
      <c r="A1808" s="263" t="s">
        <v>4885</v>
      </c>
      <c r="B1808" s="263" t="s">
        <v>4886</v>
      </c>
      <c r="C1808" s="263" t="s">
        <v>96</v>
      </c>
      <c r="D1808" s="263" t="s">
        <v>4887</v>
      </c>
      <c r="E1808" s="263" t="s">
        <v>97</v>
      </c>
      <c r="F1808">
        <v>0</v>
      </c>
      <c r="G1808">
        <v>2</v>
      </c>
      <c r="H1808" s="263" t="s">
        <v>436</v>
      </c>
      <c r="I1808" s="264"/>
      <c r="J1808" s="263" t="s">
        <v>437</v>
      </c>
    </row>
    <row r="1809" spans="1:10" x14ac:dyDescent="0.15">
      <c r="A1809" s="263" t="s">
        <v>4888</v>
      </c>
      <c r="B1809" s="263" t="s">
        <v>4889</v>
      </c>
      <c r="C1809" s="263" t="s">
        <v>96</v>
      </c>
      <c r="D1809" s="263" t="s">
        <v>4890</v>
      </c>
      <c r="E1809" s="263" t="s">
        <v>97</v>
      </c>
      <c r="F1809">
        <v>0</v>
      </c>
      <c r="G1809">
        <v>2</v>
      </c>
      <c r="H1809" s="263" t="s">
        <v>436</v>
      </c>
      <c r="I1809" s="264"/>
      <c r="J1809" s="263" t="s">
        <v>437</v>
      </c>
    </row>
    <row r="1810" spans="1:10" x14ac:dyDescent="0.15">
      <c r="A1810" s="263" t="s">
        <v>4891</v>
      </c>
      <c r="B1810" s="263" t="s">
        <v>4892</v>
      </c>
      <c r="C1810" s="263" t="s">
        <v>96</v>
      </c>
      <c r="D1810" s="263" t="s">
        <v>4893</v>
      </c>
      <c r="E1810" s="263" t="s">
        <v>97</v>
      </c>
      <c r="F1810">
        <v>0</v>
      </c>
      <c r="G1810">
        <v>2</v>
      </c>
      <c r="H1810" s="263" t="s">
        <v>436</v>
      </c>
      <c r="I1810" s="264"/>
      <c r="J1810" s="263" t="s">
        <v>437</v>
      </c>
    </row>
    <row r="1811" spans="1:10" x14ac:dyDescent="0.15">
      <c r="A1811" s="263" t="s">
        <v>4894</v>
      </c>
      <c r="B1811" s="263" t="s">
        <v>4895</v>
      </c>
      <c r="C1811" s="263" t="s">
        <v>96</v>
      </c>
      <c r="D1811" s="263" t="s">
        <v>4896</v>
      </c>
      <c r="E1811" s="263" t="s">
        <v>97</v>
      </c>
      <c r="F1811">
        <v>0</v>
      </c>
      <c r="G1811">
        <v>2</v>
      </c>
      <c r="H1811" s="263" t="s">
        <v>436</v>
      </c>
      <c r="I1811" s="264"/>
      <c r="J1811" s="263" t="s">
        <v>437</v>
      </c>
    </row>
    <row r="1812" spans="1:10" x14ac:dyDescent="0.15">
      <c r="A1812" s="263" t="s">
        <v>4897</v>
      </c>
      <c r="B1812" s="263" t="s">
        <v>4898</v>
      </c>
      <c r="C1812" s="263" t="s">
        <v>96</v>
      </c>
      <c r="D1812" s="263" t="s">
        <v>4899</v>
      </c>
      <c r="E1812" s="263" t="s">
        <v>97</v>
      </c>
      <c r="F1812">
        <v>0</v>
      </c>
      <c r="G1812">
        <v>2</v>
      </c>
      <c r="H1812" s="263" t="s">
        <v>436</v>
      </c>
      <c r="I1812" s="264"/>
      <c r="J1812" s="263" t="s">
        <v>437</v>
      </c>
    </row>
    <row r="1813" spans="1:10" x14ac:dyDescent="0.15">
      <c r="A1813" s="263" t="s">
        <v>4900</v>
      </c>
      <c r="B1813" s="263" t="s">
        <v>4901</v>
      </c>
      <c r="C1813" s="263" t="s">
        <v>96</v>
      </c>
      <c r="D1813" s="263" t="s">
        <v>4902</v>
      </c>
      <c r="E1813" s="263" t="s">
        <v>97</v>
      </c>
      <c r="F1813">
        <v>0</v>
      </c>
      <c r="G1813">
        <v>2</v>
      </c>
      <c r="H1813" s="263" t="s">
        <v>436</v>
      </c>
      <c r="I1813" s="264"/>
      <c r="J1813" s="263" t="s">
        <v>437</v>
      </c>
    </row>
    <row r="1814" spans="1:10" x14ac:dyDescent="0.15">
      <c r="A1814" s="263" t="s">
        <v>4903</v>
      </c>
      <c r="B1814" s="263" t="s">
        <v>4904</v>
      </c>
      <c r="C1814" s="263" t="s">
        <v>96</v>
      </c>
      <c r="D1814" s="263" t="s">
        <v>4905</v>
      </c>
      <c r="E1814" s="263" t="s">
        <v>97</v>
      </c>
      <c r="F1814">
        <v>0</v>
      </c>
      <c r="G1814">
        <v>2</v>
      </c>
      <c r="H1814" s="263" t="s">
        <v>436</v>
      </c>
      <c r="I1814" s="264"/>
      <c r="J1814" s="263" t="s">
        <v>437</v>
      </c>
    </row>
    <row r="1815" spans="1:10" x14ac:dyDescent="0.15">
      <c r="A1815" s="263" t="s">
        <v>4906</v>
      </c>
      <c r="B1815" s="263" t="s">
        <v>4907</v>
      </c>
      <c r="C1815" s="263" t="s">
        <v>96</v>
      </c>
      <c r="D1815" s="263" t="s">
        <v>4908</v>
      </c>
      <c r="E1815" s="263" t="s">
        <v>97</v>
      </c>
      <c r="F1815">
        <v>0</v>
      </c>
      <c r="G1815">
        <v>2</v>
      </c>
      <c r="H1815" s="263" t="s">
        <v>436</v>
      </c>
      <c r="I1815" s="264"/>
      <c r="J1815" s="263" t="s">
        <v>437</v>
      </c>
    </row>
    <row r="1816" spans="1:10" x14ac:dyDescent="0.15">
      <c r="A1816" s="263" t="s">
        <v>4909</v>
      </c>
      <c r="B1816" s="263" t="s">
        <v>4910</v>
      </c>
      <c r="C1816" s="263" t="s">
        <v>96</v>
      </c>
      <c r="D1816" s="263" t="s">
        <v>4911</v>
      </c>
      <c r="E1816" s="263" t="s">
        <v>97</v>
      </c>
      <c r="F1816">
        <v>0</v>
      </c>
      <c r="G1816">
        <v>2</v>
      </c>
      <c r="H1816" s="263" t="s">
        <v>436</v>
      </c>
      <c r="I1816" s="264"/>
      <c r="J1816" s="263" t="s">
        <v>437</v>
      </c>
    </row>
    <row r="1817" spans="1:10" x14ac:dyDescent="0.15">
      <c r="A1817" s="263" t="s">
        <v>4912</v>
      </c>
      <c r="B1817" s="263" t="s">
        <v>4913</v>
      </c>
      <c r="C1817" s="263" t="s">
        <v>96</v>
      </c>
      <c r="D1817" s="263" t="s">
        <v>4914</v>
      </c>
      <c r="E1817" s="263" t="s">
        <v>97</v>
      </c>
      <c r="F1817">
        <v>0</v>
      </c>
      <c r="G1817">
        <v>2</v>
      </c>
      <c r="H1817" s="263" t="s">
        <v>436</v>
      </c>
      <c r="I1817" s="264"/>
      <c r="J1817" s="263" t="s">
        <v>437</v>
      </c>
    </row>
    <row r="1818" spans="1:10" x14ac:dyDescent="0.15">
      <c r="A1818" s="263" t="s">
        <v>4915</v>
      </c>
      <c r="B1818" s="263" t="s">
        <v>4916</v>
      </c>
      <c r="C1818" s="263" t="s">
        <v>96</v>
      </c>
      <c r="D1818" s="263" t="s">
        <v>4917</v>
      </c>
      <c r="E1818" s="263" t="s">
        <v>97</v>
      </c>
      <c r="F1818">
        <v>0</v>
      </c>
      <c r="G1818">
        <v>2</v>
      </c>
      <c r="H1818" s="263" t="s">
        <v>436</v>
      </c>
      <c r="I1818" s="264"/>
      <c r="J1818" s="263" t="s">
        <v>437</v>
      </c>
    </row>
    <row r="1819" spans="1:10" x14ac:dyDescent="0.15">
      <c r="A1819" s="263" t="s">
        <v>4918</v>
      </c>
      <c r="B1819" s="263" t="s">
        <v>4919</v>
      </c>
      <c r="C1819" s="263" t="s">
        <v>96</v>
      </c>
      <c r="D1819" s="263" t="s">
        <v>4920</v>
      </c>
      <c r="E1819" s="263" t="s">
        <v>97</v>
      </c>
      <c r="F1819">
        <v>0</v>
      </c>
      <c r="G1819">
        <v>2</v>
      </c>
      <c r="H1819" s="263" t="s">
        <v>436</v>
      </c>
      <c r="I1819" s="264"/>
      <c r="J1819" s="263" t="s">
        <v>437</v>
      </c>
    </row>
    <row r="1820" spans="1:10" x14ac:dyDescent="0.15">
      <c r="A1820" s="263" t="s">
        <v>4921</v>
      </c>
      <c r="B1820" s="263" t="s">
        <v>4922</v>
      </c>
      <c r="C1820" s="263" t="s">
        <v>96</v>
      </c>
      <c r="D1820" s="263" t="s">
        <v>4923</v>
      </c>
      <c r="E1820" s="263" t="s">
        <v>97</v>
      </c>
      <c r="F1820">
        <v>0</v>
      </c>
      <c r="G1820">
        <v>2</v>
      </c>
      <c r="H1820" s="263" t="s">
        <v>436</v>
      </c>
      <c r="I1820" s="264"/>
      <c r="J1820" s="263" t="s">
        <v>437</v>
      </c>
    </row>
    <row r="1821" spans="1:10" x14ac:dyDescent="0.15">
      <c r="A1821" s="263" t="s">
        <v>4924</v>
      </c>
      <c r="B1821" s="263" t="s">
        <v>4925</v>
      </c>
      <c r="C1821" s="263" t="s">
        <v>96</v>
      </c>
      <c r="D1821" s="263" t="s">
        <v>4926</v>
      </c>
      <c r="E1821" s="263" t="s">
        <v>97</v>
      </c>
      <c r="F1821">
        <v>0</v>
      </c>
      <c r="G1821">
        <v>2</v>
      </c>
      <c r="H1821" s="263" t="s">
        <v>436</v>
      </c>
      <c r="I1821" s="264"/>
      <c r="J1821" s="263" t="s">
        <v>437</v>
      </c>
    </row>
    <row r="1822" spans="1:10" x14ac:dyDescent="0.15">
      <c r="A1822" s="263" t="s">
        <v>4927</v>
      </c>
      <c r="B1822" s="263" t="s">
        <v>4928</v>
      </c>
      <c r="C1822" s="263" t="s">
        <v>96</v>
      </c>
      <c r="D1822" s="263" t="s">
        <v>4929</v>
      </c>
      <c r="E1822" s="263" t="s">
        <v>97</v>
      </c>
      <c r="F1822">
        <v>0</v>
      </c>
      <c r="G1822">
        <v>2</v>
      </c>
      <c r="H1822" s="263" t="s">
        <v>436</v>
      </c>
      <c r="I1822" s="264"/>
      <c r="J1822" s="263" t="s">
        <v>437</v>
      </c>
    </row>
    <row r="1823" spans="1:10" x14ac:dyDescent="0.15">
      <c r="A1823" s="263" t="s">
        <v>4930</v>
      </c>
      <c r="B1823" s="263" t="s">
        <v>4931</v>
      </c>
      <c r="C1823" s="263" t="s">
        <v>96</v>
      </c>
      <c r="D1823" s="263" t="s">
        <v>4932</v>
      </c>
      <c r="E1823" s="263" t="s">
        <v>97</v>
      </c>
      <c r="F1823">
        <v>0</v>
      </c>
      <c r="G1823">
        <v>2</v>
      </c>
      <c r="H1823" s="263" t="s">
        <v>436</v>
      </c>
      <c r="I1823" s="264"/>
      <c r="J1823" s="263" t="s">
        <v>437</v>
      </c>
    </row>
    <row r="1824" spans="1:10" x14ac:dyDescent="0.15">
      <c r="A1824" s="263" t="s">
        <v>4933</v>
      </c>
      <c r="B1824" s="263" t="s">
        <v>4934</v>
      </c>
      <c r="C1824" s="263" t="s">
        <v>96</v>
      </c>
      <c r="D1824" s="263" t="s">
        <v>4935</v>
      </c>
      <c r="E1824" s="263" t="s">
        <v>97</v>
      </c>
      <c r="F1824">
        <v>0</v>
      </c>
      <c r="G1824">
        <v>2</v>
      </c>
      <c r="H1824" s="263" t="s">
        <v>436</v>
      </c>
      <c r="I1824" s="264"/>
      <c r="J1824" s="263" t="s">
        <v>437</v>
      </c>
    </row>
    <row r="1825" spans="1:10" x14ac:dyDescent="0.15">
      <c r="A1825" s="263" t="s">
        <v>4936</v>
      </c>
      <c r="B1825" s="263" t="s">
        <v>4937</v>
      </c>
      <c r="C1825" s="263" t="s">
        <v>81</v>
      </c>
      <c r="D1825" s="263" t="s">
        <v>4938</v>
      </c>
      <c r="E1825" s="263" t="s">
        <v>88</v>
      </c>
      <c r="F1825">
        <v>0</v>
      </c>
      <c r="G1825">
        <v>2</v>
      </c>
      <c r="H1825" s="263" t="s">
        <v>436</v>
      </c>
      <c r="I1825" s="264"/>
      <c r="J1825" s="263" t="s">
        <v>437</v>
      </c>
    </row>
    <row r="1826" spans="1:10" x14ac:dyDescent="0.15">
      <c r="A1826" s="263" t="s">
        <v>4939</v>
      </c>
      <c r="B1826" s="263" t="s">
        <v>4940</v>
      </c>
      <c r="C1826" s="263" t="s">
        <v>96</v>
      </c>
      <c r="D1826" s="263" t="s">
        <v>4941</v>
      </c>
      <c r="E1826" s="263" t="s">
        <v>97</v>
      </c>
      <c r="F1826">
        <v>0</v>
      </c>
      <c r="G1826">
        <v>2</v>
      </c>
      <c r="H1826" s="263" t="s">
        <v>436</v>
      </c>
      <c r="I1826" s="264"/>
      <c r="J1826" s="263" t="s">
        <v>437</v>
      </c>
    </row>
    <row r="1827" spans="1:10" x14ac:dyDescent="0.15">
      <c r="A1827" s="263" t="s">
        <v>4942</v>
      </c>
      <c r="B1827" s="263" t="s">
        <v>4943</v>
      </c>
      <c r="C1827" s="263" t="s">
        <v>81</v>
      </c>
      <c r="D1827" s="263" t="s">
        <v>4944</v>
      </c>
      <c r="E1827" s="263" t="s">
        <v>88</v>
      </c>
      <c r="F1827">
        <v>0</v>
      </c>
      <c r="G1827">
        <v>2</v>
      </c>
      <c r="H1827" s="263" t="s">
        <v>436</v>
      </c>
      <c r="I1827" s="264"/>
      <c r="J1827" s="263" t="s">
        <v>437</v>
      </c>
    </row>
    <row r="1828" spans="1:10" x14ac:dyDescent="0.15">
      <c r="A1828" s="263" t="s">
        <v>9082</v>
      </c>
      <c r="B1828" s="263" t="s">
        <v>4945</v>
      </c>
      <c r="C1828" s="263" t="s">
        <v>81</v>
      </c>
      <c r="D1828" s="263" t="s">
        <v>4946</v>
      </c>
      <c r="E1828" s="263" t="s">
        <v>88</v>
      </c>
      <c r="F1828">
        <v>0</v>
      </c>
      <c r="G1828">
        <v>2</v>
      </c>
      <c r="H1828" s="263" t="s">
        <v>436</v>
      </c>
      <c r="I1828" s="264"/>
      <c r="J1828" s="263" t="s">
        <v>437</v>
      </c>
    </row>
    <row r="1829" spans="1:10" x14ac:dyDescent="0.15">
      <c r="A1829" s="263" t="s">
        <v>9083</v>
      </c>
      <c r="B1829" s="263" t="s">
        <v>9084</v>
      </c>
      <c r="C1829" s="263" t="s">
        <v>81</v>
      </c>
      <c r="D1829" s="263" t="s">
        <v>9085</v>
      </c>
      <c r="E1829" s="263" t="s">
        <v>88</v>
      </c>
      <c r="F1829">
        <v>0</v>
      </c>
      <c r="G1829">
        <v>2</v>
      </c>
      <c r="H1829" s="263" t="s">
        <v>436</v>
      </c>
      <c r="I1829" s="264"/>
      <c r="J1829" s="263" t="s">
        <v>437</v>
      </c>
    </row>
    <row r="1830" spans="1:10" x14ac:dyDescent="0.15">
      <c r="A1830" s="263" t="s">
        <v>9086</v>
      </c>
      <c r="B1830" s="263" t="s">
        <v>9087</v>
      </c>
      <c r="C1830" s="263" t="s">
        <v>81</v>
      </c>
      <c r="D1830" s="263" t="s">
        <v>9088</v>
      </c>
      <c r="E1830" s="263" t="s">
        <v>88</v>
      </c>
      <c r="F1830">
        <v>0</v>
      </c>
      <c r="G1830">
        <v>2</v>
      </c>
      <c r="H1830" s="263" t="s">
        <v>436</v>
      </c>
      <c r="I1830" s="264"/>
      <c r="J1830" s="263" t="s">
        <v>437</v>
      </c>
    </row>
    <row r="1831" spans="1:10" x14ac:dyDescent="0.15">
      <c r="A1831" s="263" t="s">
        <v>9089</v>
      </c>
      <c r="B1831" s="263" t="s">
        <v>9090</v>
      </c>
      <c r="C1831" s="263" t="s">
        <v>81</v>
      </c>
      <c r="D1831" s="263" t="s">
        <v>9091</v>
      </c>
      <c r="E1831" s="263" t="s">
        <v>88</v>
      </c>
      <c r="F1831">
        <v>0</v>
      </c>
      <c r="G1831">
        <v>2</v>
      </c>
      <c r="H1831" s="263" t="s">
        <v>436</v>
      </c>
      <c r="I1831" s="264"/>
      <c r="J1831" s="263" t="s">
        <v>437</v>
      </c>
    </row>
    <row r="1832" spans="1:10" x14ac:dyDescent="0.15">
      <c r="A1832" s="263" t="s">
        <v>4947</v>
      </c>
      <c r="B1832" s="263" t="s">
        <v>4948</v>
      </c>
      <c r="C1832" s="263" t="s">
        <v>96</v>
      </c>
      <c r="D1832" s="263" t="s">
        <v>4949</v>
      </c>
      <c r="E1832" s="263" t="s">
        <v>97</v>
      </c>
      <c r="F1832">
        <v>0</v>
      </c>
      <c r="G1832">
        <v>2</v>
      </c>
      <c r="H1832" s="263" t="s">
        <v>436</v>
      </c>
      <c r="I1832" s="264"/>
      <c r="J1832" s="263" t="s">
        <v>437</v>
      </c>
    </row>
    <row r="1833" spans="1:10" x14ac:dyDescent="0.15">
      <c r="A1833" s="263" t="s">
        <v>4950</v>
      </c>
      <c r="B1833" s="263" t="s">
        <v>4951</v>
      </c>
      <c r="C1833" s="263" t="s">
        <v>96</v>
      </c>
      <c r="D1833" s="263" t="s">
        <v>4952</v>
      </c>
      <c r="E1833" s="263" t="s">
        <v>97</v>
      </c>
      <c r="F1833">
        <v>0</v>
      </c>
      <c r="G1833">
        <v>2</v>
      </c>
      <c r="H1833" s="263" t="s">
        <v>436</v>
      </c>
      <c r="I1833" s="264"/>
      <c r="J1833" s="263" t="s">
        <v>437</v>
      </c>
    </row>
    <row r="1834" spans="1:10" x14ac:dyDescent="0.15">
      <c r="A1834" s="263" t="s">
        <v>4953</v>
      </c>
      <c r="B1834" s="263" t="s">
        <v>4954</v>
      </c>
      <c r="C1834" s="263" t="s">
        <v>96</v>
      </c>
      <c r="D1834" s="263" t="s">
        <v>4955</v>
      </c>
      <c r="E1834" s="263" t="s">
        <v>97</v>
      </c>
      <c r="F1834">
        <v>0</v>
      </c>
      <c r="G1834">
        <v>2</v>
      </c>
      <c r="H1834" s="263" t="s">
        <v>436</v>
      </c>
      <c r="I1834" s="264"/>
      <c r="J1834" s="263" t="s">
        <v>437</v>
      </c>
    </row>
    <row r="1835" spans="1:10" x14ac:dyDescent="0.15">
      <c r="A1835" s="263" t="s">
        <v>4956</v>
      </c>
      <c r="B1835" s="263" t="s">
        <v>4957</v>
      </c>
      <c r="C1835" s="263" t="s">
        <v>96</v>
      </c>
      <c r="D1835" s="263" t="s">
        <v>4958</v>
      </c>
      <c r="E1835" s="263" t="s">
        <v>97</v>
      </c>
      <c r="F1835">
        <v>0</v>
      </c>
      <c r="G1835">
        <v>2</v>
      </c>
      <c r="H1835" s="263" t="s">
        <v>436</v>
      </c>
      <c r="I1835" s="264"/>
      <c r="J1835" s="263" t="s">
        <v>437</v>
      </c>
    </row>
    <row r="1836" spans="1:10" x14ac:dyDescent="0.15">
      <c r="A1836" s="263" t="s">
        <v>4959</v>
      </c>
      <c r="B1836" s="263" t="s">
        <v>4960</v>
      </c>
      <c r="C1836" s="263" t="s">
        <v>96</v>
      </c>
      <c r="D1836" s="263" t="s">
        <v>4961</v>
      </c>
      <c r="E1836" s="263" t="s">
        <v>97</v>
      </c>
      <c r="F1836">
        <v>0</v>
      </c>
      <c r="G1836">
        <v>2</v>
      </c>
      <c r="H1836" s="263" t="s">
        <v>436</v>
      </c>
      <c r="I1836" s="264"/>
      <c r="J1836" s="263" t="s">
        <v>437</v>
      </c>
    </row>
    <row r="1837" spans="1:10" x14ac:dyDescent="0.15">
      <c r="A1837" s="263" t="s">
        <v>4962</v>
      </c>
      <c r="B1837" s="263" t="s">
        <v>4963</v>
      </c>
      <c r="C1837" s="263" t="s">
        <v>96</v>
      </c>
      <c r="D1837" s="263" t="s">
        <v>4964</v>
      </c>
      <c r="E1837" s="263" t="s">
        <v>97</v>
      </c>
      <c r="F1837">
        <v>0</v>
      </c>
      <c r="G1837">
        <v>2</v>
      </c>
      <c r="H1837" s="263" t="s">
        <v>436</v>
      </c>
      <c r="I1837" s="264"/>
      <c r="J1837" s="263" t="s">
        <v>437</v>
      </c>
    </row>
    <row r="1838" spans="1:10" x14ac:dyDescent="0.15">
      <c r="A1838" s="263" t="s">
        <v>4965</v>
      </c>
      <c r="B1838" s="263" t="s">
        <v>4966</v>
      </c>
      <c r="C1838" s="263" t="s">
        <v>96</v>
      </c>
      <c r="D1838" s="263" t="s">
        <v>4967</v>
      </c>
      <c r="E1838" s="263" t="s">
        <v>97</v>
      </c>
      <c r="F1838">
        <v>0</v>
      </c>
      <c r="G1838">
        <v>2</v>
      </c>
      <c r="H1838" s="263" t="s">
        <v>436</v>
      </c>
      <c r="I1838" s="264"/>
      <c r="J1838" s="263" t="s">
        <v>437</v>
      </c>
    </row>
    <row r="1839" spans="1:10" x14ac:dyDescent="0.15">
      <c r="A1839" s="263" t="s">
        <v>4968</v>
      </c>
      <c r="B1839" s="263" t="s">
        <v>4969</v>
      </c>
      <c r="C1839" s="263" t="s">
        <v>96</v>
      </c>
      <c r="D1839" s="263" t="s">
        <v>4970</v>
      </c>
      <c r="E1839" s="263" t="s">
        <v>97</v>
      </c>
      <c r="F1839">
        <v>0</v>
      </c>
      <c r="G1839">
        <v>2</v>
      </c>
      <c r="H1839" s="263" t="s">
        <v>436</v>
      </c>
      <c r="I1839" s="264"/>
      <c r="J1839" s="263" t="s">
        <v>437</v>
      </c>
    </row>
    <row r="1840" spans="1:10" x14ac:dyDescent="0.15">
      <c r="A1840" s="263" t="s">
        <v>4971</v>
      </c>
      <c r="B1840" s="263" t="s">
        <v>4972</v>
      </c>
      <c r="C1840" s="263" t="s">
        <v>96</v>
      </c>
      <c r="D1840" s="263" t="s">
        <v>4973</v>
      </c>
      <c r="E1840" s="263" t="s">
        <v>97</v>
      </c>
      <c r="F1840">
        <v>0</v>
      </c>
      <c r="G1840">
        <v>2</v>
      </c>
      <c r="H1840" s="263" t="s">
        <v>436</v>
      </c>
      <c r="I1840" s="264"/>
      <c r="J1840" s="263" t="s">
        <v>437</v>
      </c>
    </row>
    <row r="1841" spans="1:10" x14ac:dyDescent="0.15">
      <c r="A1841" s="263" t="s">
        <v>4974</v>
      </c>
      <c r="B1841" s="263" t="s">
        <v>4975</v>
      </c>
      <c r="C1841" s="263" t="s">
        <v>96</v>
      </c>
      <c r="D1841" s="263" t="s">
        <v>4976</v>
      </c>
      <c r="E1841" s="263" t="s">
        <v>97</v>
      </c>
      <c r="F1841">
        <v>0</v>
      </c>
      <c r="G1841">
        <v>2</v>
      </c>
      <c r="H1841" s="263" t="s">
        <v>436</v>
      </c>
      <c r="I1841" s="264"/>
      <c r="J1841" s="263" t="s">
        <v>437</v>
      </c>
    </row>
    <row r="1842" spans="1:10" x14ac:dyDescent="0.15">
      <c r="A1842" s="263" t="s">
        <v>4977</v>
      </c>
      <c r="B1842" s="263" t="s">
        <v>4978</v>
      </c>
      <c r="C1842" s="263" t="s">
        <v>96</v>
      </c>
      <c r="D1842" s="263" t="s">
        <v>4979</v>
      </c>
      <c r="E1842" s="263" t="s">
        <v>97</v>
      </c>
      <c r="F1842">
        <v>0</v>
      </c>
      <c r="G1842">
        <v>2</v>
      </c>
      <c r="H1842" s="263" t="s">
        <v>436</v>
      </c>
      <c r="I1842" s="264"/>
      <c r="J1842" s="263" t="s">
        <v>437</v>
      </c>
    </row>
    <row r="1843" spans="1:10" x14ac:dyDescent="0.15">
      <c r="A1843" s="263" t="s">
        <v>4980</v>
      </c>
      <c r="B1843" s="263" t="s">
        <v>4981</v>
      </c>
      <c r="C1843" s="263" t="s">
        <v>96</v>
      </c>
      <c r="D1843" s="263" t="s">
        <v>4982</v>
      </c>
      <c r="E1843" s="263" t="s">
        <v>97</v>
      </c>
      <c r="F1843">
        <v>0</v>
      </c>
      <c r="G1843">
        <v>2</v>
      </c>
      <c r="H1843" s="263" t="s">
        <v>436</v>
      </c>
      <c r="I1843" s="264"/>
      <c r="J1843" s="263" t="s">
        <v>437</v>
      </c>
    </row>
    <row r="1844" spans="1:10" x14ac:dyDescent="0.15">
      <c r="A1844" s="263" t="s">
        <v>4983</v>
      </c>
      <c r="B1844" s="263" t="s">
        <v>4984</v>
      </c>
      <c r="C1844" s="263" t="s">
        <v>96</v>
      </c>
      <c r="D1844" s="263" t="s">
        <v>4985</v>
      </c>
      <c r="E1844" s="263" t="s">
        <v>97</v>
      </c>
      <c r="F1844">
        <v>0</v>
      </c>
      <c r="G1844">
        <v>2</v>
      </c>
      <c r="H1844" s="263" t="s">
        <v>436</v>
      </c>
      <c r="I1844" s="264"/>
      <c r="J1844" s="263" t="s">
        <v>437</v>
      </c>
    </row>
    <row r="1845" spans="1:10" x14ac:dyDescent="0.15">
      <c r="A1845" s="263" t="s">
        <v>4986</v>
      </c>
      <c r="B1845" s="263" t="s">
        <v>4987</v>
      </c>
      <c r="C1845" s="263" t="s">
        <v>96</v>
      </c>
      <c r="D1845" s="263" t="s">
        <v>4988</v>
      </c>
      <c r="E1845" s="263" t="s">
        <v>97</v>
      </c>
      <c r="F1845">
        <v>0</v>
      </c>
      <c r="G1845">
        <v>2</v>
      </c>
      <c r="H1845" s="263" t="s">
        <v>436</v>
      </c>
      <c r="I1845" s="264"/>
      <c r="J1845" s="263" t="s">
        <v>437</v>
      </c>
    </row>
    <row r="1846" spans="1:10" x14ac:dyDescent="0.15">
      <c r="A1846" s="263" t="s">
        <v>4989</v>
      </c>
      <c r="B1846" s="263" t="s">
        <v>4990</v>
      </c>
      <c r="C1846" s="263" t="s">
        <v>96</v>
      </c>
      <c r="D1846" s="263" t="s">
        <v>4991</v>
      </c>
      <c r="E1846" s="263" t="s">
        <v>97</v>
      </c>
      <c r="F1846">
        <v>0</v>
      </c>
      <c r="G1846">
        <v>2</v>
      </c>
      <c r="H1846" s="263" t="s">
        <v>436</v>
      </c>
      <c r="I1846" s="264"/>
      <c r="J1846" s="263" t="s">
        <v>437</v>
      </c>
    </row>
    <row r="1847" spans="1:10" x14ac:dyDescent="0.15">
      <c r="A1847" s="263" t="s">
        <v>4992</v>
      </c>
      <c r="B1847" s="263" t="s">
        <v>4993</v>
      </c>
      <c r="C1847" s="263" t="s">
        <v>96</v>
      </c>
      <c r="D1847" s="263" t="s">
        <v>4994</v>
      </c>
      <c r="E1847" s="263" t="s">
        <v>97</v>
      </c>
      <c r="F1847">
        <v>0</v>
      </c>
      <c r="G1847">
        <v>2</v>
      </c>
      <c r="H1847" s="263" t="s">
        <v>436</v>
      </c>
      <c r="I1847" s="264"/>
      <c r="J1847" s="263" t="s">
        <v>437</v>
      </c>
    </row>
    <row r="1848" spans="1:10" x14ac:dyDescent="0.15">
      <c r="A1848" s="263" t="s">
        <v>4995</v>
      </c>
      <c r="B1848" s="263" t="s">
        <v>4996</v>
      </c>
      <c r="C1848" s="263" t="s">
        <v>96</v>
      </c>
      <c r="D1848" s="263" t="s">
        <v>4997</v>
      </c>
      <c r="E1848" s="263" t="s">
        <v>97</v>
      </c>
      <c r="F1848">
        <v>0</v>
      </c>
      <c r="G1848">
        <v>2</v>
      </c>
      <c r="H1848" s="263" t="s">
        <v>436</v>
      </c>
      <c r="I1848" s="264"/>
      <c r="J1848" s="263" t="s">
        <v>437</v>
      </c>
    </row>
    <row r="1849" spans="1:10" x14ac:dyDescent="0.15">
      <c r="A1849" s="263" t="s">
        <v>4998</v>
      </c>
      <c r="B1849" s="263" t="s">
        <v>4999</v>
      </c>
      <c r="C1849" s="263" t="s">
        <v>96</v>
      </c>
      <c r="D1849" s="263" t="s">
        <v>5000</v>
      </c>
      <c r="E1849" s="263" t="s">
        <v>97</v>
      </c>
      <c r="F1849">
        <v>0</v>
      </c>
      <c r="G1849">
        <v>2</v>
      </c>
      <c r="H1849" s="263" t="s">
        <v>436</v>
      </c>
      <c r="I1849" s="264"/>
      <c r="J1849" s="263" t="s">
        <v>437</v>
      </c>
    </row>
    <row r="1850" spans="1:10" x14ac:dyDescent="0.15">
      <c r="A1850" s="263" t="s">
        <v>5001</v>
      </c>
      <c r="B1850" s="263" t="s">
        <v>5002</v>
      </c>
      <c r="C1850" s="263" t="s">
        <v>96</v>
      </c>
      <c r="D1850" s="263" t="s">
        <v>5003</v>
      </c>
      <c r="E1850" s="263" t="s">
        <v>97</v>
      </c>
      <c r="F1850">
        <v>0</v>
      </c>
      <c r="G1850">
        <v>2</v>
      </c>
      <c r="H1850" s="263" t="s">
        <v>436</v>
      </c>
      <c r="I1850" s="264"/>
      <c r="J1850" s="263" t="s">
        <v>437</v>
      </c>
    </row>
    <row r="1851" spans="1:10" x14ac:dyDescent="0.15">
      <c r="A1851" s="263" t="s">
        <v>5004</v>
      </c>
      <c r="B1851" s="263" t="s">
        <v>5005</v>
      </c>
      <c r="C1851" s="263" t="s">
        <v>96</v>
      </c>
      <c r="D1851" s="263" t="s">
        <v>5006</v>
      </c>
      <c r="E1851" s="263" t="s">
        <v>97</v>
      </c>
      <c r="F1851">
        <v>0</v>
      </c>
      <c r="G1851">
        <v>2</v>
      </c>
      <c r="H1851" s="263" t="s">
        <v>436</v>
      </c>
      <c r="I1851" s="264"/>
      <c r="J1851" s="263" t="s">
        <v>437</v>
      </c>
    </row>
    <row r="1852" spans="1:10" x14ac:dyDescent="0.15">
      <c r="A1852" s="263" t="s">
        <v>5007</v>
      </c>
      <c r="B1852" s="263" t="s">
        <v>5005</v>
      </c>
      <c r="C1852" s="263" t="s">
        <v>96</v>
      </c>
      <c r="D1852" s="263" t="s">
        <v>5008</v>
      </c>
      <c r="E1852" s="263" t="s">
        <v>97</v>
      </c>
      <c r="F1852">
        <v>0</v>
      </c>
      <c r="G1852">
        <v>2</v>
      </c>
      <c r="H1852" s="263" t="s">
        <v>436</v>
      </c>
      <c r="I1852" s="264"/>
      <c r="J1852" s="263" t="s">
        <v>437</v>
      </c>
    </row>
    <row r="1853" spans="1:10" x14ac:dyDescent="0.15">
      <c r="A1853" s="263" t="s">
        <v>5009</v>
      </c>
      <c r="B1853" s="263" t="s">
        <v>5010</v>
      </c>
      <c r="C1853" s="263" t="s">
        <v>96</v>
      </c>
      <c r="D1853" s="263" t="s">
        <v>5011</v>
      </c>
      <c r="E1853" s="263" t="s">
        <v>97</v>
      </c>
      <c r="F1853">
        <v>0</v>
      </c>
      <c r="G1853">
        <v>2</v>
      </c>
      <c r="H1853" s="263" t="s">
        <v>436</v>
      </c>
      <c r="I1853" s="264"/>
      <c r="J1853" s="263" t="s">
        <v>437</v>
      </c>
    </row>
    <row r="1854" spans="1:10" x14ac:dyDescent="0.15">
      <c r="A1854" s="263" t="s">
        <v>5012</v>
      </c>
      <c r="B1854" s="263" t="s">
        <v>5013</v>
      </c>
      <c r="C1854" s="263" t="s">
        <v>96</v>
      </c>
      <c r="D1854" s="263" t="s">
        <v>5014</v>
      </c>
      <c r="E1854" s="263" t="s">
        <v>97</v>
      </c>
      <c r="F1854">
        <v>0</v>
      </c>
      <c r="G1854">
        <v>2</v>
      </c>
      <c r="H1854" s="263" t="s">
        <v>436</v>
      </c>
      <c r="I1854" s="264"/>
      <c r="J1854" s="263" t="s">
        <v>437</v>
      </c>
    </row>
    <row r="1855" spans="1:10" x14ac:dyDescent="0.15">
      <c r="A1855" s="263" t="s">
        <v>5015</v>
      </c>
      <c r="B1855" s="263" t="s">
        <v>5016</v>
      </c>
      <c r="C1855" s="263" t="s">
        <v>96</v>
      </c>
      <c r="D1855" s="263" t="s">
        <v>5017</v>
      </c>
      <c r="E1855" s="263" t="s">
        <v>97</v>
      </c>
      <c r="F1855">
        <v>0</v>
      </c>
      <c r="G1855">
        <v>2</v>
      </c>
      <c r="H1855" s="263" t="s">
        <v>436</v>
      </c>
      <c r="I1855" s="264"/>
      <c r="J1855" s="263" t="s">
        <v>437</v>
      </c>
    </row>
    <row r="1856" spans="1:10" x14ac:dyDescent="0.15">
      <c r="A1856" s="263" t="s">
        <v>5018</v>
      </c>
      <c r="B1856" s="263" t="s">
        <v>9673</v>
      </c>
      <c r="C1856" s="263" t="s">
        <v>96</v>
      </c>
      <c r="D1856" s="263" t="s">
        <v>9674</v>
      </c>
      <c r="E1856" s="263" t="s">
        <v>97</v>
      </c>
      <c r="F1856">
        <v>0</v>
      </c>
      <c r="G1856">
        <v>2</v>
      </c>
      <c r="H1856" s="263" t="s">
        <v>436</v>
      </c>
      <c r="I1856" s="264"/>
      <c r="J1856" s="263" t="s">
        <v>437</v>
      </c>
    </row>
    <row r="1857" spans="1:10" x14ac:dyDescent="0.15">
      <c r="A1857" s="263" t="s">
        <v>5019</v>
      </c>
      <c r="B1857" s="263" t="s">
        <v>5020</v>
      </c>
      <c r="C1857" s="263" t="s">
        <v>96</v>
      </c>
      <c r="D1857" s="263" t="s">
        <v>5021</v>
      </c>
      <c r="E1857" s="263" t="s">
        <v>97</v>
      </c>
      <c r="F1857">
        <v>0</v>
      </c>
      <c r="G1857">
        <v>2</v>
      </c>
      <c r="H1857" s="263" t="s">
        <v>436</v>
      </c>
      <c r="I1857" s="264"/>
      <c r="J1857" s="263" t="s">
        <v>437</v>
      </c>
    </row>
    <row r="1858" spans="1:10" x14ac:dyDescent="0.15">
      <c r="A1858" s="263" t="s">
        <v>5022</v>
      </c>
      <c r="B1858" s="263" t="s">
        <v>5023</v>
      </c>
      <c r="C1858" s="263" t="s">
        <v>96</v>
      </c>
      <c r="D1858" s="263" t="s">
        <v>5024</v>
      </c>
      <c r="E1858" s="263" t="s">
        <v>97</v>
      </c>
      <c r="F1858">
        <v>0</v>
      </c>
      <c r="G1858">
        <v>2</v>
      </c>
      <c r="H1858" s="263" t="s">
        <v>436</v>
      </c>
      <c r="I1858" s="264"/>
      <c r="J1858" s="263" t="s">
        <v>437</v>
      </c>
    </row>
    <row r="1859" spans="1:10" x14ac:dyDescent="0.15">
      <c r="A1859" s="263" t="s">
        <v>5025</v>
      </c>
      <c r="B1859" s="263" t="s">
        <v>5026</v>
      </c>
      <c r="C1859" s="263" t="s">
        <v>96</v>
      </c>
      <c r="D1859" s="263" t="s">
        <v>5027</v>
      </c>
      <c r="E1859" s="263" t="s">
        <v>97</v>
      </c>
      <c r="F1859">
        <v>0</v>
      </c>
      <c r="G1859">
        <v>2</v>
      </c>
      <c r="H1859" s="263" t="s">
        <v>436</v>
      </c>
      <c r="I1859" s="264"/>
      <c r="J1859" s="263" t="s">
        <v>437</v>
      </c>
    </row>
    <row r="1860" spans="1:10" x14ac:dyDescent="0.15">
      <c r="A1860" s="263" t="s">
        <v>5028</v>
      </c>
      <c r="B1860" s="263" t="s">
        <v>5029</v>
      </c>
      <c r="C1860" s="263" t="s">
        <v>81</v>
      </c>
      <c r="D1860" s="263" t="s">
        <v>5030</v>
      </c>
      <c r="E1860" s="263" t="s">
        <v>88</v>
      </c>
      <c r="F1860">
        <v>0</v>
      </c>
      <c r="G1860">
        <v>2</v>
      </c>
      <c r="H1860" s="263" t="s">
        <v>436</v>
      </c>
      <c r="I1860" s="264"/>
      <c r="J1860" s="263" t="s">
        <v>437</v>
      </c>
    </row>
    <row r="1861" spans="1:10" x14ac:dyDescent="0.15">
      <c r="A1861" s="263" t="s">
        <v>5031</v>
      </c>
      <c r="B1861" s="263" t="s">
        <v>5032</v>
      </c>
      <c r="C1861" s="263" t="s">
        <v>81</v>
      </c>
      <c r="D1861" s="263" t="s">
        <v>5033</v>
      </c>
      <c r="E1861" s="263" t="s">
        <v>88</v>
      </c>
      <c r="F1861">
        <v>0</v>
      </c>
      <c r="G1861">
        <v>2</v>
      </c>
      <c r="H1861" s="263" t="s">
        <v>436</v>
      </c>
      <c r="I1861" s="264"/>
      <c r="J1861" s="263" t="s">
        <v>437</v>
      </c>
    </row>
    <row r="1862" spans="1:10" x14ac:dyDescent="0.15">
      <c r="A1862" s="263" t="s">
        <v>5034</v>
      </c>
      <c r="B1862" s="263" t="s">
        <v>5035</v>
      </c>
      <c r="C1862" s="263" t="s">
        <v>81</v>
      </c>
      <c r="D1862" s="263" t="s">
        <v>5036</v>
      </c>
      <c r="E1862" s="263" t="s">
        <v>88</v>
      </c>
      <c r="F1862">
        <v>0</v>
      </c>
      <c r="G1862">
        <v>2</v>
      </c>
      <c r="H1862" s="263" t="s">
        <v>436</v>
      </c>
      <c r="I1862" s="264"/>
      <c r="J1862" s="263" t="s">
        <v>437</v>
      </c>
    </row>
    <row r="1863" spans="1:10" x14ac:dyDescent="0.15">
      <c r="A1863" s="263" t="s">
        <v>5037</v>
      </c>
      <c r="B1863" s="263" t="s">
        <v>5032</v>
      </c>
      <c r="C1863" s="263" t="s">
        <v>96</v>
      </c>
      <c r="D1863" s="263" t="s">
        <v>5033</v>
      </c>
      <c r="E1863" s="263" t="s">
        <v>97</v>
      </c>
      <c r="F1863">
        <v>0</v>
      </c>
      <c r="G1863">
        <v>2</v>
      </c>
      <c r="H1863" s="263" t="s">
        <v>436</v>
      </c>
      <c r="I1863" s="264"/>
      <c r="J1863" s="263" t="s">
        <v>437</v>
      </c>
    </row>
    <row r="1864" spans="1:10" x14ac:dyDescent="0.15">
      <c r="A1864" s="263" t="s">
        <v>5038</v>
      </c>
      <c r="B1864" s="263" t="s">
        <v>5035</v>
      </c>
      <c r="C1864" s="263" t="s">
        <v>96</v>
      </c>
      <c r="D1864" s="263" t="s">
        <v>5036</v>
      </c>
      <c r="E1864" s="263" t="s">
        <v>97</v>
      </c>
      <c r="F1864">
        <v>0</v>
      </c>
      <c r="G1864">
        <v>2</v>
      </c>
      <c r="H1864" s="263" t="s">
        <v>436</v>
      </c>
      <c r="I1864" s="264"/>
      <c r="J1864" s="263" t="s">
        <v>437</v>
      </c>
    </row>
    <row r="1865" spans="1:10" x14ac:dyDescent="0.15">
      <c r="A1865" s="263" t="s">
        <v>5039</v>
      </c>
      <c r="B1865" s="263" t="s">
        <v>5040</v>
      </c>
      <c r="C1865" s="263" t="s">
        <v>81</v>
      </c>
      <c r="D1865" s="263" t="s">
        <v>5041</v>
      </c>
      <c r="E1865" s="263" t="s">
        <v>88</v>
      </c>
      <c r="F1865">
        <v>0</v>
      </c>
      <c r="G1865">
        <v>2</v>
      </c>
      <c r="H1865" s="263" t="s">
        <v>436</v>
      </c>
      <c r="I1865" s="264"/>
      <c r="J1865" s="263" t="s">
        <v>437</v>
      </c>
    </row>
    <row r="1866" spans="1:10" x14ac:dyDescent="0.15">
      <c r="A1866" s="263" t="s">
        <v>5042</v>
      </c>
      <c r="B1866" s="263" t="s">
        <v>5043</v>
      </c>
      <c r="C1866" s="263" t="s">
        <v>81</v>
      </c>
      <c r="D1866" s="263" t="s">
        <v>5044</v>
      </c>
      <c r="E1866" s="263" t="s">
        <v>88</v>
      </c>
      <c r="F1866">
        <v>0</v>
      </c>
      <c r="G1866">
        <v>2</v>
      </c>
      <c r="H1866" s="263" t="s">
        <v>436</v>
      </c>
      <c r="I1866" s="264"/>
      <c r="J1866" s="263" t="s">
        <v>437</v>
      </c>
    </row>
    <row r="1867" spans="1:10" x14ac:dyDescent="0.15">
      <c r="A1867" s="263" t="s">
        <v>5045</v>
      </c>
      <c r="B1867" s="263" t="s">
        <v>5046</v>
      </c>
      <c r="C1867" s="263" t="s">
        <v>81</v>
      </c>
      <c r="D1867" s="263" t="s">
        <v>5047</v>
      </c>
      <c r="E1867" s="263" t="s">
        <v>88</v>
      </c>
      <c r="F1867">
        <v>0</v>
      </c>
      <c r="G1867">
        <v>2</v>
      </c>
      <c r="H1867" s="263" t="s">
        <v>436</v>
      </c>
      <c r="I1867" s="264"/>
      <c r="J1867" s="263" t="s">
        <v>437</v>
      </c>
    </row>
    <row r="1868" spans="1:10" x14ac:dyDescent="0.15">
      <c r="A1868" s="263" t="s">
        <v>5048</v>
      </c>
      <c r="B1868" s="263" t="s">
        <v>5049</v>
      </c>
      <c r="C1868" s="263" t="s">
        <v>81</v>
      </c>
      <c r="D1868" s="263" t="s">
        <v>5050</v>
      </c>
      <c r="E1868" s="263" t="s">
        <v>88</v>
      </c>
      <c r="F1868">
        <v>0</v>
      </c>
      <c r="G1868">
        <v>2</v>
      </c>
      <c r="H1868" s="263" t="s">
        <v>436</v>
      </c>
      <c r="I1868" s="264"/>
      <c r="J1868" s="263" t="s">
        <v>437</v>
      </c>
    </row>
    <row r="1869" spans="1:10" x14ac:dyDescent="0.15">
      <c r="A1869" s="263" t="s">
        <v>5051</v>
      </c>
      <c r="B1869" s="263" t="s">
        <v>5052</v>
      </c>
      <c r="C1869" s="263" t="s">
        <v>81</v>
      </c>
      <c r="D1869" s="263" t="s">
        <v>5053</v>
      </c>
      <c r="E1869" s="263" t="s">
        <v>88</v>
      </c>
      <c r="F1869">
        <v>0</v>
      </c>
      <c r="G1869">
        <v>2</v>
      </c>
      <c r="H1869" s="263" t="s">
        <v>436</v>
      </c>
      <c r="I1869" s="264"/>
      <c r="J1869" s="263" t="s">
        <v>437</v>
      </c>
    </row>
    <row r="1870" spans="1:10" x14ac:dyDescent="0.15">
      <c r="A1870" s="263" t="s">
        <v>5054</v>
      </c>
      <c r="B1870" s="263" t="s">
        <v>5055</v>
      </c>
      <c r="C1870" s="263" t="s">
        <v>81</v>
      </c>
      <c r="D1870" s="263" t="s">
        <v>5056</v>
      </c>
      <c r="E1870" s="263" t="s">
        <v>88</v>
      </c>
      <c r="F1870">
        <v>0</v>
      </c>
      <c r="G1870">
        <v>2</v>
      </c>
      <c r="H1870" s="263" t="s">
        <v>436</v>
      </c>
      <c r="I1870" s="264"/>
      <c r="J1870" s="263" t="s">
        <v>437</v>
      </c>
    </row>
    <row r="1871" spans="1:10" x14ac:dyDescent="0.15">
      <c r="A1871" s="263" t="s">
        <v>5057</v>
      </c>
      <c r="B1871" s="263" t="s">
        <v>5058</v>
      </c>
      <c r="C1871" s="263" t="s">
        <v>81</v>
      </c>
      <c r="D1871" s="263" t="s">
        <v>5059</v>
      </c>
      <c r="E1871" s="263" t="s">
        <v>88</v>
      </c>
      <c r="F1871">
        <v>0</v>
      </c>
      <c r="G1871">
        <v>2</v>
      </c>
      <c r="H1871" s="263" t="s">
        <v>436</v>
      </c>
      <c r="I1871" s="264"/>
      <c r="J1871" s="263" t="s">
        <v>437</v>
      </c>
    </row>
    <row r="1872" spans="1:10" x14ac:dyDescent="0.15">
      <c r="A1872" s="263" t="s">
        <v>5060</v>
      </c>
      <c r="B1872" s="263" t="s">
        <v>5061</v>
      </c>
      <c r="C1872" s="263" t="s">
        <v>81</v>
      </c>
      <c r="D1872" s="263" t="s">
        <v>5062</v>
      </c>
      <c r="E1872" s="263" t="s">
        <v>88</v>
      </c>
      <c r="F1872">
        <v>0</v>
      </c>
      <c r="G1872">
        <v>2</v>
      </c>
      <c r="H1872" s="263" t="s">
        <v>436</v>
      </c>
      <c r="I1872" s="264"/>
      <c r="J1872" s="263" t="s">
        <v>437</v>
      </c>
    </row>
    <row r="1873" spans="1:10" x14ac:dyDescent="0.15">
      <c r="A1873" s="263" t="s">
        <v>5063</v>
      </c>
      <c r="B1873" s="263" t="s">
        <v>5064</v>
      </c>
      <c r="C1873" s="263" t="s">
        <v>81</v>
      </c>
      <c r="D1873" s="263" t="s">
        <v>5065</v>
      </c>
      <c r="E1873" s="263" t="s">
        <v>88</v>
      </c>
      <c r="F1873">
        <v>0</v>
      </c>
      <c r="G1873">
        <v>2</v>
      </c>
      <c r="H1873" s="263" t="s">
        <v>436</v>
      </c>
      <c r="I1873" s="264"/>
      <c r="J1873" s="263" t="s">
        <v>437</v>
      </c>
    </row>
    <row r="1874" spans="1:10" x14ac:dyDescent="0.15">
      <c r="A1874" s="263" t="s">
        <v>5066</v>
      </c>
      <c r="B1874" s="263" t="s">
        <v>5067</v>
      </c>
      <c r="C1874" s="263" t="s">
        <v>81</v>
      </c>
      <c r="D1874" s="263" t="s">
        <v>5068</v>
      </c>
      <c r="E1874" s="263" t="s">
        <v>88</v>
      </c>
      <c r="F1874">
        <v>0</v>
      </c>
      <c r="G1874">
        <v>2</v>
      </c>
      <c r="H1874" s="263" t="s">
        <v>436</v>
      </c>
      <c r="I1874" s="264"/>
      <c r="J1874" s="263" t="s">
        <v>437</v>
      </c>
    </row>
    <row r="1875" spans="1:10" x14ac:dyDescent="0.15">
      <c r="A1875" s="263" t="s">
        <v>5069</v>
      </c>
      <c r="B1875" s="263" t="s">
        <v>5070</v>
      </c>
      <c r="C1875" s="263" t="s">
        <v>81</v>
      </c>
      <c r="D1875" s="263" t="s">
        <v>5071</v>
      </c>
      <c r="E1875" s="263" t="s">
        <v>88</v>
      </c>
      <c r="F1875">
        <v>0</v>
      </c>
      <c r="G1875">
        <v>2</v>
      </c>
      <c r="H1875" s="263" t="s">
        <v>436</v>
      </c>
      <c r="I1875" s="264"/>
      <c r="J1875" s="263" t="s">
        <v>437</v>
      </c>
    </row>
    <row r="1876" spans="1:10" x14ac:dyDescent="0.15">
      <c r="A1876" s="263" t="s">
        <v>5072</v>
      </c>
      <c r="B1876" s="263" t="s">
        <v>5073</v>
      </c>
      <c r="C1876" s="263" t="s">
        <v>81</v>
      </c>
      <c r="D1876" s="263" t="s">
        <v>5074</v>
      </c>
      <c r="E1876" s="263" t="s">
        <v>88</v>
      </c>
      <c r="F1876">
        <v>0</v>
      </c>
      <c r="G1876">
        <v>2</v>
      </c>
      <c r="H1876" s="263" t="s">
        <v>436</v>
      </c>
      <c r="I1876" s="264"/>
      <c r="J1876" s="263" t="s">
        <v>437</v>
      </c>
    </row>
    <row r="1877" spans="1:10" x14ac:dyDescent="0.15">
      <c r="A1877" s="263" t="s">
        <v>5075</v>
      </c>
      <c r="B1877" s="263" t="s">
        <v>5076</v>
      </c>
      <c r="C1877" s="263" t="s">
        <v>81</v>
      </c>
      <c r="D1877" s="263" t="s">
        <v>5077</v>
      </c>
      <c r="E1877" s="263" t="s">
        <v>88</v>
      </c>
      <c r="F1877">
        <v>0</v>
      </c>
      <c r="G1877">
        <v>2</v>
      </c>
      <c r="H1877" s="263" t="s">
        <v>436</v>
      </c>
      <c r="I1877" s="264"/>
      <c r="J1877" s="263" t="s">
        <v>437</v>
      </c>
    </row>
    <row r="1878" spans="1:10" x14ac:dyDescent="0.15">
      <c r="A1878" s="263" t="s">
        <v>5078</v>
      </c>
      <c r="B1878" s="263" t="s">
        <v>5079</v>
      </c>
      <c r="C1878" s="263" t="s">
        <v>81</v>
      </c>
      <c r="D1878" s="263" t="s">
        <v>5080</v>
      </c>
      <c r="E1878" s="263" t="s">
        <v>88</v>
      </c>
      <c r="F1878">
        <v>0</v>
      </c>
      <c r="G1878">
        <v>2</v>
      </c>
      <c r="H1878" s="263" t="s">
        <v>436</v>
      </c>
      <c r="I1878" s="264"/>
      <c r="J1878" s="263" t="s">
        <v>437</v>
      </c>
    </row>
    <row r="1879" spans="1:10" x14ac:dyDescent="0.15">
      <c r="A1879" s="263" t="s">
        <v>5081</v>
      </c>
      <c r="B1879" s="263" t="s">
        <v>5082</v>
      </c>
      <c r="C1879" s="263" t="s">
        <v>81</v>
      </c>
      <c r="D1879" s="263" t="s">
        <v>5083</v>
      </c>
      <c r="E1879" s="263" t="s">
        <v>88</v>
      </c>
      <c r="F1879">
        <v>0</v>
      </c>
      <c r="G1879">
        <v>2</v>
      </c>
      <c r="H1879" s="263" t="s">
        <v>436</v>
      </c>
      <c r="I1879" s="264"/>
      <c r="J1879" s="263" t="s">
        <v>437</v>
      </c>
    </row>
    <row r="1880" spans="1:10" x14ac:dyDescent="0.15">
      <c r="A1880" s="263" t="s">
        <v>5084</v>
      </c>
      <c r="B1880" s="263" t="s">
        <v>5085</v>
      </c>
      <c r="C1880" s="263" t="s">
        <v>81</v>
      </c>
      <c r="D1880" s="263" t="s">
        <v>5086</v>
      </c>
      <c r="E1880" s="263" t="s">
        <v>88</v>
      </c>
      <c r="F1880">
        <v>0</v>
      </c>
      <c r="G1880">
        <v>2</v>
      </c>
      <c r="H1880" s="263" t="s">
        <v>436</v>
      </c>
      <c r="I1880" s="264"/>
      <c r="J1880" s="263" t="s">
        <v>437</v>
      </c>
    </row>
    <row r="1881" spans="1:10" x14ac:dyDescent="0.15">
      <c r="A1881" s="263" t="s">
        <v>5087</v>
      </c>
      <c r="B1881" s="263" t="s">
        <v>5088</v>
      </c>
      <c r="C1881" s="263" t="s">
        <v>81</v>
      </c>
      <c r="D1881" s="263" t="s">
        <v>5089</v>
      </c>
      <c r="E1881" s="263" t="s">
        <v>88</v>
      </c>
      <c r="F1881">
        <v>0</v>
      </c>
      <c r="G1881">
        <v>2</v>
      </c>
      <c r="H1881" s="263" t="s">
        <v>436</v>
      </c>
      <c r="I1881" s="264"/>
      <c r="J1881" s="263" t="s">
        <v>437</v>
      </c>
    </row>
    <row r="1882" spans="1:10" x14ac:dyDescent="0.15">
      <c r="A1882" s="263" t="s">
        <v>5090</v>
      </c>
      <c r="B1882" s="263" t="s">
        <v>5091</v>
      </c>
      <c r="C1882" s="263" t="s">
        <v>81</v>
      </c>
      <c r="D1882" s="263" t="s">
        <v>5092</v>
      </c>
      <c r="E1882" s="263" t="s">
        <v>88</v>
      </c>
      <c r="F1882">
        <v>0</v>
      </c>
      <c r="G1882">
        <v>2</v>
      </c>
      <c r="H1882" s="263" t="s">
        <v>436</v>
      </c>
      <c r="I1882" s="264"/>
      <c r="J1882" s="263" t="s">
        <v>437</v>
      </c>
    </row>
    <row r="1883" spans="1:10" x14ac:dyDescent="0.15">
      <c r="A1883" s="263" t="s">
        <v>5093</v>
      </c>
      <c r="B1883" s="263" t="s">
        <v>5094</v>
      </c>
      <c r="C1883" s="263" t="s">
        <v>81</v>
      </c>
      <c r="D1883" s="263" t="s">
        <v>5095</v>
      </c>
      <c r="E1883" s="263" t="s">
        <v>88</v>
      </c>
      <c r="F1883">
        <v>0</v>
      </c>
      <c r="G1883">
        <v>2</v>
      </c>
      <c r="H1883" s="263" t="s">
        <v>436</v>
      </c>
      <c r="I1883" s="264"/>
      <c r="J1883" s="263" t="s">
        <v>437</v>
      </c>
    </row>
    <row r="1884" spans="1:10" x14ac:dyDescent="0.15">
      <c r="A1884" s="263" t="s">
        <v>5096</v>
      </c>
      <c r="B1884" s="263" t="s">
        <v>5097</v>
      </c>
      <c r="C1884" s="263" t="s">
        <v>81</v>
      </c>
      <c r="D1884" s="263" t="s">
        <v>5098</v>
      </c>
      <c r="E1884" s="263" t="s">
        <v>88</v>
      </c>
      <c r="F1884">
        <v>0</v>
      </c>
      <c r="G1884">
        <v>2</v>
      </c>
      <c r="H1884" s="263" t="s">
        <v>436</v>
      </c>
      <c r="I1884" s="264"/>
      <c r="J1884" s="263" t="s">
        <v>437</v>
      </c>
    </row>
    <row r="1885" spans="1:10" x14ac:dyDescent="0.15">
      <c r="A1885" s="263" t="s">
        <v>5099</v>
      </c>
      <c r="B1885" s="263" t="s">
        <v>5102</v>
      </c>
      <c r="C1885" s="263" t="s">
        <v>81</v>
      </c>
      <c r="D1885" s="263" t="s">
        <v>5103</v>
      </c>
      <c r="E1885" s="263" t="s">
        <v>88</v>
      </c>
      <c r="F1885">
        <v>0</v>
      </c>
      <c r="G1885">
        <v>2</v>
      </c>
      <c r="H1885" s="263" t="s">
        <v>436</v>
      </c>
      <c r="I1885" s="264"/>
      <c r="J1885" s="263" t="s">
        <v>437</v>
      </c>
    </row>
    <row r="1886" spans="1:10" x14ac:dyDescent="0.15">
      <c r="A1886" s="263" t="s">
        <v>9675</v>
      </c>
      <c r="B1886" s="263" t="s">
        <v>5100</v>
      </c>
      <c r="C1886" s="263" t="s">
        <v>81</v>
      </c>
      <c r="D1886" s="263" t="s">
        <v>5101</v>
      </c>
      <c r="E1886" s="263" t="s">
        <v>88</v>
      </c>
      <c r="F1886">
        <v>0</v>
      </c>
      <c r="G1886">
        <v>2</v>
      </c>
      <c r="H1886" s="263" t="s">
        <v>436</v>
      </c>
      <c r="I1886" s="264"/>
      <c r="J1886" s="263" t="s">
        <v>437</v>
      </c>
    </row>
    <row r="1887" spans="1:10" x14ac:dyDescent="0.15">
      <c r="A1887" s="263" t="s">
        <v>5104</v>
      </c>
      <c r="B1887" s="263" t="s">
        <v>5105</v>
      </c>
      <c r="C1887" s="263" t="s">
        <v>81</v>
      </c>
      <c r="D1887" s="263" t="s">
        <v>5106</v>
      </c>
      <c r="E1887" s="263" t="s">
        <v>88</v>
      </c>
      <c r="F1887">
        <v>0</v>
      </c>
      <c r="G1887">
        <v>2</v>
      </c>
      <c r="H1887" s="263" t="s">
        <v>436</v>
      </c>
      <c r="I1887" s="264"/>
      <c r="J1887" s="263" t="s">
        <v>437</v>
      </c>
    </row>
    <row r="1888" spans="1:10" x14ac:dyDescent="0.15">
      <c r="A1888" s="263" t="s">
        <v>5107</v>
      </c>
      <c r="B1888" s="263" t="s">
        <v>5108</v>
      </c>
      <c r="C1888" s="263" t="s">
        <v>81</v>
      </c>
      <c r="D1888" s="263" t="s">
        <v>5109</v>
      </c>
      <c r="E1888" s="263" t="s">
        <v>88</v>
      </c>
      <c r="F1888">
        <v>0</v>
      </c>
      <c r="G1888">
        <v>2</v>
      </c>
      <c r="H1888" s="263" t="s">
        <v>436</v>
      </c>
      <c r="I1888" s="264"/>
      <c r="J1888" s="263" t="s">
        <v>437</v>
      </c>
    </row>
    <row r="1889" spans="1:10" x14ac:dyDescent="0.15">
      <c r="A1889" s="263" t="s">
        <v>5110</v>
      </c>
      <c r="B1889" s="263" t="s">
        <v>5111</v>
      </c>
      <c r="C1889" s="263" t="s">
        <v>81</v>
      </c>
      <c r="D1889" s="263" t="s">
        <v>5112</v>
      </c>
      <c r="E1889" s="263" t="s">
        <v>88</v>
      </c>
      <c r="F1889">
        <v>0</v>
      </c>
      <c r="G1889">
        <v>2</v>
      </c>
      <c r="H1889" s="263" t="s">
        <v>436</v>
      </c>
      <c r="I1889" s="264"/>
      <c r="J1889" s="263" t="s">
        <v>437</v>
      </c>
    </row>
    <row r="1890" spans="1:10" x14ac:dyDescent="0.15">
      <c r="A1890" s="263" t="s">
        <v>5113</v>
      </c>
      <c r="B1890" s="263" t="s">
        <v>5114</v>
      </c>
      <c r="C1890" s="263" t="s">
        <v>81</v>
      </c>
      <c r="D1890" s="263" t="s">
        <v>5115</v>
      </c>
      <c r="E1890" s="263" t="s">
        <v>88</v>
      </c>
      <c r="F1890">
        <v>0</v>
      </c>
      <c r="G1890">
        <v>2</v>
      </c>
      <c r="H1890" s="263" t="s">
        <v>436</v>
      </c>
      <c r="I1890" s="264"/>
      <c r="J1890" s="263" t="s">
        <v>437</v>
      </c>
    </row>
    <row r="1891" spans="1:10" x14ac:dyDescent="0.15">
      <c r="A1891" s="263" t="s">
        <v>5116</v>
      </c>
      <c r="B1891" s="263" t="s">
        <v>5117</v>
      </c>
      <c r="C1891" s="263" t="s">
        <v>81</v>
      </c>
      <c r="D1891" s="263" t="s">
        <v>5118</v>
      </c>
      <c r="E1891" s="263" t="s">
        <v>88</v>
      </c>
      <c r="F1891">
        <v>0</v>
      </c>
      <c r="G1891">
        <v>2</v>
      </c>
      <c r="H1891" s="263" t="s">
        <v>436</v>
      </c>
      <c r="I1891" s="264"/>
      <c r="J1891" s="263" t="s">
        <v>437</v>
      </c>
    </row>
    <row r="1892" spans="1:10" x14ac:dyDescent="0.15">
      <c r="A1892" s="263" t="s">
        <v>5119</v>
      </c>
      <c r="B1892" s="263" t="s">
        <v>5120</v>
      </c>
      <c r="C1892" s="263" t="s">
        <v>81</v>
      </c>
      <c r="D1892" s="263" t="s">
        <v>5121</v>
      </c>
      <c r="E1892" s="263" t="s">
        <v>88</v>
      </c>
      <c r="F1892">
        <v>0</v>
      </c>
      <c r="G1892">
        <v>2</v>
      </c>
      <c r="H1892" s="263" t="s">
        <v>436</v>
      </c>
      <c r="I1892" s="264"/>
      <c r="J1892" s="263" t="s">
        <v>437</v>
      </c>
    </row>
    <row r="1893" spans="1:10" x14ac:dyDescent="0.15">
      <c r="A1893" s="263" t="s">
        <v>5122</v>
      </c>
      <c r="B1893" s="263" t="s">
        <v>5123</v>
      </c>
      <c r="C1893" s="263" t="s">
        <v>81</v>
      </c>
      <c r="D1893" s="263" t="s">
        <v>5124</v>
      </c>
      <c r="E1893" s="263" t="s">
        <v>88</v>
      </c>
      <c r="F1893">
        <v>0</v>
      </c>
      <c r="G1893">
        <v>2</v>
      </c>
      <c r="H1893" s="263" t="s">
        <v>436</v>
      </c>
      <c r="I1893" s="264"/>
      <c r="J1893" s="263" t="s">
        <v>437</v>
      </c>
    </row>
    <row r="1894" spans="1:10" x14ac:dyDescent="0.15">
      <c r="A1894" s="263" t="s">
        <v>5125</v>
      </c>
      <c r="B1894" s="263" t="s">
        <v>5126</v>
      </c>
      <c r="C1894" s="263" t="s">
        <v>81</v>
      </c>
      <c r="D1894" s="263" t="s">
        <v>5127</v>
      </c>
      <c r="E1894" s="263" t="s">
        <v>88</v>
      </c>
      <c r="F1894">
        <v>0</v>
      </c>
      <c r="G1894">
        <v>2</v>
      </c>
      <c r="H1894" s="263" t="s">
        <v>436</v>
      </c>
      <c r="I1894" s="264"/>
      <c r="J1894" s="263" t="s">
        <v>437</v>
      </c>
    </row>
    <row r="1895" spans="1:10" x14ac:dyDescent="0.15">
      <c r="A1895" s="263" t="s">
        <v>5128</v>
      </c>
      <c r="B1895" s="263" t="s">
        <v>5129</v>
      </c>
      <c r="C1895" s="263" t="s">
        <v>81</v>
      </c>
      <c r="D1895" s="263" t="s">
        <v>5130</v>
      </c>
      <c r="E1895" s="263" t="s">
        <v>88</v>
      </c>
      <c r="F1895">
        <v>0</v>
      </c>
      <c r="G1895">
        <v>2</v>
      </c>
      <c r="H1895" s="263" t="s">
        <v>436</v>
      </c>
      <c r="I1895" s="264"/>
      <c r="J1895" s="263" t="s">
        <v>437</v>
      </c>
    </row>
    <row r="1896" spans="1:10" x14ac:dyDescent="0.15">
      <c r="A1896" s="263" t="s">
        <v>5131</v>
      </c>
      <c r="B1896" s="263" t="s">
        <v>5132</v>
      </c>
      <c r="C1896" s="263" t="s">
        <v>81</v>
      </c>
      <c r="D1896" s="263" t="s">
        <v>5133</v>
      </c>
      <c r="E1896" s="263" t="s">
        <v>88</v>
      </c>
      <c r="F1896">
        <v>0</v>
      </c>
      <c r="G1896">
        <v>2</v>
      </c>
      <c r="H1896" s="263" t="s">
        <v>436</v>
      </c>
      <c r="I1896" s="264"/>
      <c r="J1896" s="263" t="s">
        <v>437</v>
      </c>
    </row>
    <row r="1897" spans="1:10" x14ac:dyDescent="0.15">
      <c r="A1897" s="263" t="s">
        <v>5134</v>
      </c>
      <c r="B1897" s="263" t="s">
        <v>9676</v>
      </c>
      <c r="C1897" s="263" t="s">
        <v>81</v>
      </c>
      <c r="D1897" s="263" t="s">
        <v>9677</v>
      </c>
      <c r="E1897" s="263" t="s">
        <v>88</v>
      </c>
      <c r="F1897">
        <v>0</v>
      </c>
      <c r="G1897">
        <v>2</v>
      </c>
      <c r="H1897" s="263" t="s">
        <v>436</v>
      </c>
      <c r="I1897" s="264"/>
      <c r="J1897" s="263" t="s">
        <v>437</v>
      </c>
    </row>
    <row r="1898" spans="1:10" x14ac:dyDescent="0.15">
      <c r="A1898" s="263" t="s">
        <v>5135</v>
      </c>
      <c r="B1898" s="263" t="s">
        <v>5136</v>
      </c>
      <c r="C1898" s="263" t="s">
        <v>81</v>
      </c>
      <c r="D1898" s="263" t="s">
        <v>5137</v>
      </c>
      <c r="E1898" s="263" t="s">
        <v>88</v>
      </c>
      <c r="F1898">
        <v>0</v>
      </c>
      <c r="G1898">
        <v>2</v>
      </c>
      <c r="H1898" s="263" t="s">
        <v>436</v>
      </c>
      <c r="I1898" s="264"/>
      <c r="J1898" s="263" t="s">
        <v>437</v>
      </c>
    </row>
    <row r="1899" spans="1:10" x14ac:dyDescent="0.15">
      <c r="A1899" s="263" t="s">
        <v>5138</v>
      </c>
      <c r="B1899" s="263" t="s">
        <v>5139</v>
      </c>
      <c r="C1899" s="263" t="s">
        <v>81</v>
      </c>
      <c r="D1899" s="263" t="s">
        <v>5140</v>
      </c>
      <c r="E1899" s="263" t="s">
        <v>88</v>
      </c>
      <c r="F1899">
        <v>0</v>
      </c>
      <c r="G1899">
        <v>2</v>
      </c>
      <c r="H1899" s="263" t="s">
        <v>436</v>
      </c>
      <c r="I1899" s="264"/>
      <c r="J1899" s="263" t="s">
        <v>437</v>
      </c>
    </row>
    <row r="1900" spans="1:10" x14ac:dyDescent="0.15">
      <c r="A1900" s="263" t="s">
        <v>5141</v>
      </c>
      <c r="B1900" s="263" t="s">
        <v>5142</v>
      </c>
      <c r="C1900" s="263" t="s">
        <v>81</v>
      </c>
      <c r="D1900" s="263" t="s">
        <v>5143</v>
      </c>
      <c r="E1900" s="263" t="s">
        <v>88</v>
      </c>
      <c r="F1900">
        <v>0</v>
      </c>
      <c r="G1900">
        <v>2</v>
      </c>
      <c r="H1900" s="263" t="s">
        <v>436</v>
      </c>
      <c r="I1900" s="264"/>
      <c r="J1900" s="263" t="s">
        <v>437</v>
      </c>
    </row>
    <row r="1901" spans="1:10" x14ac:dyDescent="0.15">
      <c r="A1901" s="263" t="s">
        <v>9092</v>
      </c>
      <c r="B1901" s="263" t="s">
        <v>9093</v>
      </c>
      <c r="C1901" s="263" t="s">
        <v>81</v>
      </c>
      <c r="D1901" s="263" t="s">
        <v>9094</v>
      </c>
      <c r="E1901" s="263" t="s">
        <v>88</v>
      </c>
      <c r="F1901">
        <v>0</v>
      </c>
      <c r="G1901">
        <v>2</v>
      </c>
      <c r="H1901" s="263" t="s">
        <v>436</v>
      </c>
      <c r="I1901" s="264"/>
      <c r="J1901" s="263" t="s">
        <v>437</v>
      </c>
    </row>
    <row r="1902" spans="1:10" x14ac:dyDescent="0.15">
      <c r="A1902" s="263" t="s">
        <v>5144</v>
      </c>
      <c r="B1902" s="263" t="s">
        <v>5145</v>
      </c>
      <c r="C1902" s="263" t="s">
        <v>96</v>
      </c>
      <c r="D1902" s="263" t="s">
        <v>5146</v>
      </c>
      <c r="E1902" s="263" t="s">
        <v>97</v>
      </c>
      <c r="F1902">
        <v>0</v>
      </c>
      <c r="G1902">
        <v>2</v>
      </c>
      <c r="H1902" s="263" t="s">
        <v>436</v>
      </c>
      <c r="I1902" s="264"/>
      <c r="J1902" s="263" t="s">
        <v>437</v>
      </c>
    </row>
    <row r="1903" spans="1:10" x14ac:dyDescent="0.15">
      <c r="A1903" s="263" t="s">
        <v>5147</v>
      </c>
      <c r="B1903" s="263" t="s">
        <v>5145</v>
      </c>
      <c r="C1903" s="263" t="s">
        <v>98</v>
      </c>
      <c r="D1903" s="263" t="s">
        <v>5146</v>
      </c>
      <c r="E1903" s="263" t="s">
        <v>109</v>
      </c>
      <c r="F1903">
        <v>0</v>
      </c>
      <c r="G1903">
        <v>2</v>
      </c>
      <c r="H1903" s="263" t="s">
        <v>436</v>
      </c>
      <c r="I1903" s="264"/>
      <c r="J1903" s="263" t="s">
        <v>437</v>
      </c>
    </row>
    <row r="1904" spans="1:10" x14ac:dyDescent="0.15">
      <c r="A1904" s="263" t="s">
        <v>5148</v>
      </c>
      <c r="B1904" s="263" t="s">
        <v>5145</v>
      </c>
      <c r="C1904" s="263" t="s">
        <v>81</v>
      </c>
      <c r="D1904" s="263" t="s">
        <v>5146</v>
      </c>
      <c r="E1904" s="263" t="s">
        <v>88</v>
      </c>
      <c r="F1904">
        <v>0</v>
      </c>
      <c r="G1904">
        <v>2</v>
      </c>
      <c r="H1904" s="263" t="s">
        <v>436</v>
      </c>
      <c r="I1904" s="264"/>
      <c r="J1904" s="263" t="s">
        <v>437</v>
      </c>
    </row>
    <row r="1905" spans="1:10" x14ac:dyDescent="0.15">
      <c r="A1905" s="263" t="s">
        <v>5149</v>
      </c>
      <c r="B1905" s="263" t="s">
        <v>5150</v>
      </c>
      <c r="C1905" s="263" t="s">
        <v>81</v>
      </c>
      <c r="D1905" s="263" t="s">
        <v>5151</v>
      </c>
      <c r="E1905" s="263" t="s">
        <v>88</v>
      </c>
      <c r="F1905">
        <v>0</v>
      </c>
      <c r="G1905">
        <v>2</v>
      </c>
      <c r="H1905" s="263" t="s">
        <v>436</v>
      </c>
      <c r="I1905" s="264"/>
      <c r="J1905" s="263" t="s">
        <v>437</v>
      </c>
    </row>
    <row r="1906" spans="1:10" x14ac:dyDescent="0.15">
      <c r="A1906" s="263" t="s">
        <v>5152</v>
      </c>
      <c r="B1906" s="263" t="s">
        <v>5153</v>
      </c>
      <c r="C1906" s="263" t="s">
        <v>94</v>
      </c>
      <c r="D1906" s="263" t="s">
        <v>5154</v>
      </c>
      <c r="E1906" s="263" t="s">
        <v>94</v>
      </c>
      <c r="F1906">
        <v>0</v>
      </c>
      <c r="G1906">
        <v>2</v>
      </c>
      <c r="H1906" s="263" t="s">
        <v>436</v>
      </c>
      <c r="I1906" s="264"/>
      <c r="J1906" s="263" t="s">
        <v>437</v>
      </c>
    </row>
    <row r="1907" spans="1:10" x14ac:dyDescent="0.15">
      <c r="A1907" s="263" t="s">
        <v>5155</v>
      </c>
      <c r="B1907" s="263" t="s">
        <v>5156</v>
      </c>
      <c r="C1907" s="263" t="s">
        <v>96</v>
      </c>
      <c r="D1907" s="263" t="s">
        <v>5157</v>
      </c>
      <c r="E1907" s="263" t="s">
        <v>97</v>
      </c>
      <c r="F1907">
        <v>0</v>
      </c>
      <c r="G1907">
        <v>2</v>
      </c>
      <c r="H1907" s="263" t="s">
        <v>436</v>
      </c>
      <c r="I1907" s="264"/>
      <c r="J1907" s="263" t="s">
        <v>437</v>
      </c>
    </row>
    <row r="1908" spans="1:10" x14ac:dyDescent="0.15">
      <c r="A1908" s="263" t="s">
        <v>5158</v>
      </c>
      <c r="B1908" s="263" t="s">
        <v>5159</v>
      </c>
      <c r="C1908" s="263" t="s">
        <v>81</v>
      </c>
      <c r="D1908" s="263" t="s">
        <v>5160</v>
      </c>
      <c r="E1908" s="263" t="s">
        <v>88</v>
      </c>
      <c r="F1908">
        <v>0</v>
      </c>
      <c r="G1908">
        <v>2</v>
      </c>
      <c r="H1908" s="263" t="s">
        <v>436</v>
      </c>
      <c r="I1908" s="264"/>
      <c r="J1908" s="263" t="s">
        <v>437</v>
      </c>
    </row>
    <row r="1909" spans="1:10" x14ac:dyDescent="0.15">
      <c r="A1909" s="263" t="s">
        <v>5161</v>
      </c>
      <c r="B1909" s="263" t="s">
        <v>5162</v>
      </c>
      <c r="C1909" s="263" t="s">
        <v>81</v>
      </c>
      <c r="D1909" s="263" t="s">
        <v>5163</v>
      </c>
      <c r="E1909" s="263" t="s">
        <v>88</v>
      </c>
      <c r="F1909">
        <v>0</v>
      </c>
      <c r="G1909">
        <v>2</v>
      </c>
      <c r="H1909" s="263" t="s">
        <v>436</v>
      </c>
      <c r="I1909" s="264"/>
      <c r="J1909" s="263" t="s">
        <v>437</v>
      </c>
    </row>
    <row r="1910" spans="1:10" x14ac:dyDescent="0.15">
      <c r="A1910" s="263" t="s">
        <v>5164</v>
      </c>
      <c r="B1910" s="263" t="s">
        <v>5165</v>
      </c>
      <c r="C1910" s="263" t="s">
        <v>81</v>
      </c>
      <c r="D1910" s="263" t="s">
        <v>5166</v>
      </c>
      <c r="E1910" s="263" t="s">
        <v>88</v>
      </c>
      <c r="F1910">
        <v>0</v>
      </c>
      <c r="G1910">
        <v>2</v>
      </c>
      <c r="H1910" s="263" t="s">
        <v>436</v>
      </c>
      <c r="I1910" s="264"/>
      <c r="J1910" s="263" t="s">
        <v>437</v>
      </c>
    </row>
    <row r="1911" spans="1:10" x14ac:dyDescent="0.15">
      <c r="A1911" s="263" t="s">
        <v>5167</v>
      </c>
      <c r="B1911" s="263" t="s">
        <v>5168</v>
      </c>
      <c r="C1911" s="263" t="s">
        <v>96</v>
      </c>
      <c r="D1911" s="263" t="s">
        <v>5169</v>
      </c>
      <c r="E1911" s="263" t="s">
        <v>97</v>
      </c>
      <c r="F1911">
        <v>0</v>
      </c>
      <c r="G1911">
        <v>2</v>
      </c>
      <c r="H1911" s="263" t="s">
        <v>436</v>
      </c>
      <c r="I1911" s="264"/>
      <c r="J1911" s="263" t="s">
        <v>437</v>
      </c>
    </row>
    <row r="1912" spans="1:10" x14ac:dyDescent="0.15">
      <c r="A1912" s="263" t="s">
        <v>5170</v>
      </c>
      <c r="B1912" s="263" t="s">
        <v>5171</v>
      </c>
      <c r="C1912" s="263" t="s">
        <v>96</v>
      </c>
      <c r="D1912" s="263" t="s">
        <v>5172</v>
      </c>
      <c r="E1912" s="263" t="s">
        <v>97</v>
      </c>
      <c r="F1912">
        <v>0</v>
      </c>
      <c r="G1912">
        <v>2</v>
      </c>
      <c r="H1912" s="263" t="s">
        <v>436</v>
      </c>
      <c r="I1912" s="264"/>
      <c r="J1912" s="263" t="s">
        <v>437</v>
      </c>
    </row>
    <row r="1913" spans="1:10" x14ac:dyDescent="0.15">
      <c r="A1913" s="263" t="s">
        <v>5173</v>
      </c>
      <c r="B1913" s="263" t="s">
        <v>5174</v>
      </c>
      <c r="C1913" s="263" t="s">
        <v>96</v>
      </c>
      <c r="D1913" s="263" t="s">
        <v>5175</v>
      </c>
      <c r="E1913" s="263" t="s">
        <v>97</v>
      </c>
      <c r="F1913">
        <v>0</v>
      </c>
      <c r="G1913">
        <v>2</v>
      </c>
      <c r="H1913" s="263" t="s">
        <v>436</v>
      </c>
      <c r="I1913" s="264"/>
      <c r="J1913" s="263" t="s">
        <v>437</v>
      </c>
    </row>
    <row r="1914" spans="1:10" x14ac:dyDescent="0.15">
      <c r="A1914" s="263" t="s">
        <v>5176</v>
      </c>
      <c r="B1914" s="263" t="s">
        <v>5177</v>
      </c>
      <c r="C1914" s="263" t="s">
        <v>98</v>
      </c>
      <c r="D1914" s="263" t="s">
        <v>5178</v>
      </c>
      <c r="E1914" s="263" t="s">
        <v>110</v>
      </c>
      <c r="F1914">
        <v>0</v>
      </c>
      <c r="G1914">
        <v>2</v>
      </c>
      <c r="H1914" s="263" t="s">
        <v>436</v>
      </c>
      <c r="I1914" s="264"/>
      <c r="J1914" s="263" t="s">
        <v>437</v>
      </c>
    </row>
    <row r="1915" spans="1:10" x14ac:dyDescent="0.15">
      <c r="A1915" s="263" t="s">
        <v>5179</v>
      </c>
      <c r="B1915" s="263" t="s">
        <v>5180</v>
      </c>
      <c r="C1915" s="263" t="s">
        <v>98</v>
      </c>
      <c r="D1915" s="263" t="s">
        <v>5181</v>
      </c>
      <c r="E1915" s="263" t="s">
        <v>110</v>
      </c>
      <c r="F1915">
        <v>0</v>
      </c>
      <c r="G1915">
        <v>2</v>
      </c>
      <c r="H1915" s="263" t="s">
        <v>436</v>
      </c>
      <c r="I1915" s="264"/>
      <c r="J1915" s="263" t="s">
        <v>437</v>
      </c>
    </row>
    <row r="1916" spans="1:10" x14ac:dyDescent="0.15">
      <c r="A1916" s="263" t="s">
        <v>5182</v>
      </c>
      <c r="B1916" s="263" t="s">
        <v>5183</v>
      </c>
      <c r="C1916" s="263" t="s">
        <v>96</v>
      </c>
      <c r="D1916" s="263" t="s">
        <v>5184</v>
      </c>
      <c r="E1916" s="263" t="s">
        <v>97</v>
      </c>
      <c r="F1916">
        <v>0</v>
      </c>
      <c r="G1916">
        <v>2</v>
      </c>
      <c r="H1916" s="263" t="s">
        <v>436</v>
      </c>
      <c r="I1916" s="264"/>
      <c r="J1916" s="263" t="s">
        <v>437</v>
      </c>
    </row>
    <row r="1917" spans="1:10" x14ac:dyDescent="0.15">
      <c r="A1917" s="263" t="s">
        <v>5185</v>
      </c>
      <c r="B1917" s="263" t="s">
        <v>5186</v>
      </c>
      <c r="C1917" s="263" t="s">
        <v>96</v>
      </c>
      <c r="D1917" s="263" t="s">
        <v>5187</v>
      </c>
      <c r="E1917" s="263" t="s">
        <v>97</v>
      </c>
      <c r="F1917">
        <v>0</v>
      </c>
      <c r="G1917">
        <v>2</v>
      </c>
      <c r="H1917" s="263" t="s">
        <v>436</v>
      </c>
      <c r="I1917" s="264"/>
      <c r="J1917" s="263" t="s">
        <v>437</v>
      </c>
    </row>
    <row r="1918" spans="1:10" x14ac:dyDescent="0.15">
      <c r="A1918" s="263" t="s">
        <v>5188</v>
      </c>
      <c r="B1918" s="263" t="s">
        <v>5189</v>
      </c>
      <c r="C1918" s="263" t="s">
        <v>96</v>
      </c>
      <c r="D1918" s="263" t="s">
        <v>5190</v>
      </c>
      <c r="E1918" s="263" t="s">
        <v>97</v>
      </c>
      <c r="F1918">
        <v>0</v>
      </c>
      <c r="G1918">
        <v>2</v>
      </c>
      <c r="H1918" s="263" t="s">
        <v>436</v>
      </c>
      <c r="I1918" s="264"/>
      <c r="J1918" s="263" t="s">
        <v>437</v>
      </c>
    </row>
    <row r="1919" spans="1:10" x14ac:dyDescent="0.15">
      <c r="A1919" s="263" t="s">
        <v>5191</v>
      </c>
      <c r="B1919" s="263" t="s">
        <v>5192</v>
      </c>
      <c r="C1919" s="263" t="s">
        <v>96</v>
      </c>
      <c r="D1919" s="263" t="s">
        <v>5193</v>
      </c>
      <c r="E1919" s="263" t="s">
        <v>97</v>
      </c>
      <c r="F1919">
        <v>0</v>
      </c>
      <c r="G1919">
        <v>2</v>
      </c>
      <c r="H1919" s="263" t="s">
        <v>436</v>
      </c>
      <c r="I1919" s="264"/>
      <c r="J1919" s="263" t="s">
        <v>437</v>
      </c>
    </row>
    <row r="1920" spans="1:10" x14ac:dyDescent="0.15">
      <c r="A1920" s="263" t="s">
        <v>5194</v>
      </c>
      <c r="B1920" s="263" t="s">
        <v>5195</v>
      </c>
      <c r="C1920" s="263" t="s">
        <v>96</v>
      </c>
      <c r="D1920" s="263" t="s">
        <v>5196</v>
      </c>
      <c r="E1920" s="263" t="s">
        <v>97</v>
      </c>
      <c r="F1920">
        <v>0</v>
      </c>
      <c r="G1920">
        <v>2</v>
      </c>
      <c r="H1920" s="263" t="s">
        <v>436</v>
      </c>
      <c r="I1920" s="264"/>
      <c r="J1920" s="263" t="s">
        <v>437</v>
      </c>
    </row>
    <row r="1921" spans="1:10" x14ac:dyDescent="0.15">
      <c r="A1921" s="263" t="s">
        <v>5197</v>
      </c>
      <c r="B1921" s="263" t="s">
        <v>5198</v>
      </c>
      <c r="C1921" s="263" t="s">
        <v>96</v>
      </c>
      <c r="D1921" s="263" t="s">
        <v>5199</v>
      </c>
      <c r="E1921" s="263" t="s">
        <v>97</v>
      </c>
      <c r="F1921">
        <v>0</v>
      </c>
      <c r="G1921">
        <v>2</v>
      </c>
      <c r="H1921" s="263" t="s">
        <v>436</v>
      </c>
      <c r="I1921" s="264"/>
      <c r="J1921" s="263" t="s">
        <v>437</v>
      </c>
    </row>
    <row r="1922" spans="1:10" x14ac:dyDescent="0.15">
      <c r="A1922" s="263" t="s">
        <v>5200</v>
      </c>
      <c r="B1922" s="263" t="s">
        <v>5201</v>
      </c>
      <c r="C1922" s="263" t="s">
        <v>96</v>
      </c>
      <c r="D1922" s="263" t="s">
        <v>5202</v>
      </c>
      <c r="E1922" s="263" t="s">
        <v>97</v>
      </c>
      <c r="F1922">
        <v>0</v>
      </c>
      <c r="G1922">
        <v>2</v>
      </c>
      <c r="H1922" s="263" t="s">
        <v>436</v>
      </c>
      <c r="I1922" s="264"/>
      <c r="J1922" s="263" t="s">
        <v>437</v>
      </c>
    </row>
    <row r="1923" spans="1:10" x14ac:dyDescent="0.15">
      <c r="A1923" s="263" t="s">
        <v>5203</v>
      </c>
      <c r="B1923" s="263" t="s">
        <v>5204</v>
      </c>
      <c r="C1923" s="263" t="s">
        <v>96</v>
      </c>
      <c r="D1923" s="263" t="s">
        <v>5205</v>
      </c>
      <c r="E1923" s="263" t="s">
        <v>97</v>
      </c>
      <c r="F1923">
        <v>0</v>
      </c>
      <c r="G1923">
        <v>2</v>
      </c>
      <c r="H1923" s="263" t="s">
        <v>436</v>
      </c>
      <c r="I1923" s="264"/>
      <c r="J1923" s="263" t="s">
        <v>437</v>
      </c>
    </row>
    <row r="1924" spans="1:10" x14ac:dyDescent="0.15">
      <c r="A1924" s="263" t="s">
        <v>5206</v>
      </c>
      <c r="B1924" s="263" t="s">
        <v>5207</v>
      </c>
      <c r="C1924" s="263" t="s">
        <v>96</v>
      </c>
      <c r="D1924" s="263" t="s">
        <v>5208</v>
      </c>
      <c r="E1924" s="263" t="s">
        <v>97</v>
      </c>
      <c r="F1924">
        <v>0</v>
      </c>
      <c r="G1924">
        <v>2</v>
      </c>
      <c r="H1924" s="263" t="s">
        <v>436</v>
      </c>
      <c r="I1924" s="264"/>
      <c r="J1924" s="263" t="s">
        <v>437</v>
      </c>
    </row>
    <row r="1925" spans="1:10" x14ac:dyDescent="0.15">
      <c r="A1925" s="263" t="s">
        <v>5209</v>
      </c>
      <c r="B1925" s="263" t="s">
        <v>5210</v>
      </c>
      <c r="C1925" s="263" t="s">
        <v>96</v>
      </c>
      <c r="D1925" s="263" t="s">
        <v>5211</v>
      </c>
      <c r="E1925" s="263" t="s">
        <v>97</v>
      </c>
      <c r="F1925">
        <v>0</v>
      </c>
      <c r="G1925">
        <v>2</v>
      </c>
      <c r="H1925" s="263" t="s">
        <v>436</v>
      </c>
      <c r="I1925" s="264"/>
      <c r="J1925" s="263" t="s">
        <v>437</v>
      </c>
    </row>
    <row r="1926" spans="1:10" x14ac:dyDescent="0.15">
      <c r="A1926" s="263" t="s">
        <v>5212</v>
      </c>
      <c r="B1926" s="263" t="s">
        <v>5213</v>
      </c>
      <c r="C1926" s="263" t="s">
        <v>96</v>
      </c>
      <c r="D1926" s="263" t="s">
        <v>5214</v>
      </c>
      <c r="E1926" s="263" t="s">
        <v>97</v>
      </c>
      <c r="F1926">
        <v>0</v>
      </c>
      <c r="G1926">
        <v>2</v>
      </c>
      <c r="H1926" s="263" t="s">
        <v>436</v>
      </c>
      <c r="I1926" s="264"/>
      <c r="J1926" s="263" t="s">
        <v>437</v>
      </c>
    </row>
    <row r="1927" spans="1:10" x14ac:dyDescent="0.15">
      <c r="A1927" s="263" t="s">
        <v>5215</v>
      </c>
      <c r="B1927" s="263" t="s">
        <v>5216</v>
      </c>
      <c r="C1927" s="263" t="s">
        <v>96</v>
      </c>
      <c r="D1927" s="263" t="s">
        <v>5217</v>
      </c>
      <c r="E1927" s="263" t="s">
        <v>97</v>
      </c>
      <c r="F1927">
        <v>0</v>
      </c>
      <c r="G1927">
        <v>2</v>
      </c>
      <c r="H1927" s="263" t="s">
        <v>436</v>
      </c>
      <c r="I1927" s="264"/>
      <c r="J1927" s="263" t="s">
        <v>437</v>
      </c>
    </row>
    <row r="1928" spans="1:10" x14ac:dyDescent="0.15">
      <c r="A1928" s="263" t="s">
        <v>5218</v>
      </c>
      <c r="B1928" s="263" t="s">
        <v>5219</v>
      </c>
      <c r="C1928" s="263" t="s">
        <v>96</v>
      </c>
      <c r="D1928" s="263" t="s">
        <v>5220</v>
      </c>
      <c r="E1928" s="263" t="s">
        <v>97</v>
      </c>
      <c r="F1928">
        <v>0</v>
      </c>
      <c r="G1928">
        <v>2</v>
      </c>
      <c r="H1928" s="263" t="s">
        <v>436</v>
      </c>
      <c r="I1928" s="264"/>
      <c r="J1928" s="263" t="s">
        <v>437</v>
      </c>
    </row>
    <row r="1929" spans="1:10" x14ac:dyDescent="0.15">
      <c r="A1929" s="263" t="s">
        <v>5221</v>
      </c>
      <c r="B1929" s="263" t="s">
        <v>5222</v>
      </c>
      <c r="C1929" s="263" t="s">
        <v>96</v>
      </c>
      <c r="D1929" s="263" t="s">
        <v>5223</v>
      </c>
      <c r="E1929" s="263" t="s">
        <v>97</v>
      </c>
      <c r="F1929">
        <v>0</v>
      </c>
      <c r="G1929">
        <v>2</v>
      </c>
      <c r="H1929" s="263" t="s">
        <v>436</v>
      </c>
      <c r="I1929" s="264"/>
      <c r="J1929" s="263" t="s">
        <v>437</v>
      </c>
    </row>
    <row r="1930" spans="1:10" x14ac:dyDescent="0.15">
      <c r="A1930" s="263" t="s">
        <v>5224</v>
      </c>
      <c r="B1930" s="263" t="s">
        <v>5225</v>
      </c>
      <c r="C1930" s="263" t="s">
        <v>96</v>
      </c>
      <c r="D1930" s="263" t="s">
        <v>5226</v>
      </c>
      <c r="E1930" s="263" t="s">
        <v>97</v>
      </c>
      <c r="F1930">
        <v>0</v>
      </c>
      <c r="G1930">
        <v>2</v>
      </c>
      <c r="H1930" s="263" t="s">
        <v>436</v>
      </c>
      <c r="I1930" s="264"/>
      <c r="J1930" s="263" t="s">
        <v>437</v>
      </c>
    </row>
    <row r="1931" spans="1:10" x14ac:dyDescent="0.15">
      <c r="A1931" s="263" t="s">
        <v>9095</v>
      </c>
      <c r="B1931" s="263" t="s">
        <v>9096</v>
      </c>
      <c r="C1931" s="263" t="s">
        <v>96</v>
      </c>
      <c r="D1931" s="263" t="s">
        <v>9097</v>
      </c>
      <c r="E1931" s="263" t="s">
        <v>97</v>
      </c>
      <c r="F1931">
        <v>0</v>
      </c>
      <c r="G1931">
        <v>2</v>
      </c>
      <c r="H1931" s="263" t="s">
        <v>436</v>
      </c>
      <c r="I1931" s="264"/>
      <c r="J1931" s="263" t="s">
        <v>437</v>
      </c>
    </row>
    <row r="1932" spans="1:10" x14ac:dyDescent="0.15">
      <c r="A1932" s="263" t="s">
        <v>9098</v>
      </c>
      <c r="B1932" s="263" t="s">
        <v>9099</v>
      </c>
      <c r="C1932" s="263" t="s">
        <v>81</v>
      </c>
      <c r="D1932" s="263" t="s">
        <v>9100</v>
      </c>
      <c r="E1932" s="263" t="s">
        <v>88</v>
      </c>
      <c r="F1932">
        <v>0</v>
      </c>
      <c r="G1932">
        <v>2</v>
      </c>
      <c r="H1932" s="263" t="s">
        <v>436</v>
      </c>
      <c r="I1932" s="264"/>
      <c r="J1932" s="263" t="s">
        <v>437</v>
      </c>
    </row>
    <row r="1933" spans="1:10" x14ac:dyDescent="0.15">
      <c r="A1933" s="263" t="s">
        <v>5227</v>
      </c>
      <c r="B1933" s="263" t="s">
        <v>5228</v>
      </c>
      <c r="C1933" s="263" t="s">
        <v>81</v>
      </c>
      <c r="D1933" s="263" t="s">
        <v>5229</v>
      </c>
      <c r="E1933" s="263" t="s">
        <v>88</v>
      </c>
      <c r="F1933">
        <v>0</v>
      </c>
      <c r="G1933">
        <v>2</v>
      </c>
      <c r="H1933" s="263" t="s">
        <v>436</v>
      </c>
      <c r="I1933" s="264"/>
      <c r="J1933" s="263" t="s">
        <v>437</v>
      </c>
    </row>
    <row r="1934" spans="1:10" x14ac:dyDescent="0.15">
      <c r="A1934" s="263" t="s">
        <v>5230</v>
      </c>
      <c r="B1934" s="263" t="s">
        <v>5231</v>
      </c>
      <c r="C1934" s="263" t="s">
        <v>81</v>
      </c>
      <c r="D1934" s="263" t="s">
        <v>5232</v>
      </c>
      <c r="E1934" s="263" t="s">
        <v>88</v>
      </c>
      <c r="F1934">
        <v>0</v>
      </c>
      <c r="G1934">
        <v>2</v>
      </c>
      <c r="H1934" s="263" t="s">
        <v>436</v>
      </c>
      <c r="I1934" s="264"/>
      <c r="J1934" s="263" t="s">
        <v>437</v>
      </c>
    </row>
    <row r="1935" spans="1:10" x14ac:dyDescent="0.15">
      <c r="A1935" s="263" t="s">
        <v>5233</v>
      </c>
      <c r="B1935" s="263" t="s">
        <v>5234</v>
      </c>
      <c r="C1935" s="263" t="s">
        <v>81</v>
      </c>
      <c r="D1935" s="263" t="s">
        <v>5235</v>
      </c>
      <c r="E1935" s="263" t="s">
        <v>88</v>
      </c>
      <c r="F1935">
        <v>0</v>
      </c>
      <c r="G1935">
        <v>2</v>
      </c>
      <c r="H1935" s="263" t="s">
        <v>436</v>
      </c>
      <c r="I1935" s="264"/>
      <c r="J1935" s="263" t="s">
        <v>437</v>
      </c>
    </row>
    <row r="1936" spans="1:10" x14ac:dyDescent="0.15">
      <c r="A1936" s="263" t="s">
        <v>5236</v>
      </c>
      <c r="B1936" s="263" t="s">
        <v>5237</v>
      </c>
      <c r="C1936" s="263" t="s">
        <v>81</v>
      </c>
      <c r="D1936" s="263" t="s">
        <v>5238</v>
      </c>
      <c r="E1936" s="263" t="s">
        <v>88</v>
      </c>
      <c r="F1936">
        <v>0</v>
      </c>
      <c r="G1936">
        <v>2</v>
      </c>
      <c r="H1936" s="263" t="s">
        <v>436</v>
      </c>
      <c r="I1936" s="264"/>
      <c r="J1936" s="263" t="s">
        <v>437</v>
      </c>
    </row>
    <row r="1937" spans="1:10" x14ac:dyDescent="0.15">
      <c r="A1937" s="263" t="s">
        <v>5239</v>
      </c>
      <c r="B1937" s="263" t="s">
        <v>5240</v>
      </c>
      <c r="C1937" s="263" t="s">
        <v>81</v>
      </c>
      <c r="D1937" s="263" t="s">
        <v>5241</v>
      </c>
      <c r="E1937" s="263" t="s">
        <v>88</v>
      </c>
      <c r="F1937">
        <v>0</v>
      </c>
      <c r="G1937">
        <v>2</v>
      </c>
      <c r="H1937" s="263" t="s">
        <v>436</v>
      </c>
      <c r="I1937" s="264"/>
      <c r="J1937" s="263" t="s">
        <v>437</v>
      </c>
    </row>
    <row r="1938" spans="1:10" x14ac:dyDescent="0.15">
      <c r="A1938" s="263" t="s">
        <v>5242</v>
      </c>
      <c r="B1938" s="263" t="s">
        <v>5243</v>
      </c>
      <c r="C1938" s="263" t="s">
        <v>81</v>
      </c>
      <c r="D1938" s="263" t="s">
        <v>5244</v>
      </c>
      <c r="E1938" s="263" t="s">
        <v>88</v>
      </c>
      <c r="F1938">
        <v>0</v>
      </c>
      <c r="G1938">
        <v>2</v>
      </c>
      <c r="H1938" s="263" t="s">
        <v>436</v>
      </c>
      <c r="I1938" s="264"/>
      <c r="J1938" s="263" t="s">
        <v>437</v>
      </c>
    </row>
    <row r="1939" spans="1:10" x14ac:dyDescent="0.15">
      <c r="A1939" s="263" t="s">
        <v>5245</v>
      </c>
      <c r="B1939" s="263" t="s">
        <v>5246</v>
      </c>
      <c r="C1939" s="263" t="s">
        <v>81</v>
      </c>
      <c r="D1939" s="263" t="s">
        <v>5247</v>
      </c>
      <c r="E1939" s="263" t="s">
        <v>88</v>
      </c>
      <c r="F1939">
        <v>0</v>
      </c>
      <c r="G1939">
        <v>2</v>
      </c>
      <c r="H1939" s="263" t="s">
        <v>436</v>
      </c>
      <c r="I1939" s="264"/>
      <c r="J1939" s="263" t="s">
        <v>437</v>
      </c>
    </row>
    <row r="1940" spans="1:10" x14ac:dyDescent="0.15">
      <c r="A1940" s="263" t="s">
        <v>5248</v>
      </c>
      <c r="B1940" s="263" t="s">
        <v>5249</v>
      </c>
      <c r="C1940" s="263" t="s">
        <v>81</v>
      </c>
      <c r="D1940" s="263" t="s">
        <v>5250</v>
      </c>
      <c r="E1940" s="263" t="s">
        <v>88</v>
      </c>
      <c r="F1940">
        <v>0</v>
      </c>
      <c r="G1940">
        <v>2</v>
      </c>
      <c r="H1940" s="263" t="s">
        <v>436</v>
      </c>
      <c r="I1940" s="264"/>
      <c r="J1940" s="263" t="s">
        <v>437</v>
      </c>
    </row>
    <row r="1941" spans="1:10" x14ac:dyDescent="0.15">
      <c r="A1941" s="263" t="s">
        <v>5251</v>
      </c>
      <c r="B1941" s="263" t="s">
        <v>9678</v>
      </c>
      <c r="C1941" s="263" t="s">
        <v>99</v>
      </c>
      <c r="D1941" s="263" t="s">
        <v>9679</v>
      </c>
      <c r="E1941" s="263" t="s">
        <v>84</v>
      </c>
      <c r="F1941">
        <v>0</v>
      </c>
      <c r="G1941">
        <v>2</v>
      </c>
      <c r="H1941" s="263" t="s">
        <v>436</v>
      </c>
      <c r="I1941" s="264"/>
      <c r="J1941" s="263" t="s">
        <v>437</v>
      </c>
    </row>
    <row r="1942" spans="1:10" x14ac:dyDescent="0.15">
      <c r="A1942" s="263" t="s">
        <v>5252</v>
      </c>
      <c r="B1942" s="263" t="s">
        <v>9678</v>
      </c>
      <c r="C1942" s="263" t="s">
        <v>105</v>
      </c>
      <c r="D1942" s="263" t="s">
        <v>9679</v>
      </c>
      <c r="E1942" s="263" t="s">
        <v>112</v>
      </c>
      <c r="F1942">
        <v>0</v>
      </c>
      <c r="G1942">
        <v>2</v>
      </c>
      <c r="H1942" s="263" t="s">
        <v>436</v>
      </c>
      <c r="I1942" s="264"/>
      <c r="J1942" s="263" t="s">
        <v>437</v>
      </c>
    </row>
    <row r="1943" spans="1:10" x14ac:dyDescent="0.15">
      <c r="A1943" s="263" t="s">
        <v>5253</v>
      </c>
      <c r="B1943" s="263" t="s">
        <v>5254</v>
      </c>
      <c r="C1943" s="263" t="s">
        <v>99</v>
      </c>
      <c r="D1943" s="263" t="s">
        <v>5255</v>
      </c>
      <c r="E1943" s="263" t="s">
        <v>84</v>
      </c>
      <c r="F1943">
        <v>0</v>
      </c>
      <c r="G1943">
        <v>2</v>
      </c>
      <c r="H1943" s="263" t="s">
        <v>436</v>
      </c>
      <c r="I1943" s="264"/>
      <c r="J1943" s="263" t="s">
        <v>437</v>
      </c>
    </row>
    <row r="1944" spans="1:10" x14ac:dyDescent="0.15">
      <c r="A1944" s="263" t="s">
        <v>5256</v>
      </c>
      <c r="B1944" s="263" t="s">
        <v>5257</v>
      </c>
      <c r="C1944" s="263" t="s">
        <v>98</v>
      </c>
      <c r="D1944" s="263" t="s">
        <v>5258</v>
      </c>
      <c r="E1944" s="263" t="s">
        <v>110</v>
      </c>
      <c r="F1944">
        <v>0</v>
      </c>
      <c r="G1944">
        <v>2</v>
      </c>
      <c r="H1944" s="263" t="s">
        <v>436</v>
      </c>
      <c r="I1944" s="264"/>
      <c r="J1944" s="263" t="s">
        <v>437</v>
      </c>
    </row>
    <row r="1945" spans="1:10" x14ac:dyDescent="0.15">
      <c r="A1945" s="263" t="s">
        <v>5259</v>
      </c>
      <c r="B1945" s="263" t="s">
        <v>5260</v>
      </c>
      <c r="C1945" s="263" t="s">
        <v>96</v>
      </c>
      <c r="D1945" s="263" t="s">
        <v>5261</v>
      </c>
      <c r="E1945" s="263" t="s">
        <v>97</v>
      </c>
      <c r="F1945">
        <v>0</v>
      </c>
      <c r="G1945">
        <v>2</v>
      </c>
      <c r="H1945" s="263" t="s">
        <v>436</v>
      </c>
      <c r="I1945" s="264"/>
      <c r="J1945" s="263" t="s">
        <v>437</v>
      </c>
    </row>
    <row r="1946" spans="1:10" x14ac:dyDescent="0.15">
      <c r="A1946" s="263" t="s">
        <v>5262</v>
      </c>
      <c r="B1946" s="263" t="s">
        <v>5263</v>
      </c>
      <c r="C1946" s="263" t="s">
        <v>81</v>
      </c>
      <c r="D1946" s="263" t="s">
        <v>5264</v>
      </c>
      <c r="E1946" s="263" t="s">
        <v>88</v>
      </c>
      <c r="F1946">
        <v>0</v>
      </c>
      <c r="G1946">
        <v>2</v>
      </c>
      <c r="H1946" s="263" t="s">
        <v>436</v>
      </c>
      <c r="I1946" s="264"/>
      <c r="J1946" s="263" t="s">
        <v>437</v>
      </c>
    </row>
    <row r="1947" spans="1:10" x14ac:dyDescent="0.15">
      <c r="A1947" s="263" t="s">
        <v>5265</v>
      </c>
      <c r="B1947" s="263" t="s">
        <v>5266</v>
      </c>
      <c r="C1947" s="263" t="s">
        <v>81</v>
      </c>
      <c r="D1947" s="263" t="s">
        <v>5267</v>
      </c>
      <c r="E1947" s="263" t="s">
        <v>88</v>
      </c>
      <c r="F1947">
        <v>0</v>
      </c>
      <c r="G1947">
        <v>2</v>
      </c>
      <c r="H1947" s="263" t="s">
        <v>436</v>
      </c>
      <c r="I1947" s="264"/>
      <c r="J1947" s="263" t="s">
        <v>437</v>
      </c>
    </row>
    <row r="1948" spans="1:10" x14ac:dyDescent="0.15">
      <c r="A1948" s="263" t="s">
        <v>5268</v>
      </c>
      <c r="B1948" s="263" t="s">
        <v>5269</v>
      </c>
      <c r="C1948" s="263" t="s">
        <v>81</v>
      </c>
      <c r="D1948" s="263" t="s">
        <v>5270</v>
      </c>
      <c r="E1948" s="263" t="s">
        <v>88</v>
      </c>
      <c r="F1948">
        <v>0</v>
      </c>
      <c r="G1948">
        <v>2</v>
      </c>
      <c r="H1948" s="263" t="s">
        <v>436</v>
      </c>
      <c r="I1948" s="264"/>
      <c r="J1948" s="263" t="s">
        <v>437</v>
      </c>
    </row>
    <row r="1949" spans="1:10" x14ac:dyDescent="0.15">
      <c r="A1949" s="263" t="s">
        <v>5271</v>
      </c>
      <c r="B1949" s="263" t="s">
        <v>5272</v>
      </c>
      <c r="C1949" s="263" t="s">
        <v>81</v>
      </c>
      <c r="D1949" s="263" t="s">
        <v>5273</v>
      </c>
      <c r="E1949" s="263" t="s">
        <v>88</v>
      </c>
      <c r="F1949">
        <v>0</v>
      </c>
      <c r="G1949">
        <v>2</v>
      </c>
      <c r="H1949" s="263" t="s">
        <v>436</v>
      </c>
      <c r="I1949" s="264"/>
      <c r="J1949" s="263" t="s">
        <v>437</v>
      </c>
    </row>
    <row r="1950" spans="1:10" x14ac:dyDescent="0.15">
      <c r="A1950" s="263" t="s">
        <v>5274</v>
      </c>
      <c r="B1950" s="263" t="s">
        <v>5275</v>
      </c>
      <c r="C1950" s="263" t="s">
        <v>81</v>
      </c>
      <c r="D1950" s="263" t="s">
        <v>5276</v>
      </c>
      <c r="E1950" s="263" t="s">
        <v>88</v>
      </c>
      <c r="F1950">
        <v>0</v>
      </c>
      <c r="G1950">
        <v>2</v>
      </c>
      <c r="H1950" s="263" t="s">
        <v>436</v>
      </c>
      <c r="I1950" s="264"/>
      <c r="J1950" s="263" t="s">
        <v>437</v>
      </c>
    </row>
    <row r="1951" spans="1:10" x14ac:dyDescent="0.15">
      <c r="A1951" s="263" t="s">
        <v>5277</v>
      </c>
      <c r="B1951" s="263" t="s">
        <v>5278</v>
      </c>
      <c r="C1951" s="263" t="s">
        <v>81</v>
      </c>
      <c r="D1951" s="263" t="s">
        <v>5279</v>
      </c>
      <c r="E1951" s="263" t="s">
        <v>88</v>
      </c>
      <c r="F1951">
        <v>0</v>
      </c>
      <c r="G1951">
        <v>2</v>
      </c>
      <c r="H1951" s="263" t="s">
        <v>436</v>
      </c>
      <c r="I1951" s="264"/>
      <c r="J1951" s="263" t="s">
        <v>437</v>
      </c>
    </row>
    <row r="1952" spans="1:10" x14ac:dyDescent="0.15">
      <c r="A1952" s="263" t="s">
        <v>5280</v>
      </c>
      <c r="B1952" s="263" t="s">
        <v>5281</v>
      </c>
      <c r="C1952" s="263" t="s">
        <v>81</v>
      </c>
      <c r="D1952" s="263" t="s">
        <v>5282</v>
      </c>
      <c r="E1952" s="263" t="s">
        <v>88</v>
      </c>
      <c r="F1952">
        <v>0</v>
      </c>
      <c r="G1952">
        <v>2</v>
      </c>
      <c r="H1952" s="263" t="s">
        <v>436</v>
      </c>
      <c r="I1952" s="264"/>
      <c r="J1952" s="263" t="s">
        <v>437</v>
      </c>
    </row>
    <row r="1953" spans="1:10" x14ac:dyDescent="0.15">
      <c r="A1953" s="263" t="s">
        <v>5283</v>
      </c>
      <c r="B1953" s="263" t="s">
        <v>5284</v>
      </c>
      <c r="C1953" s="263" t="s">
        <v>81</v>
      </c>
      <c r="D1953" s="263" t="s">
        <v>5285</v>
      </c>
      <c r="E1953" s="263" t="s">
        <v>88</v>
      </c>
      <c r="F1953">
        <v>0</v>
      </c>
      <c r="G1953">
        <v>2</v>
      </c>
      <c r="H1953" s="263" t="s">
        <v>436</v>
      </c>
      <c r="I1953" s="264"/>
      <c r="J1953" s="263" t="s">
        <v>437</v>
      </c>
    </row>
    <row r="1954" spans="1:10" x14ac:dyDescent="0.15">
      <c r="A1954" s="263" t="s">
        <v>5286</v>
      </c>
      <c r="B1954" s="263" t="s">
        <v>5287</v>
      </c>
      <c r="C1954" s="263" t="s">
        <v>81</v>
      </c>
      <c r="D1954" s="263" t="s">
        <v>5288</v>
      </c>
      <c r="E1954" s="263" t="s">
        <v>88</v>
      </c>
      <c r="F1954">
        <v>0</v>
      </c>
      <c r="G1954">
        <v>2</v>
      </c>
      <c r="H1954" s="263" t="s">
        <v>436</v>
      </c>
      <c r="I1954" s="264"/>
      <c r="J1954" s="263" t="s">
        <v>437</v>
      </c>
    </row>
    <row r="1955" spans="1:10" x14ac:dyDescent="0.15">
      <c r="A1955" s="263" t="s">
        <v>5289</v>
      </c>
      <c r="B1955" s="263" t="s">
        <v>5290</v>
      </c>
      <c r="C1955" s="263" t="s">
        <v>81</v>
      </c>
      <c r="D1955" s="263" t="s">
        <v>5291</v>
      </c>
      <c r="E1955" s="263" t="s">
        <v>88</v>
      </c>
      <c r="F1955">
        <v>0</v>
      </c>
      <c r="G1955">
        <v>2</v>
      </c>
      <c r="H1955" s="263" t="s">
        <v>436</v>
      </c>
      <c r="I1955" s="264"/>
      <c r="J1955" s="263" t="s">
        <v>437</v>
      </c>
    </row>
    <row r="1956" spans="1:10" x14ac:dyDescent="0.15">
      <c r="A1956" s="263" t="s">
        <v>5292</v>
      </c>
      <c r="B1956" s="263" t="s">
        <v>5293</v>
      </c>
      <c r="C1956" s="263" t="s">
        <v>81</v>
      </c>
      <c r="D1956" s="263" t="s">
        <v>5294</v>
      </c>
      <c r="E1956" s="263" t="s">
        <v>88</v>
      </c>
      <c r="F1956">
        <v>0</v>
      </c>
      <c r="G1956">
        <v>2</v>
      </c>
      <c r="H1956" s="263" t="s">
        <v>436</v>
      </c>
      <c r="I1956" s="264"/>
      <c r="J1956" s="263" t="s">
        <v>437</v>
      </c>
    </row>
    <row r="1957" spans="1:10" x14ac:dyDescent="0.15">
      <c r="A1957" s="263" t="s">
        <v>5295</v>
      </c>
      <c r="B1957" s="263" t="s">
        <v>5296</v>
      </c>
      <c r="C1957" s="263" t="s">
        <v>81</v>
      </c>
      <c r="D1957" s="263" t="s">
        <v>5297</v>
      </c>
      <c r="E1957" s="263" t="s">
        <v>88</v>
      </c>
      <c r="F1957">
        <v>0</v>
      </c>
      <c r="G1957">
        <v>2</v>
      </c>
      <c r="H1957" s="263" t="s">
        <v>436</v>
      </c>
      <c r="I1957" s="264"/>
      <c r="J1957" s="263" t="s">
        <v>437</v>
      </c>
    </row>
    <row r="1958" spans="1:10" x14ac:dyDescent="0.15">
      <c r="A1958" s="263" t="s">
        <v>5298</v>
      </c>
      <c r="B1958" s="263" t="s">
        <v>5299</v>
      </c>
      <c r="C1958" s="263" t="s">
        <v>81</v>
      </c>
      <c r="D1958" s="263" t="s">
        <v>5300</v>
      </c>
      <c r="E1958" s="263" t="s">
        <v>88</v>
      </c>
      <c r="F1958">
        <v>0</v>
      </c>
      <c r="G1958">
        <v>2</v>
      </c>
      <c r="H1958" s="263" t="s">
        <v>436</v>
      </c>
      <c r="I1958" s="264"/>
      <c r="J1958" s="263" t="s">
        <v>437</v>
      </c>
    </row>
    <row r="1959" spans="1:10" x14ac:dyDescent="0.15">
      <c r="A1959" s="263" t="s">
        <v>5301</v>
      </c>
      <c r="B1959" s="263" t="s">
        <v>5302</v>
      </c>
      <c r="C1959" s="263" t="s">
        <v>81</v>
      </c>
      <c r="D1959" s="263" t="s">
        <v>5303</v>
      </c>
      <c r="E1959" s="263" t="s">
        <v>88</v>
      </c>
      <c r="F1959">
        <v>0</v>
      </c>
      <c r="G1959">
        <v>2</v>
      </c>
      <c r="H1959" s="263" t="s">
        <v>436</v>
      </c>
      <c r="I1959" s="264"/>
      <c r="J1959" s="263" t="s">
        <v>437</v>
      </c>
    </row>
    <row r="1960" spans="1:10" x14ac:dyDescent="0.15">
      <c r="A1960" s="263" t="s">
        <v>5304</v>
      </c>
      <c r="B1960" s="263" t="s">
        <v>5305</v>
      </c>
      <c r="C1960" s="263" t="s">
        <v>81</v>
      </c>
      <c r="D1960" s="263" t="s">
        <v>5306</v>
      </c>
      <c r="E1960" s="263" t="s">
        <v>88</v>
      </c>
      <c r="F1960">
        <v>0</v>
      </c>
      <c r="G1960">
        <v>2</v>
      </c>
      <c r="H1960" s="263" t="s">
        <v>436</v>
      </c>
      <c r="I1960" s="264"/>
      <c r="J1960" s="263" t="s">
        <v>437</v>
      </c>
    </row>
    <row r="1961" spans="1:10" x14ac:dyDescent="0.15">
      <c r="A1961" s="263" t="s">
        <v>5307</v>
      </c>
      <c r="B1961" s="263" t="s">
        <v>5308</v>
      </c>
      <c r="C1961" s="263" t="s">
        <v>81</v>
      </c>
      <c r="D1961" s="263" t="s">
        <v>5309</v>
      </c>
      <c r="E1961" s="263" t="s">
        <v>88</v>
      </c>
      <c r="F1961">
        <v>0</v>
      </c>
      <c r="G1961">
        <v>2</v>
      </c>
      <c r="H1961" s="263" t="s">
        <v>436</v>
      </c>
      <c r="I1961" s="264"/>
      <c r="J1961" s="263" t="s">
        <v>437</v>
      </c>
    </row>
    <row r="1962" spans="1:10" x14ac:dyDescent="0.15">
      <c r="A1962" s="263" t="s">
        <v>5310</v>
      </c>
      <c r="B1962" s="263" t="s">
        <v>5311</v>
      </c>
      <c r="C1962" s="263" t="s">
        <v>96</v>
      </c>
      <c r="D1962" s="263" t="s">
        <v>5312</v>
      </c>
      <c r="E1962" s="263" t="s">
        <v>97</v>
      </c>
      <c r="F1962">
        <v>0</v>
      </c>
      <c r="G1962">
        <v>2</v>
      </c>
      <c r="H1962" s="263" t="s">
        <v>436</v>
      </c>
      <c r="I1962" s="264"/>
      <c r="J1962" s="263" t="s">
        <v>437</v>
      </c>
    </row>
    <row r="1963" spans="1:10" x14ac:dyDescent="0.15">
      <c r="A1963" s="263" t="s">
        <v>5313</v>
      </c>
      <c r="B1963" s="263" t="s">
        <v>5314</v>
      </c>
      <c r="C1963" s="263" t="s">
        <v>96</v>
      </c>
      <c r="D1963" s="263" t="s">
        <v>5315</v>
      </c>
      <c r="E1963" s="263" t="s">
        <v>97</v>
      </c>
      <c r="F1963">
        <v>0</v>
      </c>
      <c r="G1963">
        <v>2</v>
      </c>
      <c r="H1963" s="263" t="s">
        <v>436</v>
      </c>
      <c r="I1963" s="264"/>
      <c r="J1963" s="263" t="s">
        <v>437</v>
      </c>
    </row>
    <row r="1964" spans="1:10" x14ac:dyDescent="0.15">
      <c r="A1964" s="263" t="s">
        <v>5316</v>
      </c>
      <c r="B1964" s="263" t="s">
        <v>5317</v>
      </c>
      <c r="C1964" s="263" t="s">
        <v>96</v>
      </c>
      <c r="D1964" s="263" t="s">
        <v>5318</v>
      </c>
      <c r="E1964" s="263" t="s">
        <v>97</v>
      </c>
      <c r="F1964">
        <v>0</v>
      </c>
      <c r="G1964">
        <v>2</v>
      </c>
      <c r="H1964" s="263" t="s">
        <v>436</v>
      </c>
      <c r="I1964" s="264"/>
      <c r="J1964" s="263" t="s">
        <v>437</v>
      </c>
    </row>
    <row r="1965" spans="1:10" x14ac:dyDescent="0.15">
      <c r="A1965" s="263" t="s">
        <v>5319</v>
      </c>
      <c r="B1965" s="263" t="s">
        <v>5320</v>
      </c>
      <c r="C1965" s="263" t="s">
        <v>81</v>
      </c>
      <c r="D1965" s="263" t="s">
        <v>5321</v>
      </c>
      <c r="E1965" s="263" t="s">
        <v>88</v>
      </c>
      <c r="F1965">
        <v>0</v>
      </c>
      <c r="G1965">
        <v>2</v>
      </c>
      <c r="H1965" s="263" t="s">
        <v>436</v>
      </c>
      <c r="I1965" s="264"/>
      <c r="J1965" s="263" t="s">
        <v>437</v>
      </c>
    </row>
    <row r="1966" spans="1:10" x14ac:dyDescent="0.15">
      <c r="A1966" s="263" t="s">
        <v>5322</v>
      </c>
      <c r="B1966" s="263" t="s">
        <v>5323</v>
      </c>
      <c r="C1966" s="263" t="s">
        <v>81</v>
      </c>
      <c r="D1966" s="263" t="s">
        <v>5324</v>
      </c>
      <c r="E1966" s="263" t="s">
        <v>88</v>
      </c>
      <c r="F1966">
        <v>0</v>
      </c>
      <c r="G1966">
        <v>2</v>
      </c>
      <c r="H1966" s="263" t="s">
        <v>436</v>
      </c>
      <c r="I1966" s="264"/>
      <c r="J1966" s="263" t="s">
        <v>437</v>
      </c>
    </row>
    <row r="1967" spans="1:10" x14ac:dyDescent="0.15">
      <c r="A1967" s="263" t="s">
        <v>5325</v>
      </c>
      <c r="B1967" s="263" t="s">
        <v>5326</v>
      </c>
      <c r="C1967" s="263" t="s">
        <v>81</v>
      </c>
      <c r="D1967" s="263" t="s">
        <v>5327</v>
      </c>
      <c r="E1967" s="263" t="s">
        <v>88</v>
      </c>
      <c r="F1967">
        <v>0</v>
      </c>
      <c r="G1967">
        <v>2</v>
      </c>
      <c r="H1967" s="263" t="s">
        <v>436</v>
      </c>
      <c r="I1967" s="264"/>
      <c r="J1967" s="263" t="s">
        <v>437</v>
      </c>
    </row>
    <row r="1968" spans="1:10" x14ac:dyDescent="0.15">
      <c r="A1968" s="263" t="s">
        <v>5328</v>
      </c>
      <c r="B1968" s="263" t="s">
        <v>5329</v>
      </c>
      <c r="C1968" s="263" t="s">
        <v>96</v>
      </c>
      <c r="D1968" s="263" t="s">
        <v>5330</v>
      </c>
      <c r="E1968" s="263" t="s">
        <v>97</v>
      </c>
      <c r="F1968">
        <v>0</v>
      </c>
      <c r="G1968">
        <v>2</v>
      </c>
      <c r="H1968" s="263" t="s">
        <v>436</v>
      </c>
      <c r="I1968" s="264"/>
      <c r="J1968" s="263" t="s">
        <v>437</v>
      </c>
    </row>
    <row r="1969" spans="1:10" x14ac:dyDescent="0.15">
      <c r="A1969" s="263" t="s">
        <v>5331</v>
      </c>
      <c r="B1969" s="263" t="s">
        <v>5332</v>
      </c>
      <c r="C1969" s="263" t="s">
        <v>96</v>
      </c>
      <c r="D1969" s="263" t="s">
        <v>5333</v>
      </c>
      <c r="E1969" s="263" t="s">
        <v>97</v>
      </c>
      <c r="F1969">
        <v>0</v>
      </c>
      <c r="G1969">
        <v>2</v>
      </c>
      <c r="H1969" s="263" t="s">
        <v>436</v>
      </c>
      <c r="I1969" s="264"/>
      <c r="J1969" s="263" t="s">
        <v>437</v>
      </c>
    </row>
    <row r="1970" spans="1:10" x14ac:dyDescent="0.15">
      <c r="A1970" s="263" t="s">
        <v>5334</v>
      </c>
      <c r="B1970" s="263" t="s">
        <v>5335</v>
      </c>
      <c r="C1970" s="263" t="s">
        <v>96</v>
      </c>
      <c r="D1970" s="263" t="s">
        <v>5336</v>
      </c>
      <c r="E1970" s="263" t="s">
        <v>97</v>
      </c>
      <c r="F1970">
        <v>0</v>
      </c>
      <c r="G1970">
        <v>2</v>
      </c>
      <c r="H1970" s="263" t="s">
        <v>436</v>
      </c>
      <c r="I1970" s="264"/>
      <c r="J1970" s="263" t="s">
        <v>437</v>
      </c>
    </row>
    <row r="1971" spans="1:10" x14ac:dyDescent="0.15">
      <c r="A1971" s="263" t="s">
        <v>5337</v>
      </c>
      <c r="B1971" s="263" t="s">
        <v>5338</v>
      </c>
      <c r="C1971" s="263" t="s">
        <v>96</v>
      </c>
      <c r="D1971" s="263" t="s">
        <v>5339</v>
      </c>
      <c r="E1971" s="263" t="s">
        <v>97</v>
      </c>
      <c r="F1971">
        <v>0</v>
      </c>
      <c r="G1971">
        <v>2</v>
      </c>
      <c r="H1971" s="263" t="s">
        <v>436</v>
      </c>
      <c r="I1971" s="264"/>
      <c r="J1971" s="263" t="s">
        <v>437</v>
      </c>
    </row>
    <row r="1972" spans="1:10" x14ac:dyDescent="0.15">
      <c r="A1972" s="263" t="s">
        <v>5340</v>
      </c>
      <c r="B1972" s="263" t="s">
        <v>5341</v>
      </c>
      <c r="C1972" s="263" t="s">
        <v>96</v>
      </c>
      <c r="D1972" s="263" t="s">
        <v>5342</v>
      </c>
      <c r="E1972" s="263" t="s">
        <v>97</v>
      </c>
      <c r="F1972">
        <v>0</v>
      </c>
      <c r="G1972">
        <v>2</v>
      </c>
      <c r="H1972" s="263" t="s">
        <v>436</v>
      </c>
      <c r="I1972" s="264"/>
      <c r="J1972" s="263" t="s">
        <v>437</v>
      </c>
    </row>
    <row r="1973" spans="1:10" x14ac:dyDescent="0.15">
      <c r="A1973" s="263" t="s">
        <v>5343</v>
      </c>
      <c r="B1973" s="263" t="s">
        <v>5344</v>
      </c>
      <c r="C1973" s="263" t="s">
        <v>96</v>
      </c>
      <c r="D1973" s="263" t="s">
        <v>5345</v>
      </c>
      <c r="E1973" s="263" t="s">
        <v>97</v>
      </c>
      <c r="F1973">
        <v>0</v>
      </c>
      <c r="G1973">
        <v>2</v>
      </c>
      <c r="H1973" s="263" t="s">
        <v>436</v>
      </c>
      <c r="I1973" s="264"/>
      <c r="J1973" s="263" t="s">
        <v>437</v>
      </c>
    </row>
    <row r="1974" spans="1:10" x14ac:dyDescent="0.15">
      <c r="A1974" s="263" t="s">
        <v>5346</v>
      </c>
      <c r="B1974" s="263" t="s">
        <v>5347</v>
      </c>
      <c r="C1974" s="263" t="s">
        <v>96</v>
      </c>
      <c r="D1974" s="263" t="s">
        <v>5348</v>
      </c>
      <c r="E1974" s="263" t="s">
        <v>97</v>
      </c>
      <c r="F1974">
        <v>0</v>
      </c>
      <c r="G1974">
        <v>2</v>
      </c>
      <c r="H1974" s="263" t="s">
        <v>436</v>
      </c>
      <c r="I1974" s="264"/>
      <c r="J1974" s="263" t="s">
        <v>437</v>
      </c>
    </row>
    <row r="1975" spans="1:10" x14ac:dyDescent="0.15">
      <c r="A1975" s="263" t="s">
        <v>5349</v>
      </c>
      <c r="B1975" s="263" t="s">
        <v>5350</v>
      </c>
      <c r="C1975" s="263" t="s">
        <v>96</v>
      </c>
      <c r="D1975" s="263" t="s">
        <v>5351</v>
      </c>
      <c r="E1975" s="263" t="s">
        <v>97</v>
      </c>
      <c r="F1975">
        <v>0</v>
      </c>
      <c r="G1975">
        <v>2</v>
      </c>
      <c r="H1975" s="263" t="s">
        <v>436</v>
      </c>
      <c r="I1975" s="264"/>
      <c r="J1975" s="263" t="s">
        <v>437</v>
      </c>
    </row>
    <row r="1976" spans="1:10" x14ac:dyDescent="0.15">
      <c r="A1976" s="263" t="s">
        <v>5352</v>
      </c>
      <c r="B1976" s="263" t="s">
        <v>5353</v>
      </c>
      <c r="C1976" s="263" t="s">
        <v>96</v>
      </c>
      <c r="D1976" s="263" t="s">
        <v>5354</v>
      </c>
      <c r="E1976" s="263" t="s">
        <v>97</v>
      </c>
      <c r="F1976">
        <v>0</v>
      </c>
      <c r="G1976">
        <v>2</v>
      </c>
      <c r="H1976" s="263" t="s">
        <v>436</v>
      </c>
      <c r="I1976" s="264"/>
      <c r="J1976" s="263" t="s">
        <v>437</v>
      </c>
    </row>
    <row r="1977" spans="1:10" x14ac:dyDescent="0.15">
      <c r="A1977" s="263" t="s">
        <v>5355</v>
      </c>
      <c r="B1977" s="263" t="s">
        <v>5356</v>
      </c>
      <c r="C1977" s="263" t="s">
        <v>96</v>
      </c>
      <c r="D1977" s="263" t="s">
        <v>5357</v>
      </c>
      <c r="E1977" s="263" t="s">
        <v>97</v>
      </c>
      <c r="F1977">
        <v>0</v>
      </c>
      <c r="G1977">
        <v>2</v>
      </c>
      <c r="H1977" s="263" t="s">
        <v>436</v>
      </c>
      <c r="I1977" s="264"/>
      <c r="J1977" s="263" t="s">
        <v>437</v>
      </c>
    </row>
    <row r="1978" spans="1:10" x14ac:dyDescent="0.15">
      <c r="A1978" s="263" t="s">
        <v>5358</v>
      </c>
      <c r="B1978" s="263" t="s">
        <v>5359</v>
      </c>
      <c r="C1978" s="263" t="s">
        <v>96</v>
      </c>
      <c r="D1978" s="263" t="s">
        <v>5360</v>
      </c>
      <c r="E1978" s="263" t="s">
        <v>97</v>
      </c>
      <c r="F1978">
        <v>0</v>
      </c>
      <c r="G1978">
        <v>2</v>
      </c>
      <c r="H1978" s="263" t="s">
        <v>436</v>
      </c>
      <c r="I1978" s="264"/>
      <c r="J1978" s="263" t="s">
        <v>437</v>
      </c>
    </row>
    <row r="1979" spans="1:10" x14ac:dyDescent="0.15">
      <c r="A1979" s="263" t="s">
        <v>5361</v>
      </c>
      <c r="B1979" s="263" t="s">
        <v>5362</v>
      </c>
      <c r="C1979" s="263" t="s">
        <v>96</v>
      </c>
      <c r="D1979" s="263" t="s">
        <v>5363</v>
      </c>
      <c r="E1979" s="263" t="s">
        <v>97</v>
      </c>
      <c r="F1979">
        <v>0</v>
      </c>
      <c r="G1979">
        <v>2</v>
      </c>
      <c r="H1979" s="263" t="s">
        <v>436</v>
      </c>
      <c r="I1979" s="264"/>
      <c r="J1979" s="263" t="s">
        <v>437</v>
      </c>
    </row>
    <row r="1980" spans="1:10" x14ac:dyDescent="0.15">
      <c r="A1980" s="263" t="s">
        <v>5364</v>
      </c>
      <c r="B1980" s="263" t="s">
        <v>5365</v>
      </c>
      <c r="C1980" s="263" t="s">
        <v>81</v>
      </c>
      <c r="D1980" s="263" t="s">
        <v>5366</v>
      </c>
      <c r="E1980" s="263" t="s">
        <v>88</v>
      </c>
      <c r="F1980">
        <v>0</v>
      </c>
      <c r="G1980">
        <v>2</v>
      </c>
      <c r="H1980" s="263" t="s">
        <v>436</v>
      </c>
      <c r="I1980" s="264"/>
      <c r="J1980" s="263" t="s">
        <v>437</v>
      </c>
    </row>
    <row r="1981" spans="1:10" x14ac:dyDescent="0.15">
      <c r="A1981" s="263" t="s">
        <v>5367</v>
      </c>
      <c r="B1981" s="263" t="s">
        <v>5368</v>
      </c>
      <c r="C1981" s="263" t="s">
        <v>96</v>
      </c>
      <c r="D1981" s="263" t="s">
        <v>5369</v>
      </c>
      <c r="E1981" s="263" t="s">
        <v>97</v>
      </c>
      <c r="F1981">
        <v>0</v>
      </c>
      <c r="G1981">
        <v>2</v>
      </c>
      <c r="H1981" s="263" t="s">
        <v>436</v>
      </c>
      <c r="I1981" s="264"/>
      <c r="J1981" s="263" t="s">
        <v>437</v>
      </c>
    </row>
    <row r="1982" spans="1:10" x14ac:dyDescent="0.15">
      <c r="A1982" s="263" t="s">
        <v>5370</v>
      </c>
      <c r="B1982" s="263" t="s">
        <v>5323</v>
      </c>
      <c r="C1982" s="263" t="s">
        <v>94</v>
      </c>
      <c r="D1982" s="263" t="s">
        <v>5324</v>
      </c>
      <c r="E1982" s="263" t="s">
        <v>94</v>
      </c>
      <c r="F1982">
        <v>0</v>
      </c>
      <c r="G1982">
        <v>2</v>
      </c>
      <c r="H1982" s="263" t="s">
        <v>436</v>
      </c>
      <c r="I1982" s="264"/>
      <c r="J1982" s="263" t="s">
        <v>437</v>
      </c>
    </row>
    <row r="1983" spans="1:10" x14ac:dyDescent="0.15">
      <c r="A1983" s="263" t="s">
        <v>5371</v>
      </c>
      <c r="B1983" s="263" t="s">
        <v>5372</v>
      </c>
      <c r="C1983" s="263" t="s">
        <v>98</v>
      </c>
      <c r="D1983" s="263" t="s">
        <v>5373</v>
      </c>
      <c r="E1983" s="263" t="s">
        <v>110</v>
      </c>
      <c r="F1983">
        <v>0</v>
      </c>
      <c r="G1983">
        <v>2</v>
      </c>
      <c r="H1983" s="263" t="s">
        <v>436</v>
      </c>
      <c r="I1983" s="264"/>
      <c r="J1983" s="263" t="s">
        <v>437</v>
      </c>
    </row>
    <row r="1984" spans="1:10" x14ac:dyDescent="0.15">
      <c r="A1984" s="263" t="s">
        <v>5374</v>
      </c>
      <c r="B1984" s="263" t="s">
        <v>5375</v>
      </c>
      <c r="C1984" s="263" t="s">
        <v>98</v>
      </c>
      <c r="D1984" s="263" t="s">
        <v>5376</v>
      </c>
      <c r="E1984" s="263" t="s">
        <v>110</v>
      </c>
      <c r="F1984">
        <v>0</v>
      </c>
      <c r="G1984">
        <v>2</v>
      </c>
      <c r="H1984" s="263" t="s">
        <v>436</v>
      </c>
      <c r="I1984" s="264"/>
      <c r="J1984" s="263" t="s">
        <v>437</v>
      </c>
    </row>
    <row r="1985" spans="1:10" x14ac:dyDescent="0.15">
      <c r="A1985" s="263" t="s">
        <v>5377</v>
      </c>
      <c r="B1985" s="263" t="s">
        <v>5378</v>
      </c>
      <c r="C1985" s="263" t="s">
        <v>98</v>
      </c>
      <c r="D1985" s="263" t="s">
        <v>5379</v>
      </c>
      <c r="E1985" s="263" t="s">
        <v>110</v>
      </c>
      <c r="F1985">
        <v>0</v>
      </c>
      <c r="G1985">
        <v>2</v>
      </c>
      <c r="H1985" s="263" t="s">
        <v>436</v>
      </c>
      <c r="I1985" s="264"/>
      <c r="J1985" s="263" t="s">
        <v>437</v>
      </c>
    </row>
    <row r="1986" spans="1:10" x14ac:dyDescent="0.15">
      <c r="A1986" s="263" t="s">
        <v>5380</v>
      </c>
      <c r="B1986" s="263" t="s">
        <v>5381</v>
      </c>
      <c r="C1986" s="263" t="s">
        <v>98</v>
      </c>
      <c r="D1986" s="263" t="s">
        <v>5382</v>
      </c>
      <c r="E1986" s="263" t="s">
        <v>110</v>
      </c>
      <c r="F1986">
        <v>0</v>
      </c>
      <c r="G1986">
        <v>2</v>
      </c>
      <c r="H1986" s="263" t="s">
        <v>436</v>
      </c>
      <c r="I1986" s="264"/>
      <c r="J1986" s="263" t="s">
        <v>437</v>
      </c>
    </row>
    <row r="1987" spans="1:10" x14ac:dyDescent="0.15">
      <c r="A1987" s="263" t="s">
        <v>5383</v>
      </c>
      <c r="B1987" s="263" t="s">
        <v>5384</v>
      </c>
      <c r="C1987" s="263" t="s">
        <v>98</v>
      </c>
      <c r="D1987" s="263" t="s">
        <v>5385</v>
      </c>
      <c r="E1987" s="263" t="s">
        <v>110</v>
      </c>
      <c r="F1987">
        <v>0</v>
      </c>
      <c r="G1987">
        <v>2</v>
      </c>
      <c r="H1987" s="263" t="s">
        <v>436</v>
      </c>
      <c r="I1987" s="264"/>
      <c r="J1987" s="263" t="s">
        <v>437</v>
      </c>
    </row>
    <row r="1988" spans="1:10" x14ac:dyDescent="0.15">
      <c r="A1988" s="263" t="s">
        <v>5386</v>
      </c>
      <c r="B1988" s="263" t="s">
        <v>5372</v>
      </c>
      <c r="C1988" s="263" t="s">
        <v>96</v>
      </c>
      <c r="D1988" s="263" t="s">
        <v>5373</v>
      </c>
      <c r="E1988" s="263" t="s">
        <v>97</v>
      </c>
      <c r="F1988">
        <v>0</v>
      </c>
      <c r="G1988">
        <v>2</v>
      </c>
      <c r="H1988" s="263" t="s">
        <v>436</v>
      </c>
      <c r="I1988" s="264"/>
      <c r="J1988" s="263" t="s">
        <v>437</v>
      </c>
    </row>
    <row r="1989" spans="1:10" x14ac:dyDescent="0.15">
      <c r="A1989" s="263" t="s">
        <v>5387</v>
      </c>
      <c r="B1989" s="263" t="s">
        <v>5375</v>
      </c>
      <c r="C1989" s="263" t="s">
        <v>96</v>
      </c>
      <c r="D1989" s="263" t="s">
        <v>5376</v>
      </c>
      <c r="E1989" s="263" t="s">
        <v>97</v>
      </c>
      <c r="F1989">
        <v>0</v>
      </c>
      <c r="G1989">
        <v>2</v>
      </c>
      <c r="H1989" s="263" t="s">
        <v>436</v>
      </c>
      <c r="I1989" s="264"/>
      <c r="J1989" s="263" t="s">
        <v>437</v>
      </c>
    </row>
    <row r="1990" spans="1:10" x14ac:dyDescent="0.15">
      <c r="A1990" s="263" t="s">
        <v>5388</v>
      </c>
      <c r="B1990" s="263" t="s">
        <v>5378</v>
      </c>
      <c r="C1990" s="263" t="s">
        <v>96</v>
      </c>
      <c r="D1990" s="263" t="s">
        <v>5379</v>
      </c>
      <c r="E1990" s="263" t="s">
        <v>97</v>
      </c>
      <c r="F1990">
        <v>0</v>
      </c>
      <c r="G1990">
        <v>2</v>
      </c>
      <c r="H1990" s="263" t="s">
        <v>436</v>
      </c>
      <c r="I1990" s="264"/>
      <c r="J1990" s="263" t="s">
        <v>437</v>
      </c>
    </row>
    <row r="1991" spans="1:10" x14ac:dyDescent="0.15">
      <c r="A1991" s="263" t="s">
        <v>5389</v>
      </c>
      <c r="B1991" s="263" t="s">
        <v>5381</v>
      </c>
      <c r="C1991" s="263" t="s">
        <v>96</v>
      </c>
      <c r="D1991" s="263" t="s">
        <v>5382</v>
      </c>
      <c r="E1991" s="263" t="s">
        <v>97</v>
      </c>
      <c r="F1991">
        <v>0</v>
      </c>
      <c r="G1991">
        <v>2</v>
      </c>
      <c r="H1991" s="263" t="s">
        <v>436</v>
      </c>
      <c r="I1991" s="264"/>
      <c r="J1991" s="263" t="s">
        <v>437</v>
      </c>
    </row>
    <row r="1992" spans="1:10" x14ac:dyDescent="0.15">
      <c r="A1992" s="263" t="s">
        <v>5390</v>
      </c>
      <c r="B1992" s="263" t="s">
        <v>5384</v>
      </c>
      <c r="C1992" s="263" t="s">
        <v>96</v>
      </c>
      <c r="D1992" s="263" t="s">
        <v>5385</v>
      </c>
      <c r="E1992" s="263" t="s">
        <v>97</v>
      </c>
      <c r="F1992">
        <v>0</v>
      </c>
      <c r="G1992">
        <v>2</v>
      </c>
      <c r="H1992" s="263" t="s">
        <v>436</v>
      </c>
      <c r="I1992" s="264"/>
      <c r="J1992" s="263" t="s">
        <v>437</v>
      </c>
    </row>
    <row r="1993" spans="1:10" x14ac:dyDescent="0.15">
      <c r="A1993" s="263" t="s">
        <v>5391</v>
      </c>
      <c r="B1993" s="263" t="s">
        <v>5384</v>
      </c>
      <c r="C1993" s="263" t="s">
        <v>105</v>
      </c>
      <c r="D1993" s="263" t="s">
        <v>5385</v>
      </c>
      <c r="E1993" s="263" t="s">
        <v>112</v>
      </c>
      <c r="F1993">
        <v>0</v>
      </c>
      <c r="G1993">
        <v>2</v>
      </c>
      <c r="H1993" s="263" t="s">
        <v>436</v>
      </c>
      <c r="I1993" s="264"/>
      <c r="J1993" s="263" t="s">
        <v>437</v>
      </c>
    </row>
    <row r="1994" spans="1:10" x14ac:dyDescent="0.15">
      <c r="A1994" s="263" t="s">
        <v>5392</v>
      </c>
      <c r="B1994" s="263" t="s">
        <v>5393</v>
      </c>
      <c r="C1994" s="263" t="s">
        <v>96</v>
      </c>
      <c r="D1994" s="263" t="s">
        <v>5394</v>
      </c>
      <c r="E1994" s="263" t="s">
        <v>97</v>
      </c>
      <c r="F1994">
        <v>0</v>
      </c>
      <c r="G1994">
        <v>2</v>
      </c>
      <c r="H1994" s="263" t="s">
        <v>436</v>
      </c>
      <c r="I1994" s="264"/>
      <c r="J1994" s="263" t="s">
        <v>437</v>
      </c>
    </row>
    <row r="1995" spans="1:10" x14ac:dyDescent="0.15">
      <c r="A1995" s="263" t="s">
        <v>5395</v>
      </c>
      <c r="B1995" s="263" t="s">
        <v>5393</v>
      </c>
      <c r="C1995" s="263" t="s">
        <v>81</v>
      </c>
      <c r="D1995" s="263" t="s">
        <v>5396</v>
      </c>
      <c r="E1995" s="263" t="s">
        <v>88</v>
      </c>
      <c r="F1995">
        <v>0</v>
      </c>
      <c r="G1995">
        <v>2</v>
      </c>
      <c r="H1995" s="263" t="s">
        <v>436</v>
      </c>
      <c r="I1995" s="264"/>
      <c r="J1995" s="263" t="s">
        <v>437</v>
      </c>
    </row>
    <row r="1996" spans="1:10" x14ac:dyDescent="0.15">
      <c r="A1996" s="263" t="s">
        <v>5397</v>
      </c>
      <c r="B1996" s="263" t="s">
        <v>5398</v>
      </c>
      <c r="C1996" s="263" t="s">
        <v>98</v>
      </c>
      <c r="D1996" s="263" t="s">
        <v>5399</v>
      </c>
      <c r="E1996" s="263" t="s">
        <v>110</v>
      </c>
      <c r="F1996">
        <v>0</v>
      </c>
      <c r="G1996">
        <v>2</v>
      </c>
      <c r="H1996" s="263" t="s">
        <v>436</v>
      </c>
      <c r="I1996" s="264"/>
      <c r="J1996" s="263" t="s">
        <v>437</v>
      </c>
    </row>
    <row r="1997" spans="1:10" x14ac:dyDescent="0.15">
      <c r="A1997" s="263" t="s">
        <v>5400</v>
      </c>
      <c r="B1997" s="263" t="s">
        <v>5401</v>
      </c>
      <c r="C1997" s="263" t="s">
        <v>98</v>
      </c>
      <c r="D1997" s="263" t="s">
        <v>5402</v>
      </c>
      <c r="E1997" s="263" t="s">
        <v>110</v>
      </c>
      <c r="F1997">
        <v>0</v>
      </c>
      <c r="G1997">
        <v>2</v>
      </c>
      <c r="H1997" s="263" t="s">
        <v>436</v>
      </c>
      <c r="I1997" s="264"/>
      <c r="J1997" s="263" t="s">
        <v>437</v>
      </c>
    </row>
    <row r="1998" spans="1:10" x14ac:dyDescent="0.15">
      <c r="A1998" s="263" t="s">
        <v>5403</v>
      </c>
      <c r="B1998" s="263" t="s">
        <v>5404</v>
      </c>
      <c r="C1998" s="263" t="s">
        <v>98</v>
      </c>
      <c r="D1998" s="263" t="s">
        <v>5405</v>
      </c>
      <c r="E1998" s="263" t="s">
        <v>110</v>
      </c>
      <c r="F1998">
        <v>0</v>
      </c>
      <c r="G1998">
        <v>2</v>
      </c>
      <c r="H1998" s="263" t="s">
        <v>436</v>
      </c>
      <c r="I1998" s="264"/>
      <c r="J1998" s="263" t="s">
        <v>437</v>
      </c>
    </row>
    <row r="1999" spans="1:10" x14ac:dyDescent="0.15">
      <c r="A1999" s="263" t="s">
        <v>5406</v>
      </c>
      <c r="B1999" s="263" t="s">
        <v>5407</v>
      </c>
      <c r="C1999" s="263" t="s">
        <v>98</v>
      </c>
      <c r="D1999" s="263" t="s">
        <v>5408</v>
      </c>
      <c r="E1999" s="263" t="s">
        <v>110</v>
      </c>
      <c r="F1999">
        <v>0</v>
      </c>
      <c r="G1999">
        <v>2</v>
      </c>
      <c r="H1999" s="263" t="s">
        <v>436</v>
      </c>
      <c r="I1999" s="264"/>
      <c r="J1999" s="263" t="s">
        <v>437</v>
      </c>
    </row>
    <row r="2000" spans="1:10" x14ac:dyDescent="0.15">
      <c r="A2000" s="263" t="s">
        <v>5409</v>
      </c>
      <c r="B2000" s="263" t="s">
        <v>5410</v>
      </c>
      <c r="C2000" s="263" t="s">
        <v>98</v>
      </c>
      <c r="D2000" s="263" t="s">
        <v>5411</v>
      </c>
      <c r="E2000" s="263" t="s">
        <v>110</v>
      </c>
      <c r="F2000">
        <v>0</v>
      </c>
      <c r="G2000">
        <v>2</v>
      </c>
      <c r="H2000" s="263" t="s">
        <v>436</v>
      </c>
      <c r="I2000" s="264"/>
      <c r="J2000" s="263" t="s">
        <v>437</v>
      </c>
    </row>
    <row r="2001" spans="1:10" x14ac:dyDescent="0.15">
      <c r="A2001" s="263" t="s">
        <v>5412</v>
      </c>
      <c r="B2001" s="263" t="s">
        <v>5413</v>
      </c>
      <c r="C2001" s="263" t="s">
        <v>96</v>
      </c>
      <c r="D2001" s="263" t="s">
        <v>5414</v>
      </c>
      <c r="E2001" s="263" t="s">
        <v>97</v>
      </c>
      <c r="F2001">
        <v>0</v>
      </c>
      <c r="G2001">
        <v>2</v>
      </c>
      <c r="H2001" s="263" t="s">
        <v>436</v>
      </c>
      <c r="I2001" s="264"/>
      <c r="J2001" s="263" t="s">
        <v>437</v>
      </c>
    </row>
    <row r="2002" spans="1:10" x14ac:dyDescent="0.15">
      <c r="A2002" s="263" t="s">
        <v>5415</v>
      </c>
      <c r="B2002" s="263" t="s">
        <v>5416</v>
      </c>
      <c r="C2002" s="263" t="s">
        <v>96</v>
      </c>
      <c r="D2002" s="263" t="s">
        <v>5417</v>
      </c>
      <c r="E2002" s="263" t="s">
        <v>97</v>
      </c>
      <c r="F2002">
        <v>0</v>
      </c>
      <c r="G2002">
        <v>2</v>
      </c>
      <c r="H2002" s="263" t="s">
        <v>436</v>
      </c>
      <c r="I2002" s="264"/>
      <c r="J2002" s="263" t="s">
        <v>437</v>
      </c>
    </row>
    <row r="2003" spans="1:10" x14ac:dyDescent="0.15">
      <c r="A2003" s="263" t="s">
        <v>5418</v>
      </c>
      <c r="B2003" s="263" t="s">
        <v>5419</v>
      </c>
      <c r="C2003" s="263" t="s">
        <v>96</v>
      </c>
      <c r="D2003" s="263" t="s">
        <v>5420</v>
      </c>
      <c r="E2003" s="263" t="s">
        <v>97</v>
      </c>
      <c r="F2003">
        <v>0</v>
      </c>
      <c r="G2003">
        <v>2</v>
      </c>
      <c r="H2003" s="263" t="s">
        <v>436</v>
      </c>
      <c r="I2003" s="264"/>
      <c r="J2003" s="263" t="s">
        <v>437</v>
      </c>
    </row>
    <row r="2004" spans="1:10" x14ac:dyDescent="0.15">
      <c r="A2004" s="263" t="s">
        <v>5421</v>
      </c>
      <c r="B2004" s="263" t="s">
        <v>5422</v>
      </c>
      <c r="C2004" s="263" t="s">
        <v>96</v>
      </c>
      <c r="D2004" s="263" t="s">
        <v>5423</v>
      </c>
      <c r="E2004" s="263" t="s">
        <v>97</v>
      </c>
      <c r="F2004">
        <v>0</v>
      </c>
      <c r="G2004">
        <v>2</v>
      </c>
      <c r="H2004" s="263" t="s">
        <v>436</v>
      </c>
      <c r="I2004" s="264"/>
      <c r="J2004" s="263" t="s">
        <v>437</v>
      </c>
    </row>
    <row r="2005" spans="1:10" x14ac:dyDescent="0.15">
      <c r="A2005" s="263" t="s">
        <v>5424</v>
      </c>
      <c r="B2005" s="263" t="s">
        <v>5425</v>
      </c>
      <c r="C2005" s="263" t="s">
        <v>96</v>
      </c>
      <c r="D2005" s="263" t="s">
        <v>5426</v>
      </c>
      <c r="E2005" s="263" t="s">
        <v>97</v>
      </c>
      <c r="F2005">
        <v>0</v>
      </c>
      <c r="G2005">
        <v>2</v>
      </c>
      <c r="H2005" s="263" t="s">
        <v>436</v>
      </c>
      <c r="I2005" s="264"/>
      <c r="J2005" s="263" t="s">
        <v>437</v>
      </c>
    </row>
    <row r="2006" spans="1:10" x14ac:dyDescent="0.15">
      <c r="A2006" s="263" t="s">
        <v>5427</v>
      </c>
      <c r="B2006" s="263" t="s">
        <v>5428</v>
      </c>
      <c r="C2006" s="263" t="s">
        <v>96</v>
      </c>
      <c r="D2006" s="263" t="s">
        <v>5429</v>
      </c>
      <c r="E2006" s="263" t="s">
        <v>97</v>
      </c>
      <c r="F2006">
        <v>0</v>
      </c>
      <c r="G2006">
        <v>2</v>
      </c>
      <c r="H2006" s="263" t="s">
        <v>436</v>
      </c>
      <c r="I2006" s="264"/>
      <c r="J2006" s="263" t="s">
        <v>437</v>
      </c>
    </row>
    <row r="2007" spans="1:10" x14ac:dyDescent="0.15">
      <c r="A2007" s="263" t="s">
        <v>5430</v>
      </c>
      <c r="B2007" s="263" t="s">
        <v>5431</v>
      </c>
      <c r="C2007" s="263" t="s">
        <v>96</v>
      </c>
      <c r="D2007" s="263" t="s">
        <v>5432</v>
      </c>
      <c r="E2007" s="263" t="s">
        <v>97</v>
      </c>
      <c r="F2007">
        <v>0</v>
      </c>
      <c r="G2007">
        <v>2</v>
      </c>
      <c r="H2007" s="263" t="s">
        <v>436</v>
      </c>
      <c r="I2007" s="264"/>
      <c r="J2007" s="263" t="s">
        <v>437</v>
      </c>
    </row>
    <row r="2008" spans="1:10" x14ac:dyDescent="0.15">
      <c r="A2008" s="263" t="s">
        <v>5433</v>
      </c>
      <c r="B2008" s="263" t="s">
        <v>5434</v>
      </c>
      <c r="C2008" s="263" t="s">
        <v>96</v>
      </c>
      <c r="D2008" s="263" t="s">
        <v>5435</v>
      </c>
      <c r="E2008" s="263" t="s">
        <v>97</v>
      </c>
      <c r="F2008">
        <v>0</v>
      </c>
      <c r="G2008">
        <v>2</v>
      </c>
      <c r="H2008" s="263" t="s">
        <v>436</v>
      </c>
      <c r="I2008" s="264"/>
      <c r="J2008" s="263" t="s">
        <v>437</v>
      </c>
    </row>
    <row r="2009" spans="1:10" x14ac:dyDescent="0.15">
      <c r="A2009" s="263" t="s">
        <v>5436</v>
      </c>
      <c r="B2009" s="263" t="s">
        <v>5437</v>
      </c>
      <c r="C2009" s="263" t="s">
        <v>96</v>
      </c>
      <c r="D2009" s="263" t="s">
        <v>5438</v>
      </c>
      <c r="E2009" s="263" t="s">
        <v>97</v>
      </c>
      <c r="F2009">
        <v>0</v>
      </c>
      <c r="G2009">
        <v>2</v>
      </c>
      <c r="H2009" s="263" t="s">
        <v>436</v>
      </c>
      <c r="I2009" s="264"/>
      <c r="J2009" s="263" t="s">
        <v>437</v>
      </c>
    </row>
    <row r="2010" spans="1:10" x14ac:dyDescent="0.15">
      <c r="A2010" s="263" t="s">
        <v>5439</v>
      </c>
      <c r="B2010" s="263" t="s">
        <v>5440</v>
      </c>
      <c r="C2010" s="263" t="s">
        <v>96</v>
      </c>
      <c r="D2010" s="263" t="s">
        <v>5441</v>
      </c>
      <c r="E2010" s="263" t="s">
        <v>97</v>
      </c>
      <c r="F2010">
        <v>0</v>
      </c>
      <c r="G2010">
        <v>2</v>
      </c>
      <c r="H2010" s="263" t="s">
        <v>436</v>
      </c>
      <c r="I2010" s="264"/>
      <c r="J2010" s="263" t="s">
        <v>437</v>
      </c>
    </row>
    <row r="2011" spans="1:10" x14ac:dyDescent="0.15">
      <c r="A2011" s="263" t="s">
        <v>5442</v>
      </c>
      <c r="B2011" s="263" t="s">
        <v>5443</v>
      </c>
      <c r="C2011" s="263" t="s">
        <v>96</v>
      </c>
      <c r="D2011" s="263" t="s">
        <v>5444</v>
      </c>
      <c r="E2011" s="263" t="s">
        <v>97</v>
      </c>
      <c r="F2011">
        <v>0</v>
      </c>
      <c r="G2011">
        <v>2</v>
      </c>
      <c r="H2011" s="263" t="s">
        <v>436</v>
      </c>
      <c r="I2011" s="264"/>
      <c r="J2011" s="263" t="s">
        <v>437</v>
      </c>
    </row>
    <row r="2012" spans="1:10" x14ac:dyDescent="0.15">
      <c r="A2012" s="263" t="s">
        <v>5445</v>
      </c>
      <c r="B2012" s="263" t="s">
        <v>5446</v>
      </c>
      <c r="C2012" s="263" t="s">
        <v>96</v>
      </c>
      <c r="D2012" s="263" t="s">
        <v>5447</v>
      </c>
      <c r="E2012" s="263" t="s">
        <v>97</v>
      </c>
      <c r="F2012">
        <v>0</v>
      </c>
      <c r="G2012">
        <v>2</v>
      </c>
      <c r="H2012" s="263" t="s">
        <v>436</v>
      </c>
      <c r="I2012" s="264"/>
      <c r="J2012" s="263" t="s">
        <v>437</v>
      </c>
    </row>
    <row r="2013" spans="1:10" x14ac:dyDescent="0.15">
      <c r="A2013" s="263" t="s">
        <v>5448</v>
      </c>
      <c r="B2013" s="263" t="s">
        <v>5449</v>
      </c>
      <c r="C2013" s="263" t="s">
        <v>96</v>
      </c>
      <c r="D2013" s="263" t="s">
        <v>5450</v>
      </c>
      <c r="E2013" s="263" t="s">
        <v>97</v>
      </c>
      <c r="F2013">
        <v>0</v>
      </c>
      <c r="G2013">
        <v>2</v>
      </c>
      <c r="H2013" s="263" t="s">
        <v>436</v>
      </c>
      <c r="I2013" s="264"/>
      <c r="J2013" s="263" t="s">
        <v>437</v>
      </c>
    </row>
    <row r="2014" spans="1:10" x14ac:dyDescent="0.15">
      <c r="A2014" s="263" t="s">
        <v>5451</v>
      </c>
      <c r="B2014" s="263" t="s">
        <v>5452</v>
      </c>
      <c r="C2014" s="263" t="s">
        <v>96</v>
      </c>
      <c r="D2014" s="263" t="s">
        <v>5453</v>
      </c>
      <c r="E2014" s="263" t="s">
        <v>97</v>
      </c>
      <c r="F2014">
        <v>0</v>
      </c>
      <c r="G2014">
        <v>2</v>
      </c>
      <c r="H2014" s="263" t="s">
        <v>436</v>
      </c>
      <c r="I2014" s="264"/>
      <c r="J2014" s="263" t="s">
        <v>437</v>
      </c>
    </row>
    <row r="2015" spans="1:10" x14ac:dyDescent="0.15">
      <c r="A2015" s="263" t="s">
        <v>5454</v>
      </c>
      <c r="B2015" s="263" t="s">
        <v>5455</v>
      </c>
      <c r="C2015" s="263" t="s">
        <v>96</v>
      </c>
      <c r="D2015" s="263" t="s">
        <v>5456</v>
      </c>
      <c r="E2015" s="263" t="s">
        <v>97</v>
      </c>
      <c r="F2015">
        <v>0</v>
      </c>
      <c r="G2015">
        <v>2</v>
      </c>
      <c r="H2015" s="263" t="s">
        <v>436</v>
      </c>
      <c r="I2015" s="264"/>
      <c r="J2015" s="263" t="s">
        <v>437</v>
      </c>
    </row>
    <row r="2016" spans="1:10" x14ac:dyDescent="0.15">
      <c r="A2016" s="263" t="s">
        <v>5457</v>
      </c>
      <c r="B2016" s="263" t="s">
        <v>5458</v>
      </c>
      <c r="C2016" s="263" t="s">
        <v>96</v>
      </c>
      <c r="D2016" s="263" t="s">
        <v>5459</v>
      </c>
      <c r="E2016" s="263" t="s">
        <v>97</v>
      </c>
      <c r="F2016">
        <v>0</v>
      </c>
      <c r="G2016">
        <v>2</v>
      </c>
      <c r="H2016" s="263" t="s">
        <v>436</v>
      </c>
      <c r="I2016" s="264"/>
      <c r="J2016" s="263" t="s">
        <v>437</v>
      </c>
    </row>
    <row r="2017" spans="1:10" x14ac:dyDescent="0.15">
      <c r="A2017" s="263" t="s">
        <v>5460</v>
      </c>
      <c r="B2017" s="263" t="s">
        <v>5461</v>
      </c>
      <c r="C2017" s="263" t="s">
        <v>96</v>
      </c>
      <c r="D2017" s="263" t="s">
        <v>5462</v>
      </c>
      <c r="E2017" s="263" t="s">
        <v>97</v>
      </c>
      <c r="F2017">
        <v>0</v>
      </c>
      <c r="G2017">
        <v>2</v>
      </c>
      <c r="H2017" s="263" t="s">
        <v>436</v>
      </c>
      <c r="I2017" s="264"/>
      <c r="J2017" s="263" t="s">
        <v>437</v>
      </c>
    </row>
    <row r="2018" spans="1:10" x14ac:dyDescent="0.15">
      <c r="A2018" s="263" t="s">
        <v>5463</v>
      </c>
      <c r="B2018" s="263" t="s">
        <v>5464</v>
      </c>
      <c r="C2018" s="263" t="s">
        <v>96</v>
      </c>
      <c r="D2018" s="263" t="s">
        <v>5465</v>
      </c>
      <c r="E2018" s="263" t="s">
        <v>97</v>
      </c>
      <c r="F2018">
        <v>0</v>
      </c>
      <c r="G2018">
        <v>2</v>
      </c>
      <c r="H2018" s="263" t="s">
        <v>436</v>
      </c>
      <c r="I2018" s="264"/>
      <c r="J2018" s="263" t="s">
        <v>437</v>
      </c>
    </row>
    <row r="2019" spans="1:10" x14ac:dyDescent="0.15">
      <c r="A2019" s="263" t="s">
        <v>5466</v>
      </c>
      <c r="B2019" s="263" t="s">
        <v>5467</v>
      </c>
      <c r="C2019" s="263" t="s">
        <v>96</v>
      </c>
      <c r="D2019" s="263" t="s">
        <v>5468</v>
      </c>
      <c r="E2019" s="263" t="s">
        <v>97</v>
      </c>
      <c r="F2019">
        <v>0</v>
      </c>
      <c r="G2019">
        <v>2</v>
      </c>
      <c r="H2019" s="263" t="s">
        <v>436</v>
      </c>
      <c r="I2019" s="264"/>
      <c r="J2019" s="263" t="s">
        <v>437</v>
      </c>
    </row>
    <row r="2020" spans="1:10" x14ac:dyDescent="0.15">
      <c r="A2020" s="263" t="s">
        <v>5469</v>
      </c>
      <c r="B2020" s="263" t="s">
        <v>5470</v>
      </c>
      <c r="C2020" s="263" t="s">
        <v>96</v>
      </c>
      <c r="D2020" s="263" t="s">
        <v>5471</v>
      </c>
      <c r="E2020" s="263" t="s">
        <v>97</v>
      </c>
      <c r="F2020">
        <v>0</v>
      </c>
      <c r="G2020">
        <v>2</v>
      </c>
      <c r="H2020" s="263" t="s">
        <v>436</v>
      </c>
      <c r="I2020" s="264"/>
      <c r="J2020" s="263" t="s">
        <v>437</v>
      </c>
    </row>
    <row r="2021" spans="1:10" x14ac:dyDescent="0.15">
      <c r="A2021" s="263" t="s">
        <v>5472</v>
      </c>
      <c r="B2021" s="263" t="s">
        <v>5473</v>
      </c>
      <c r="C2021" s="263" t="s">
        <v>96</v>
      </c>
      <c r="D2021" s="263" t="s">
        <v>5474</v>
      </c>
      <c r="E2021" s="263" t="s">
        <v>97</v>
      </c>
      <c r="F2021">
        <v>0</v>
      </c>
      <c r="G2021">
        <v>2</v>
      </c>
      <c r="H2021" s="263" t="s">
        <v>436</v>
      </c>
      <c r="I2021" s="264"/>
      <c r="J2021" s="263" t="s">
        <v>437</v>
      </c>
    </row>
    <row r="2022" spans="1:10" x14ac:dyDescent="0.15">
      <c r="A2022" s="263" t="s">
        <v>5475</v>
      </c>
      <c r="B2022" s="263" t="s">
        <v>5476</v>
      </c>
      <c r="C2022" s="263" t="s">
        <v>96</v>
      </c>
      <c r="D2022" s="263" t="s">
        <v>5477</v>
      </c>
      <c r="E2022" s="263" t="s">
        <v>97</v>
      </c>
      <c r="F2022">
        <v>0</v>
      </c>
      <c r="G2022">
        <v>2</v>
      </c>
      <c r="H2022" s="263" t="s">
        <v>436</v>
      </c>
      <c r="I2022" s="264"/>
      <c r="J2022" s="263" t="s">
        <v>437</v>
      </c>
    </row>
    <row r="2023" spans="1:10" x14ac:dyDescent="0.15">
      <c r="A2023" s="263" t="s">
        <v>5478</v>
      </c>
      <c r="B2023" s="263" t="s">
        <v>5479</v>
      </c>
      <c r="C2023" s="263" t="s">
        <v>96</v>
      </c>
      <c r="D2023" s="263" t="s">
        <v>5480</v>
      </c>
      <c r="E2023" s="263" t="s">
        <v>97</v>
      </c>
      <c r="F2023">
        <v>0</v>
      </c>
      <c r="G2023">
        <v>2</v>
      </c>
      <c r="H2023" s="263" t="s">
        <v>436</v>
      </c>
      <c r="I2023" s="264"/>
      <c r="J2023" s="263" t="s">
        <v>437</v>
      </c>
    </row>
    <row r="2024" spans="1:10" x14ac:dyDescent="0.15">
      <c r="A2024" s="263" t="s">
        <v>5481</v>
      </c>
      <c r="B2024" s="263" t="s">
        <v>5482</v>
      </c>
      <c r="C2024" s="263" t="s">
        <v>96</v>
      </c>
      <c r="D2024" s="263" t="s">
        <v>5483</v>
      </c>
      <c r="E2024" s="263" t="s">
        <v>97</v>
      </c>
      <c r="F2024">
        <v>0</v>
      </c>
      <c r="G2024">
        <v>2</v>
      </c>
      <c r="H2024" s="263" t="s">
        <v>436</v>
      </c>
      <c r="I2024" s="264"/>
      <c r="J2024" s="263" t="s">
        <v>437</v>
      </c>
    </row>
    <row r="2025" spans="1:10" x14ac:dyDescent="0.15">
      <c r="A2025" s="263" t="s">
        <v>5484</v>
      </c>
      <c r="B2025" s="263" t="s">
        <v>5485</v>
      </c>
      <c r="C2025" s="263" t="s">
        <v>96</v>
      </c>
      <c r="D2025" s="263" t="s">
        <v>5486</v>
      </c>
      <c r="E2025" s="263" t="s">
        <v>97</v>
      </c>
      <c r="F2025">
        <v>0</v>
      </c>
      <c r="G2025">
        <v>2</v>
      </c>
      <c r="H2025" s="263" t="s">
        <v>436</v>
      </c>
      <c r="I2025" s="264"/>
      <c r="J2025" s="263" t="s">
        <v>437</v>
      </c>
    </row>
    <row r="2026" spans="1:10" x14ac:dyDescent="0.15">
      <c r="A2026" s="263" t="s">
        <v>5487</v>
      </c>
      <c r="B2026" s="263" t="s">
        <v>5488</v>
      </c>
      <c r="C2026" s="263" t="s">
        <v>96</v>
      </c>
      <c r="D2026" s="263" t="s">
        <v>5489</v>
      </c>
      <c r="E2026" s="263" t="s">
        <v>97</v>
      </c>
      <c r="F2026">
        <v>0</v>
      </c>
      <c r="G2026">
        <v>2</v>
      </c>
      <c r="H2026" s="263" t="s">
        <v>436</v>
      </c>
      <c r="I2026" s="264"/>
      <c r="J2026" s="263" t="s">
        <v>437</v>
      </c>
    </row>
    <row r="2027" spans="1:10" x14ac:dyDescent="0.15">
      <c r="A2027" s="263" t="s">
        <v>5490</v>
      </c>
      <c r="B2027" s="263" t="s">
        <v>5491</v>
      </c>
      <c r="C2027" s="263" t="s">
        <v>96</v>
      </c>
      <c r="D2027" s="263" t="s">
        <v>5492</v>
      </c>
      <c r="E2027" s="263" t="s">
        <v>97</v>
      </c>
      <c r="F2027">
        <v>0</v>
      </c>
      <c r="G2027">
        <v>2</v>
      </c>
      <c r="H2027" s="263" t="s">
        <v>436</v>
      </c>
      <c r="I2027" s="264"/>
      <c r="J2027" s="263" t="s">
        <v>437</v>
      </c>
    </row>
    <row r="2028" spans="1:10" x14ac:dyDescent="0.15">
      <c r="A2028" s="263" t="s">
        <v>5493</v>
      </c>
      <c r="B2028" s="263" t="s">
        <v>5494</v>
      </c>
      <c r="C2028" s="263" t="s">
        <v>96</v>
      </c>
      <c r="D2028" s="263" t="s">
        <v>5495</v>
      </c>
      <c r="E2028" s="263" t="s">
        <v>97</v>
      </c>
      <c r="F2028">
        <v>0</v>
      </c>
      <c r="G2028">
        <v>2</v>
      </c>
      <c r="H2028" s="263" t="s">
        <v>436</v>
      </c>
      <c r="I2028" s="264"/>
      <c r="J2028" s="263" t="s">
        <v>437</v>
      </c>
    </row>
    <row r="2029" spans="1:10" x14ac:dyDescent="0.15">
      <c r="A2029" s="263" t="s">
        <v>5496</v>
      </c>
      <c r="B2029" s="263" t="s">
        <v>5497</v>
      </c>
      <c r="C2029" s="263" t="s">
        <v>96</v>
      </c>
      <c r="D2029" s="263" t="s">
        <v>5498</v>
      </c>
      <c r="E2029" s="263" t="s">
        <v>97</v>
      </c>
      <c r="F2029">
        <v>0</v>
      </c>
      <c r="G2029">
        <v>2</v>
      </c>
      <c r="H2029" s="263" t="s">
        <v>436</v>
      </c>
      <c r="I2029" s="264"/>
      <c r="J2029" s="263" t="s">
        <v>437</v>
      </c>
    </row>
    <row r="2030" spans="1:10" x14ac:dyDescent="0.15">
      <c r="A2030" s="263" t="s">
        <v>5499</v>
      </c>
      <c r="B2030" s="263" t="s">
        <v>5500</v>
      </c>
      <c r="C2030" s="263" t="s">
        <v>96</v>
      </c>
      <c r="D2030" s="263" t="s">
        <v>5501</v>
      </c>
      <c r="E2030" s="263" t="s">
        <v>97</v>
      </c>
      <c r="F2030">
        <v>0</v>
      </c>
      <c r="G2030">
        <v>2</v>
      </c>
      <c r="H2030" s="263" t="s">
        <v>436</v>
      </c>
      <c r="I2030" s="264"/>
      <c r="J2030" s="263" t="s">
        <v>437</v>
      </c>
    </row>
    <row r="2031" spans="1:10" x14ac:dyDescent="0.15">
      <c r="A2031" s="263" t="s">
        <v>5502</v>
      </c>
      <c r="B2031" s="263" t="s">
        <v>5503</v>
      </c>
      <c r="C2031" s="263" t="s">
        <v>96</v>
      </c>
      <c r="D2031" s="263" t="s">
        <v>5504</v>
      </c>
      <c r="E2031" s="263" t="s">
        <v>97</v>
      </c>
      <c r="F2031">
        <v>0</v>
      </c>
      <c r="G2031">
        <v>2</v>
      </c>
      <c r="H2031" s="263" t="s">
        <v>436</v>
      </c>
      <c r="I2031" s="264"/>
      <c r="J2031" s="263" t="s">
        <v>437</v>
      </c>
    </row>
    <row r="2032" spans="1:10" x14ac:dyDescent="0.15">
      <c r="A2032" s="263" t="s">
        <v>5505</v>
      </c>
      <c r="B2032" s="263" t="s">
        <v>5506</v>
      </c>
      <c r="C2032" s="263" t="s">
        <v>96</v>
      </c>
      <c r="D2032" s="263" t="s">
        <v>5507</v>
      </c>
      <c r="E2032" s="263" t="s">
        <v>97</v>
      </c>
      <c r="F2032">
        <v>0</v>
      </c>
      <c r="G2032">
        <v>2</v>
      </c>
      <c r="H2032" s="263" t="s">
        <v>436</v>
      </c>
      <c r="I2032" s="264"/>
      <c r="J2032" s="263" t="s">
        <v>437</v>
      </c>
    </row>
    <row r="2033" spans="1:10" x14ac:dyDescent="0.15">
      <c r="A2033" s="263" t="s">
        <v>5508</v>
      </c>
      <c r="B2033" s="263" t="s">
        <v>5509</v>
      </c>
      <c r="C2033" s="263" t="s">
        <v>96</v>
      </c>
      <c r="D2033" s="263" t="s">
        <v>5510</v>
      </c>
      <c r="E2033" s="263" t="s">
        <v>97</v>
      </c>
      <c r="F2033">
        <v>0</v>
      </c>
      <c r="G2033">
        <v>2</v>
      </c>
      <c r="H2033" s="263" t="s">
        <v>436</v>
      </c>
      <c r="I2033" s="264"/>
      <c r="J2033" s="263" t="s">
        <v>437</v>
      </c>
    </row>
    <row r="2034" spans="1:10" x14ac:dyDescent="0.15">
      <c r="A2034" s="263" t="s">
        <v>5511</v>
      </c>
      <c r="B2034" s="263" t="s">
        <v>5512</v>
      </c>
      <c r="C2034" s="263" t="s">
        <v>96</v>
      </c>
      <c r="D2034" s="263" t="s">
        <v>5513</v>
      </c>
      <c r="E2034" s="263" t="s">
        <v>97</v>
      </c>
      <c r="F2034">
        <v>0</v>
      </c>
      <c r="G2034">
        <v>2</v>
      </c>
      <c r="H2034" s="263" t="s">
        <v>436</v>
      </c>
      <c r="I2034" s="264"/>
      <c r="J2034" s="263" t="s">
        <v>437</v>
      </c>
    </row>
    <row r="2035" spans="1:10" x14ac:dyDescent="0.15">
      <c r="A2035" s="263" t="s">
        <v>5514</v>
      </c>
      <c r="B2035" s="263" t="s">
        <v>5515</v>
      </c>
      <c r="C2035" s="263" t="s">
        <v>96</v>
      </c>
      <c r="D2035" s="263" t="s">
        <v>5516</v>
      </c>
      <c r="E2035" s="263" t="s">
        <v>97</v>
      </c>
      <c r="F2035">
        <v>0</v>
      </c>
      <c r="G2035">
        <v>2</v>
      </c>
      <c r="H2035" s="263" t="s">
        <v>436</v>
      </c>
      <c r="I2035" s="264"/>
      <c r="J2035" s="263" t="s">
        <v>437</v>
      </c>
    </row>
    <row r="2036" spans="1:10" x14ac:dyDescent="0.15">
      <c r="A2036" s="263" t="s">
        <v>5517</v>
      </c>
      <c r="B2036" s="263" t="s">
        <v>5518</v>
      </c>
      <c r="C2036" s="263" t="s">
        <v>96</v>
      </c>
      <c r="D2036" s="263" t="s">
        <v>5519</v>
      </c>
      <c r="E2036" s="263" t="s">
        <v>97</v>
      </c>
      <c r="F2036">
        <v>0</v>
      </c>
      <c r="G2036">
        <v>2</v>
      </c>
      <c r="H2036" s="263" t="s">
        <v>436</v>
      </c>
      <c r="I2036" s="264"/>
      <c r="J2036" s="263" t="s">
        <v>437</v>
      </c>
    </row>
    <row r="2037" spans="1:10" x14ac:dyDescent="0.15">
      <c r="A2037" s="263" t="s">
        <v>5520</v>
      </c>
      <c r="B2037" s="263" t="s">
        <v>5521</v>
      </c>
      <c r="C2037" s="263" t="s">
        <v>96</v>
      </c>
      <c r="D2037" s="263" t="s">
        <v>5522</v>
      </c>
      <c r="E2037" s="263" t="s">
        <v>97</v>
      </c>
      <c r="F2037">
        <v>0</v>
      </c>
      <c r="G2037">
        <v>2</v>
      </c>
      <c r="H2037" s="263" t="s">
        <v>436</v>
      </c>
      <c r="I2037" s="264"/>
      <c r="J2037" s="263" t="s">
        <v>437</v>
      </c>
    </row>
    <row r="2038" spans="1:10" x14ac:dyDescent="0.15">
      <c r="A2038" s="263" t="s">
        <v>5523</v>
      </c>
      <c r="B2038" s="263" t="s">
        <v>5524</v>
      </c>
      <c r="C2038" s="263" t="s">
        <v>96</v>
      </c>
      <c r="D2038" s="263" t="s">
        <v>5525</v>
      </c>
      <c r="E2038" s="263" t="s">
        <v>97</v>
      </c>
      <c r="F2038">
        <v>0</v>
      </c>
      <c r="G2038">
        <v>2</v>
      </c>
      <c r="H2038" s="263" t="s">
        <v>436</v>
      </c>
      <c r="I2038" s="264"/>
      <c r="J2038" s="263" t="s">
        <v>437</v>
      </c>
    </row>
    <row r="2039" spans="1:10" x14ac:dyDescent="0.15">
      <c r="A2039" s="263" t="s">
        <v>5526</v>
      </c>
      <c r="B2039" s="263" t="s">
        <v>5527</v>
      </c>
      <c r="C2039" s="263" t="s">
        <v>96</v>
      </c>
      <c r="D2039" s="263" t="s">
        <v>5528</v>
      </c>
      <c r="E2039" s="263" t="s">
        <v>97</v>
      </c>
      <c r="F2039">
        <v>0</v>
      </c>
      <c r="G2039">
        <v>2</v>
      </c>
      <c r="H2039" s="263" t="s">
        <v>436</v>
      </c>
      <c r="I2039" s="264"/>
      <c r="J2039" s="263" t="s">
        <v>437</v>
      </c>
    </row>
    <row r="2040" spans="1:10" x14ac:dyDescent="0.15">
      <c r="A2040" s="263" t="s">
        <v>5529</v>
      </c>
      <c r="B2040" s="263" t="s">
        <v>5530</v>
      </c>
      <c r="C2040" s="263" t="s">
        <v>96</v>
      </c>
      <c r="D2040" s="263" t="s">
        <v>5531</v>
      </c>
      <c r="E2040" s="263" t="s">
        <v>97</v>
      </c>
      <c r="F2040">
        <v>0</v>
      </c>
      <c r="G2040">
        <v>2</v>
      </c>
      <c r="H2040" s="263" t="s">
        <v>436</v>
      </c>
      <c r="I2040" s="264"/>
      <c r="J2040" s="263" t="s">
        <v>437</v>
      </c>
    </row>
    <row r="2041" spans="1:10" x14ac:dyDescent="0.15">
      <c r="A2041" s="263" t="s">
        <v>5532</v>
      </c>
      <c r="B2041" s="263" t="s">
        <v>5533</v>
      </c>
      <c r="C2041" s="263" t="s">
        <v>96</v>
      </c>
      <c r="D2041" s="263" t="s">
        <v>5534</v>
      </c>
      <c r="E2041" s="263" t="s">
        <v>97</v>
      </c>
      <c r="F2041">
        <v>0</v>
      </c>
      <c r="G2041">
        <v>2</v>
      </c>
      <c r="H2041" s="263" t="s">
        <v>436</v>
      </c>
      <c r="I2041" s="264"/>
      <c r="J2041" s="263" t="s">
        <v>437</v>
      </c>
    </row>
    <row r="2042" spans="1:10" x14ac:dyDescent="0.15">
      <c r="A2042" s="263" t="s">
        <v>5535</v>
      </c>
      <c r="B2042" s="263" t="s">
        <v>5536</v>
      </c>
      <c r="C2042" s="263" t="s">
        <v>96</v>
      </c>
      <c r="D2042" s="263" t="s">
        <v>5537</v>
      </c>
      <c r="E2042" s="263" t="s">
        <v>97</v>
      </c>
      <c r="F2042">
        <v>0</v>
      </c>
      <c r="G2042">
        <v>2</v>
      </c>
      <c r="H2042" s="263" t="s">
        <v>436</v>
      </c>
      <c r="I2042" s="264"/>
      <c r="J2042" s="263" t="s">
        <v>437</v>
      </c>
    </row>
    <row r="2043" spans="1:10" x14ac:dyDescent="0.15">
      <c r="A2043" s="263" t="s">
        <v>5538</v>
      </c>
      <c r="B2043" s="263" t="s">
        <v>5539</v>
      </c>
      <c r="C2043" s="263" t="s">
        <v>96</v>
      </c>
      <c r="D2043" s="263" t="s">
        <v>5540</v>
      </c>
      <c r="E2043" s="263" t="s">
        <v>97</v>
      </c>
      <c r="F2043">
        <v>0</v>
      </c>
      <c r="G2043">
        <v>2</v>
      </c>
      <c r="H2043" s="263" t="s">
        <v>436</v>
      </c>
      <c r="I2043" s="264"/>
      <c r="J2043" s="263" t="s">
        <v>437</v>
      </c>
    </row>
    <row r="2044" spans="1:10" x14ac:dyDescent="0.15">
      <c r="A2044" s="263" t="s">
        <v>5541</v>
      </c>
      <c r="B2044" s="263" t="s">
        <v>5542</v>
      </c>
      <c r="C2044" s="263" t="s">
        <v>96</v>
      </c>
      <c r="D2044" s="263" t="s">
        <v>5543</v>
      </c>
      <c r="E2044" s="263" t="s">
        <v>97</v>
      </c>
      <c r="F2044">
        <v>0</v>
      </c>
      <c r="G2044">
        <v>2</v>
      </c>
      <c r="H2044" s="263" t="s">
        <v>436</v>
      </c>
      <c r="I2044" s="264"/>
      <c r="J2044" s="263" t="s">
        <v>437</v>
      </c>
    </row>
    <row r="2045" spans="1:10" x14ac:dyDescent="0.15">
      <c r="A2045" s="263" t="s">
        <v>5544</v>
      </c>
      <c r="B2045" s="263" t="s">
        <v>5545</v>
      </c>
      <c r="C2045" s="263" t="s">
        <v>96</v>
      </c>
      <c r="D2045" s="263" t="s">
        <v>5546</v>
      </c>
      <c r="E2045" s="263" t="s">
        <v>97</v>
      </c>
      <c r="F2045">
        <v>0</v>
      </c>
      <c r="G2045">
        <v>2</v>
      </c>
      <c r="H2045" s="263" t="s">
        <v>436</v>
      </c>
      <c r="I2045" s="264"/>
      <c r="J2045" s="263" t="s">
        <v>437</v>
      </c>
    </row>
    <row r="2046" spans="1:10" x14ac:dyDescent="0.15">
      <c r="A2046" s="263" t="s">
        <v>5547</v>
      </c>
      <c r="B2046" s="263" t="s">
        <v>5548</v>
      </c>
      <c r="C2046" s="263" t="s">
        <v>96</v>
      </c>
      <c r="D2046" s="263" t="s">
        <v>5549</v>
      </c>
      <c r="E2046" s="263" t="s">
        <v>97</v>
      </c>
      <c r="F2046">
        <v>0</v>
      </c>
      <c r="G2046">
        <v>2</v>
      </c>
      <c r="H2046" s="263" t="s">
        <v>436</v>
      </c>
      <c r="I2046" s="264"/>
      <c r="J2046" s="263" t="s">
        <v>437</v>
      </c>
    </row>
    <row r="2047" spans="1:10" x14ac:dyDescent="0.15">
      <c r="A2047" s="263" t="s">
        <v>5550</v>
      </c>
      <c r="B2047" s="263" t="s">
        <v>5551</v>
      </c>
      <c r="C2047" s="263" t="s">
        <v>96</v>
      </c>
      <c r="D2047" s="263" t="s">
        <v>5552</v>
      </c>
      <c r="E2047" s="263" t="s">
        <v>97</v>
      </c>
      <c r="F2047">
        <v>0</v>
      </c>
      <c r="G2047">
        <v>2</v>
      </c>
      <c r="H2047" s="263" t="s">
        <v>436</v>
      </c>
      <c r="I2047" s="264"/>
      <c r="J2047" s="263" t="s">
        <v>437</v>
      </c>
    </row>
    <row r="2048" spans="1:10" x14ac:dyDescent="0.15">
      <c r="A2048" s="263" t="s">
        <v>5553</v>
      </c>
      <c r="B2048" s="263" t="s">
        <v>5554</v>
      </c>
      <c r="C2048" s="263" t="s">
        <v>96</v>
      </c>
      <c r="D2048" s="263" t="s">
        <v>5555</v>
      </c>
      <c r="E2048" s="263" t="s">
        <v>97</v>
      </c>
      <c r="F2048">
        <v>0</v>
      </c>
      <c r="G2048">
        <v>2</v>
      </c>
      <c r="H2048" s="263" t="s">
        <v>436</v>
      </c>
      <c r="I2048" s="264"/>
      <c r="J2048" s="263" t="s">
        <v>437</v>
      </c>
    </row>
    <row r="2049" spans="1:10" x14ac:dyDescent="0.15">
      <c r="A2049" s="263" t="s">
        <v>5556</v>
      </c>
      <c r="B2049" s="263" t="s">
        <v>5557</v>
      </c>
      <c r="C2049" s="263" t="s">
        <v>96</v>
      </c>
      <c r="D2049" s="263" t="s">
        <v>5558</v>
      </c>
      <c r="E2049" s="263" t="s">
        <v>97</v>
      </c>
      <c r="F2049">
        <v>0</v>
      </c>
      <c r="G2049">
        <v>2</v>
      </c>
      <c r="H2049" s="263" t="s">
        <v>436</v>
      </c>
      <c r="I2049" s="264"/>
      <c r="J2049" s="263" t="s">
        <v>437</v>
      </c>
    </row>
    <row r="2050" spans="1:10" x14ac:dyDescent="0.15">
      <c r="A2050" s="263" t="s">
        <v>5559</v>
      </c>
      <c r="B2050" s="263" t="s">
        <v>5560</v>
      </c>
      <c r="C2050" s="263" t="s">
        <v>96</v>
      </c>
      <c r="D2050" s="263" t="s">
        <v>5561</v>
      </c>
      <c r="E2050" s="263" t="s">
        <v>97</v>
      </c>
      <c r="F2050">
        <v>0</v>
      </c>
      <c r="G2050">
        <v>2</v>
      </c>
      <c r="H2050" s="263" t="s">
        <v>436</v>
      </c>
      <c r="I2050" s="264"/>
      <c r="J2050" s="263" t="s">
        <v>437</v>
      </c>
    </row>
    <row r="2051" spans="1:10" x14ac:dyDescent="0.15">
      <c r="A2051" s="263" t="s">
        <v>5562</v>
      </c>
      <c r="B2051" s="263" t="s">
        <v>5563</v>
      </c>
      <c r="C2051" s="263" t="s">
        <v>96</v>
      </c>
      <c r="D2051" s="263" t="s">
        <v>5564</v>
      </c>
      <c r="E2051" s="263" t="s">
        <v>97</v>
      </c>
      <c r="F2051">
        <v>0</v>
      </c>
      <c r="G2051">
        <v>2</v>
      </c>
      <c r="H2051" s="263" t="s">
        <v>436</v>
      </c>
      <c r="I2051" s="264"/>
      <c r="J2051" s="263" t="s">
        <v>437</v>
      </c>
    </row>
    <row r="2052" spans="1:10" x14ac:dyDescent="0.15">
      <c r="A2052" s="263" t="s">
        <v>5565</v>
      </c>
      <c r="B2052" s="263" t="s">
        <v>5566</v>
      </c>
      <c r="C2052" s="263" t="s">
        <v>96</v>
      </c>
      <c r="D2052" s="263" t="s">
        <v>5567</v>
      </c>
      <c r="E2052" s="263" t="s">
        <v>97</v>
      </c>
      <c r="F2052">
        <v>0</v>
      </c>
      <c r="G2052">
        <v>2</v>
      </c>
      <c r="H2052" s="263" t="s">
        <v>436</v>
      </c>
      <c r="I2052" s="264"/>
      <c r="J2052" s="263" t="s">
        <v>437</v>
      </c>
    </row>
    <row r="2053" spans="1:10" x14ac:dyDescent="0.15">
      <c r="A2053" s="263" t="s">
        <v>5568</v>
      </c>
      <c r="B2053" s="263" t="s">
        <v>5569</v>
      </c>
      <c r="C2053" s="263" t="s">
        <v>96</v>
      </c>
      <c r="D2053" s="263" t="s">
        <v>5570</v>
      </c>
      <c r="E2053" s="263" t="s">
        <v>97</v>
      </c>
      <c r="F2053">
        <v>0</v>
      </c>
      <c r="G2053">
        <v>2</v>
      </c>
      <c r="H2053" s="263" t="s">
        <v>436</v>
      </c>
      <c r="I2053" s="264"/>
      <c r="J2053" s="263" t="s">
        <v>437</v>
      </c>
    </row>
    <row r="2054" spans="1:10" x14ac:dyDescent="0.15">
      <c r="A2054" s="263" t="s">
        <v>5571</v>
      </c>
      <c r="B2054" s="263" t="s">
        <v>5572</v>
      </c>
      <c r="C2054" s="263" t="s">
        <v>96</v>
      </c>
      <c r="D2054" s="263" t="s">
        <v>5573</v>
      </c>
      <c r="E2054" s="263" t="s">
        <v>97</v>
      </c>
      <c r="F2054">
        <v>0</v>
      </c>
      <c r="G2054">
        <v>2</v>
      </c>
      <c r="H2054" s="263" t="s">
        <v>436</v>
      </c>
      <c r="I2054" s="264"/>
      <c r="J2054" s="263" t="s">
        <v>437</v>
      </c>
    </row>
    <row r="2055" spans="1:10" x14ac:dyDescent="0.15">
      <c r="A2055" s="263" t="s">
        <v>5574</v>
      </c>
      <c r="B2055" s="263" t="s">
        <v>5575</v>
      </c>
      <c r="C2055" s="263" t="s">
        <v>96</v>
      </c>
      <c r="D2055" s="263" t="s">
        <v>5576</v>
      </c>
      <c r="E2055" s="263" t="s">
        <v>97</v>
      </c>
      <c r="F2055">
        <v>0</v>
      </c>
      <c r="G2055">
        <v>2</v>
      </c>
      <c r="H2055" s="263" t="s">
        <v>436</v>
      </c>
      <c r="I2055" s="264"/>
      <c r="J2055" s="263" t="s">
        <v>437</v>
      </c>
    </row>
    <row r="2056" spans="1:10" x14ac:dyDescent="0.15">
      <c r="A2056" s="263" t="s">
        <v>5577</v>
      </c>
      <c r="B2056" s="263" t="s">
        <v>5578</v>
      </c>
      <c r="C2056" s="263" t="s">
        <v>96</v>
      </c>
      <c r="D2056" s="263" t="s">
        <v>5579</v>
      </c>
      <c r="E2056" s="263" t="s">
        <v>97</v>
      </c>
      <c r="F2056">
        <v>0</v>
      </c>
      <c r="G2056">
        <v>2</v>
      </c>
      <c r="H2056" s="263" t="s">
        <v>436</v>
      </c>
      <c r="I2056" s="264"/>
      <c r="J2056" s="263" t="s">
        <v>437</v>
      </c>
    </row>
    <row r="2057" spans="1:10" x14ac:dyDescent="0.15">
      <c r="A2057" s="263" t="s">
        <v>5580</v>
      </c>
      <c r="B2057" s="263" t="s">
        <v>5581</v>
      </c>
      <c r="C2057" s="263" t="s">
        <v>96</v>
      </c>
      <c r="D2057" s="263" t="s">
        <v>5582</v>
      </c>
      <c r="E2057" s="263" t="s">
        <v>97</v>
      </c>
      <c r="F2057">
        <v>0</v>
      </c>
      <c r="G2057">
        <v>2</v>
      </c>
      <c r="H2057" s="263" t="s">
        <v>436</v>
      </c>
      <c r="I2057" s="264"/>
      <c r="J2057" s="263" t="s">
        <v>437</v>
      </c>
    </row>
    <row r="2058" spans="1:10" x14ac:dyDescent="0.15">
      <c r="A2058" s="263" t="s">
        <v>5583</v>
      </c>
      <c r="B2058" s="263" t="s">
        <v>5584</v>
      </c>
      <c r="C2058" s="263" t="s">
        <v>96</v>
      </c>
      <c r="D2058" s="263" t="s">
        <v>5585</v>
      </c>
      <c r="E2058" s="263" t="s">
        <v>97</v>
      </c>
      <c r="F2058">
        <v>0</v>
      </c>
      <c r="G2058">
        <v>2</v>
      </c>
      <c r="H2058" s="263" t="s">
        <v>436</v>
      </c>
      <c r="I2058" s="264"/>
      <c r="J2058" s="263" t="s">
        <v>437</v>
      </c>
    </row>
    <row r="2059" spans="1:10" x14ac:dyDescent="0.15">
      <c r="A2059" s="263" t="s">
        <v>5586</v>
      </c>
      <c r="B2059" s="263" t="s">
        <v>5587</v>
      </c>
      <c r="C2059" s="263" t="s">
        <v>96</v>
      </c>
      <c r="D2059" s="263" t="s">
        <v>5588</v>
      </c>
      <c r="E2059" s="263" t="s">
        <v>97</v>
      </c>
      <c r="F2059">
        <v>0</v>
      </c>
      <c r="G2059">
        <v>2</v>
      </c>
      <c r="H2059" s="263" t="s">
        <v>436</v>
      </c>
      <c r="I2059" s="264"/>
      <c r="J2059" s="263" t="s">
        <v>437</v>
      </c>
    </row>
    <row r="2060" spans="1:10" x14ac:dyDescent="0.15">
      <c r="A2060" s="263" t="s">
        <v>5589</v>
      </c>
      <c r="B2060" s="263" t="s">
        <v>5590</v>
      </c>
      <c r="C2060" s="263" t="s">
        <v>96</v>
      </c>
      <c r="D2060" s="263" t="s">
        <v>5591</v>
      </c>
      <c r="E2060" s="263" t="s">
        <v>97</v>
      </c>
      <c r="F2060">
        <v>0</v>
      </c>
      <c r="G2060">
        <v>2</v>
      </c>
      <c r="H2060" s="263" t="s">
        <v>436</v>
      </c>
      <c r="I2060" s="264"/>
      <c r="J2060" s="263" t="s">
        <v>437</v>
      </c>
    </row>
    <row r="2061" spans="1:10" x14ac:dyDescent="0.15">
      <c r="A2061" s="263" t="s">
        <v>5592</v>
      </c>
      <c r="B2061" s="263" t="s">
        <v>5593</v>
      </c>
      <c r="C2061" s="263" t="s">
        <v>96</v>
      </c>
      <c r="D2061" s="263" t="s">
        <v>5594</v>
      </c>
      <c r="E2061" s="263" t="s">
        <v>97</v>
      </c>
      <c r="F2061">
        <v>0</v>
      </c>
      <c r="G2061">
        <v>2</v>
      </c>
      <c r="H2061" s="263" t="s">
        <v>436</v>
      </c>
      <c r="I2061" s="264"/>
      <c r="J2061" s="263" t="s">
        <v>437</v>
      </c>
    </row>
    <row r="2062" spans="1:10" x14ac:dyDescent="0.15">
      <c r="A2062" s="263" t="s">
        <v>5595</v>
      </c>
      <c r="B2062" s="263" t="s">
        <v>5596</v>
      </c>
      <c r="C2062" s="263" t="s">
        <v>96</v>
      </c>
      <c r="D2062" s="263" t="s">
        <v>5597</v>
      </c>
      <c r="E2062" s="263" t="s">
        <v>97</v>
      </c>
      <c r="F2062">
        <v>0</v>
      </c>
      <c r="G2062">
        <v>2</v>
      </c>
      <c r="H2062" s="263" t="s">
        <v>436</v>
      </c>
      <c r="I2062" s="264"/>
      <c r="J2062" s="263" t="s">
        <v>437</v>
      </c>
    </row>
    <row r="2063" spans="1:10" x14ac:dyDescent="0.15">
      <c r="A2063" s="263" t="s">
        <v>5598</v>
      </c>
      <c r="B2063" s="263" t="s">
        <v>5599</v>
      </c>
      <c r="C2063" s="263" t="s">
        <v>96</v>
      </c>
      <c r="D2063" s="263" t="s">
        <v>5600</v>
      </c>
      <c r="E2063" s="263" t="s">
        <v>97</v>
      </c>
      <c r="F2063">
        <v>0</v>
      </c>
      <c r="G2063">
        <v>2</v>
      </c>
      <c r="H2063" s="263" t="s">
        <v>436</v>
      </c>
      <c r="I2063" s="264"/>
      <c r="J2063" s="263" t="s">
        <v>437</v>
      </c>
    </row>
    <row r="2064" spans="1:10" x14ac:dyDescent="0.15">
      <c r="A2064" s="263" t="s">
        <v>5601</v>
      </c>
      <c r="B2064" s="263" t="s">
        <v>5602</v>
      </c>
      <c r="C2064" s="263" t="s">
        <v>96</v>
      </c>
      <c r="D2064" s="263" t="s">
        <v>5603</v>
      </c>
      <c r="E2064" s="263" t="s">
        <v>97</v>
      </c>
      <c r="F2064">
        <v>0</v>
      </c>
      <c r="G2064">
        <v>2</v>
      </c>
      <c r="H2064" s="263" t="s">
        <v>436</v>
      </c>
      <c r="I2064" s="264"/>
      <c r="J2064" s="263" t="s">
        <v>437</v>
      </c>
    </row>
    <row r="2065" spans="1:10" x14ac:dyDescent="0.15">
      <c r="A2065" s="263" t="s">
        <v>5604</v>
      </c>
      <c r="B2065" s="263" t="s">
        <v>5605</v>
      </c>
      <c r="C2065" s="263" t="s">
        <v>96</v>
      </c>
      <c r="D2065" s="263" t="s">
        <v>5606</v>
      </c>
      <c r="E2065" s="263" t="s">
        <v>97</v>
      </c>
      <c r="F2065">
        <v>0</v>
      </c>
      <c r="G2065">
        <v>2</v>
      </c>
      <c r="H2065" s="263" t="s">
        <v>436</v>
      </c>
      <c r="I2065" s="264"/>
      <c r="J2065" s="263" t="s">
        <v>437</v>
      </c>
    </row>
    <row r="2066" spans="1:10" x14ac:dyDescent="0.15">
      <c r="A2066" s="263" t="s">
        <v>5607</v>
      </c>
      <c r="B2066" s="263" t="s">
        <v>5608</v>
      </c>
      <c r="C2066" s="263" t="s">
        <v>96</v>
      </c>
      <c r="D2066" s="263" t="s">
        <v>5609</v>
      </c>
      <c r="E2066" s="263" t="s">
        <v>97</v>
      </c>
      <c r="F2066">
        <v>0</v>
      </c>
      <c r="G2066">
        <v>2</v>
      </c>
      <c r="H2066" s="263" t="s">
        <v>436</v>
      </c>
      <c r="I2066" s="264"/>
      <c r="J2066" s="263" t="s">
        <v>437</v>
      </c>
    </row>
    <row r="2067" spans="1:10" x14ac:dyDescent="0.15">
      <c r="A2067" s="263" t="s">
        <v>5610</v>
      </c>
      <c r="B2067" s="263" t="s">
        <v>5611</v>
      </c>
      <c r="C2067" s="263" t="s">
        <v>96</v>
      </c>
      <c r="D2067" s="263" t="s">
        <v>5612</v>
      </c>
      <c r="E2067" s="263" t="s">
        <v>97</v>
      </c>
      <c r="F2067">
        <v>0</v>
      </c>
      <c r="G2067">
        <v>2</v>
      </c>
      <c r="H2067" s="263" t="s">
        <v>436</v>
      </c>
      <c r="I2067" s="264"/>
      <c r="J2067" s="263" t="s">
        <v>437</v>
      </c>
    </row>
    <row r="2068" spans="1:10" x14ac:dyDescent="0.15">
      <c r="A2068" s="263" t="s">
        <v>5613</v>
      </c>
      <c r="B2068" s="263" t="s">
        <v>5614</v>
      </c>
      <c r="C2068" s="263" t="s">
        <v>96</v>
      </c>
      <c r="D2068" s="263" t="s">
        <v>5615</v>
      </c>
      <c r="E2068" s="263" t="s">
        <v>97</v>
      </c>
      <c r="F2068">
        <v>0</v>
      </c>
      <c r="G2068">
        <v>2</v>
      </c>
      <c r="H2068" s="263" t="s">
        <v>436</v>
      </c>
      <c r="I2068" s="264"/>
      <c r="J2068" s="263" t="s">
        <v>437</v>
      </c>
    </row>
    <row r="2069" spans="1:10" x14ac:dyDescent="0.15">
      <c r="A2069" s="263" t="s">
        <v>5616</v>
      </c>
      <c r="B2069" s="263" t="s">
        <v>5617</v>
      </c>
      <c r="C2069" s="263" t="s">
        <v>96</v>
      </c>
      <c r="D2069" s="263" t="s">
        <v>5618</v>
      </c>
      <c r="E2069" s="263" t="s">
        <v>97</v>
      </c>
      <c r="F2069">
        <v>0</v>
      </c>
      <c r="G2069">
        <v>2</v>
      </c>
      <c r="H2069" s="263" t="s">
        <v>436</v>
      </c>
      <c r="I2069" s="264"/>
      <c r="J2069" s="263" t="s">
        <v>437</v>
      </c>
    </row>
    <row r="2070" spans="1:10" x14ac:dyDescent="0.15">
      <c r="A2070" s="263" t="s">
        <v>5619</v>
      </c>
      <c r="B2070" s="263" t="s">
        <v>5620</v>
      </c>
      <c r="C2070" s="263" t="s">
        <v>96</v>
      </c>
      <c r="D2070" s="263" t="s">
        <v>5621</v>
      </c>
      <c r="E2070" s="263" t="s">
        <v>97</v>
      </c>
      <c r="F2070">
        <v>0</v>
      </c>
      <c r="G2070">
        <v>2</v>
      </c>
      <c r="H2070" s="263" t="s">
        <v>436</v>
      </c>
      <c r="I2070" s="264"/>
      <c r="J2070" s="263" t="s">
        <v>437</v>
      </c>
    </row>
    <row r="2071" spans="1:10" x14ac:dyDescent="0.15">
      <c r="A2071" s="263" t="s">
        <v>5622</v>
      </c>
      <c r="B2071" s="263" t="s">
        <v>5623</v>
      </c>
      <c r="C2071" s="263" t="s">
        <v>96</v>
      </c>
      <c r="D2071" s="263" t="s">
        <v>5624</v>
      </c>
      <c r="E2071" s="263" t="s">
        <v>97</v>
      </c>
      <c r="F2071">
        <v>0</v>
      </c>
      <c r="G2071">
        <v>2</v>
      </c>
      <c r="H2071" s="263" t="s">
        <v>436</v>
      </c>
      <c r="I2071" s="264"/>
      <c r="J2071" s="263" t="s">
        <v>437</v>
      </c>
    </row>
    <row r="2072" spans="1:10" x14ac:dyDescent="0.15">
      <c r="A2072" s="263" t="s">
        <v>5625</v>
      </c>
      <c r="B2072" s="263" t="s">
        <v>5626</v>
      </c>
      <c r="C2072" s="263" t="s">
        <v>96</v>
      </c>
      <c r="D2072" s="263" t="s">
        <v>5627</v>
      </c>
      <c r="E2072" s="263" t="s">
        <v>97</v>
      </c>
      <c r="F2072">
        <v>0</v>
      </c>
      <c r="G2072">
        <v>2</v>
      </c>
      <c r="H2072" s="263" t="s">
        <v>436</v>
      </c>
      <c r="I2072" s="264"/>
      <c r="J2072" s="263" t="s">
        <v>437</v>
      </c>
    </row>
    <row r="2073" spans="1:10" x14ac:dyDescent="0.15">
      <c r="A2073" s="263" t="s">
        <v>5628</v>
      </c>
      <c r="B2073" s="263" t="s">
        <v>5629</v>
      </c>
      <c r="C2073" s="263" t="s">
        <v>96</v>
      </c>
      <c r="D2073" s="263" t="s">
        <v>5630</v>
      </c>
      <c r="E2073" s="263" t="s">
        <v>97</v>
      </c>
      <c r="F2073">
        <v>0</v>
      </c>
      <c r="G2073">
        <v>2</v>
      </c>
      <c r="H2073" s="263" t="s">
        <v>436</v>
      </c>
      <c r="I2073" s="264"/>
      <c r="J2073" s="263" t="s">
        <v>437</v>
      </c>
    </row>
    <row r="2074" spans="1:10" x14ac:dyDescent="0.15">
      <c r="A2074" s="263" t="s">
        <v>5631</v>
      </c>
      <c r="B2074" s="263" t="s">
        <v>5632</v>
      </c>
      <c r="C2074" s="263" t="s">
        <v>96</v>
      </c>
      <c r="D2074" s="263" t="s">
        <v>5633</v>
      </c>
      <c r="E2074" s="263" t="s">
        <v>97</v>
      </c>
      <c r="F2074">
        <v>0</v>
      </c>
      <c r="G2074">
        <v>2</v>
      </c>
      <c r="H2074" s="263" t="s">
        <v>436</v>
      </c>
      <c r="I2074" s="264"/>
      <c r="J2074" s="263" t="s">
        <v>437</v>
      </c>
    </row>
    <row r="2075" spans="1:10" x14ac:dyDescent="0.15">
      <c r="A2075" s="263" t="s">
        <v>5634</v>
      </c>
      <c r="B2075" s="263" t="s">
        <v>5635</v>
      </c>
      <c r="C2075" s="263" t="s">
        <v>96</v>
      </c>
      <c r="D2075" s="263" t="s">
        <v>5636</v>
      </c>
      <c r="E2075" s="263" t="s">
        <v>97</v>
      </c>
      <c r="F2075">
        <v>0</v>
      </c>
      <c r="G2075">
        <v>2</v>
      </c>
      <c r="H2075" s="263" t="s">
        <v>436</v>
      </c>
      <c r="I2075" s="264"/>
      <c r="J2075" s="263" t="s">
        <v>437</v>
      </c>
    </row>
    <row r="2076" spans="1:10" x14ac:dyDescent="0.15">
      <c r="A2076" s="263" t="s">
        <v>5637</v>
      </c>
      <c r="B2076" s="263" t="s">
        <v>5638</v>
      </c>
      <c r="C2076" s="263" t="s">
        <v>96</v>
      </c>
      <c r="D2076" s="263" t="s">
        <v>5639</v>
      </c>
      <c r="E2076" s="263" t="s">
        <v>97</v>
      </c>
      <c r="F2076">
        <v>0</v>
      </c>
      <c r="G2076">
        <v>2</v>
      </c>
      <c r="H2076" s="263" t="s">
        <v>436</v>
      </c>
      <c r="I2076" s="264"/>
      <c r="J2076" s="263" t="s">
        <v>437</v>
      </c>
    </row>
    <row r="2077" spans="1:10" x14ac:dyDescent="0.15">
      <c r="A2077" s="263" t="s">
        <v>5640</v>
      </c>
      <c r="B2077" s="263" t="s">
        <v>5641</v>
      </c>
      <c r="C2077" s="263" t="s">
        <v>96</v>
      </c>
      <c r="D2077" s="263" t="s">
        <v>5642</v>
      </c>
      <c r="E2077" s="263" t="s">
        <v>97</v>
      </c>
      <c r="F2077">
        <v>0</v>
      </c>
      <c r="G2077">
        <v>2</v>
      </c>
      <c r="H2077" s="263" t="s">
        <v>436</v>
      </c>
      <c r="I2077" s="264"/>
      <c r="J2077" s="263" t="s">
        <v>437</v>
      </c>
    </row>
    <row r="2078" spans="1:10" x14ac:dyDescent="0.15">
      <c r="A2078" s="263" t="s">
        <v>5643</v>
      </c>
      <c r="B2078" s="263" t="s">
        <v>5644</v>
      </c>
      <c r="C2078" s="263" t="s">
        <v>96</v>
      </c>
      <c r="D2078" s="263" t="s">
        <v>5645</v>
      </c>
      <c r="E2078" s="263" t="s">
        <v>97</v>
      </c>
      <c r="F2078">
        <v>0</v>
      </c>
      <c r="G2078">
        <v>2</v>
      </c>
      <c r="H2078" s="263" t="s">
        <v>436</v>
      </c>
      <c r="I2078" s="264"/>
      <c r="J2078" s="263" t="s">
        <v>437</v>
      </c>
    </row>
    <row r="2079" spans="1:10" x14ac:dyDescent="0.15">
      <c r="A2079" s="263" t="s">
        <v>5646</v>
      </c>
      <c r="B2079" s="263" t="s">
        <v>5647</v>
      </c>
      <c r="C2079" s="263" t="s">
        <v>96</v>
      </c>
      <c r="D2079" s="263" t="s">
        <v>5648</v>
      </c>
      <c r="E2079" s="263" t="s">
        <v>97</v>
      </c>
      <c r="F2079">
        <v>0</v>
      </c>
      <c r="G2079">
        <v>2</v>
      </c>
      <c r="H2079" s="263" t="s">
        <v>436</v>
      </c>
      <c r="I2079" s="264"/>
      <c r="J2079" s="263" t="s">
        <v>437</v>
      </c>
    </row>
    <row r="2080" spans="1:10" x14ac:dyDescent="0.15">
      <c r="A2080" s="263" t="s">
        <v>5649</v>
      </c>
      <c r="B2080" s="263" t="s">
        <v>5650</v>
      </c>
      <c r="C2080" s="263" t="s">
        <v>96</v>
      </c>
      <c r="D2080" s="263" t="s">
        <v>5651</v>
      </c>
      <c r="E2080" s="263" t="s">
        <v>97</v>
      </c>
      <c r="F2080">
        <v>0</v>
      </c>
      <c r="G2080">
        <v>2</v>
      </c>
      <c r="H2080" s="263" t="s">
        <v>436</v>
      </c>
      <c r="I2080" s="264"/>
      <c r="J2080" s="263" t="s">
        <v>437</v>
      </c>
    </row>
    <row r="2081" spans="1:10" x14ac:dyDescent="0.15">
      <c r="A2081" s="263" t="s">
        <v>5652</v>
      </c>
      <c r="B2081" s="263" t="s">
        <v>5653</v>
      </c>
      <c r="C2081" s="263" t="s">
        <v>96</v>
      </c>
      <c r="D2081" s="263" t="s">
        <v>5654</v>
      </c>
      <c r="E2081" s="263" t="s">
        <v>97</v>
      </c>
      <c r="F2081">
        <v>0</v>
      </c>
      <c r="G2081">
        <v>2</v>
      </c>
      <c r="H2081" s="263" t="s">
        <v>436</v>
      </c>
      <c r="I2081" s="264"/>
      <c r="J2081" s="263" t="s">
        <v>437</v>
      </c>
    </row>
    <row r="2082" spans="1:10" x14ac:dyDescent="0.15">
      <c r="A2082" s="263" t="s">
        <v>5655</v>
      </c>
      <c r="B2082" s="263" t="s">
        <v>5656</v>
      </c>
      <c r="C2082" s="263" t="s">
        <v>96</v>
      </c>
      <c r="D2082" s="263" t="s">
        <v>5657</v>
      </c>
      <c r="E2082" s="263" t="s">
        <v>97</v>
      </c>
      <c r="F2082">
        <v>0</v>
      </c>
      <c r="G2082">
        <v>2</v>
      </c>
      <c r="H2082" s="263" t="s">
        <v>436</v>
      </c>
      <c r="I2082" s="264"/>
      <c r="J2082" s="263" t="s">
        <v>437</v>
      </c>
    </row>
    <row r="2083" spans="1:10" x14ac:dyDescent="0.15">
      <c r="A2083" s="263" t="s">
        <v>5658</v>
      </c>
      <c r="B2083" s="263" t="s">
        <v>5659</v>
      </c>
      <c r="C2083" s="263" t="s">
        <v>96</v>
      </c>
      <c r="D2083" s="263" t="s">
        <v>5660</v>
      </c>
      <c r="E2083" s="263" t="s">
        <v>97</v>
      </c>
      <c r="F2083">
        <v>0</v>
      </c>
      <c r="G2083">
        <v>2</v>
      </c>
      <c r="H2083" s="263" t="s">
        <v>436</v>
      </c>
      <c r="I2083" s="264"/>
      <c r="J2083" s="263" t="s">
        <v>437</v>
      </c>
    </row>
    <row r="2084" spans="1:10" x14ac:dyDescent="0.15">
      <c r="A2084" s="263" t="s">
        <v>5661</v>
      </c>
      <c r="B2084" s="263" t="s">
        <v>5662</v>
      </c>
      <c r="C2084" s="263" t="s">
        <v>96</v>
      </c>
      <c r="D2084" s="263" t="s">
        <v>5663</v>
      </c>
      <c r="E2084" s="263" t="s">
        <v>97</v>
      </c>
      <c r="F2084">
        <v>0</v>
      </c>
      <c r="G2084">
        <v>2</v>
      </c>
      <c r="H2084" s="263" t="s">
        <v>436</v>
      </c>
      <c r="I2084" s="264"/>
      <c r="J2084" s="263" t="s">
        <v>437</v>
      </c>
    </row>
    <row r="2085" spans="1:10" x14ac:dyDescent="0.15">
      <c r="A2085" s="263" t="s">
        <v>5664</v>
      </c>
      <c r="B2085" s="263" t="s">
        <v>5665</v>
      </c>
      <c r="C2085" s="263" t="s">
        <v>96</v>
      </c>
      <c r="D2085" s="263" t="s">
        <v>5666</v>
      </c>
      <c r="E2085" s="263" t="s">
        <v>97</v>
      </c>
      <c r="F2085">
        <v>0</v>
      </c>
      <c r="G2085">
        <v>2</v>
      </c>
      <c r="H2085" s="263" t="s">
        <v>436</v>
      </c>
      <c r="I2085" s="264"/>
      <c r="J2085" s="263" t="s">
        <v>437</v>
      </c>
    </row>
    <row r="2086" spans="1:10" x14ac:dyDescent="0.15">
      <c r="A2086" s="263" t="s">
        <v>5667</v>
      </c>
      <c r="B2086" s="263" t="s">
        <v>5659</v>
      </c>
      <c r="C2086" s="263" t="s">
        <v>98</v>
      </c>
      <c r="D2086" s="263" t="s">
        <v>5660</v>
      </c>
      <c r="E2086" s="263" t="s">
        <v>110</v>
      </c>
      <c r="F2086">
        <v>0</v>
      </c>
      <c r="G2086">
        <v>2</v>
      </c>
      <c r="H2086" s="263" t="s">
        <v>436</v>
      </c>
      <c r="I2086" s="264"/>
      <c r="J2086" s="263" t="s">
        <v>437</v>
      </c>
    </row>
    <row r="2087" spans="1:10" x14ac:dyDescent="0.15">
      <c r="A2087" s="263" t="s">
        <v>5668</v>
      </c>
      <c r="B2087" s="263" t="s">
        <v>5662</v>
      </c>
      <c r="C2087" s="263" t="s">
        <v>98</v>
      </c>
      <c r="D2087" s="263" t="s">
        <v>5663</v>
      </c>
      <c r="E2087" s="263" t="s">
        <v>110</v>
      </c>
      <c r="F2087">
        <v>0</v>
      </c>
      <c r="G2087">
        <v>2</v>
      </c>
      <c r="H2087" s="263" t="s">
        <v>436</v>
      </c>
      <c r="I2087" s="264"/>
      <c r="J2087" s="263" t="s">
        <v>437</v>
      </c>
    </row>
    <row r="2088" spans="1:10" x14ac:dyDescent="0.15">
      <c r="A2088" s="263" t="s">
        <v>5669</v>
      </c>
      <c r="B2088" s="263" t="s">
        <v>5665</v>
      </c>
      <c r="C2088" s="263" t="s">
        <v>98</v>
      </c>
      <c r="D2088" s="263" t="s">
        <v>5666</v>
      </c>
      <c r="E2088" s="263" t="s">
        <v>110</v>
      </c>
      <c r="F2088">
        <v>0</v>
      </c>
      <c r="G2088">
        <v>2</v>
      </c>
      <c r="H2088" s="263" t="s">
        <v>436</v>
      </c>
      <c r="I2088" s="264"/>
      <c r="J2088" s="263" t="s">
        <v>437</v>
      </c>
    </row>
    <row r="2089" spans="1:10" x14ac:dyDescent="0.15">
      <c r="A2089" s="263" t="s">
        <v>5670</v>
      </c>
      <c r="B2089" s="263" t="s">
        <v>5671</v>
      </c>
      <c r="C2089" s="263" t="s">
        <v>96</v>
      </c>
      <c r="D2089" s="263" t="s">
        <v>5672</v>
      </c>
      <c r="E2089" s="263" t="s">
        <v>97</v>
      </c>
      <c r="F2089">
        <v>0</v>
      </c>
      <c r="G2089">
        <v>2</v>
      </c>
      <c r="H2089" s="263" t="s">
        <v>436</v>
      </c>
      <c r="I2089" s="264"/>
      <c r="J2089" s="263" t="s">
        <v>437</v>
      </c>
    </row>
    <row r="2090" spans="1:10" x14ac:dyDescent="0.15">
      <c r="A2090" s="263" t="s">
        <v>5673</v>
      </c>
      <c r="B2090" s="263" t="s">
        <v>5674</v>
      </c>
      <c r="C2090" s="263" t="s">
        <v>96</v>
      </c>
      <c r="D2090" s="263" t="s">
        <v>5675</v>
      </c>
      <c r="E2090" s="263" t="s">
        <v>97</v>
      </c>
      <c r="F2090">
        <v>0</v>
      </c>
      <c r="G2090">
        <v>2</v>
      </c>
      <c r="H2090" s="263" t="s">
        <v>436</v>
      </c>
      <c r="I2090" s="264"/>
      <c r="J2090" s="263" t="s">
        <v>437</v>
      </c>
    </row>
    <row r="2091" spans="1:10" x14ac:dyDescent="0.15">
      <c r="A2091" s="263" t="s">
        <v>5676</v>
      </c>
      <c r="B2091" s="263" t="s">
        <v>5677</v>
      </c>
      <c r="C2091" s="263" t="s">
        <v>96</v>
      </c>
      <c r="D2091" s="263" t="s">
        <v>5678</v>
      </c>
      <c r="E2091" s="263" t="s">
        <v>97</v>
      </c>
      <c r="F2091">
        <v>0</v>
      </c>
      <c r="G2091">
        <v>2</v>
      </c>
      <c r="H2091" s="263" t="s">
        <v>436</v>
      </c>
      <c r="I2091" s="264"/>
      <c r="J2091" s="263" t="s">
        <v>437</v>
      </c>
    </row>
    <row r="2092" spans="1:10" x14ac:dyDescent="0.15">
      <c r="A2092" s="263" t="s">
        <v>5679</v>
      </c>
      <c r="B2092" s="263" t="s">
        <v>5677</v>
      </c>
      <c r="C2092" s="263" t="s">
        <v>98</v>
      </c>
      <c r="D2092" s="263" t="s">
        <v>5678</v>
      </c>
      <c r="E2092" s="263" t="s">
        <v>110</v>
      </c>
      <c r="F2092">
        <v>0</v>
      </c>
      <c r="G2092">
        <v>2</v>
      </c>
      <c r="H2092" s="263" t="s">
        <v>436</v>
      </c>
      <c r="I2092" s="264"/>
      <c r="J2092" s="263" t="s">
        <v>437</v>
      </c>
    </row>
    <row r="2093" spans="1:10" x14ac:dyDescent="0.15">
      <c r="A2093" s="263" t="s">
        <v>5680</v>
      </c>
      <c r="B2093" s="263" t="s">
        <v>5681</v>
      </c>
      <c r="C2093" s="263" t="s">
        <v>81</v>
      </c>
      <c r="D2093" s="263" t="s">
        <v>5682</v>
      </c>
      <c r="E2093" s="263" t="s">
        <v>88</v>
      </c>
      <c r="F2093">
        <v>0</v>
      </c>
      <c r="G2093">
        <v>2</v>
      </c>
      <c r="H2093" s="263" t="s">
        <v>436</v>
      </c>
      <c r="I2093" s="264"/>
      <c r="J2093" s="263" t="s">
        <v>437</v>
      </c>
    </row>
    <row r="2094" spans="1:10" x14ac:dyDescent="0.15">
      <c r="A2094" s="263" t="s">
        <v>5683</v>
      </c>
      <c r="B2094" s="263" t="s">
        <v>5684</v>
      </c>
      <c r="C2094" s="263" t="s">
        <v>81</v>
      </c>
      <c r="D2094" s="263" t="s">
        <v>5685</v>
      </c>
      <c r="E2094" s="263" t="s">
        <v>88</v>
      </c>
      <c r="F2094">
        <v>0</v>
      </c>
      <c r="G2094">
        <v>2</v>
      </c>
      <c r="H2094" s="263" t="s">
        <v>436</v>
      </c>
      <c r="I2094" s="264"/>
      <c r="J2094" s="263" t="s">
        <v>437</v>
      </c>
    </row>
    <row r="2095" spans="1:10" x14ac:dyDescent="0.15">
      <c r="A2095" s="263" t="s">
        <v>5686</v>
      </c>
      <c r="B2095" s="263" t="s">
        <v>5687</v>
      </c>
      <c r="C2095" s="263" t="s">
        <v>81</v>
      </c>
      <c r="D2095" s="263" t="s">
        <v>5688</v>
      </c>
      <c r="E2095" s="263" t="s">
        <v>88</v>
      </c>
      <c r="F2095">
        <v>0</v>
      </c>
      <c r="G2095">
        <v>2</v>
      </c>
      <c r="H2095" s="263" t="s">
        <v>436</v>
      </c>
      <c r="I2095" s="264"/>
      <c r="J2095" s="263" t="s">
        <v>437</v>
      </c>
    </row>
    <row r="2096" spans="1:10" x14ac:dyDescent="0.15">
      <c r="A2096" s="263" t="s">
        <v>5689</v>
      </c>
      <c r="B2096" s="263" t="s">
        <v>5690</v>
      </c>
      <c r="C2096" s="263" t="s">
        <v>81</v>
      </c>
      <c r="D2096" s="263" t="s">
        <v>5691</v>
      </c>
      <c r="E2096" s="263" t="s">
        <v>88</v>
      </c>
      <c r="F2096">
        <v>0</v>
      </c>
      <c r="G2096">
        <v>2</v>
      </c>
      <c r="H2096" s="263" t="s">
        <v>436</v>
      </c>
      <c r="I2096" s="264"/>
      <c r="J2096" s="263" t="s">
        <v>437</v>
      </c>
    </row>
    <row r="2097" spans="1:10" x14ac:dyDescent="0.15">
      <c r="A2097" s="263" t="s">
        <v>5692</v>
      </c>
      <c r="B2097" s="263" t="s">
        <v>5693</v>
      </c>
      <c r="C2097" s="263" t="s">
        <v>81</v>
      </c>
      <c r="D2097" s="263" t="s">
        <v>5694</v>
      </c>
      <c r="E2097" s="263" t="s">
        <v>88</v>
      </c>
      <c r="F2097">
        <v>0</v>
      </c>
      <c r="G2097">
        <v>2</v>
      </c>
      <c r="H2097" s="263" t="s">
        <v>436</v>
      </c>
      <c r="I2097" s="264"/>
      <c r="J2097" s="263" t="s">
        <v>437</v>
      </c>
    </row>
    <row r="2098" spans="1:10" x14ac:dyDescent="0.15">
      <c r="A2098" s="263" t="s">
        <v>5695</v>
      </c>
      <c r="B2098" s="263" t="s">
        <v>9680</v>
      </c>
      <c r="C2098" s="263" t="s">
        <v>99</v>
      </c>
      <c r="D2098" s="263" t="s">
        <v>9681</v>
      </c>
      <c r="E2098" s="263" t="s">
        <v>84</v>
      </c>
      <c r="F2098">
        <v>0</v>
      </c>
      <c r="G2098">
        <v>2</v>
      </c>
      <c r="H2098" s="263" t="s">
        <v>436</v>
      </c>
      <c r="I2098" s="264"/>
      <c r="J2098" s="263" t="s">
        <v>437</v>
      </c>
    </row>
    <row r="2099" spans="1:10" x14ac:dyDescent="0.15">
      <c r="A2099" s="263" t="s">
        <v>5696</v>
      </c>
      <c r="B2099" s="263" t="s">
        <v>9680</v>
      </c>
      <c r="C2099" s="263" t="s">
        <v>105</v>
      </c>
      <c r="D2099" s="263" t="s">
        <v>9681</v>
      </c>
      <c r="E2099" s="263" t="s">
        <v>112</v>
      </c>
      <c r="F2099">
        <v>0</v>
      </c>
      <c r="G2099">
        <v>2</v>
      </c>
      <c r="H2099" s="263" t="s">
        <v>436</v>
      </c>
      <c r="I2099" s="264"/>
      <c r="J2099" s="263" t="s">
        <v>437</v>
      </c>
    </row>
    <row r="2100" spans="1:10" x14ac:dyDescent="0.15">
      <c r="A2100" s="263" t="s">
        <v>9682</v>
      </c>
      <c r="B2100" s="263" t="s">
        <v>6186</v>
      </c>
      <c r="C2100" s="263" t="s">
        <v>98</v>
      </c>
      <c r="D2100" s="263" t="s">
        <v>6187</v>
      </c>
      <c r="E2100" s="263" t="s">
        <v>110</v>
      </c>
      <c r="F2100">
        <v>0</v>
      </c>
      <c r="G2100">
        <v>2</v>
      </c>
      <c r="H2100" s="263" t="s">
        <v>436</v>
      </c>
      <c r="I2100" s="264"/>
      <c r="J2100" s="263" t="s">
        <v>437</v>
      </c>
    </row>
    <row r="2101" spans="1:10" x14ac:dyDescent="0.15">
      <c r="A2101" s="263" t="s">
        <v>9683</v>
      </c>
      <c r="B2101" s="263" t="s">
        <v>6188</v>
      </c>
      <c r="C2101" s="263" t="s">
        <v>98</v>
      </c>
      <c r="D2101" s="263" t="s">
        <v>6189</v>
      </c>
      <c r="E2101" s="263" t="s">
        <v>110</v>
      </c>
      <c r="F2101">
        <v>0</v>
      </c>
      <c r="G2101">
        <v>2</v>
      </c>
      <c r="H2101" s="263" t="s">
        <v>436</v>
      </c>
      <c r="I2101" s="264"/>
      <c r="J2101" s="263" t="s">
        <v>437</v>
      </c>
    </row>
    <row r="2102" spans="1:10" x14ac:dyDescent="0.15">
      <c r="A2102" s="263" t="s">
        <v>9684</v>
      </c>
      <c r="B2102" s="263" t="s">
        <v>6190</v>
      </c>
      <c r="C2102" s="263" t="s">
        <v>98</v>
      </c>
      <c r="D2102" s="263" t="s">
        <v>6191</v>
      </c>
      <c r="E2102" s="263" t="s">
        <v>110</v>
      </c>
      <c r="F2102">
        <v>0</v>
      </c>
      <c r="G2102">
        <v>2</v>
      </c>
      <c r="H2102" s="263" t="s">
        <v>436</v>
      </c>
      <c r="I2102" s="264"/>
      <c r="J2102" s="263" t="s">
        <v>437</v>
      </c>
    </row>
    <row r="2103" spans="1:10" x14ac:dyDescent="0.15">
      <c r="A2103" s="263" t="s">
        <v>9685</v>
      </c>
      <c r="B2103" s="263" t="s">
        <v>6192</v>
      </c>
      <c r="C2103" s="263" t="s">
        <v>98</v>
      </c>
      <c r="D2103" s="263" t="s">
        <v>6193</v>
      </c>
      <c r="E2103" s="263" t="s">
        <v>110</v>
      </c>
      <c r="F2103">
        <v>0</v>
      </c>
      <c r="G2103">
        <v>2</v>
      </c>
      <c r="H2103" s="263" t="s">
        <v>436</v>
      </c>
      <c r="I2103" s="264"/>
      <c r="J2103" s="263" t="s">
        <v>437</v>
      </c>
    </row>
    <row r="2104" spans="1:10" x14ac:dyDescent="0.15">
      <c r="A2104" s="263" t="s">
        <v>9686</v>
      </c>
      <c r="B2104" s="263" t="s">
        <v>6194</v>
      </c>
      <c r="C2104" s="263" t="s">
        <v>98</v>
      </c>
      <c r="D2104" s="263" t="s">
        <v>6195</v>
      </c>
      <c r="E2104" s="263" t="s">
        <v>110</v>
      </c>
      <c r="F2104">
        <v>0</v>
      </c>
      <c r="G2104">
        <v>2</v>
      </c>
      <c r="H2104" s="263" t="s">
        <v>436</v>
      </c>
      <c r="I2104" s="264"/>
      <c r="J2104" s="263" t="s">
        <v>437</v>
      </c>
    </row>
    <row r="2105" spans="1:10" x14ac:dyDescent="0.15">
      <c r="A2105" s="263" t="s">
        <v>9687</v>
      </c>
      <c r="B2105" s="263" t="s">
        <v>6196</v>
      </c>
      <c r="C2105" s="263" t="s">
        <v>98</v>
      </c>
      <c r="D2105" s="263" t="s">
        <v>6197</v>
      </c>
      <c r="E2105" s="263" t="s">
        <v>110</v>
      </c>
      <c r="F2105">
        <v>0</v>
      </c>
      <c r="G2105">
        <v>2</v>
      </c>
      <c r="H2105" s="263" t="s">
        <v>436</v>
      </c>
      <c r="I2105" s="264"/>
      <c r="J2105" s="263" t="s">
        <v>437</v>
      </c>
    </row>
    <row r="2106" spans="1:10" x14ac:dyDescent="0.15">
      <c r="A2106" s="263" t="s">
        <v>9688</v>
      </c>
      <c r="B2106" s="263" t="s">
        <v>6198</v>
      </c>
      <c r="C2106" s="263" t="s">
        <v>98</v>
      </c>
      <c r="D2106" s="263" t="s">
        <v>6199</v>
      </c>
      <c r="E2106" s="263" t="s">
        <v>110</v>
      </c>
      <c r="F2106">
        <v>0</v>
      </c>
      <c r="G2106">
        <v>2</v>
      </c>
      <c r="H2106" s="263" t="s">
        <v>436</v>
      </c>
      <c r="I2106" s="264"/>
      <c r="J2106" s="263" t="s">
        <v>437</v>
      </c>
    </row>
    <row r="2107" spans="1:10" x14ac:dyDescent="0.15">
      <c r="A2107" s="263" t="s">
        <v>9689</v>
      </c>
      <c r="B2107" s="263" t="s">
        <v>6200</v>
      </c>
      <c r="C2107" s="263" t="s">
        <v>98</v>
      </c>
      <c r="D2107" s="263" t="s">
        <v>6201</v>
      </c>
      <c r="E2107" s="263" t="s">
        <v>110</v>
      </c>
      <c r="F2107">
        <v>0</v>
      </c>
      <c r="G2107">
        <v>2</v>
      </c>
      <c r="H2107" s="263" t="s">
        <v>436</v>
      </c>
      <c r="I2107" s="264"/>
      <c r="J2107" s="263" t="s">
        <v>437</v>
      </c>
    </row>
    <row r="2108" spans="1:10" x14ac:dyDescent="0.15">
      <c r="A2108" s="263" t="s">
        <v>9690</v>
      </c>
      <c r="B2108" s="263" t="s">
        <v>6202</v>
      </c>
      <c r="C2108" s="263" t="s">
        <v>98</v>
      </c>
      <c r="D2108" s="263" t="s">
        <v>6203</v>
      </c>
      <c r="E2108" s="263" t="s">
        <v>110</v>
      </c>
      <c r="F2108">
        <v>0</v>
      </c>
      <c r="G2108">
        <v>2</v>
      </c>
      <c r="H2108" s="263" t="s">
        <v>436</v>
      </c>
      <c r="I2108" s="264"/>
      <c r="J2108" s="263" t="s">
        <v>437</v>
      </c>
    </row>
    <row r="2109" spans="1:10" x14ac:dyDescent="0.15">
      <c r="A2109" s="263" t="s">
        <v>9691</v>
      </c>
      <c r="B2109" s="263" t="s">
        <v>6204</v>
      </c>
      <c r="C2109" s="263" t="s">
        <v>98</v>
      </c>
      <c r="D2109" s="263" t="s">
        <v>6205</v>
      </c>
      <c r="E2109" s="263" t="s">
        <v>110</v>
      </c>
      <c r="F2109">
        <v>0</v>
      </c>
      <c r="G2109">
        <v>2</v>
      </c>
      <c r="H2109" s="263" t="s">
        <v>436</v>
      </c>
      <c r="I2109" s="264"/>
      <c r="J2109" s="263" t="s">
        <v>437</v>
      </c>
    </row>
    <row r="2110" spans="1:10" x14ac:dyDescent="0.15">
      <c r="A2110" s="263" t="s">
        <v>9692</v>
      </c>
      <c r="B2110" s="263" t="s">
        <v>6206</v>
      </c>
      <c r="C2110" s="263" t="s">
        <v>98</v>
      </c>
      <c r="D2110" s="263" t="s">
        <v>6207</v>
      </c>
      <c r="E2110" s="263" t="s">
        <v>110</v>
      </c>
      <c r="F2110">
        <v>0</v>
      </c>
      <c r="G2110">
        <v>2</v>
      </c>
      <c r="H2110" s="263" t="s">
        <v>436</v>
      </c>
      <c r="I2110" s="264"/>
      <c r="J2110" s="263" t="s">
        <v>437</v>
      </c>
    </row>
    <row r="2111" spans="1:10" x14ac:dyDescent="0.15">
      <c r="A2111" s="263" t="s">
        <v>9693</v>
      </c>
      <c r="B2111" s="263" t="s">
        <v>6208</v>
      </c>
      <c r="C2111" s="263" t="s">
        <v>98</v>
      </c>
      <c r="D2111" s="263" t="s">
        <v>6209</v>
      </c>
      <c r="E2111" s="263" t="s">
        <v>110</v>
      </c>
      <c r="F2111">
        <v>0</v>
      </c>
      <c r="G2111">
        <v>2</v>
      </c>
      <c r="H2111" s="263" t="s">
        <v>436</v>
      </c>
      <c r="I2111" s="264"/>
      <c r="J2111" s="263" t="s">
        <v>437</v>
      </c>
    </row>
    <row r="2112" spans="1:10" x14ac:dyDescent="0.15">
      <c r="A2112" s="263" t="s">
        <v>9694</v>
      </c>
      <c r="B2112" s="263" t="s">
        <v>9695</v>
      </c>
      <c r="C2112" s="263" t="s">
        <v>98</v>
      </c>
      <c r="D2112" s="263" t="s">
        <v>9696</v>
      </c>
      <c r="E2112" s="263" t="s">
        <v>110</v>
      </c>
      <c r="F2112">
        <v>0</v>
      </c>
      <c r="G2112">
        <v>2</v>
      </c>
      <c r="H2112" s="263" t="s">
        <v>436</v>
      </c>
      <c r="I2112" s="264"/>
      <c r="J2112" s="263" t="s">
        <v>437</v>
      </c>
    </row>
    <row r="2113" spans="1:10" x14ac:dyDescent="0.15">
      <c r="A2113" s="263" t="s">
        <v>9697</v>
      </c>
      <c r="B2113" s="263" t="s">
        <v>9698</v>
      </c>
      <c r="C2113" s="263" t="s">
        <v>98</v>
      </c>
      <c r="D2113" s="263" t="s">
        <v>9699</v>
      </c>
      <c r="E2113" s="263" t="s">
        <v>110</v>
      </c>
      <c r="F2113">
        <v>0</v>
      </c>
      <c r="G2113">
        <v>2</v>
      </c>
      <c r="H2113" s="263" t="s">
        <v>436</v>
      </c>
      <c r="I2113" s="264"/>
      <c r="J2113" s="263" t="s">
        <v>437</v>
      </c>
    </row>
    <row r="2114" spans="1:10" x14ac:dyDescent="0.15">
      <c r="A2114" s="263" t="s">
        <v>9700</v>
      </c>
      <c r="B2114" s="263" t="s">
        <v>9701</v>
      </c>
      <c r="C2114" s="263" t="s">
        <v>98</v>
      </c>
      <c r="D2114" s="263" t="s">
        <v>9702</v>
      </c>
      <c r="E2114" s="263" t="s">
        <v>110</v>
      </c>
      <c r="F2114">
        <v>0</v>
      </c>
      <c r="G2114">
        <v>2</v>
      </c>
      <c r="H2114" s="263" t="s">
        <v>436</v>
      </c>
      <c r="I2114" s="264"/>
      <c r="J2114" s="263" t="s">
        <v>437</v>
      </c>
    </row>
    <row r="2115" spans="1:10" x14ac:dyDescent="0.15">
      <c r="A2115" s="263" t="s">
        <v>9703</v>
      </c>
      <c r="B2115" s="263" t="s">
        <v>9704</v>
      </c>
      <c r="C2115" s="263" t="s">
        <v>98</v>
      </c>
      <c r="D2115" s="263" t="s">
        <v>9705</v>
      </c>
      <c r="E2115" s="263" t="s">
        <v>110</v>
      </c>
      <c r="F2115">
        <v>0</v>
      </c>
      <c r="G2115">
        <v>2</v>
      </c>
      <c r="H2115" s="263" t="s">
        <v>436</v>
      </c>
      <c r="I2115" s="264"/>
      <c r="J2115" s="263" t="s">
        <v>437</v>
      </c>
    </row>
    <row r="2116" spans="1:10" x14ac:dyDescent="0.15">
      <c r="A2116" s="263" t="s">
        <v>9706</v>
      </c>
      <c r="B2116" s="263" t="s">
        <v>9707</v>
      </c>
      <c r="C2116" s="263" t="s">
        <v>98</v>
      </c>
      <c r="D2116" s="263" t="s">
        <v>9708</v>
      </c>
      <c r="E2116" s="263" t="s">
        <v>110</v>
      </c>
      <c r="F2116">
        <v>0</v>
      </c>
      <c r="G2116">
        <v>2</v>
      </c>
      <c r="H2116" s="263" t="s">
        <v>436</v>
      </c>
      <c r="I2116" s="264"/>
      <c r="J2116" s="263" t="s">
        <v>437</v>
      </c>
    </row>
    <row r="2117" spans="1:10" x14ac:dyDescent="0.15">
      <c r="A2117" s="263" t="s">
        <v>9709</v>
      </c>
      <c r="B2117" s="263" t="s">
        <v>6210</v>
      </c>
      <c r="C2117" s="263" t="s">
        <v>98</v>
      </c>
      <c r="D2117" s="263" t="s">
        <v>6211</v>
      </c>
      <c r="E2117" s="263" t="s">
        <v>110</v>
      </c>
      <c r="F2117">
        <v>0</v>
      </c>
      <c r="G2117">
        <v>2</v>
      </c>
      <c r="H2117" s="263" t="s">
        <v>436</v>
      </c>
      <c r="I2117" s="264"/>
      <c r="J2117" s="263" t="s">
        <v>437</v>
      </c>
    </row>
    <row r="2118" spans="1:10" x14ac:dyDescent="0.15">
      <c r="A2118" s="263" t="s">
        <v>9710</v>
      </c>
      <c r="B2118" s="263" t="s">
        <v>6212</v>
      </c>
      <c r="C2118" s="263" t="s">
        <v>98</v>
      </c>
      <c r="D2118" s="263" t="s">
        <v>6213</v>
      </c>
      <c r="E2118" s="263" t="s">
        <v>110</v>
      </c>
      <c r="F2118">
        <v>0</v>
      </c>
      <c r="G2118">
        <v>2</v>
      </c>
      <c r="H2118" s="263" t="s">
        <v>436</v>
      </c>
      <c r="I2118" s="264"/>
      <c r="J2118" s="263" t="s">
        <v>437</v>
      </c>
    </row>
    <row r="2119" spans="1:10" x14ac:dyDescent="0.15">
      <c r="A2119" s="263" t="s">
        <v>9711</v>
      </c>
      <c r="B2119" s="263" t="s">
        <v>6214</v>
      </c>
      <c r="C2119" s="263" t="s">
        <v>98</v>
      </c>
      <c r="D2119" s="263" t="s">
        <v>6215</v>
      </c>
      <c r="E2119" s="263" t="s">
        <v>110</v>
      </c>
      <c r="F2119">
        <v>0</v>
      </c>
      <c r="G2119">
        <v>2</v>
      </c>
      <c r="H2119" s="263" t="s">
        <v>436</v>
      </c>
      <c r="I2119" s="264"/>
      <c r="J2119" s="263" t="s">
        <v>437</v>
      </c>
    </row>
    <row r="2120" spans="1:10" x14ac:dyDescent="0.15">
      <c r="A2120" s="263" t="s">
        <v>9712</v>
      </c>
      <c r="B2120" s="263" t="s">
        <v>6216</v>
      </c>
      <c r="C2120" s="263" t="s">
        <v>98</v>
      </c>
      <c r="D2120" s="263" t="s">
        <v>6217</v>
      </c>
      <c r="E2120" s="263" t="s">
        <v>110</v>
      </c>
      <c r="F2120">
        <v>0</v>
      </c>
      <c r="G2120">
        <v>2</v>
      </c>
      <c r="H2120" s="263" t="s">
        <v>436</v>
      </c>
      <c r="I2120" s="264"/>
      <c r="J2120" s="263" t="s">
        <v>437</v>
      </c>
    </row>
    <row r="2121" spans="1:10" x14ac:dyDescent="0.15">
      <c r="A2121" s="263" t="s">
        <v>9713</v>
      </c>
      <c r="B2121" s="263" t="s">
        <v>6218</v>
      </c>
      <c r="C2121" s="263" t="s">
        <v>98</v>
      </c>
      <c r="D2121" s="263" t="s">
        <v>6219</v>
      </c>
      <c r="E2121" s="263" t="s">
        <v>110</v>
      </c>
      <c r="F2121">
        <v>0</v>
      </c>
      <c r="G2121">
        <v>2</v>
      </c>
      <c r="H2121" s="263" t="s">
        <v>436</v>
      </c>
      <c r="I2121" s="264"/>
      <c r="J2121" s="263" t="s">
        <v>437</v>
      </c>
    </row>
    <row r="2122" spans="1:10" x14ac:dyDescent="0.15">
      <c r="A2122" s="263" t="s">
        <v>9714</v>
      </c>
      <c r="B2122" s="263" t="s">
        <v>6220</v>
      </c>
      <c r="C2122" s="263" t="s">
        <v>98</v>
      </c>
      <c r="D2122" s="263" t="s">
        <v>6221</v>
      </c>
      <c r="E2122" s="263" t="s">
        <v>110</v>
      </c>
      <c r="F2122">
        <v>0</v>
      </c>
      <c r="G2122">
        <v>2</v>
      </c>
      <c r="H2122" s="263" t="s">
        <v>436</v>
      </c>
      <c r="I2122" s="264"/>
      <c r="J2122" s="263" t="s">
        <v>437</v>
      </c>
    </row>
    <row r="2123" spans="1:10" x14ac:dyDescent="0.15">
      <c r="A2123" s="263" t="s">
        <v>9715</v>
      </c>
      <c r="B2123" s="263" t="s">
        <v>6222</v>
      </c>
      <c r="C2123" s="263" t="s">
        <v>98</v>
      </c>
      <c r="D2123" s="263" t="s">
        <v>6223</v>
      </c>
      <c r="E2123" s="263" t="s">
        <v>110</v>
      </c>
      <c r="F2123">
        <v>0</v>
      </c>
      <c r="G2123">
        <v>2</v>
      </c>
      <c r="H2123" s="263" t="s">
        <v>436</v>
      </c>
      <c r="I2123" s="264"/>
      <c r="J2123" s="263" t="s">
        <v>437</v>
      </c>
    </row>
    <row r="2124" spans="1:10" x14ac:dyDescent="0.15">
      <c r="A2124" s="263" t="s">
        <v>9716</v>
      </c>
      <c r="B2124" s="263" t="s">
        <v>6224</v>
      </c>
      <c r="C2124" s="263" t="s">
        <v>98</v>
      </c>
      <c r="D2124" s="263" t="s">
        <v>6225</v>
      </c>
      <c r="E2124" s="263" t="s">
        <v>110</v>
      </c>
      <c r="F2124">
        <v>0</v>
      </c>
      <c r="G2124">
        <v>2</v>
      </c>
      <c r="H2124" s="263" t="s">
        <v>436</v>
      </c>
      <c r="I2124" s="264"/>
      <c r="J2124" s="263" t="s">
        <v>437</v>
      </c>
    </row>
    <row r="2125" spans="1:10" x14ac:dyDescent="0.15">
      <c r="A2125" s="263" t="s">
        <v>9717</v>
      </c>
      <c r="B2125" s="263" t="s">
        <v>6226</v>
      </c>
      <c r="C2125" s="263" t="s">
        <v>98</v>
      </c>
      <c r="D2125" s="263" t="s">
        <v>6227</v>
      </c>
      <c r="E2125" s="263" t="s">
        <v>110</v>
      </c>
      <c r="F2125">
        <v>0</v>
      </c>
      <c r="G2125">
        <v>2</v>
      </c>
      <c r="H2125" s="263" t="s">
        <v>436</v>
      </c>
      <c r="I2125" s="264"/>
      <c r="J2125" s="263" t="s">
        <v>437</v>
      </c>
    </row>
    <row r="2126" spans="1:10" x14ac:dyDescent="0.15">
      <c r="A2126" s="263" t="s">
        <v>9718</v>
      </c>
      <c r="B2126" s="263" t="s">
        <v>6228</v>
      </c>
      <c r="C2126" s="263" t="s">
        <v>98</v>
      </c>
      <c r="D2126" s="263" t="s">
        <v>6229</v>
      </c>
      <c r="E2126" s="263" t="s">
        <v>110</v>
      </c>
      <c r="F2126">
        <v>0</v>
      </c>
      <c r="G2126">
        <v>2</v>
      </c>
      <c r="H2126" s="263" t="s">
        <v>436</v>
      </c>
      <c r="I2126" s="264"/>
      <c r="J2126" s="263" t="s">
        <v>437</v>
      </c>
    </row>
    <row r="2127" spans="1:10" x14ac:dyDescent="0.15">
      <c r="A2127" s="263" t="s">
        <v>9719</v>
      </c>
      <c r="B2127" s="263" t="s">
        <v>6230</v>
      </c>
      <c r="C2127" s="263" t="s">
        <v>98</v>
      </c>
      <c r="D2127" s="263" t="s">
        <v>6231</v>
      </c>
      <c r="E2127" s="263" t="s">
        <v>110</v>
      </c>
      <c r="F2127">
        <v>0</v>
      </c>
      <c r="G2127">
        <v>2</v>
      </c>
      <c r="H2127" s="263" t="s">
        <v>436</v>
      </c>
      <c r="I2127" s="264"/>
      <c r="J2127" s="263" t="s">
        <v>437</v>
      </c>
    </row>
    <row r="2128" spans="1:10" x14ac:dyDescent="0.15">
      <c r="A2128" s="263" t="s">
        <v>9720</v>
      </c>
      <c r="B2128" s="263" t="s">
        <v>6222</v>
      </c>
      <c r="C2128" s="263" t="s">
        <v>81</v>
      </c>
      <c r="D2128" s="263" t="s">
        <v>6223</v>
      </c>
      <c r="E2128" s="263" t="s">
        <v>88</v>
      </c>
      <c r="F2128">
        <v>0</v>
      </c>
      <c r="G2128">
        <v>2</v>
      </c>
      <c r="H2128" s="263" t="s">
        <v>436</v>
      </c>
      <c r="I2128" s="264"/>
      <c r="J2128" s="263" t="s">
        <v>437</v>
      </c>
    </row>
    <row r="2129" spans="1:10" x14ac:dyDescent="0.15">
      <c r="A2129" s="263" t="s">
        <v>9721</v>
      </c>
      <c r="B2129" s="263" t="s">
        <v>6232</v>
      </c>
      <c r="C2129" s="263" t="s">
        <v>81</v>
      </c>
      <c r="D2129" s="263" t="s">
        <v>6233</v>
      </c>
      <c r="E2129" s="263" t="s">
        <v>88</v>
      </c>
      <c r="F2129">
        <v>0</v>
      </c>
      <c r="G2129">
        <v>2</v>
      </c>
      <c r="H2129" s="263" t="s">
        <v>436</v>
      </c>
      <c r="I2129" s="264"/>
      <c r="J2129" s="263" t="s">
        <v>437</v>
      </c>
    </row>
    <row r="2130" spans="1:10" x14ac:dyDescent="0.15">
      <c r="A2130" s="263" t="s">
        <v>9722</v>
      </c>
      <c r="B2130" s="263" t="s">
        <v>6234</v>
      </c>
      <c r="C2130" s="263" t="s">
        <v>98</v>
      </c>
      <c r="D2130" s="263" t="s">
        <v>6235</v>
      </c>
      <c r="E2130" s="263" t="s">
        <v>110</v>
      </c>
      <c r="F2130">
        <v>0</v>
      </c>
      <c r="G2130">
        <v>2</v>
      </c>
      <c r="H2130" s="263" t="s">
        <v>436</v>
      </c>
      <c r="I2130" s="264"/>
      <c r="J2130" s="263" t="s">
        <v>437</v>
      </c>
    </row>
    <row r="2131" spans="1:10" x14ac:dyDescent="0.15">
      <c r="A2131" s="263" t="s">
        <v>9723</v>
      </c>
      <c r="B2131" s="263" t="s">
        <v>6236</v>
      </c>
      <c r="C2131" s="263" t="s">
        <v>98</v>
      </c>
      <c r="D2131" s="263" t="s">
        <v>6237</v>
      </c>
      <c r="E2131" s="263" t="s">
        <v>110</v>
      </c>
      <c r="F2131">
        <v>0</v>
      </c>
      <c r="G2131">
        <v>2</v>
      </c>
      <c r="H2131" s="263" t="s">
        <v>436</v>
      </c>
      <c r="I2131" s="264"/>
      <c r="J2131" s="263" t="s">
        <v>437</v>
      </c>
    </row>
    <row r="2132" spans="1:10" x14ac:dyDescent="0.15">
      <c r="A2132" s="263" t="s">
        <v>9724</v>
      </c>
      <c r="B2132" s="263" t="s">
        <v>6238</v>
      </c>
      <c r="C2132" s="263" t="s">
        <v>96</v>
      </c>
      <c r="D2132" s="263" t="s">
        <v>6239</v>
      </c>
      <c r="E2132" s="263" t="s">
        <v>97</v>
      </c>
      <c r="F2132">
        <v>0</v>
      </c>
      <c r="G2132">
        <v>2</v>
      </c>
      <c r="H2132" s="263" t="s">
        <v>436</v>
      </c>
      <c r="I2132" s="264"/>
      <c r="J2132" s="263" t="s">
        <v>437</v>
      </c>
    </row>
    <row r="2133" spans="1:10" x14ac:dyDescent="0.15">
      <c r="A2133" s="263" t="s">
        <v>9725</v>
      </c>
      <c r="B2133" s="263" t="s">
        <v>6240</v>
      </c>
      <c r="C2133" s="263" t="s">
        <v>96</v>
      </c>
      <c r="D2133" s="263" t="s">
        <v>6241</v>
      </c>
      <c r="E2133" s="263" t="s">
        <v>97</v>
      </c>
      <c r="F2133">
        <v>0</v>
      </c>
      <c r="G2133">
        <v>2</v>
      </c>
      <c r="H2133" s="263" t="s">
        <v>436</v>
      </c>
      <c r="I2133" s="264"/>
      <c r="J2133" s="263" t="s">
        <v>437</v>
      </c>
    </row>
    <row r="2134" spans="1:10" x14ac:dyDescent="0.15">
      <c r="A2134" s="263" t="s">
        <v>9726</v>
      </c>
      <c r="B2134" s="263" t="s">
        <v>6242</v>
      </c>
      <c r="C2134" s="263" t="s">
        <v>98</v>
      </c>
      <c r="D2134" s="263" t="s">
        <v>6243</v>
      </c>
      <c r="E2134" s="263" t="s">
        <v>110</v>
      </c>
      <c r="F2134">
        <v>0</v>
      </c>
      <c r="G2134">
        <v>2</v>
      </c>
      <c r="H2134" s="263" t="s">
        <v>436</v>
      </c>
      <c r="I2134" s="264"/>
      <c r="J2134" s="263" t="s">
        <v>437</v>
      </c>
    </row>
    <row r="2135" spans="1:10" x14ac:dyDescent="0.15">
      <c r="A2135" s="263" t="s">
        <v>9727</v>
      </c>
      <c r="B2135" s="263" t="s">
        <v>6244</v>
      </c>
      <c r="C2135" s="263" t="s">
        <v>98</v>
      </c>
      <c r="D2135" s="263" t="s">
        <v>6245</v>
      </c>
      <c r="E2135" s="263" t="s">
        <v>110</v>
      </c>
      <c r="F2135">
        <v>0</v>
      </c>
      <c r="G2135">
        <v>2</v>
      </c>
      <c r="H2135" s="263" t="s">
        <v>436</v>
      </c>
      <c r="I2135" s="264"/>
      <c r="J2135" s="263" t="s">
        <v>437</v>
      </c>
    </row>
    <row r="2136" spans="1:10" x14ac:dyDescent="0.15">
      <c r="A2136" s="263" t="s">
        <v>9728</v>
      </c>
      <c r="B2136" s="263" t="s">
        <v>6246</v>
      </c>
      <c r="C2136" s="263" t="s">
        <v>98</v>
      </c>
      <c r="D2136" s="263" t="s">
        <v>6247</v>
      </c>
      <c r="E2136" s="263" t="s">
        <v>110</v>
      </c>
      <c r="F2136">
        <v>0</v>
      </c>
      <c r="G2136">
        <v>2</v>
      </c>
      <c r="H2136" s="263" t="s">
        <v>436</v>
      </c>
      <c r="I2136" s="264"/>
      <c r="J2136" s="263" t="s">
        <v>437</v>
      </c>
    </row>
    <row r="2137" spans="1:10" x14ac:dyDescent="0.15">
      <c r="A2137" s="263" t="s">
        <v>5709</v>
      </c>
      <c r="B2137" s="263" t="s">
        <v>5710</v>
      </c>
      <c r="C2137" s="263" t="s">
        <v>94</v>
      </c>
      <c r="D2137" s="263" t="s">
        <v>5711</v>
      </c>
      <c r="E2137" s="263" t="s">
        <v>94</v>
      </c>
      <c r="F2137">
        <v>0</v>
      </c>
      <c r="G2137">
        <v>2</v>
      </c>
      <c r="H2137" s="263" t="s">
        <v>436</v>
      </c>
      <c r="I2137" s="264"/>
      <c r="J2137" s="263" t="s">
        <v>437</v>
      </c>
    </row>
    <row r="2138" spans="1:10" x14ac:dyDescent="0.15">
      <c r="A2138" s="263" t="s">
        <v>9729</v>
      </c>
      <c r="B2138" s="263" t="s">
        <v>9730</v>
      </c>
      <c r="C2138" s="263" t="s">
        <v>96</v>
      </c>
      <c r="D2138" s="263" t="s">
        <v>9731</v>
      </c>
      <c r="E2138" s="263" t="s">
        <v>97</v>
      </c>
      <c r="F2138">
        <v>0</v>
      </c>
      <c r="G2138">
        <v>2</v>
      </c>
      <c r="H2138" s="263" t="s">
        <v>436</v>
      </c>
      <c r="I2138" s="264"/>
      <c r="J2138" s="263" t="s">
        <v>437</v>
      </c>
    </row>
    <row r="2139" spans="1:10" x14ac:dyDescent="0.15">
      <c r="A2139" s="263" t="s">
        <v>5712</v>
      </c>
      <c r="B2139" s="263" t="s">
        <v>5713</v>
      </c>
      <c r="C2139" s="263" t="s">
        <v>96</v>
      </c>
      <c r="D2139" s="263" t="s">
        <v>5714</v>
      </c>
      <c r="E2139" s="263" t="s">
        <v>97</v>
      </c>
      <c r="F2139">
        <v>0</v>
      </c>
      <c r="G2139">
        <v>2</v>
      </c>
      <c r="H2139" s="263" t="s">
        <v>436</v>
      </c>
      <c r="I2139" s="264"/>
      <c r="J2139" s="263" t="s">
        <v>437</v>
      </c>
    </row>
    <row r="2140" spans="1:10" x14ac:dyDescent="0.15">
      <c r="A2140" s="263" t="s">
        <v>5715</v>
      </c>
      <c r="B2140" s="263" t="s">
        <v>5716</v>
      </c>
      <c r="C2140" s="263" t="s">
        <v>96</v>
      </c>
      <c r="D2140" s="263" t="s">
        <v>5717</v>
      </c>
      <c r="E2140" s="263" t="s">
        <v>97</v>
      </c>
      <c r="F2140">
        <v>0</v>
      </c>
      <c r="G2140">
        <v>2</v>
      </c>
      <c r="H2140" s="263" t="s">
        <v>436</v>
      </c>
      <c r="I2140" s="264"/>
      <c r="J2140" s="263" t="s">
        <v>437</v>
      </c>
    </row>
    <row r="2141" spans="1:10" x14ac:dyDescent="0.15">
      <c r="A2141" s="263" t="s">
        <v>5718</v>
      </c>
      <c r="B2141" s="263" t="s">
        <v>5719</v>
      </c>
      <c r="C2141" s="263" t="s">
        <v>96</v>
      </c>
      <c r="D2141" s="263" t="s">
        <v>5720</v>
      </c>
      <c r="E2141" s="263" t="s">
        <v>97</v>
      </c>
      <c r="F2141">
        <v>0</v>
      </c>
      <c r="G2141">
        <v>2</v>
      </c>
      <c r="H2141" s="263" t="s">
        <v>436</v>
      </c>
      <c r="I2141" s="264"/>
      <c r="J2141" s="263" t="s">
        <v>437</v>
      </c>
    </row>
    <row r="2142" spans="1:10" x14ac:dyDescent="0.15">
      <c r="A2142" s="263" t="s">
        <v>9732</v>
      </c>
      <c r="B2142" s="263" t="s">
        <v>9733</v>
      </c>
      <c r="C2142" s="263" t="s">
        <v>96</v>
      </c>
      <c r="D2142" s="263" t="s">
        <v>9734</v>
      </c>
      <c r="E2142" s="263" t="s">
        <v>97</v>
      </c>
      <c r="F2142">
        <v>0</v>
      </c>
      <c r="G2142">
        <v>2</v>
      </c>
      <c r="H2142" s="263" t="s">
        <v>436</v>
      </c>
      <c r="I2142" s="264"/>
      <c r="J2142" s="263" t="s">
        <v>437</v>
      </c>
    </row>
    <row r="2143" spans="1:10" x14ac:dyDescent="0.15">
      <c r="A2143" s="263" t="s">
        <v>5721</v>
      </c>
      <c r="B2143" s="263" t="s">
        <v>5722</v>
      </c>
      <c r="C2143" s="263" t="s">
        <v>96</v>
      </c>
      <c r="D2143" s="263" t="s">
        <v>5723</v>
      </c>
      <c r="E2143" s="263" t="s">
        <v>97</v>
      </c>
      <c r="F2143">
        <v>0</v>
      </c>
      <c r="G2143">
        <v>2</v>
      </c>
      <c r="H2143" s="263" t="s">
        <v>436</v>
      </c>
      <c r="I2143" s="264"/>
      <c r="J2143" s="263" t="s">
        <v>437</v>
      </c>
    </row>
    <row r="2144" spans="1:10" x14ac:dyDescent="0.15">
      <c r="A2144" s="263" t="s">
        <v>5724</v>
      </c>
      <c r="B2144" s="263" t="s">
        <v>5725</v>
      </c>
      <c r="C2144" s="263" t="s">
        <v>96</v>
      </c>
      <c r="D2144" s="263" t="s">
        <v>5726</v>
      </c>
      <c r="E2144" s="263" t="s">
        <v>97</v>
      </c>
      <c r="F2144">
        <v>0</v>
      </c>
      <c r="G2144">
        <v>2</v>
      </c>
      <c r="H2144" s="263" t="s">
        <v>436</v>
      </c>
      <c r="I2144" s="264"/>
      <c r="J2144" s="263" t="s">
        <v>437</v>
      </c>
    </row>
    <row r="2145" spans="1:10" x14ac:dyDescent="0.15">
      <c r="A2145" s="263" t="s">
        <v>5727</v>
      </c>
      <c r="B2145" s="263" t="s">
        <v>5728</v>
      </c>
      <c r="C2145" s="263" t="s">
        <v>96</v>
      </c>
      <c r="D2145" s="263" t="s">
        <v>5729</v>
      </c>
      <c r="E2145" s="263" t="s">
        <v>97</v>
      </c>
      <c r="F2145">
        <v>0</v>
      </c>
      <c r="G2145">
        <v>2</v>
      </c>
      <c r="H2145" s="263" t="s">
        <v>436</v>
      </c>
      <c r="I2145" s="264"/>
      <c r="J2145" s="263" t="s">
        <v>437</v>
      </c>
    </row>
    <row r="2146" spans="1:10" x14ac:dyDescent="0.15">
      <c r="A2146" s="263" t="s">
        <v>5730</v>
      </c>
      <c r="B2146" s="263" t="s">
        <v>5731</v>
      </c>
      <c r="C2146" s="263" t="s">
        <v>96</v>
      </c>
      <c r="D2146" s="263" t="s">
        <v>5732</v>
      </c>
      <c r="E2146" s="263" t="s">
        <v>97</v>
      </c>
      <c r="F2146">
        <v>0</v>
      </c>
      <c r="G2146">
        <v>2</v>
      </c>
      <c r="H2146" s="263" t="s">
        <v>436</v>
      </c>
      <c r="I2146" s="264"/>
      <c r="J2146" s="263" t="s">
        <v>437</v>
      </c>
    </row>
    <row r="2147" spans="1:10" x14ac:dyDescent="0.15">
      <c r="A2147" s="263" t="s">
        <v>5733</v>
      </c>
      <c r="B2147" s="263" t="s">
        <v>5734</v>
      </c>
      <c r="C2147" s="263" t="s">
        <v>96</v>
      </c>
      <c r="D2147" s="263" t="s">
        <v>5735</v>
      </c>
      <c r="E2147" s="263" t="s">
        <v>97</v>
      </c>
      <c r="F2147">
        <v>0</v>
      </c>
      <c r="G2147">
        <v>2</v>
      </c>
      <c r="H2147" s="263" t="s">
        <v>436</v>
      </c>
      <c r="I2147" s="264"/>
      <c r="J2147" s="263" t="s">
        <v>437</v>
      </c>
    </row>
    <row r="2148" spans="1:10" x14ac:dyDescent="0.15">
      <c r="A2148" s="263" t="s">
        <v>5736</v>
      </c>
      <c r="B2148" s="263" t="s">
        <v>5737</v>
      </c>
      <c r="C2148" s="263" t="s">
        <v>96</v>
      </c>
      <c r="D2148" s="263" t="s">
        <v>5738</v>
      </c>
      <c r="E2148" s="263" t="s">
        <v>97</v>
      </c>
      <c r="F2148">
        <v>0</v>
      </c>
      <c r="G2148">
        <v>2</v>
      </c>
      <c r="H2148" s="263" t="s">
        <v>436</v>
      </c>
      <c r="I2148" s="264"/>
      <c r="J2148" s="263" t="s">
        <v>437</v>
      </c>
    </row>
    <row r="2149" spans="1:10" x14ac:dyDescent="0.15">
      <c r="A2149" s="263" t="s">
        <v>5739</v>
      </c>
      <c r="B2149" s="263" t="s">
        <v>5740</v>
      </c>
      <c r="C2149" s="263" t="s">
        <v>96</v>
      </c>
      <c r="D2149" s="263" t="s">
        <v>5741</v>
      </c>
      <c r="E2149" s="263" t="s">
        <v>97</v>
      </c>
      <c r="F2149">
        <v>0</v>
      </c>
      <c r="G2149">
        <v>2</v>
      </c>
      <c r="H2149" s="263" t="s">
        <v>436</v>
      </c>
      <c r="I2149" s="264"/>
      <c r="J2149" s="263" t="s">
        <v>437</v>
      </c>
    </row>
    <row r="2150" spans="1:10" x14ac:dyDescent="0.15">
      <c r="A2150" s="263" t="s">
        <v>9735</v>
      </c>
      <c r="B2150" s="263" t="s">
        <v>9736</v>
      </c>
      <c r="C2150" s="263" t="s">
        <v>96</v>
      </c>
      <c r="D2150" s="263" t="s">
        <v>9737</v>
      </c>
      <c r="E2150" s="263" t="s">
        <v>97</v>
      </c>
      <c r="F2150">
        <v>0</v>
      </c>
      <c r="G2150">
        <v>2</v>
      </c>
      <c r="H2150" s="263" t="s">
        <v>436</v>
      </c>
      <c r="I2150" s="264"/>
      <c r="J2150" s="263" t="s">
        <v>437</v>
      </c>
    </row>
    <row r="2151" spans="1:10" x14ac:dyDescent="0.15">
      <c r="A2151" s="263" t="s">
        <v>5742</v>
      </c>
      <c r="B2151" s="263" t="s">
        <v>5743</v>
      </c>
      <c r="C2151" s="263" t="s">
        <v>96</v>
      </c>
      <c r="D2151" s="263" t="s">
        <v>5744</v>
      </c>
      <c r="E2151" s="263" t="s">
        <v>97</v>
      </c>
      <c r="F2151">
        <v>0</v>
      </c>
      <c r="G2151">
        <v>2</v>
      </c>
      <c r="H2151" s="263" t="s">
        <v>436</v>
      </c>
      <c r="I2151" s="264"/>
      <c r="J2151" s="263" t="s">
        <v>437</v>
      </c>
    </row>
    <row r="2152" spans="1:10" x14ac:dyDescent="0.15">
      <c r="A2152" s="263" t="s">
        <v>5745</v>
      </c>
      <c r="B2152" s="263" t="s">
        <v>5746</v>
      </c>
      <c r="C2152" s="263" t="s">
        <v>96</v>
      </c>
      <c r="D2152" s="263" t="s">
        <v>5747</v>
      </c>
      <c r="E2152" s="263" t="s">
        <v>97</v>
      </c>
      <c r="F2152">
        <v>0</v>
      </c>
      <c r="G2152">
        <v>2</v>
      </c>
      <c r="H2152" s="263" t="s">
        <v>436</v>
      </c>
      <c r="I2152" s="264"/>
      <c r="J2152" s="263" t="s">
        <v>437</v>
      </c>
    </row>
    <row r="2153" spans="1:10" x14ac:dyDescent="0.15">
      <c r="A2153" s="263" t="s">
        <v>5748</v>
      </c>
      <c r="B2153" s="263" t="s">
        <v>5749</v>
      </c>
      <c r="C2153" s="263" t="s">
        <v>96</v>
      </c>
      <c r="D2153" s="263" t="s">
        <v>5750</v>
      </c>
      <c r="E2153" s="263" t="s">
        <v>97</v>
      </c>
      <c r="F2153">
        <v>0</v>
      </c>
      <c r="G2153">
        <v>2</v>
      </c>
      <c r="H2153" s="263" t="s">
        <v>436</v>
      </c>
      <c r="I2153" s="264"/>
      <c r="J2153" s="263" t="s">
        <v>437</v>
      </c>
    </row>
    <row r="2154" spans="1:10" x14ac:dyDescent="0.15">
      <c r="A2154" s="263" t="s">
        <v>9738</v>
      </c>
      <c r="B2154" s="263" t="s">
        <v>9739</v>
      </c>
      <c r="C2154" s="263" t="s">
        <v>96</v>
      </c>
      <c r="D2154" s="263" t="s">
        <v>9740</v>
      </c>
      <c r="E2154" s="263" t="s">
        <v>97</v>
      </c>
      <c r="F2154">
        <v>0</v>
      </c>
      <c r="G2154">
        <v>2</v>
      </c>
      <c r="H2154" s="263" t="s">
        <v>436</v>
      </c>
      <c r="I2154" s="264"/>
      <c r="J2154" s="263" t="s">
        <v>437</v>
      </c>
    </row>
    <row r="2155" spans="1:10" x14ac:dyDescent="0.15">
      <c r="A2155" s="263" t="s">
        <v>5751</v>
      </c>
      <c r="B2155" s="263" t="s">
        <v>5752</v>
      </c>
      <c r="C2155" s="263" t="s">
        <v>96</v>
      </c>
      <c r="D2155" s="263" t="s">
        <v>5753</v>
      </c>
      <c r="E2155" s="263" t="s">
        <v>97</v>
      </c>
      <c r="F2155">
        <v>0</v>
      </c>
      <c r="G2155">
        <v>2</v>
      </c>
      <c r="H2155" s="263" t="s">
        <v>436</v>
      </c>
      <c r="I2155" s="264"/>
      <c r="J2155" s="263" t="s">
        <v>437</v>
      </c>
    </row>
    <row r="2156" spans="1:10" x14ac:dyDescent="0.15">
      <c r="A2156" s="263" t="s">
        <v>5754</v>
      </c>
      <c r="B2156" s="263" t="s">
        <v>5755</v>
      </c>
      <c r="C2156" s="263" t="s">
        <v>96</v>
      </c>
      <c r="D2156" s="263" t="s">
        <v>5756</v>
      </c>
      <c r="E2156" s="263" t="s">
        <v>97</v>
      </c>
      <c r="F2156">
        <v>0</v>
      </c>
      <c r="G2156">
        <v>2</v>
      </c>
      <c r="H2156" s="263" t="s">
        <v>436</v>
      </c>
      <c r="I2156" s="264"/>
      <c r="J2156" s="263" t="s">
        <v>437</v>
      </c>
    </row>
    <row r="2157" spans="1:10" x14ac:dyDescent="0.15">
      <c r="A2157" s="263" t="s">
        <v>5757</v>
      </c>
      <c r="B2157" s="263" t="s">
        <v>5758</v>
      </c>
      <c r="C2157" s="263" t="s">
        <v>96</v>
      </c>
      <c r="D2157" s="263" t="s">
        <v>5759</v>
      </c>
      <c r="E2157" s="263" t="s">
        <v>97</v>
      </c>
      <c r="F2157">
        <v>0</v>
      </c>
      <c r="G2157">
        <v>2</v>
      </c>
      <c r="H2157" s="263" t="s">
        <v>436</v>
      </c>
      <c r="I2157" s="264"/>
      <c r="J2157" s="263" t="s">
        <v>437</v>
      </c>
    </row>
    <row r="2158" spans="1:10" x14ac:dyDescent="0.15">
      <c r="A2158" s="263" t="s">
        <v>5760</v>
      </c>
      <c r="B2158" s="263" t="s">
        <v>5761</v>
      </c>
      <c r="C2158" s="263" t="s">
        <v>96</v>
      </c>
      <c r="D2158" s="263" t="s">
        <v>5762</v>
      </c>
      <c r="E2158" s="263" t="s">
        <v>97</v>
      </c>
      <c r="F2158">
        <v>0</v>
      </c>
      <c r="G2158">
        <v>2</v>
      </c>
      <c r="H2158" s="263" t="s">
        <v>436</v>
      </c>
      <c r="I2158" s="264"/>
      <c r="J2158" s="263" t="s">
        <v>437</v>
      </c>
    </row>
    <row r="2159" spans="1:10" x14ac:dyDescent="0.15">
      <c r="A2159" s="263" t="s">
        <v>5763</v>
      </c>
      <c r="B2159" s="263" t="s">
        <v>5764</v>
      </c>
      <c r="C2159" s="263" t="s">
        <v>96</v>
      </c>
      <c r="D2159" s="263" t="s">
        <v>5765</v>
      </c>
      <c r="E2159" s="263" t="s">
        <v>97</v>
      </c>
      <c r="F2159">
        <v>0</v>
      </c>
      <c r="G2159">
        <v>2</v>
      </c>
      <c r="H2159" s="263" t="s">
        <v>436</v>
      </c>
      <c r="I2159" s="264"/>
      <c r="J2159" s="263" t="s">
        <v>437</v>
      </c>
    </row>
    <row r="2160" spans="1:10" x14ac:dyDescent="0.15">
      <c r="A2160" s="263" t="s">
        <v>5766</v>
      </c>
      <c r="B2160" s="263" t="s">
        <v>5767</v>
      </c>
      <c r="C2160" s="263" t="s">
        <v>96</v>
      </c>
      <c r="D2160" s="263" t="s">
        <v>5768</v>
      </c>
      <c r="E2160" s="263" t="s">
        <v>97</v>
      </c>
      <c r="F2160">
        <v>0</v>
      </c>
      <c r="G2160">
        <v>2</v>
      </c>
      <c r="H2160" s="263" t="s">
        <v>436</v>
      </c>
      <c r="I2160" s="264"/>
      <c r="J2160" s="263" t="s">
        <v>437</v>
      </c>
    </row>
    <row r="2161" spans="1:10" x14ac:dyDescent="0.15">
      <c r="A2161" s="263" t="s">
        <v>5769</v>
      </c>
      <c r="B2161" s="263" t="s">
        <v>5770</v>
      </c>
      <c r="C2161" s="263" t="s">
        <v>96</v>
      </c>
      <c r="D2161" s="263" t="s">
        <v>5771</v>
      </c>
      <c r="E2161" s="263" t="s">
        <v>97</v>
      </c>
      <c r="F2161">
        <v>0</v>
      </c>
      <c r="G2161">
        <v>2</v>
      </c>
      <c r="H2161" s="263" t="s">
        <v>436</v>
      </c>
      <c r="I2161" s="264"/>
      <c r="J2161" s="263" t="s">
        <v>437</v>
      </c>
    </row>
    <row r="2162" spans="1:10" x14ac:dyDescent="0.15">
      <c r="A2162" s="263" t="s">
        <v>5772</v>
      </c>
      <c r="B2162" s="263" t="s">
        <v>5773</v>
      </c>
      <c r="C2162" s="263" t="s">
        <v>96</v>
      </c>
      <c r="D2162" s="263" t="s">
        <v>5774</v>
      </c>
      <c r="E2162" s="263" t="s">
        <v>97</v>
      </c>
      <c r="F2162">
        <v>0</v>
      </c>
      <c r="G2162">
        <v>2</v>
      </c>
      <c r="H2162" s="263" t="s">
        <v>436</v>
      </c>
      <c r="I2162" s="264"/>
      <c r="J2162" s="263" t="s">
        <v>437</v>
      </c>
    </row>
    <row r="2163" spans="1:10" x14ac:dyDescent="0.15">
      <c r="A2163" s="263" t="s">
        <v>9741</v>
      </c>
      <c r="B2163" s="263" t="s">
        <v>9742</v>
      </c>
      <c r="C2163" s="263" t="s">
        <v>96</v>
      </c>
      <c r="D2163" s="263" t="s">
        <v>9743</v>
      </c>
      <c r="E2163" s="263" t="s">
        <v>97</v>
      </c>
      <c r="F2163">
        <v>0</v>
      </c>
      <c r="G2163">
        <v>2</v>
      </c>
      <c r="H2163" s="263" t="s">
        <v>436</v>
      </c>
      <c r="I2163" s="264"/>
      <c r="J2163" s="263" t="s">
        <v>437</v>
      </c>
    </row>
    <row r="2164" spans="1:10" x14ac:dyDescent="0.15">
      <c r="A2164" s="263" t="s">
        <v>5775</v>
      </c>
      <c r="B2164" s="263" t="s">
        <v>5776</v>
      </c>
      <c r="C2164" s="263" t="s">
        <v>96</v>
      </c>
      <c r="D2164" s="263" t="s">
        <v>5777</v>
      </c>
      <c r="E2164" s="263" t="s">
        <v>97</v>
      </c>
      <c r="F2164">
        <v>0</v>
      </c>
      <c r="G2164">
        <v>2</v>
      </c>
      <c r="H2164" s="263" t="s">
        <v>436</v>
      </c>
      <c r="I2164" s="264"/>
      <c r="J2164" s="263" t="s">
        <v>437</v>
      </c>
    </row>
    <row r="2165" spans="1:10" x14ac:dyDescent="0.15">
      <c r="A2165" s="263" t="s">
        <v>5778</v>
      </c>
      <c r="B2165" s="263" t="s">
        <v>5779</v>
      </c>
      <c r="C2165" s="263" t="s">
        <v>96</v>
      </c>
      <c r="D2165" s="263" t="s">
        <v>5780</v>
      </c>
      <c r="E2165" s="263" t="s">
        <v>97</v>
      </c>
      <c r="F2165">
        <v>0</v>
      </c>
      <c r="G2165">
        <v>2</v>
      </c>
      <c r="H2165" s="263" t="s">
        <v>436</v>
      </c>
      <c r="I2165" s="264"/>
      <c r="J2165" s="263" t="s">
        <v>437</v>
      </c>
    </row>
    <row r="2166" spans="1:10" x14ac:dyDescent="0.15">
      <c r="A2166" s="263" t="s">
        <v>5781</v>
      </c>
      <c r="B2166" s="263" t="s">
        <v>5782</v>
      </c>
      <c r="C2166" s="263" t="s">
        <v>96</v>
      </c>
      <c r="D2166" s="263" t="s">
        <v>5783</v>
      </c>
      <c r="E2166" s="263" t="s">
        <v>97</v>
      </c>
      <c r="F2166">
        <v>0</v>
      </c>
      <c r="G2166">
        <v>2</v>
      </c>
      <c r="H2166" s="263" t="s">
        <v>436</v>
      </c>
      <c r="I2166" s="264"/>
      <c r="J2166" s="263" t="s">
        <v>437</v>
      </c>
    </row>
    <row r="2167" spans="1:10" x14ac:dyDescent="0.15">
      <c r="A2167" s="263" t="s">
        <v>9744</v>
      </c>
      <c r="B2167" s="263" t="s">
        <v>9745</v>
      </c>
      <c r="C2167" s="263" t="s">
        <v>96</v>
      </c>
      <c r="D2167" s="263" t="s">
        <v>9746</v>
      </c>
      <c r="E2167" s="263" t="s">
        <v>97</v>
      </c>
      <c r="F2167">
        <v>0</v>
      </c>
      <c r="G2167">
        <v>2</v>
      </c>
      <c r="H2167" s="263" t="s">
        <v>436</v>
      </c>
      <c r="I2167" s="264"/>
      <c r="J2167" s="263" t="s">
        <v>437</v>
      </c>
    </row>
    <row r="2168" spans="1:10" x14ac:dyDescent="0.15">
      <c r="A2168" s="263" t="s">
        <v>5784</v>
      </c>
      <c r="B2168" s="263" t="s">
        <v>5785</v>
      </c>
      <c r="C2168" s="263" t="s">
        <v>96</v>
      </c>
      <c r="D2168" s="263" t="s">
        <v>5786</v>
      </c>
      <c r="E2168" s="263" t="s">
        <v>97</v>
      </c>
      <c r="F2168">
        <v>0</v>
      </c>
      <c r="G2168">
        <v>2</v>
      </c>
      <c r="H2168" s="263" t="s">
        <v>436</v>
      </c>
      <c r="I2168" s="264"/>
      <c r="J2168" s="263" t="s">
        <v>437</v>
      </c>
    </row>
    <row r="2169" spans="1:10" x14ac:dyDescent="0.15">
      <c r="A2169" s="263" t="s">
        <v>5787</v>
      </c>
      <c r="B2169" s="263" t="s">
        <v>5788</v>
      </c>
      <c r="C2169" s="263" t="s">
        <v>96</v>
      </c>
      <c r="D2169" s="263" t="s">
        <v>5789</v>
      </c>
      <c r="E2169" s="263" t="s">
        <v>97</v>
      </c>
      <c r="F2169">
        <v>0</v>
      </c>
      <c r="G2169">
        <v>2</v>
      </c>
      <c r="H2169" s="263" t="s">
        <v>436</v>
      </c>
      <c r="I2169" s="264"/>
      <c r="J2169" s="263" t="s">
        <v>437</v>
      </c>
    </row>
    <row r="2170" spans="1:10" x14ac:dyDescent="0.15">
      <c r="A2170" s="263" t="s">
        <v>5790</v>
      </c>
      <c r="B2170" s="263" t="s">
        <v>5791</v>
      </c>
      <c r="C2170" s="263" t="s">
        <v>96</v>
      </c>
      <c r="D2170" s="263" t="s">
        <v>5792</v>
      </c>
      <c r="E2170" s="263" t="s">
        <v>97</v>
      </c>
      <c r="F2170">
        <v>0</v>
      </c>
      <c r="G2170">
        <v>2</v>
      </c>
      <c r="H2170" s="263" t="s">
        <v>436</v>
      </c>
      <c r="I2170" s="264"/>
      <c r="J2170" s="263" t="s">
        <v>437</v>
      </c>
    </row>
    <row r="2171" spans="1:10" x14ac:dyDescent="0.15">
      <c r="A2171" s="263" t="s">
        <v>5793</v>
      </c>
      <c r="B2171" s="263" t="s">
        <v>5794</v>
      </c>
      <c r="C2171" s="263" t="s">
        <v>96</v>
      </c>
      <c r="D2171" s="263" t="s">
        <v>5795</v>
      </c>
      <c r="E2171" s="263" t="s">
        <v>97</v>
      </c>
      <c r="F2171">
        <v>0</v>
      </c>
      <c r="G2171">
        <v>2</v>
      </c>
      <c r="H2171" s="263" t="s">
        <v>436</v>
      </c>
      <c r="I2171" s="264"/>
      <c r="J2171" s="263" t="s">
        <v>437</v>
      </c>
    </row>
    <row r="2172" spans="1:10" x14ac:dyDescent="0.15">
      <c r="A2172" s="263" t="s">
        <v>5796</v>
      </c>
      <c r="B2172" s="263" t="s">
        <v>5797</v>
      </c>
      <c r="C2172" s="263" t="s">
        <v>96</v>
      </c>
      <c r="D2172" s="263" t="s">
        <v>5798</v>
      </c>
      <c r="E2172" s="263" t="s">
        <v>97</v>
      </c>
      <c r="F2172">
        <v>0</v>
      </c>
      <c r="G2172">
        <v>2</v>
      </c>
      <c r="H2172" s="263" t="s">
        <v>436</v>
      </c>
      <c r="I2172" s="264"/>
      <c r="J2172" s="263" t="s">
        <v>437</v>
      </c>
    </row>
    <row r="2173" spans="1:10" x14ac:dyDescent="0.15">
      <c r="A2173" s="263" t="s">
        <v>5799</v>
      </c>
      <c r="B2173" s="263" t="s">
        <v>5800</v>
      </c>
      <c r="C2173" s="263" t="s">
        <v>96</v>
      </c>
      <c r="D2173" s="263" t="s">
        <v>5801</v>
      </c>
      <c r="E2173" s="263" t="s">
        <v>97</v>
      </c>
      <c r="F2173">
        <v>0</v>
      </c>
      <c r="G2173">
        <v>2</v>
      </c>
      <c r="H2173" s="263" t="s">
        <v>436</v>
      </c>
      <c r="I2173" s="264"/>
      <c r="J2173" s="263" t="s">
        <v>437</v>
      </c>
    </row>
    <row r="2174" spans="1:10" x14ac:dyDescent="0.15">
      <c r="A2174" s="263" t="s">
        <v>5802</v>
      </c>
      <c r="B2174" s="263" t="s">
        <v>5803</v>
      </c>
      <c r="C2174" s="263" t="s">
        <v>96</v>
      </c>
      <c r="D2174" s="263" t="s">
        <v>5804</v>
      </c>
      <c r="E2174" s="263" t="s">
        <v>97</v>
      </c>
      <c r="F2174">
        <v>0</v>
      </c>
      <c r="G2174">
        <v>2</v>
      </c>
      <c r="H2174" s="263" t="s">
        <v>436</v>
      </c>
      <c r="I2174" s="264"/>
      <c r="J2174" s="263" t="s">
        <v>437</v>
      </c>
    </row>
    <row r="2175" spans="1:10" x14ac:dyDescent="0.15">
      <c r="A2175" s="263" t="s">
        <v>5805</v>
      </c>
      <c r="B2175" s="263" t="s">
        <v>5806</v>
      </c>
      <c r="C2175" s="263" t="s">
        <v>96</v>
      </c>
      <c r="D2175" s="263" t="s">
        <v>5807</v>
      </c>
      <c r="E2175" s="263" t="s">
        <v>97</v>
      </c>
      <c r="F2175">
        <v>0</v>
      </c>
      <c r="G2175">
        <v>2</v>
      </c>
      <c r="H2175" s="263" t="s">
        <v>436</v>
      </c>
      <c r="I2175" s="264"/>
      <c r="J2175" s="263" t="s">
        <v>437</v>
      </c>
    </row>
    <row r="2176" spans="1:10" x14ac:dyDescent="0.15">
      <c r="A2176" s="263" t="s">
        <v>5808</v>
      </c>
      <c r="B2176" s="263" t="s">
        <v>5809</v>
      </c>
      <c r="C2176" s="263" t="s">
        <v>96</v>
      </c>
      <c r="D2176" s="263" t="s">
        <v>5810</v>
      </c>
      <c r="E2176" s="263" t="s">
        <v>97</v>
      </c>
      <c r="F2176">
        <v>0</v>
      </c>
      <c r="G2176">
        <v>2</v>
      </c>
      <c r="H2176" s="263" t="s">
        <v>436</v>
      </c>
      <c r="I2176" s="264"/>
      <c r="J2176" s="263" t="s">
        <v>437</v>
      </c>
    </row>
    <row r="2177" spans="1:10" x14ac:dyDescent="0.15">
      <c r="A2177" s="263" t="s">
        <v>9747</v>
      </c>
      <c r="B2177" s="263" t="s">
        <v>9748</v>
      </c>
      <c r="C2177" s="263" t="s">
        <v>96</v>
      </c>
      <c r="D2177" s="263" t="s">
        <v>9749</v>
      </c>
      <c r="E2177" s="263" t="s">
        <v>97</v>
      </c>
      <c r="F2177">
        <v>0</v>
      </c>
      <c r="G2177">
        <v>2</v>
      </c>
      <c r="H2177" s="263" t="s">
        <v>436</v>
      </c>
      <c r="I2177" s="264"/>
      <c r="J2177" s="263" t="s">
        <v>437</v>
      </c>
    </row>
    <row r="2178" spans="1:10" x14ac:dyDescent="0.15">
      <c r="A2178" s="263" t="s">
        <v>5811</v>
      </c>
      <c r="B2178" s="263" t="s">
        <v>5812</v>
      </c>
      <c r="C2178" s="263" t="s">
        <v>96</v>
      </c>
      <c r="D2178" s="263" t="s">
        <v>5813</v>
      </c>
      <c r="E2178" s="263" t="s">
        <v>97</v>
      </c>
      <c r="F2178">
        <v>0</v>
      </c>
      <c r="G2178">
        <v>2</v>
      </c>
      <c r="H2178" s="263" t="s">
        <v>436</v>
      </c>
      <c r="I2178" s="264"/>
      <c r="J2178" s="263" t="s">
        <v>437</v>
      </c>
    </row>
    <row r="2179" spans="1:10" x14ac:dyDescent="0.15">
      <c r="A2179" s="263" t="s">
        <v>5814</v>
      </c>
      <c r="B2179" s="263" t="s">
        <v>5815</v>
      </c>
      <c r="C2179" s="263" t="s">
        <v>96</v>
      </c>
      <c r="D2179" s="263" t="s">
        <v>5816</v>
      </c>
      <c r="E2179" s="263" t="s">
        <v>97</v>
      </c>
      <c r="F2179">
        <v>0</v>
      </c>
      <c r="G2179">
        <v>2</v>
      </c>
      <c r="H2179" s="263" t="s">
        <v>436</v>
      </c>
      <c r="I2179" s="264"/>
      <c r="J2179" s="263" t="s">
        <v>437</v>
      </c>
    </row>
    <row r="2180" spans="1:10" x14ac:dyDescent="0.15">
      <c r="A2180" s="263" t="s">
        <v>5817</v>
      </c>
      <c r="B2180" s="263" t="s">
        <v>5818</v>
      </c>
      <c r="C2180" s="263" t="s">
        <v>96</v>
      </c>
      <c r="D2180" s="263" t="s">
        <v>5819</v>
      </c>
      <c r="E2180" s="263" t="s">
        <v>97</v>
      </c>
      <c r="F2180">
        <v>0</v>
      </c>
      <c r="G2180">
        <v>2</v>
      </c>
      <c r="H2180" s="263" t="s">
        <v>436</v>
      </c>
      <c r="I2180" s="264"/>
      <c r="J2180" s="263" t="s">
        <v>437</v>
      </c>
    </row>
    <row r="2181" spans="1:10" x14ac:dyDescent="0.15">
      <c r="A2181" s="263" t="s">
        <v>5820</v>
      </c>
      <c r="B2181" s="263" t="s">
        <v>5821</v>
      </c>
      <c r="C2181" s="263" t="s">
        <v>96</v>
      </c>
      <c r="D2181" s="263" t="s">
        <v>5822</v>
      </c>
      <c r="E2181" s="263" t="s">
        <v>97</v>
      </c>
      <c r="F2181">
        <v>0</v>
      </c>
      <c r="G2181">
        <v>2</v>
      </c>
      <c r="H2181" s="263" t="s">
        <v>436</v>
      </c>
      <c r="I2181" s="264"/>
      <c r="J2181" s="263" t="s">
        <v>437</v>
      </c>
    </row>
    <row r="2182" spans="1:10" x14ac:dyDescent="0.15">
      <c r="A2182" s="263" t="s">
        <v>9750</v>
      </c>
      <c r="B2182" s="263" t="s">
        <v>9751</v>
      </c>
      <c r="C2182" s="263" t="s">
        <v>96</v>
      </c>
      <c r="D2182" s="263" t="s">
        <v>9752</v>
      </c>
      <c r="E2182" s="263" t="s">
        <v>97</v>
      </c>
      <c r="F2182">
        <v>0</v>
      </c>
      <c r="G2182">
        <v>2</v>
      </c>
      <c r="H2182" s="263" t="s">
        <v>436</v>
      </c>
      <c r="I2182" s="264"/>
      <c r="J2182" s="263" t="s">
        <v>437</v>
      </c>
    </row>
    <row r="2183" spans="1:10" x14ac:dyDescent="0.15">
      <c r="A2183" s="263" t="s">
        <v>5823</v>
      </c>
      <c r="B2183" s="263" t="s">
        <v>5824</v>
      </c>
      <c r="C2183" s="263" t="s">
        <v>96</v>
      </c>
      <c r="D2183" s="263" t="s">
        <v>5825</v>
      </c>
      <c r="E2183" s="263" t="s">
        <v>97</v>
      </c>
      <c r="F2183">
        <v>0</v>
      </c>
      <c r="G2183">
        <v>2</v>
      </c>
      <c r="H2183" s="263" t="s">
        <v>436</v>
      </c>
      <c r="I2183" s="264"/>
      <c r="J2183" s="263" t="s">
        <v>437</v>
      </c>
    </row>
    <row r="2184" spans="1:10" x14ac:dyDescent="0.15">
      <c r="A2184" s="263" t="s">
        <v>5826</v>
      </c>
      <c r="B2184" s="263" t="s">
        <v>5827</v>
      </c>
      <c r="C2184" s="263" t="s">
        <v>96</v>
      </c>
      <c r="D2184" s="263" t="s">
        <v>5828</v>
      </c>
      <c r="E2184" s="263" t="s">
        <v>97</v>
      </c>
      <c r="F2184">
        <v>0</v>
      </c>
      <c r="G2184">
        <v>2</v>
      </c>
      <c r="H2184" s="263" t="s">
        <v>436</v>
      </c>
      <c r="I2184" s="264"/>
      <c r="J2184" s="263" t="s">
        <v>437</v>
      </c>
    </row>
    <row r="2185" spans="1:10" x14ac:dyDescent="0.15">
      <c r="A2185" s="263" t="s">
        <v>5829</v>
      </c>
      <c r="B2185" s="263" t="s">
        <v>5830</v>
      </c>
      <c r="C2185" s="263" t="s">
        <v>96</v>
      </c>
      <c r="D2185" s="263" t="s">
        <v>5831</v>
      </c>
      <c r="E2185" s="263" t="s">
        <v>97</v>
      </c>
      <c r="F2185">
        <v>0</v>
      </c>
      <c r="G2185">
        <v>2</v>
      </c>
      <c r="H2185" s="263" t="s">
        <v>436</v>
      </c>
      <c r="I2185" s="264"/>
      <c r="J2185" s="263" t="s">
        <v>437</v>
      </c>
    </row>
    <row r="2186" spans="1:10" x14ac:dyDescent="0.15">
      <c r="A2186" s="263" t="s">
        <v>5832</v>
      </c>
      <c r="B2186" s="263" t="s">
        <v>5833</v>
      </c>
      <c r="C2186" s="263" t="s">
        <v>96</v>
      </c>
      <c r="D2186" s="263" t="s">
        <v>5834</v>
      </c>
      <c r="E2186" s="263" t="s">
        <v>97</v>
      </c>
      <c r="F2186">
        <v>0</v>
      </c>
      <c r="G2186">
        <v>2</v>
      </c>
      <c r="H2186" s="263" t="s">
        <v>436</v>
      </c>
      <c r="I2186" s="264"/>
      <c r="J2186" s="263" t="s">
        <v>437</v>
      </c>
    </row>
    <row r="2187" spans="1:10" x14ac:dyDescent="0.15">
      <c r="A2187" s="263" t="s">
        <v>9753</v>
      </c>
      <c r="B2187" s="263" t="s">
        <v>9754</v>
      </c>
      <c r="C2187" s="263" t="s">
        <v>96</v>
      </c>
      <c r="D2187" s="263" t="s">
        <v>9755</v>
      </c>
      <c r="E2187" s="263" t="s">
        <v>97</v>
      </c>
      <c r="F2187">
        <v>0</v>
      </c>
      <c r="G2187">
        <v>2</v>
      </c>
      <c r="H2187" s="263" t="s">
        <v>436</v>
      </c>
      <c r="I2187" s="264"/>
      <c r="J2187" s="263" t="s">
        <v>437</v>
      </c>
    </row>
    <row r="2188" spans="1:10" x14ac:dyDescent="0.15">
      <c r="A2188" s="263" t="s">
        <v>5835</v>
      </c>
      <c r="B2188" s="263" t="s">
        <v>5836</v>
      </c>
      <c r="C2188" s="263" t="s">
        <v>96</v>
      </c>
      <c r="D2188" s="263" t="s">
        <v>5837</v>
      </c>
      <c r="E2188" s="263" t="s">
        <v>97</v>
      </c>
      <c r="F2188">
        <v>0</v>
      </c>
      <c r="G2188">
        <v>2</v>
      </c>
      <c r="H2188" s="263" t="s">
        <v>436</v>
      </c>
      <c r="I2188" s="264"/>
      <c r="J2188" s="263" t="s">
        <v>437</v>
      </c>
    </row>
    <row r="2189" spans="1:10" x14ac:dyDescent="0.15">
      <c r="A2189" s="263" t="s">
        <v>5838</v>
      </c>
      <c r="B2189" s="263" t="s">
        <v>5839</v>
      </c>
      <c r="C2189" s="263" t="s">
        <v>96</v>
      </c>
      <c r="D2189" s="263" t="s">
        <v>5840</v>
      </c>
      <c r="E2189" s="263" t="s">
        <v>97</v>
      </c>
      <c r="F2189">
        <v>0</v>
      </c>
      <c r="G2189">
        <v>2</v>
      </c>
      <c r="H2189" s="263" t="s">
        <v>436</v>
      </c>
      <c r="I2189" s="264"/>
      <c r="J2189" s="263" t="s">
        <v>437</v>
      </c>
    </row>
    <row r="2190" spans="1:10" x14ac:dyDescent="0.15">
      <c r="A2190" s="263" t="s">
        <v>5841</v>
      </c>
      <c r="B2190" s="263" t="s">
        <v>5842</v>
      </c>
      <c r="C2190" s="263" t="s">
        <v>96</v>
      </c>
      <c r="D2190" s="263" t="s">
        <v>5843</v>
      </c>
      <c r="E2190" s="263" t="s">
        <v>97</v>
      </c>
      <c r="F2190">
        <v>0</v>
      </c>
      <c r="G2190">
        <v>2</v>
      </c>
      <c r="H2190" s="263" t="s">
        <v>436</v>
      </c>
      <c r="I2190" s="264"/>
      <c r="J2190" s="263" t="s">
        <v>437</v>
      </c>
    </row>
    <row r="2191" spans="1:10" x14ac:dyDescent="0.15">
      <c r="A2191" s="263" t="s">
        <v>5844</v>
      </c>
      <c r="B2191" s="263" t="s">
        <v>5845</v>
      </c>
      <c r="C2191" s="263" t="s">
        <v>96</v>
      </c>
      <c r="D2191" s="263" t="s">
        <v>5846</v>
      </c>
      <c r="E2191" s="263" t="s">
        <v>97</v>
      </c>
      <c r="F2191">
        <v>0</v>
      </c>
      <c r="G2191">
        <v>2</v>
      </c>
      <c r="H2191" s="263" t="s">
        <v>436</v>
      </c>
      <c r="I2191" s="264"/>
      <c r="J2191" s="263" t="s">
        <v>437</v>
      </c>
    </row>
    <row r="2192" spans="1:10" x14ac:dyDescent="0.15">
      <c r="A2192" s="263" t="s">
        <v>9756</v>
      </c>
      <c r="B2192" s="263" t="s">
        <v>9757</v>
      </c>
      <c r="C2192" s="263" t="s">
        <v>96</v>
      </c>
      <c r="D2192" s="263" t="s">
        <v>9758</v>
      </c>
      <c r="E2192" s="263" t="s">
        <v>97</v>
      </c>
      <c r="F2192">
        <v>0</v>
      </c>
      <c r="G2192">
        <v>2</v>
      </c>
      <c r="H2192" s="263" t="s">
        <v>436</v>
      </c>
      <c r="I2192" s="264"/>
      <c r="J2192" s="263" t="s">
        <v>437</v>
      </c>
    </row>
    <row r="2193" spans="1:10" x14ac:dyDescent="0.15">
      <c r="A2193" s="263" t="s">
        <v>5847</v>
      </c>
      <c r="B2193" s="263" t="s">
        <v>5848</v>
      </c>
      <c r="C2193" s="263" t="s">
        <v>96</v>
      </c>
      <c r="D2193" s="263" t="s">
        <v>5849</v>
      </c>
      <c r="E2193" s="263" t="s">
        <v>97</v>
      </c>
      <c r="F2193">
        <v>0</v>
      </c>
      <c r="G2193">
        <v>2</v>
      </c>
      <c r="H2193" s="263" t="s">
        <v>436</v>
      </c>
      <c r="I2193" s="264"/>
      <c r="J2193" s="263" t="s">
        <v>437</v>
      </c>
    </row>
    <row r="2194" spans="1:10" x14ac:dyDescent="0.15">
      <c r="A2194" s="263" t="s">
        <v>5850</v>
      </c>
      <c r="B2194" s="263" t="s">
        <v>5851</v>
      </c>
      <c r="C2194" s="263" t="s">
        <v>96</v>
      </c>
      <c r="D2194" s="263" t="s">
        <v>5852</v>
      </c>
      <c r="E2194" s="263" t="s">
        <v>97</v>
      </c>
      <c r="F2194">
        <v>0</v>
      </c>
      <c r="G2194">
        <v>2</v>
      </c>
      <c r="H2194" s="263" t="s">
        <v>436</v>
      </c>
      <c r="I2194" s="264"/>
      <c r="J2194" s="263" t="s">
        <v>437</v>
      </c>
    </row>
    <row r="2195" spans="1:10" x14ac:dyDescent="0.15">
      <c r="A2195" s="263" t="s">
        <v>5853</v>
      </c>
      <c r="B2195" s="263" t="s">
        <v>5854</v>
      </c>
      <c r="C2195" s="263" t="s">
        <v>96</v>
      </c>
      <c r="D2195" s="263" t="s">
        <v>5855</v>
      </c>
      <c r="E2195" s="263" t="s">
        <v>97</v>
      </c>
      <c r="F2195">
        <v>0</v>
      </c>
      <c r="G2195">
        <v>2</v>
      </c>
      <c r="H2195" s="263" t="s">
        <v>436</v>
      </c>
      <c r="I2195" s="264"/>
      <c r="J2195" s="263" t="s">
        <v>437</v>
      </c>
    </row>
    <row r="2196" spans="1:10" x14ac:dyDescent="0.15">
      <c r="A2196" s="263" t="s">
        <v>5856</v>
      </c>
      <c r="B2196" s="263" t="s">
        <v>5857</v>
      </c>
      <c r="C2196" s="263" t="s">
        <v>96</v>
      </c>
      <c r="D2196" s="263" t="s">
        <v>5858</v>
      </c>
      <c r="E2196" s="263" t="s">
        <v>97</v>
      </c>
      <c r="F2196">
        <v>0</v>
      </c>
      <c r="G2196">
        <v>2</v>
      </c>
      <c r="H2196" s="263" t="s">
        <v>436</v>
      </c>
      <c r="I2196" s="264"/>
      <c r="J2196" s="263" t="s">
        <v>437</v>
      </c>
    </row>
    <row r="2197" spans="1:10" x14ac:dyDescent="0.15">
      <c r="A2197" s="263" t="s">
        <v>9759</v>
      </c>
      <c r="B2197" s="263" t="s">
        <v>9760</v>
      </c>
      <c r="C2197" s="263" t="s">
        <v>96</v>
      </c>
      <c r="D2197" s="263" t="s">
        <v>9761</v>
      </c>
      <c r="E2197" s="263" t="s">
        <v>97</v>
      </c>
      <c r="F2197">
        <v>0</v>
      </c>
      <c r="G2197">
        <v>2</v>
      </c>
      <c r="H2197" s="263" t="s">
        <v>436</v>
      </c>
      <c r="I2197" s="264"/>
      <c r="J2197" s="263" t="s">
        <v>437</v>
      </c>
    </row>
    <row r="2198" spans="1:10" x14ac:dyDescent="0.15">
      <c r="A2198" s="263" t="s">
        <v>5859</v>
      </c>
      <c r="B2198" s="263" t="s">
        <v>5860</v>
      </c>
      <c r="C2198" s="263" t="s">
        <v>96</v>
      </c>
      <c r="D2198" s="263" t="s">
        <v>5861</v>
      </c>
      <c r="E2198" s="263" t="s">
        <v>97</v>
      </c>
      <c r="F2198">
        <v>0</v>
      </c>
      <c r="G2198">
        <v>2</v>
      </c>
      <c r="H2198" s="263" t="s">
        <v>436</v>
      </c>
      <c r="I2198" s="264"/>
      <c r="J2198" s="263" t="s">
        <v>437</v>
      </c>
    </row>
    <row r="2199" spans="1:10" x14ac:dyDescent="0.15">
      <c r="A2199" s="263" t="s">
        <v>5862</v>
      </c>
      <c r="B2199" s="263" t="s">
        <v>5863</v>
      </c>
      <c r="C2199" s="263" t="s">
        <v>96</v>
      </c>
      <c r="D2199" s="263" t="s">
        <v>5864</v>
      </c>
      <c r="E2199" s="263" t="s">
        <v>97</v>
      </c>
      <c r="F2199">
        <v>0</v>
      </c>
      <c r="G2199">
        <v>2</v>
      </c>
      <c r="H2199" s="263" t="s">
        <v>436</v>
      </c>
      <c r="I2199" s="264"/>
      <c r="J2199" s="263" t="s">
        <v>437</v>
      </c>
    </row>
    <row r="2200" spans="1:10" x14ac:dyDescent="0.15">
      <c r="A2200" s="263" t="s">
        <v>5865</v>
      </c>
      <c r="B2200" s="263" t="s">
        <v>5866</v>
      </c>
      <c r="C2200" s="263" t="s">
        <v>96</v>
      </c>
      <c r="D2200" s="263" t="s">
        <v>5867</v>
      </c>
      <c r="E2200" s="263" t="s">
        <v>97</v>
      </c>
      <c r="F2200">
        <v>0</v>
      </c>
      <c r="G2200">
        <v>2</v>
      </c>
      <c r="H2200" s="263" t="s">
        <v>436</v>
      </c>
      <c r="I2200" s="264"/>
      <c r="J2200" s="263" t="s">
        <v>437</v>
      </c>
    </row>
    <row r="2201" spans="1:10" x14ac:dyDescent="0.15">
      <c r="A2201" s="263" t="s">
        <v>5868</v>
      </c>
      <c r="B2201" s="263" t="s">
        <v>5869</v>
      </c>
      <c r="C2201" s="263" t="s">
        <v>96</v>
      </c>
      <c r="D2201" s="263" t="s">
        <v>5870</v>
      </c>
      <c r="E2201" s="263" t="s">
        <v>97</v>
      </c>
      <c r="F2201">
        <v>0</v>
      </c>
      <c r="G2201">
        <v>2</v>
      </c>
      <c r="H2201" s="263" t="s">
        <v>436</v>
      </c>
      <c r="I2201" s="264"/>
      <c r="J2201" s="263" t="s">
        <v>437</v>
      </c>
    </row>
    <row r="2202" spans="1:10" x14ac:dyDescent="0.15">
      <c r="A2202" s="263" t="s">
        <v>9762</v>
      </c>
      <c r="B2202" s="263" t="s">
        <v>9763</v>
      </c>
      <c r="C2202" s="263" t="s">
        <v>96</v>
      </c>
      <c r="D2202" s="263" t="s">
        <v>9764</v>
      </c>
      <c r="E2202" s="263" t="s">
        <v>97</v>
      </c>
      <c r="F2202">
        <v>0</v>
      </c>
      <c r="G2202">
        <v>2</v>
      </c>
      <c r="H2202" s="263" t="s">
        <v>436</v>
      </c>
      <c r="I2202" s="264"/>
      <c r="J2202" s="263" t="s">
        <v>437</v>
      </c>
    </row>
    <row r="2203" spans="1:10" x14ac:dyDescent="0.15">
      <c r="A2203" s="263" t="s">
        <v>5871</v>
      </c>
      <c r="B2203" s="263" t="s">
        <v>5872</v>
      </c>
      <c r="C2203" s="263" t="s">
        <v>96</v>
      </c>
      <c r="D2203" s="263" t="s">
        <v>5873</v>
      </c>
      <c r="E2203" s="263" t="s">
        <v>97</v>
      </c>
      <c r="F2203">
        <v>0</v>
      </c>
      <c r="G2203">
        <v>2</v>
      </c>
      <c r="H2203" s="263" t="s">
        <v>436</v>
      </c>
      <c r="I2203" s="264"/>
      <c r="J2203" s="263" t="s">
        <v>437</v>
      </c>
    </row>
    <row r="2204" spans="1:10" x14ac:dyDescent="0.15">
      <c r="A2204" s="263" t="s">
        <v>5874</v>
      </c>
      <c r="B2204" s="263" t="s">
        <v>5875</v>
      </c>
      <c r="C2204" s="263" t="s">
        <v>96</v>
      </c>
      <c r="D2204" s="263" t="s">
        <v>5876</v>
      </c>
      <c r="E2204" s="263" t="s">
        <v>97</v>
      </c>
      <c r="F2204">
        <v>0</v>
      </c>
      <c r="G2204">
        <v>2</v>
      </c>
      <c r="H2204" s="263" t="s">
        <v>436</v>
      </c>
      <c r="I2204" s="264"/>
      <c r="J2204" s="263" t="s">
        <v>437</v>
      </c>
    </row>
    <row r="2205" spans="1:10" x14ac:dyDescent="0.15">
      <c r="A2205" s="263" t="s">
        <v>5877</v>
      </c>
      <c r="B2205" s="263" t="s">
        <v>5878</v>
      </c>
      <c r="C2205" s="263" t="s">
        <v>96</v>
      </c>
      <c r="D2205" s="263" t="s">
        <v>5879</v>
      </c>
      <c r="E2205" s="263" t="s">
        <v>97</v>
      </c>
      <c r="F2205">
        <v>0</v>
      </c>
      <c r="G2205">
        <v>2</v>
      </c>
      <c r="H2205" s="263" t="s">
        <v>436</v>
      </c>
      <c r="I2205" s="264"/>
      <c r="J2205" s="263" t="s">
        <v>437</v>
      </c>
    </row>
    <row r="2206" spans="1:10" x14ac:dyDescent="0.15">
      <c r="A2206" s="263" t="s">
        <v>5880</v>
      </c>
      <c r="B2206" s="263" t="s">
        <v>5881</v>
      </c>
      <c r="C2206" s="263" t="s">
        <v>96</v>
      </c>
      <c r="D2206" s="263" t="s">
        <v>5882</v>
      </c>
      <c r="E2206" s="263" t="s">
        <v>97</v>
      </c>
      <c r="F2206">
        <v>0</v>
      </c>
      <c r="G2206">
        <v>2</v>
      </c>
      <c r="H2206" s="263" t="s">
        <v>436</v>
      </c>
      <c r="I2206" s="264"/>
      <c r="J2206" s="263" t="s">
        <v>437</v>
      </c>
    </row>
    <row r="2207" spans="1:10" x14ac:dyDescent="0.15">
      <c r="A2207" s="263" t="s">
        <v>9765</v>
      </c>
      <c r="B2207" s="263" t="s">
        <v>9766</v>
      </c>
      <c r="C2207" s="263" t="s">
        <v>96</v>
      </c>
      <c r="D2207" s="263" t="s">
        <v>9767</v>
      </c>
      <c r="E2207" s="263" t="s">
        <v>97</v>
      </c>
      <c r="F2207">
        <v>0</v>
      </c>
      <c r="G2207">
        <v>2</v>
      </c>
      <c r="H2207" s="263" t="s">
        <v>436</v>
      </c>
      <c r="I2207" s="264"/>
      <c r="J2207" s="263" t="s">
        <v>437</v>
      </c>
    </row>
    <row r="2208" spans="1:10" x14ac:dyDescent="0.15">
      <c r="A2208" s="263" t="s">
        <v>5883</v>
      </c>
      <c r="B2208" s="263" t="s">
        <v>5884</v>
      </c>
      <c r="C2208" s="263" t="s">
        <v>96</v>
      </c>
      <c r="D2208" s="263" t="s">
        <v>5885</v>
      </c>
      <c r="E2208" s="263" t="s">
        <v>97</v>
      </c>
      <c r="F2208">
        <v>0</v>
      </c>
      <c r="G2208">
        <v>2</v>
      </c>
      <c r="H2208" s="263" t="s">
        <v>436</v>
      </c>
      <c r="I2208" s="264"/>
      <c r="J2208" s="263" t="s">
        <v>437</v>
      </c>
    </row>
    <row r="2209" spans="1:10" x14ac:dyDescent="0.15">
      <c r="A2209" s="263" t="s">
        <v>5886</v>
      </c>
      <c r="B2209" s="263" t="s">
        <v>5887</v>
      </c>
      <c r="C2209" s="263" t="s">
        <v>96</v>
      </c>
      <c r="D2209" s="263" t="s">
        <v>5888</v>
      </c>
      <c r="E2209" s="263" t="s">
        <v>97</v>
      </c>
      <c r="F2209">
        <v>0</v>
      </c>
      <c r="G2209">
        <v>2</v>
      </c>
      <c r="H2209" s="263" t="s">
        <v>436</v>
      </c>
      <c r="I2209" s="264"/>
      <c r="J2209" s="263" t="s">
        <v>437</v>
      </c>
    </row>
    <row r="2210" spans="1:10" x14ac:dyDescent="0.15">
      <c r="A2210" s="263" t="s">
        <v>5889</v>
      </c>
      <c r="B2210" s="263" t="s">
        <v>5890</v>
      </c>
      <c r="C2210" s="263" t="s">
        <v>96</v>
      </c>
      <c r="D2210" s="263" t="s">
        <v>5891</v>
      </c>
      <c r="E2210" s="263" t="s">
        <v>97</v>
      </c>
      <c r="F2210">
        <v>0</v>
      </c>
      <c r="G2210">
        <v>2</v>
      </c>
      <c r="H2210" s="263" t="s">
        <v>436</v>
      </c>
      <c r="I2210" s="264"/>
      <c r="J2210" s="263" t="s">
        <v>437</v>
      </c>
    </row>
    <row r="2211" spans="1:10" x14ac:dyDescent="0.15">
      <c r="A2211" s="263" t="s">
        <v>5892</v>
      </c>
      <c r="B2211" s="263" t="s">
        <v>5893</v>
      </c>
      <c r="C2211" s="263" t="s">
        <v>96</v>
      </c>
      <c r="D2211" s="263" t="s">
        <v>5894</v>
      </c>
      <c r="E2211" s="263" t="s">
        <v>97</v>
      </c>
      <c r="F2211">
        <v>0</v>
      </c>
      <c r="G2211">
        <v>2</v>
      </c>
      <c r="H2211" s="263" t="s">
        <v>436</v>
      </c>
      <c r="I2211" s="264"/>
      <c r="J2211" s="263" t="s">
        <v>437</v>
      </c>
    </row>
    <row r="2212" spans="1:10" x14ac:dyDescent="0.15">
      <c r="A2212" s="263" t="s">
        <v>9768</v>
      </c>
      <c r="B2212" s="263" t="s">
        <v>9769</v>
      </c>
      <c r="C2212" s="263" t="s">
        <v>96</v>
      </c>
      <c r="D2212" s="263" t="s">
        <v>9770</v>
      </c>
      <c r="E2212" s="263" t="s">
        <v>97</v>
      </c>
      <c r="F2212">
        <v>0</v>
      </c>
      <c r="G2212">
        <v>2</v>
      </c>
      <c r="H2212" s="263" t="s">
        <v>436</v>
      </c>
      <c r="I2212" s="264"/>
      <c r="J2212" s="263" t="s">
        <v>437</v>
      </c>
    </row>
    <row r="2213" spans="1:10" x14ac:dyDescent="0.15">
      <c r="A2213" s="263" t="s">
        <v>5895</v>
      </c>
      <c r="B2213" s="263" t="s">
        <v>5896</v>
      </c>
      <c r="C2213" s="263" t="s">
        <v>96</v>
      </c>
      <c r="D2213" s="263" t="s">
        <v>5897</v>
      </c>
      <c r="E2213" s="263" t="s">
        <v>97</v>
      </c>
      <c r="F2213">
        <v>0</v>
      </c>
      <c r="G2213">
        <v>2</v>
      </c>
      <c r="H2213" s="263" t="s">
        <v>436</v>
      </c>
      <c r="I2213" s="264"/>
      <c r="J2213" s="263" t="s">
        <v>437</v>
      </c>
    </row>
    <row r="2214" spans="1:10" x14ac:dyDescent="0.15">
      <c r="A2214" s="263" t="s">
        <v>5898</v>
      </c>
      <c r="B2214" s="263" t="s">
        <v>5899</v>
      </c>
      <c r="C2214" s="263" t="s">
        <v>96</v>
      </c>
      <c r="D2214" s="263" t="s">
        <v>5900</v>
      </c>
      <c r="E2214" s="263" t="s">
        <v>97</v>
      </c>
      <c r="F2214">
        <v>0</v>
      </c>
      <c r="G2214">
        <v>2</v>
      </c>
      <c r="H2214" s="263" t="s">
        <v>436</v>
      </c>
      <c r="I2214" s="264"/>
      <c r="J2214" s="263" t="s">
        <v>437</v>
      </c>
    </row>
    <row r="2215" spans="1:10" x14ac:dyDescent="0.15">
      <c r="A2215" s="263" t="s">
        <v>5901</v>
      </c>
      <c r="B2215" s="263" t="s">
        <v>5902</v>
      </c>
      <c r="C2215" s="263" t="s">
        <v>96</v>
      </c>
      <c r="D2215" s="263" t="s">
        <v>5903</v>
      </c>
      <c r="E2215" s="263" t="s">
        <v>97</v>
      </c>
      <c r="F2215">
        <v>0</v>
      </c>
      <c r="G2215">
        <v>2</v>
      </c>
      <c r="H2215" s="263" t="s">
        <v>436</v>
      </c>
      <c r="I2215" s="264"/>
      <c r="J2215" s="263" t="s">
        <v>437</v>
      </c>
    </row>
    <row r="2216" spans="1:10" x14ac:dyDescent="0.15">
      <c r="A2216" s="263" t="s">
        <v>5904</v>
      </c>
      <c r="B2216" s="263" t="s">
        <v>5905</v>
      </c>
      <c r="C2216" s="263" t="s">
        <v>96</v>
      </c>
      <c r="D2216" s="263" t="s">
        <v>5906</v>
      </c>
      <c r="E2216" s="263" t="s">
        <v>97</v>
      </c>
      <c r="F2216">
        <v>0</v>
      </c>
      <c r="G2216">
        <v>2</v>
      </c>
      <c r="H2216" s="263" t="s">
        <v>436</v>
      </c>
      <c r="I2216" s="264"/>
      <c r="J2216" s="263" t="s">
        <v>437</v>
      </c>
    </row>
    <row r="2217" spans="1:10" x14ac:dyDescent="0.15">
      <c r="A2217" s="263" t="s">
        <v>9771</v>
      </c>
      <c r="B2217" s="263" t="s">
        <v>9772</v>
      </c>
      <c r="C2217" s="263" t="s">
        <v>96</v>
      </c>
      <c r="D2217" s="263" t="s">
        <v>9773</v>
      </c>
      <c r="E2217" s="263" t="s">
        <v>97</v>
      </c>
      <c r="F2217">
        <v>0</v>
      </c>
      <c r="G2217">
        <v>2</v>
      </c>
      <c r="H2217" s="263" t="s">
        <v>436</v>
      </c>
      <c r="I2217" s="264"/>
      <c r="J2217" s="263" t="s">
        <v>437</v>
      </c>
    </row>
    <row r="2218" spans="1:10" x14ac:dyDescent="0.15">
      <c r="A2218" s="263" t="s">
        <v>5907</v>
      </c>
      <c r="B2218" s="263" t="s">
        <v>5908</v>
      </c>
      <c r="C2218" s="263" t="s">
        <v>96</v>
      </c>
      <c r="D2218" s="263" t="s">
        <v>5909</v>
      </c>
      <c r="E2218" s="263" t="s">
        <v>97</v>
      </c>
      <c r="F2218">
        <v>0</v>
      </c>
      <c r="G2218">
        <v>2</v>
      </c>
      <c r="H2218" s="263" t="s">
        <v>436</v>
      </c>
      <c r="I2218" s="264"/>
      <c r="J2218" s="263" t="s">
        <v>437</v>
      </c>
    </row>
    <row r="2219" spans="1:10" x14ac:dyDescent="0.15">
      <c r="A2219" s="263" t="s">
        <v>5910</v>
      </c>
      <c r="B2219" s="263" t="s">
        <v>5911</v>
      </c>
      <c r="C2219" s="263" t="s">
        <v>96</v>
      </c>
      <c r="D2219" s="263" t="s">
        <v>5912</v>
      </c>
      <c r="E2219" s="263" t="s">
        <v>97</v>
      </c>
      <c r="F2219">
        <v>0</v>
      </c>
      <c r="G2219">
        <v>2</v>
      </c>
      <c r="H2219" s="263" t="s">
        <v>436</v>
      </c>
      <c r="I2219" s="264"/>
      <c r="J2219" s="263" t="s">
        <v>437</v>
      </c>
    </row>
    <row r="2220" spans="1:10" x14ac:dyDescent="0.15">
      <c r="A2220" s="263" t="s">
        <v>5913</v>
      </c>
      <c r="B2220" s="263" t="s">
        <v>5914</v>
      </c>
      <c r="C2220" s="263" t="s">
        <v>96</v>
      </c>
      <c r="D2220" s="263" t="s">
        <v>5915</v>
      </c>
      <c r="E2220" s="263" t="s">
        <v>97</v>
      </c>
      <c r="F2220">
        <v>0</v>
      </c>
      <c r="G2220">
        <v>2</v>
      </c>
      <c r="H2220" s="263" t="s">
        <v>436</v>
      </c>
      <c r="I2220" s="264"/>
      <c r="J2220" s="263" t="s">
        <v>437</v>
      </c>
    </row>
    <row r="2221" spans="1:10" x14ac:dyDescent="0.15">
      <c r="A2221" s="263" t="s">
        <v>5916</v>
      </c>
      <c r="B2221" s="263" t="s">
        <v>5917</v>
      </c>
      <c r="C2221" s="263" t="s">
        <v>96</v>
      </c>
      <c r="D2221" s="263" t="s">
        <v>5918</v>
      </c>
      <c r="E2221" s="263" t="s">
        <v>97</v>
      </c>
      <c r="F2221">
        <v>0</v>
      </c>
      <c r="G2221">
        <v>2</v>
      </c>
      <c r="H2221" s="263" t="s">
        <v>436</v>
      </c>
      <c r="I2221" s="264"/>
      <c r="J2221" s="263" t="s">
        <v>437</v>
      </c>
    </row>
    <row r="2222" spans="1:10" x14ac:dyDescent="0.15">
      <c r="A2222" s="263" t="s">
        <v>9774</v>
      </c>
      <c r="B2222" s="263" t="s">
        <v>9775</v>
      </c>
      <c r="C2222" s="263" t="s">
        <v>96</v>
      </c>
      <c r="D2222" s="263" t="s">
        <v>9776</v>
      </c>
      <c r="E2222" s="263" t="s">
        <v>97</v>
      </c>
      <c r="F2222">
        <v>0</v>
      </c>
      <c r="G2222">
        <v>2</v>
      </c>
      <c r="H2222" s="263" t="s">
        <v>436</v>
      </c>
      <c r="I2222" s="264"/>
      <c r="J2222" s="263" t="s">
        <v>437</v>
      </c>
    </row>
    <row r="2223" spans="1:10" x14ac:dyDescent="0.15">
      <c r="A2223" s="263" t="s">
        <v>5919</v>
      </c>
      <c r="B2223" s="263" t="s">
        <v>5920</v>
      </c>
      <c r="C2223" s="263" t="s">
        <v>96</v>
      </c>
      <c r="D2223" s="263" t="s">
        <v>5921</v>
      </c>
      <c r="E2223" s="263" t="s">
        <v>97</v>
      </c>
      <c r="F2223">
        <v>0</v>
      </c>
      <c r="G2223">
        <v>2</v>
      </c>
      <c r="H2223" s="263" t="s">
        <v>436</v>
      </c>
      <c r="I2223" s="264"/>
      <c r="J2223" s="263" t="s">
        <v>437</v>
      </c>
    </row>
    <row r="2224" spans="1:10" x14ac:dyDescent="0.15">
      <c r="A2224" s="263" t="s">
        <v>5922</v>
      </c>
      <c r="B2224" s="263" t="s">
        <v>5923</v>
      </c>
      <c r="C2224" s="263" t="s">
        <v>96</v>
      </c>
      <c r="D2224" s="263" t="s">
        <v>5924</v>
      </c>
      <c r="E2224" s="263" t="s">
        <v>97</v>
      </c>
      <c r="F2224">
        <v>0</v>
      </c>
      <c r="G2224">
        <v>2</v>
      </c>
      <c r="H2224" s="263" t="s">
        <v>436</v>
      </c>
      <c r="I2224" s="264"/>
      <c r="J2224" s="263" t="s">
        <v>437</v>
      </c>
    </row>
    <row r="2225" spans="1:10" x14ac:dyDescent="0.15">
      <c r="A2225" s="263" t="s">
        <v>5925</v>
      </c>
      <c r="B2225" s="263" t="s">
        <v>5926</v>
      </c>
      <c r="C2225" s="263" t="s">
        <v>96</v>
      </c>
      <c r="D2225" s="263" t="s">
        <v>5927</v>
      </c>
      <c r="E2225" s="263" t="s">
        <v>97</v>
      </c>
      <c r="F2225">
        <v>0</v>
      </c>
      <c r="G2225">
        <v>2</v>
      </c>
      <c r="H2225" s="263" t="s">
        <v>436</v>
      </c>
      <c r="I2225" s="264"/>
      <c r="J2225" s="263" t="s">
        <v>437</v>
      </c>
    </row>
    <row r="2226" spans="1:10" x14ac:dyDescent="0.15">
      <c r="A2226" s="263" t="s">
        <v>5928</v>
      </c>
      <c r="B2226" s="263" t="s">
        <v>5929</v>
      </c>
      <c r="C2226" s="263" t="s">
        <v>96</v>
      </c>
      <c r="D2226" s="263" t="s">
        <v>5930</v>
      </c>
      <c r="E2226" s="263" t="s">
        <v>97</v>
      </c>
      <c r="F2226">
        <v>0</v>
      </c>
      <c r="G2226">
        <v>2</v>
      </c>
      <c r="H2226" s="263" t="s">
        <v>436</v>
      </c>
      <c r="I2226" s="264"/>
      <c r="J2226" s="263" t="s">
        <v>437</v>
      </c>
    </row>
    <row r="2227" spans="1:10" x14ac:dyDescent="0.15">
      <c r="A2227" s="263" t="s">
        <v>9777</v>
      </c>
      <c r="B2227" s="263" t="s">
        <v>9778</v>
      </c>
      <c r="C2227" s="263" t="s">
        <v>96</v>
      </c>
      <c r="D2227" s="263" t="s">
        <v>9779</v>
      </c>
      <c r="E2227" s="263" t="s">
        <v>97</v>
      </c>
      <c r="F2227">
        <v>0</v>
      </c>
      <c r="G2227">
        <v>2</v>
      </c>
      <c r="H2227" s="263" t="s">
        <v>436</v>
      </c>
      <c r="I2227" s="264"/>
      <c r="J2227" s="263" t="s">
        <v>437</v>
      </c>
    </row>
    <row r="2228" spans="1:10" x14ac:dyDescent="0.15">
      <c r="A2228" s="263" t="s">
        <v>5931</v>
      </c>
      <c r="B2228" s="263" t="s">
        <v>5932</v>
      </c>
      <c r="C2228" s="263" t="s">
        <v>96</v>
      </c>
      <c r="D2228" s="263" t="s">
        <v>5933</v>
      </c>
      <c r="E2228" s="263" t="s">
        <v>97</v>
      </c>
      <c r="F2228">
        <v>0</v>
      </c>
      <c r="G2228">
        <v>2</v>
      </c>
      <c r="H2228" s="263" t="s">
        <v>436</v>
      </c>
      <c r="I2228" s="264"/>
      <c r="J2228" s="263" t="s">
        <v>437</v>
      </c>
    </row>
    <row r="2229" spans="1:10" x14ac:dyDescent="0.15">
      <c r="A2229" s="263" t="s">
        <v>5934</v>
      </c>
      <c r="B2229" s="263" t="s">
        <v>5935</v>
      </c>
      <c r="C2229" s="263" t="s">
        <v>96</v>
      </c>
      <c r="D2229" s="263" t="s">
        <v>5936</v>
      </c>
      <c r="E2229" s="263" t="s">
        <v>97</v>
      </c>
      <c r="F2229">
        <v>0</v>
      </c>
      <c r="G2229">
        <v>2</v>
      </c>
      <c r="H2229" s="263" t="s">
        <v>436</v>
      </c>
      <c r="I2229" s="264"/>
      <c r="J2229" s="263" t="s">
        <v>437</v>
      </c>
    </row>
    <row r="2230" spans="1:10" x14ac:dyDescent="0.15">
      <c r="A2230" s="263" t="s">
        <v>5937</v>
      </c>
      <c r="B2230" s="263" t="s">
        <v>5938</v>
      </c>
      <c r="C2230" s="263" t="s">
        <v>96</v>
      </c>
      <c r="D2230" s="263" t="s">
        <v>5939</v>
      </c>
      <c r="E2230" s="263" t="s">
        <v>97</v>
      </c>
      <c r="F2230">
        <v>0</v>
      </c>
      <c r="G2230">
        <v>2</v>
      </c>
      <c r="H2230" s="263" t="s">
        <v>436</v>
      </c>
      <c r="I2230" s="264"/>
      <c r="J2230" s="263" t="s">
        <v>437</v>
      </c>
    </row>
    <row r="2231" spans="1:10" x14ac:dyDescent="0.15">
      <c r="A2231" s="263" t="s">
        <v>5940</v>
      </c>
      <c r="B2231" s="263" t="s">
        <v>5941</v>
      </c>
      <c r="C2231" s="263" t="s">
        <v>96</v>
      </c>
      <c r="D2231" s="263" t="s">
        <v>5942</v>
      </c>
      <c r="E2231" s="263" t="s">
        <v>97</v>
      </c>
      <c r="F2231">
        <v>0</v>
      </c>
      <c r="G2231">
        <v>2</v>
      </c>
      <c r="H2231" s="263" t="s">
        <v>436</v>
      </c>
      <c r="I2231" s="264"/>
      <c r="J2231" s="263" t="s">
        <v>437</v>
      </c>
    </row>
    <row r="2232" spans="1:10" x14ac:dyDescent="0.15">
      <c r="A2232" s="263" t="s">
        <v>5943</v>
      </c>
      <c r="B2232" s="263" t="s">
        <v>5944</v>
      </c>
      <c r="C2232" s="263" t="s">
        <v>96</v>
      </c>
      <c r="D2232" s="263" t="s">
        <v>5945</v>
      </c>
      <c r="E2232" s="263" t="s">
        <v>97</v>
      </c>
      <c r="F2232">
        <v>0</v>
      </c>
      <c r="G2232">
        <v>2</v>
      </c>
      <c r="H2232" s="263" t="s">
        <v>436</v>
      </c>
      <c r="I2232" s="264"/>
      <c r="J2232" s="263" t="s">
        <v>437</v>
      </c>
    </row>
    <row r="2233" spans="1:10" x14ac:dyDescent="0.15">
      <c r="A2233" s="263" t="s">
        <v>5946</v>
      </c>
      <c r="B2233" s="263" t="s">
        <v>5947</v>
      </c>
      <c r="C2233" s="263" t="s">
        <v>96</v>
      </c>
      <c r="D2233" s="263" t="s">
        <v>5948</v>
      </c>
      <c r="E2233" s="263" t="s">
        <v>97</v>
      </c>
      <c r="F2233">
        <v>0</v>
      </c>
      <c r="G2233">
        <v>2</v>
      </c>
      <c r="H2233" s="263" t="s">
        <v>436</v>
      </c>
      <c r="I2233" s="264"/>
      <c r="J2233" s="263" t="s">
        <v>437</v>
      </c>
    </row>
    <row r="2234" spans="1:10" x14ac:dyDescent="0.15">
      <c r="A2234" s="263" t="s">
        <v>5949</v>
      </c>
      <c r="B2234" s="263" t="s">
        <v>5950</v>
      </c>
      <c r="C2234" s="263" t="s">
        <v>96</v>
      </c>
      <c r="D2234" s="263" t="s">
        <v>5951</v>
      </c>
      <c r="E2234" s="263" t="s">
        <v>97</v>
      </c>
      <c r="F2234">
        <v>0</v>
      </c>
      <c r="G2234">
        <v>2</v>
      </c>
      <c r="H2234" s="263" t="s">
        <v>436</v>
      </c>
      <c r="I2234" s="264"/>
      <c r="J2234" s="263" t="s">
        <v>437</v>
      </c>
    </row>
    <row r="2235" spans="1:10" x14ac:dyDescent="0.15">
      <c r="A2235" s="263" t="s">
        <v>5952</v>
      </c>
      <c r="B2235" s="263" t="s">
        <v>5953</v>
      </c>
      <c r="C2235" s="263" t="s">
        <v>96</v>
      </c>
      <c r="D2235" s="263" t="s">
        <v>5954</v>
      </c>
      <c r="E2235" s="263" t="s">
        <v>97</v>
      </c>
      <c r="F2235">
        <v>0</v>
      </c>
      <c r="G2235">
        <v>2</v>
      </c>
      <c r="H2235" s="263" t="s">
        <v>436</v>
      </c>
      <c r="I2235" s="264"/>
      <c r="J2235" s="263" t="s">
        <v>437</v>
      </c>
    </row>
    <row r="2236" spans="1:10" x14ac:dyDescent="0.15">
      <c r="A2236" s="263" t="s">
        <v>5955</v>
      </c>
      <c r="B2236" s="263" t="s">
        <v>5956</v>
      </c>
      <c r="C2236" s="263" t="s">
        <v>96</v>
      </c>
      <c r="D2236" s="263" t="s">
        <v>5957</v>
      </c>
      <c r="E2236" s="263" t="s">
        <v>97</v>
      </c>
      <c r="F2236">
        <v>0</v>
      </c>
      <c r="G2236">
        <v>2</v>
      </c>
      <c r="H2236" s="263" t="s">
        <v>436</v>
      </c>
      <c r="I2236" s="264"/>
      <c r="J2236" s="263" t="s">
        <v>437</v>
      </c>
    </row>
    <row r="2237" spans="1:10" x14ac:dyDescent="0.15">
      <c r="A2237" s="263" t="s">
        <v>5958</v>
      </c>
      <c r="B2237" s="263" t="s">
        <v>5959</v>
      </c>
      <c r="C2237" s="263" t="s">
        <v>96</v>
      </c>
      <c r="D2237" s="263" t="s">
        <v>5960</v>
      </c>
      <c r="E2237" s="263" t="s">
        <v>97</v>
      </c>
      <c r="F2237">
        <v>0</v>
      </c>
      <c r="G2237">
        <v>2</v>
      </c>
      <c r="H2237" s="263" t="s">
        <v>436</v>
      </c>
      <c r="I2237" s="264"/>
      <c r="J2237" s="263" t="s">
        <v>437</v>
      </c>
    </row>
    <row r="2238" spans="1:10" x14ac:dyDescent="0.15">
      <c r="A2238" s="263" t="s">
        <v>5961</v>
      </c>
      <c r="B2238" s="263" t="s">
        <v>5962</v>
      </c>
      <c r="C2238" s="263" t="s">
        <v>96</v>
      </c>
      <c r="D2238" s="263" t="s">
        <v>5963</v>
      </c>
      <c r="E2238" s="263" t="s">
        <v>97</v>
      </c>
      <c r="F2238">
        <v>0</v>
      </c>
      <c r="G2238">
        <v>2</v>
      </c>
      <c r="H2238" s="263" t="s">
        <v>436</v>
      </c>
      <c r="I2238" s="264"/>
      <c r="J2238" s="263" t="s">
        <v>437</v>
      </c>
    </row>
    <row r="2239" spans="1:10" x14ac:dyDescent="0.15">
      <c r="A2239" s="263" t="s">
        <v>5964</v>
      </c>
      <c r="B2239" s="263" t="s">
        <v>5965</v>
      </c>
      <c r="C2239" s="263" t="s">
        <v>96</v>
      </c>
      <c r="D2239" s="263" t="s">
        <v>5966</v>
      </c>
      <c r="E2239" s="263" t="s">
        <v>97</v>
      </c>
      <c r="F2239">
        <v>0</v>
      </c>
      <c r="G2239">
        <v>2</v>
      </c>
      <c r="H2239" s="263" t="s">
        <v>436</v>
      </c>
      <c r="I2239" s="264"/>
      <c r="J2239" s="263" t="s">
        <v>437</v>
      </c>
    </row>
    <row r="2240" spans="1:10" x14ac:dyDescent="0.15">
      <c r="A2240" s="263" t="s">
        <v>5967</v>
      </c>
      <c r="B2240" s="263" t="s">
        <v>5968</v>
      </c>
      <c r="C2240" s="263" t="s">
        <v>96</v>
      </c>
      <c r="D2240" s="263" t="s">
        <v>5969</v>
      </c>
      <c r="E2240" s="263" t="s">
        <v>97</v>
      </c>
      <c r="F2240">
        <v>0</v>
      </c>
      <c r="G2240">
        <v>2</v>
      </c>
      <c r="H2240" s="263" t="s">
        <v>436</v>
      </c>
      <c r="I2240" s="264"/>
      <c r="J2240" s="263" t="s">
        <v>437</v>
      </c>
    </row>
    <row r="2241" spans="1:10" x14ac:dyDescent="0.15">
      <c r="A2241" s="263" t="s">
        <v>5970</v>
      </c>
      <c r="B2241" s="263" t="s">
        <v>5971</v>
      </c>
      <c r="C2241" s="263" t="s">
        <v>96</v>
      </c>
      <c r="D2241" s="263" t="s">
        <v>5972</v>
      </c>
      <c r="E2241" s="263" t="s">
        <v>97</v>
      </c>
      <c r="F2241">
        <v>0</v>
      </c>
      <c r="G2241">
        <v>2</v>
      </c>
      <c r="H2241" s="263" t="s">
        <v>436</v>
      </c>
      <c r="I2241" s="264"/>
      <c r="J2241" s="263" t="s">
        <v>437</v>
      </c>
    </row>
    <row r="2242" spans="1:10" x14ac:dyDescent="0.15">
      <c r="A2242" s="263" t="s">
        <v>5973</v>
      </c>
      <c r="B2242" s="263" t="s">
        <v>5974</v>
      </c>
      <c r="C2242" s="263" t="s">
        <v>96</v>
      </c>
      <c r="D2242" s="263" t="s">
        <v>5975</v>
      </c>
      <c r="E2242" s="263" t="s">
        <v>97</v>
      </c>
      <c r="F2242">
        <v>0</v>
      </c>
      <c r="G2242">
        <v>2</v>
      </c>
      <c r="H2242" s="263" t="s">
        <v>436</v>
      </c>
      <c r="I2242" s="264"/>
      <c r="J2242" s="263" t="s">
        <v>437</v>
      </c>
    </row>
    <row r="2243" spans="1:10" x14ac:dyDescent="0.15">
      <c r="A2243" s="263" t="s">
        <v>5976</v>
      </c>
      <c r="B2243" s="263" t="s">
        <v>5977</v>
      </c>
      <c r="C2243" s="263" t="s">
        <v>96</v>
      </c>
      <c r="D2243" s="263" t="s">
        <v>5978</v>
      </c>
      <c r="E2243" s="263" t="s">
        <v>97</v>
      </c>
      <c r="F2243">
        <v>0</v>
      </c>
      <c r="G2243">
        <v>2</v>
      </c>
      <c r="H2243" s="263" t="s">
        <v>436</v>
      </c>
      <c r="I2243" s="264"/>
      <c r="J2243" s="263" t="s">
        <v>437</v>
      </c>
    </row>
    <row r="2244" spans="1:10" x14ac:dyDescent="0.15">
      <c r="A2244" s="263" t="s">
        <v>5979</v>
      </c>
      <c r="B2244" s="263" t="s">
        <v>5980</v>
      </c>
      <c r="C2244" s="263" t="s">
        <v>96</v>
      </c>
      <c r="D2244" s="263" t="s">
        <v>5981</v>
      </c>
      <c r="E2244" s="263" t="s">
        <v>97</v>
      </c>
      <c r="F2244">
        <v>0</v>
      </c>
      <c r="G2244">
        <v>2</v>
      </c>
      <c r="H2244" s="263" t="s">
        <v>436</v>
      </c>
      <c r="I2244" s="264"/>
      <c r="J2244" s="263" t="s">
        <v>437</v>
      </c>
    </row>
    <row r="2245" spans="1:10" x14ac:dyDescent="0.15">
      <c r="A2245" s="263" t="s">
        <v>5982</v>
      </c>
      <c r="B2245" s="263" t="s">
        <v>5983</v>
      </c>
      <c r="C2245" s="263" t="s">
        <v>96</v>
      </c>
      <c r="D2245" s="263" t="s">
        <v>5984</v>
      </c>
      <c r="E2245" s="263" t="s">
        <v>97</v>
      </c>
      <c r="F2245">
        <v>0</v>
      </c>
      <c r="G2245">
        <v>2</v>
      </c>
      <c r="H2245" s="263" t="s">
        <v>436</v>
      </c>
      <c r="I2245" s="264"/>
      <c r="J2245" s="263" t="s">
        <v>437</v>
      </c>
    </row>
    <row r="2246" spans="1:10" x14ac:dyDescent="0.15">
      <c r="A2246" s="263" t="s">
        <v>5985</v>
      </c>
      <c r="B2246" s="263" t="s">
        <v>5986</v>
      </c>
      <c r="C2246" s="263" t="s">
        <v>96</v>
      </c>
      <c r="D2246" s="263" t="s">
        <v>5987</v>
      </c>
      <c r="E2246" s="263" t="s">
        <v>97</v>
      </c>
      <c r="F2246">
        <v>0</v>
      </c>
      <c r="G2246">
        <v>2</v>
      </c>
      <c r="H2246" s="263" t="s">
        <v>436</v>
      </c>
      <c r="I2246" s="264"/>
      <c r="J2246" s="263" t="s">
        <v>437</v>
      </c>
    </row>
    <row r="2247" spans="1:10" x14ac:dyDescent="0.15">
      <c r="A2247" s="263" t="s">
        <v>5988</v>
      </c>
      <c r="B2247" s="263" t="s">
        <v>5989</v>
      </c>
      <c r="C2247" s="263" t="s">
        <v>96</v>
      </c>
      <c r="D2247" s="263" t="s">
        <v>5990</v>
      </c>
      <c r="E2247" s="263" t="s">
        <v>97</v>
      </c>
      <c r="F2247">
        <v>0</v>
      </c>
      <c r="G2247">
        <v>2</v>
      </c>
      <c r="H2247" s="263" t="s">
        <v>436</v>
      </c>
      <c r="I2247" s="264"/>
      <c r="J2247" s="263" t="s">
        <v>437</v>
      </c>
    </row>
    <row r="2248" spans="1:10" x14ac:dyDescent="0.15">
      <c r="A2248" s="263" t="s">
        <v>5991</v>
      </c>
      <c r="B2248" s="263" t="s">
        <v>5992</v>
      </c>
      <c r="C2248" s="263" t="s">
        <v>96</v>
      </c>
      <c r="D2248" s="263" t="s">
        <v>5993</v>
      </c>
      <c r="E2248" s="263" t="s">
        <v>97</v>
      </c>
      <c r="F2248">
        <v>0</v>
      </c>
      <c r="G2248">
        <v>2</v>
      </c>
      <c r="H2248" s="263" t="s">
        <v>436</v>
      </c>
      <c r="I2248" s="264"/>
      <c r="J2248" s="263" t="s">
        <v>437</v>
      </c>
    </row>
    <row r="2249" spans="1:10" x14ac:dyDescent="0.15">
      <c r="A2249" s="263" t="s">
        <v>5994</v>
      </c>
      <c r="B2249" s="263" t="s">
        <v>5995</v>
      </c>
      <c r="C2249" s="263" t="s">
        <v>96</v>
      </c>
      <c r="D2249" s="263" t="s">
        <v>5996</v>
      </c>
      <c r="E2249" s="263" t="s">
        <v>97</v>
      </c>
      <c r="F2249">
        <v>0</v>
      </c>
      <c r="G2249">
        <v>2</v>
      </c>
      <c r="H2249" s="263" t="s">
        <v>436</v>
      </c>
      <c r="I2249" s="264"/>
      <c r="J2249" s="263" t="s">
        <v>437</v>
      </c>
    </row>
    <row r="2250" spans="1:10" x14ac:dyDescent="0.15">
      <c r="A2250" s="263" t="s">
        <v>5997</v>
      </c>
      <c r="B2250" s="263" t="s">
        <v>5998</v>
      </c>
      <c r="C2250" s="263" t="s">
        <v>96</v>
      </c>
      <c r="D2250" s="263" t="s">
        <v>5999</v>
      </c>
      <c r="E2250" s="263" t="s">
        <v>97</v>
      </c>
      <c r="F2250">
        <v>0</v>
      </c>
      <c r="G2250">
        <v>2</v>
      </c>
      <c r="H2250" s="263" t="s">
        <v>436</v>
      </c>
      <c r="I2250" s="264"/>
      <c r="J2250" s="263" t="s">
        <v>437</v>
      </c>
    </row>
    <row r="2251" spans="1:10" x14ac:dyDescent="0.15">
      <c r="A2251" s="263" t="s">
        <v>6000</v>
      </c>
      <c r="B2251" s="263" t="s">
        <v>6001</v>
      </c>
      <c r="C2251" s="263" t="s">
        <v>96</v>
      </c>
      <c r="D2251" s="263" t="s">
        <v>6002</v>
      </c>
      <c r="E2251" s="263" t="s">
        <v>97</v>
      </c>
      <c r="F2251">
        <v>0</v>
      </c>
      <c r="G2251">
        <v>2</v>
      </c>
      <c r="H2251" s="263" t="s">
        <v>436</v>
      </c>
      <c r="I2251" s="264"/>
      <c r="J2251" s="263" t="s">
        <v>437</v>
      </c>
    </row>
    <row r="2252" spans="1:10" x14ac:dyDescent="0.15">
      <c r="A2252" s="263" t="s">
        <v>6003</v>
      </c>
      <c r="B2252" s="263" t="s">
        <v>6004</v>
      </c>
      <c r="C2252" s="263" t="s">
        <v>81</v>
      </c>
      <c r="D2252" s="263" t="s">
        <v>6005</v>
      </c>
      <c r="E2252" s="263" t="s">
        <v>88</v>
      </c>
      <c r="F2252">
        <v>0</v>
      </c>
      <c r="G2252">
        <v>2</v>
      </c>
      <c r="H2252" s="263" t="s">
        <v>436</v>
      </c>
      <c r="I2252" s="264"/>
      <c r="J2252" s="263" t="s">
        <v>437</v>
      </c>
    </row>
    <row r="2253" spans="1:10" x14ac:dyDescent="0.15">
      <c r="A2253" s="263" t="s">
        <v>6006</v>
      </c>
      <c r="B2253" s="263" t="s">
        <v>6007</v>
      </c>
      <c r="C2253" s="263" t="s">
        <v>81</v>
      </c>
      <c r="D2253" s="263" t="s">
        <v>6008</v>
      </c>
      <c r="E2253" s="263" t="s">
        <v>88</v>
      </c>
      <c r="F2253">
        <v>0</v>
      </c>
      <c r="G2253">
        <v>2</v>
      </c>
      <c r="H2253" s="263" t="s">
        <v>436</v>
      </c>
      <c r="I2253" s="264"/>
      <c r="J2253" s="263" t="s">
        <v>437</v>
      </c>
    </row>
    <row r="2254" spans="1:10" x14ac:dyDescent="0.15">
      <c r="A2254" s="263" t="s">
        <v>6009</v>
      </c>
      <c r="B2254" s="263" t="s">
        <v>6010</v>
      </c>
      <c r="C2254" s="263" t="s">
        <v>81</v>
      </c>
      <c r="D2254" s="263" t="s">
        <v>6011</v>
      </c>
      <c r="E2254" s="263" t="s">
        <v>88</v>
      </c>
      <c r="F2254">
        <v>0</v>
      </c>
      <c r="G2254">
        <v>2</v>
      </c>
      <c r="H2254" s="263" t="s">
        <v>436</v>
      </c>
      <c r="I2254" s="264"/>
      <c r="J2254" s="263" t="s">
        <v>437</v>
      </c>
    </row>
    <row r="2255" spans="1:10" x14ac:dyDescent="0.15">
      <c r="A2255" s="263" t="s">
        <v>6012</v>
      </c>
      <c r="B2255" s="263" t="s">
        <v>6013</v>
      </c>
      <c r="C2255" s="263" t="s">
        <v>81</v>
      </c>
      <c r="D2255" s="263" t="s">
        <v>6014</v>
      </c>
      <c r="E2255" s="263" t="s">
        <v>88</v>
      </c>
      <c r="F2255">
        <v>0</v>
      </c>
      <c r="G2255">
        <v>2</v>
      </c>
      <c r="H2255" s="263" t="s">
        <v>436</v>
      </c>
      <c r="I2255" s="264"/>
      <c r="J2255" s="263" t="s">
        <v>437</v>
      </c>
    </row>
    <row r="2256" spans="1:10" x14ac:dyDescent="0.15">
      <c r="A2256" s="263" t="s">
        <v>6015</v>
      </c>
      <c r="B2256" s="263" t="s">
        <v>6016</v>
      </c>
      <c r="C2256" s="263" t="s">
        <v>81</v>
      </c>
      <c r="D2256" s="263" t="s">
        <v>6017</v>
      </c>
      <c r="E2256" s="263" t="s">
        <v>88</v>
      </c>
      <c r="F2256">
        <v>0</v>
      </c>
      <c r="G2256">
        <v>2</v>
      </c>
      <c r="H2256" s="263" t="s">
        <v>436</v>
      </c>
      <c r="I2256" s="264"/>
      <c r="J2256" s="263" t="s">
        <v>437</v>
      </c>
    </row>
    <row r="2257" spans="1:10" x14ac:dyDescent="0.15">
      <c r="A2257" s="263" t="s">
        <v>6018</v>
      </c>
      <c r="B2257" s="263" t="s">
        <v>6019</v>
      </c>
      <c r="C2257" s="263" t="s">
        <v>81</v>
      </c>
      <c r="D2257" s="263" t="s">
        <v>6020</v>
      </c>
      <c r="E2257" s="263" t="s">
        <v>88</v>
      </c>
      <c r="F2257">
        <v>0</v>
      </c>
      <c r="G2257">
        <v>2</v>
      </c>
      <c r="H2257" s="263" t="s">
        <v>436</v>
      </c>
      <c r="I2257" s="264"/>
      <c r="J2257" s="263" t="s">
        <v>437</v>
      </c>
    </row>
    <row r="2258" spans="1:10" x14ac:dyDescent="0.15">
      <c r="A2258" s="263" t="s">
        <v>6021</v>
      </c>
      <c r="B2258" s="263" t="s">
        <v>6022</v>
      </c>
      <c r="C2258" s="263" t="s">
        <v>81</v>
      </c>
      <c r="D2258" s="263" t="s">
        <v>6023</v>
      </c>
      <c r="E2258" s="263" t="s">
        <v>88</v>
      </c>
      <c r="F2258">
        <v>0</v>
      </c>
      <c r="G2258">
        <v>2</v>
      </c>
      <c r="H2258" s="263" t="s">
        <v>436</v>
      </c>
      <c r="I2258" s="264"/>
      <c r="J2258" s="263" t="s">
        <v>437</v>
      </c>
    </row>
    <row r="2259" spans="1:10" x14ac:dyDescent="0.15">
      <c r="A2259" s="263" t="s">
        <v>6024</v>
      </c>
      <c r="B2259" s="263" t="s">
        <v>6025</v>
      </c>
      <c r="C2259" s="263" t="s">
        <v>81</v>
      </c>
      <c r="D2259" s="263" t="s">
        <v>6026</v>
      </c>
      <c r="E2259" s="263" t="s">
        <v>88</v>
      </c>
      <c r="F2259">
        <v>0</v>
      </c>
      <c r="G2259">
        <v>2</v>
      </c>
      <c r="H2259" s="263" t="s">
        <v>436</v>
      </c>
      <c r="I2259" s="264"/>
      <c r="J2259" s="263" t="s">
        <v>437</v>
      </c>
    </row>
    <row r="2260" spans="1:10" x14ac:dyDescent="0.15">
      <c r="A2260" s="263" t="s">
        <v>6027</v>
      </c>
      <c r="B2260" s="263" t="s">
        <v>6028</v>
      </c>
      <c r="C2260" s="263" t="s">
        <v>81</v>
      </c>
      <c r="D2260" s="263" t="s">
        <v>6029</v>
      </c>
      <c r="E2260" s="263" t="s">
        <v>88</v>
      </c>
      <c r="F2260">
        <v>0</v>
      </c>
      <c r="G2260">
        <v>2</v>
      </c>
      <c r="H2260" s="263" t="s">
        <v>436</v>
      </c>
      <c r="I2260" s="264"/>
      <c r="J2260" s="263" t="s">
        <v>437</v>
      </c>
    </row>
    <row r="2261" spans="1:10" x14ac:dyDescent="0.15">
      <c r="A2261" s="263" t="s">
        <v>6030</v>
      </c>
      <c r="B2261" s="263" t="s">
        <v>6031</v>
      </c>
      <c r="C2261" s="263" t="s">
        <v>81</v>
      </c>
      <c r="D2261" s="263" t="s">
        <v>6032</v>
      </c>
      <c r="E2261" s="263" t="s">
        <v>88</v>
      </c>
      <c r="F2261">
        <v>0</v>
      </c>
      <c r="G2261">
        <v>2</v>
      </c>
      <c r="H2261" s="263" t="s">
        <v>436</v>
      </c>
      <c r="I2261" s="264"/>
      <c r="J2261" s="263" t="s">
        <v>437</v>
      </c>
    </row>
    <row r="2262" spans="1:10" x14ac:dyDescent="0.15">
      <c r="A2262" s="263" t="s">
        <v>6033</v>
      </c>
      <c r="B2262" s="263" t="s">
        <v>6034</v>
      </c>
      <c r="C2262" s="263" t="s">
        <v>81</v>
      </c>
      <c r="D2262" s="263" t="s">
        <v>6035</v>
      </c>
      <c r="E2262" s="263" t="s">
        <v>88</v>
      </c>
      <c r="F2262">
        <v>0</v>
      </c>
      <c r="G2262">
        <v>2</v>
      </c>
      <c r="H2262" s="263" t="s">
        <v>436</v>
      </c>
      <c r="I2262" s="264"/>
      <c r="J2262" s="263" t="s">
        <v>437</v>
      </c>
    </row>
    <row r="2263" spans="1:10" x14ac:dyDescent="0.15">
      <c r="A2263" s="263" t="s">
        <v>6036</v>
      </c>
      <c r="B2263" s="263" t="s">
        <v>6037</v>
      </c>
      <c r="C2263" s="263" t="s">
        <v>81</v>
      </c>
      <c r="D2263" s="263" t="s">
        <v>6038</v>
      </c>
      <c r="E2263" s="263" t="s">
        <v>88</v>
      </c>
      <c r="F2263">
        <v>0</v>
      </c>
      <c r="G2263">
        <v>2</v>
      </c>
      <c r="H2263" s="263" t="s">
        <v>436</v>
      </c>
      <c r="I2263" s="264"/>
      <c r="J2263" s="263" t="s">
        <v>437</v>
      </c>
    </row>
    <row r="2264" spans="1:10" x14ac:dyDescent="0.15">
      <c r="A2264" s="263" t="s">
        <v>6039</v>
      </c>
      <c r="B2264" s="263" t="s">
        <v>6040</v>
      </c>
      <c r="C2264" s="263" t="s">
        <v>81</v>
      </c>
      <c r="D2264" s="263" t="s">
        <v>6041</v>
      </c>
      <c r="E2264" s="263" t="s">
        <v>88</v>
      </c>
      <c r="F2264">
        <v>0</v>
      </c>
      <c r="G2264">
        <v>2</v>
      </c>
      <c r="H2264" s="263" t="s">
        <v>436</v>
      </c>
      <c r="I2264" s="264"/>
      <c r="J2264" s="263" t="s">
        <v>437</v>
      </c>
    </row>
    <row r="2265" spans="1:10" x14ac:dyDescent="0.15">
      <c r="A2265" s="263" t="s">
        <v>6042</v>
      </c>
      <c r="B2265" s="263" t="s">
        <v>6043</v>
      </c>
      <c r="C2265" s="263" t="s">
        <v>81</v>
      </c>
      <c r="D2265" s="263" t="s">
        <v>6044</v>
      </c>
      <c r="E2265" s="263" t="s">
        <v>88</v>
      </c>
      <c r="F2265">
        <v>0</v>
      </c>
      <c r="G2265">
        <v>2</v>
      </c>
      <c r="H2265" s="263" t="s">
        <v>436</v>
      </c>
      <c r="I2265" s="264"/>
      <c r="J2265" s="263" t="s">
        <v>437</v>
      </c>
    </row>
    <row r="2266" spans="1:10" x14ac:dyDescent="0.15">
      <c r="A2266" s="263" t="s">
        <v>6045</v>
      </c>
      <c r="B2266" s="263" t="s">
        <v>6046</v>
      </c>
      <c r="C2266" s="263" t="s">
        <v>81</v>
      </c>
      <c r="D2266" s="263" t="s">
        <v>6047</v>
      </c>
      <c r="E2266" s="263" t="s">
        <v>88</v>
      </c>
      <c r="F2266">
        <v>0</v>
      </c>
      <c r="G2266">
        <v>2</v>
      </c>
      <c r="H2266" s="263" t="s">
        <v>436</v>
      </c>
      <c r="I2266" s="264"/>
      <c r="J2266" s="263" t="s">
        <v>437</v>
      </c>
    </row>
    <row r="2267" spans="1:10" x14ac:dyDescent="0.15">
      <c r="A2267" s="263" t="s">
        <v>6048</v>
      </c>
      <c r="B2267" s="263" t="s">
        <v>6049</v>
      </c>
      <c r="C2267" s="263" t="s">
        <v>81</v>
      </c>
      <c r="D2267" s="263" t="s">
        <v>6050</v>
      </c>
      <c r="E2267" s="263" t="s">
        <v>88</v>
      </c>
      <c r="F2267">
        <v>0</v>
      </c>
      <c r="G2267">
        <v>2</v>
      </c>
      <c r="H2267" s="263" t="s">
        <v>436</v>
      </c>
      <c r="I2267" s="264"/>
      <c r="J2267" s="263" t="s">
        <v>437</v>
      </c>
    </row>
    <row r="2268" spans="1:10" x14ac:dyDescent="0.15">
      <c r="A2268" s="263" t="s">
        <v>6051</v>
      </c>
      <c r="B2268" s="263" t="s">
        <v>6052</v>
      </c>
      <c r="C2268" s="263" t="s">
        <v>81</v>
      </c>
      <c r="D2268" s="263" t="s">
        <v>6053</v>
      </c>
      <c r="E2268" s="263" t="s">
        <v>88</v>
      </c>
      <c r="F2268">
        <v>0</v>
      </c>
      <c r="G2268">
        <v>2</v>
      </c>
      <c r="H2268" s="263" t="s">
        <v>436</v>
      </c>
      <c r="I2268" s="264"/>
      <c r="J2268" s="263" t="s">
        <v>437</v>
      </c>
    </row>
    <row r="2269" spans="1:10" x14ac:dyDescent="0.15">
      <c r="A2269" s="263" t="s">
        <v>6054</v>
      </c>
      <c r="B2269" s="263" t="s">
        <v>6055</v>
      </c>
      <c r="C2269" s="263" t="s">
        <v>81</v>
      </c>
      <c r="D2269" s="263" t="s">
        <v>6056</v>
      </c>
      <c r="E2269" s="263" t="s">
        <v>88</v>
      </c>
      <c r="F2269">
        <v>0</v>
      </c>
      <c r="G2269">
        <v>2</v>
      </c>
      <c r="H2269" s="263" t="s">
        <v>436</v>
      </c>
      <c r="I2269" s="264"/>
      <c r="J2269" s="263" t="s">
        <v>437</v>
      </c>
    </row>
    <row r="2270" spans="1:10" x14ac:dyDescent="0.15">
      <c r="A2270" s="263" t="s">
        <v>6057</v>
      </c>
      <c r="B2270" s="263" t="s">
        <v>6058</v>
      </c>
      <c r="C2270" s="263" t="s">
        <v>81</v>
      </c>
      <c r="D2270" s="263" t="s">
        <v>6059</v>
      </c>
      <c r="E2270" s="263" t="s">
        <v>88</v>
      </c>
      <c r="F2270">
        <v>0</v>
      </c>
      <c r="G2270">
        <v>2</v>
      </c>
      <c r="H2270" s="263" t="s">
        <v>436</v>
      </c>
      <c r="I2270" s="264"/>
      <c r="J2270" s="263" t="s">
        <v>437</v>
      </c>
    </row>
    <row r="2271" spans="1:10" x14ac:dyDescent="0.15">
      <c r="A2271" s="263" t="s">
        <v>6060</v>
      </c>
      <c r="B2271" s="263" t="s">
        <v>6061</v>
      </c>
      <c r="C2271" s="263" t="s">
        <v>81</v>
      </c>
      <c r="D2271" s="263" t="s">
        <v>6062</v>
      </c>
      <c r="E2271" s="263" t="s">
        <v>88</v>
      </c>
      <c r="F2271">
        <v>0</v>
      </c>
      <c r="G2271">
        <v>2</v>
      </c>
      <c r="H2271" s="263" t="s">
        <v>436</v>
      </c>
      <c r="I2271" s="264"/>
      <c r="J2271" s="263" t="s">
        <v>437</v>
      </c>
    </row>
    <row r="2272" spans="1:10" x14ac:dyDescent="0.15">
      <c r="A2272" s="263" t="s">
        <v>6063</v>
      </c>
      <c r="B2272" s="263" t="s">
        <v>6064</v>
      </c>
      <c r="C2272" s="263" t="s">
        <v>81</v>
      </c>
      <c r="D2272" s="263" t="s">
        <v>6065</v>
      </c>
      <c r="E2272" s="263" t="s">
        <v>88</v>
      </c>
      <c r="F2272">
        <v>0</v>
      </c>
      <c r="G2272">
        <v>2</v>
      </c>
      <c r="H2272" s="263" t="s">
        <v>436</v>
      </c>
      <c r="I2272" s="264"/>
      <c r="J2272" s="263" t="s">
        <v>437</v>
      </c>
    </row>
    <row r="2273" spans="1:10" x14ac:dyDescent="0.15">
      <c r="A2273" s="263" t="s">
        <v>6066</v>
      </c>
      <c r="B2273" s="263" t="s">
        <v>6067</v>
      </c>
      <c r="C2273" s="263" t="s">
        <v>81</v>
      </c>
      <c r="D2273" s="263" t="s">
        <v>6068</v>
      </c>
      <c r="E2273" s="263" t="s">
        <v>88</v>
      </c>
      <c r="F2273">
        <v>0</v>
      </c>
      <c r="G2273">
        <v>2</v>
      </c>
      <c r="H2273" s="263" t="s">
        <v>436</v>
      </c>
      <c r="I2273" s="264"/>
      <c r="J2273" s="263" t="s">
        <v>437</v>
      </c>
    </row>
    <row r="2274" spans="1:10" x14ac:dyDescent="0.15">
      <c r="A2274" s="263" t="s">
        <v>6069</v>
      </c>
      <c r="B2274" s="263" t="s">
        <v>6070</v>
      </c>
      <c r="C2274" s="263" t="s">
        <v>81</v>
      </c>
      <c r="D2274" s="263" t="s">
        <v>6071</v>
      </c>
      <c r="E2274" s="263" t="s">
        <v>88</v>
      </c>
      <c r="F2274">
        <v>0</v>
      </c>
      <c r="G2274">
        <v>2</v>
      </c>
      <c r="H2274" s="263" t="s">
        <v>436</v>
      </c>
      <c r="I2274" s="264"/>
      <c r="J2274" s="263" t="s">
        <v>437</v>
      </c>
    </row>
    <row r="2275" spans="1:10" x14ac:dyDescent="0.15">
      <c r="A2275" s="263" t="s">
        <v>6072</v>
      </c>
      <c r="B2275" s="263" t="s">
        <v>6073</v>
      </c>
      <c r="C2275" s="263" t="s">
        <v>81</v>
      </c>
      <c r="D2275" s="263" t="s">
        <v>6074</v>
      </c>
      <c r="E2275" s="263" t="s">
        <v>88</v>
      </c>
      <c r="F2275">
        <v>0</v>
      </c>
      <c r="G2275">
        <v>2</v>
      </c>
      <c r="H2275" s="263" t="s">
        <v>436</v>
      </c>
      <c r="I2275" s="264"/>
      <c r="J2275" s="263" t="s">
        <v>437</v>
      </c>
    </row>
    <row r="2276" spans="1:10" x14ac:dyDescent="0.15">
      <c r="A2276" s="263" t="s">
        <v>6075</v>
      </c>
      <c r="B2276" s="263" t="s">
        <v>6076</v>
      </c>
      <c r="C2276" s="263" t="s">
        <v>81</v>
      </c>
      <c r="D2276" s="263" t="s">
        <v>6077</v>
      </c>
      <c r="E2276" s="263" t="s">
        <v>88</v>
      </c>
      <c r="F2276">
        <v>0</v>
      </c>
      <c r="G2276">
        <v>2</v>
      </c>
      <c r="H2276" s="263" t="s">
        <v>436</v>
      </c>
      <c r="I2276" s="264"/>
      <c r="J2276" s="263" t="s">
        <v>437</v>
      </c>
    </row>
    <row r="2277" spans="1:10" x14ac:dyDescent="0.15">
      <c r="A2277" s="263" t="s">
        <v>6078</v>
      </c>
      <c r="B2277" s="263" t="s">
        <v>6079</v>
      </c>
      <c r="C2277" s="263" t="s">
        <v>81</v>
      </c>
      <c r="D2277" s="263" t="s">
        <v>6080</v>
      </c>
      <c r="E2277" s="263" t="s">
        <v>88</v>
      </c>
      <c r="F2277">
        <v>0</v>
      </c>
      <c r="G2277">
        <v>2</v>
      </c>
      <c r="H2277" s="263" t="s">
        <v>436</v>
      </c>
      <c r="I2277" s="264"/>
      <c r="J2277" s="263" t="s">
        <v>437</v>
      </c>
    </row>
    <row r="2278" spans="1:10" x14ac:dyDescent="0.15">
      <c r="A2278" s="263" t="s">
        <v>6081</v>
      </c>
      <c r="B2278" s="263" t="s">
        <v>6082</v>
      </c>
      <c r="C2278" s="263" t="s">
        <v>81</v>
      </c>
      <c r="D2278" s="263" t="s">
        <v>6083</v>
      </c>
      <c r="E2278" s="263" t="s">
        <v>88</v>
      </c>
      <c r="F2278">
        <v>0</v>
      </c>
      <c r="G2278">
        <v>2</v>
      </c>
      <c r="H2278" s="263" t="s">
        <v>436</v>
      </c>
      <c r="I2278" s="264"/>
      <c r="J2278" s="263" t="s">
        <v>437</v>
      </c>
    </row>
    <row r="2279" spans="1:10" x14ac:dyDescent="0.15">
      <c r="A2279" s="263" t="s">
        <v>6084</v>
      </c>
      <c r="B2279" s="263" t="s">
        <v>6085</v>
      </c>
      <c r="C2279" s="263" t="s">
        <v>81</v>
      </c>
      <c r="D2279" s="263" t="s">
        <v>6086</v>
      </c>
      <c r="E2279" s="263" t="s">
        <v>88</v>
      </c>
      <c r="F2279">
        <v>0</v>
      </c>
      <c r="G2279">
        <v>2</v>
      </c>
      <c r="H2279" s="263" t="s">
        <v>436</v>
      </c>
      <c r="I2279" s="264"/>
      <c r="J2279" s="263" t="s">
        <v>437</v>
      </c>
    </row>
    <row r="2280" spans="1:10" x14ac:dyDescent="0.15">
      <c r="A2280" s="263" t="s">
        <v>6087</v>
      </c>
      <c r="B2280" s="263" t="s">
        <v>6088</v>
      </c>
      <c r="C2280" s="263" t="s">
        <v>94</v>
      </c>
      <c r="D2280" s="263" t="s">
        <v>6089</v>
      </c>
      <c r="E2280" s="263" t="s">
        <v>94</v>
      </c>
      <c r="F2280">
        <v>0</v>
      </c>
      <c r="G2280">
        <v>2</v>
      </c>
      <c r="H2280" s="263" t="s">
        <v>436</v>
      </c>
      <c r="I2280" s="264"/>
      <c r="J2280" s="263" t="s">
        <v>437</v>
      </c>
    </row>
    <row r="2281" spans="1:10" x14ac:dyDescent="0.15">
      <c r="A2281" s="263" t="s">
        <v>6090</v>
      </c>
      <c r="B2281" s="263" t="s">
        <v>6091</v>
      </c>
      <c r="C2281" s="263" t="s">
        <v>94</v>
      </c>
      <c r="D2281" s="263" t="s">
        <v>6092</v>
      </c>
      <c r="E2281" s="263" t="s">
        <v>94</v>
      </c>
      <c r="F2281">
        <v>0</v>
      </c>
      <c r="G2281">
        <v>2</v>
      </c>
      <c r="H2281" s="263" t="s">
        <v>436</v>
      </c>
      <c r="I2281" s="264"/>
      <c r="J2281" s="263" t="s">
        <v>437</v>
      </c>
    </row>
    <row r="2282" spans="1:10" x14ac:dyDescent="0.15">
      <c r="A2282" s="263" t="s">
        <v>6093</v>
      </c>
      <c r="B2282" s="263" t="s">
        <v>6094</v>
      </c>
      <c r="C2282" s="263" t="s">
        <v>94</v>
      </c>
      <c r="D2282" s="263" t="s">
        <v>6095</v>
      </c>
      <c r="E2282" s="263" t="s">
        <v>94</v>
      </c>
      <c r="F2282">
        <v>0</v>
      </c>
      <c r="G2282">
        <v>2</v>
      </c>
      <c r="H2282" s="263" t="s">
        <v>436</v>
      </c>
      <c r="I2282" s="264"/>
      <c r="J2282" s="263" t="s">
        <v>437</v>
      </c>
    </row>
    <row r="2283" spans="1:10" x14ac:dyDescent="0.15">
      <c r="A2283" s="263" t="s">
        <v>9101</v>
      </c>
      <c r="B2283" s="263" t="s">
        <v>9102</v>
      </c>
      <c r="C2283" s="263" t="s">
        <v>81</v>
      </c>
      <c r="D2283" s="263" t="s">
        <v>9103</v>
      </c>
      <c r="E2283" s="263" t="s">
        <v>88</v>
      </c>
      <c r="F2283">
        <v>0</v>
      </c>
      <c r="G2283">
        <v>2</v>
      </c>
      <c r="H2283" s="263" t="s">
        <v>436</v>
      </c>
      <c r="I2283" s="264"/>
      <c r="J2283" s="263" t="s">
        <v>437</v>
      </c>
    </row>
    <row r="2284" spans="1:10" x14ac:dyDescent="0.15">
      <c r="A2284" s="263" t="s">
        <v>6096</v>
      </c>
      <c r="B2284" s="263" t="s">
        <v>6097</v>
      </c>
      <c r="C2284" s="263" t="s">
        <v>81</v>
      </c>
      <c r="D2284" s="263" t="s">
        <v>6098</v>
      </c>
      <c r="E2284" s="263" t="s">
        <v>88</v>
      </c>
      <c r="F2284">
        <v>0</v>
      </c>
      <c r="G2284">
        <v>2</v>
      </c>
      <c r="H2284" s="263" t="s">
        <v>436</v>
      </c>
      <c r="I2284" s="264"/>
      <c r="J2284" s="263" t="s">
        <v>437</v>
      </c>
    </row>
    <row r="2285" spans="1:10" x14ac:dyDescent="0.15">
      <c r="A2285" s="263" t="s">
        <v>6099</v>
      </c>
      <c r="B2285" s="263" t="s">
        <v>6100</v>
      </c>
      <c r="C2285" s="263" t="s">
        <v>78</v>
      </c>
      <c r="D2285" s="263" t="s">
        <v>6101</v>
      </c>
      <c r="E2285" s="263" t="s">
        <v>78</v>
      </c>
      <c r="F2285">
        <v>0</v>
      </c>
      <c r="G2285">
        <v>2</v>
      </c>
      <c r="H2285" s="263" t="s">
        <v>436</v>
      </c>
      <c r="I2285" s="264"/>
      <c r="J2285" s="263" t="s">
        <v>437</v>
      </c>
    </row>
    <row r="2286" spans="1:10" x14ac:dyDescent="0.15">
      <c r="A2286" s="263" t="s">
        <v>6102</v>
      </c>
      <c r="B2286" s="263" t="s">
        <v>6103</v>
      </c>
      <c r="C2286" s="263" t="s">
        <v>81</v>
      </c>
      <c r="D2286" s="263" t="s">
        <v>6104</v>
      </c>
      <c r="E2286" s="263" t="s">
        <v>88</v>
      </c>
      <c r="F2286">
        <v>0</v>
      </c>
      <c r="G2286">
        <v>2</v>
      </c>
      <c r="H2286" s="263" t="s">
        <v>436</v>
      </c>
      <c r="I2286" s="264"/>
      <c r="J2286" s="263" t="s">
        <v>437</v>
      </c>
    </row>
    <row r="2287" spans="1:10" x14ac:dyDescent="0.15">
      <c r="A2287" s="263" t="s">
        <v>6105</v>
      </c>
      <c r="B2287" s="263" t="s">
        <v>6106</v>
      </c>
      <c r="C2287" s="263" t="s">
        <v>81</v>
      </c>
      <c r="D2287" s="263" t="s">
        <v>6107</v>
      </c>
      <c r="E2287" s="263" t="s">
        <v>88</v>
      </c>
      <c r="F2287">
        <v>0</v>
      </c>
      <c r="G2287">
        <v>2</v>
      </c>
      <c r="H2287" s="263" t="s">
        <v>436</v>
      </c>
      <c r="I2287" s="264"/>
      <c r="J2287" s="263" t="s">
        <v>437</v>
      </c>
    </row>
    <row r="2288" spans="1:10" x14ac:dyDescent="0.15">
      <c r="A2288" s="263" t="s">
        <v>6108</v>
      </c>
      <c r="B2288" s="263" t="s">
        <v>6109</v>
      </c>
      <c r="C2288" s="263" t="s">
        <v>81</v>
      </c>
      <c r="D2288" s="263" t="s">
        <v>6110</v>
      </c>
      <c r="E2288" s="263" t="s">
        <v>88</v>
      </c>
      <c r="F2288">
        <v>0</v>
      </c>
      <c r="G2288">
        <v>2</v>
      </c>
      <c r="H2288" s="263" t="s">
        <v>436</v>
      </c>
      <c r="I2288" s="264"/>
      <c r="J2288" s="263" t="s">
        <v>437</v>
      </c>
    </row>
    <row r="2289" spans="1:10" x14ac:dyDescent="0.15">
      <c r="A2289" s="263" t="s">
        <v>6111</v>
      </c>
      <c r="B2289" s="263" t="s">
        <v>6112</v>
      </c>
      <c r="C2289" s="263" t="s">
        <v>81</v>
      </c>
      <c r="D2289" s="263" t="s">
        <v>6113</v>
      </c>
      <c r="E2289" s="263" t="s">
        <v>88</v>
      </c>
      <c r="F2289">
        <v>0</v>
      </c>
      <c r="G2289">
        <v>2</v>
      </c>
      <c r="H2289" s="263" t="s">
        <v>436</v>
      </c>
      <c r="I2289" s="264"/>
      <c r="J2289" s="263" t="s">
        <v>437</v>
      </c>
    </row>
    <row r="2290" spans="1:10" x14ac:dyDescent="0.15">
      <c r="A2290" s="263" t="s">
        <v>6114</v>
      </c>
      <c r="B2290" s="263" t="s">
        <v>6115</v>
      </c>
      <c r="C2290" s="263" t="s">
        <v>81</v>
      </c>
      <c r="D2290" s="263" t="s">
        <v>6116</v>
      </c>
      <c r="E2290" s="263" t="s">
        <v>88</v>
      </c>
      <c r="F2290">
        <v>0</v>
      </c>
      <c r="G2290">
        <v>2</v>
      </c>
      <c r="H2290" s="263" t="s">
        <v>436</v>
      </c>
      <c r="I2290" s="264"/>
      <c r="J2290" s="263" t="s">
        <v>437</v>
      </c>
    </row>
    <row r="2291" spans="1:10" x14ac:dyDescent="0.15">
      <c r="A2291" s="263" t="s">
        <v>6117</v>
      </c>
      <c r="B2291" s="263" t="s">
        <v>9780</v>
      </c>
      <c r="C2291" s="263" t="s">
        <v>81</v>
      </c>
      <c r="D2291" s="263" t="s">
        <v>9781</v>
      </c>
      <c r="E2291" s="263" t="s">
        <v>88</v>
      </c>
      <c r="F2291">
        <v>0</v>
      </c>
      <c r="G2291">
        <v>2</v>
      </c>
      <c r="H2291" s="263" t="s">
        <v>436</v>
      </c>
      <c r="I2291" s="264"/>
      <c r="J2291" s="263" t="s">
        <v>437</v>
      </c>
    </row>
    <row r="2292" spans="1:10" x14ac:dyDescent="0.15">
      <c r="A2292" s="263" t="s">
        <v>6118</v>
      </c>
      <c r="B2292" s="263" t="s">
        <v>6119</v>
      </c>
      <c r="C2292" s="263" t="s">
        <v>81</v>
      </c>
      <c r="D2292" s="263" t="s">
        <v>6120</v>
      </c>
      <c r="E2292" s="263" t="s">
        <v>88</v>
      </c>
      <c r="F2292">
        <v>0</v>
      </c>
      <c r="G2292">
        <v>2</v>
      </c>
      <c r="H2292" s="263" t="s">
        <v>436</v>
      </c>
      <c r="I2292" s="264"/>
      <c r="J2292" s="263" t="s">
        <v>437</v>
      </c>
    </row>
    <row r="2293" spans="1:10" x14ac:dyDescent="0.15">
      <c r="A2293" s="263" t="s">
        <v>6121</v>
      </c>
      <c r="B2293" s="263" t="s">
        <v>6122</v>
      </c>
      <c r="C2293" s="263" t="s">
        <v>81</v>
      </c>
      <c r="D2293" s="263" t="s">
        <v>6123</v>
      </c>
      <c r="E2293" s="263" t="s">
        <v>88</v>
      </c>
      <c r="F2293">
        <v>0</v>
      </c>
      <c r="G2293">
        <v>2</v>
      </c>
      <c r="H2293" s="263" t="s">
        <v>436</v>
      </c>
      <c r="I2293" s="264"/>
      <c r="J2293" s="263" t="s">
        <v>437</v>
      </c>
    </row>
    <row r="2294" spans="1:10" x14ac:dyDescent="0.15">
      <c r="A2294" s="263" t="s">
        <v>6124</v>
      </c>
      <c r="B2294" s="263" t="s">
        <v>6125</v>
      </c>
      <c r="C2294" s="263" t="s">
        <v>81</v>
      </c>
      <c r="D2294" s="263" t="s">
        <v>6126</v>
      </c>
      <c r="E2294" s="263" t="s">
        <v>88</v>
      </c>
      <c r="F2294">
        <v>0</v>
      </c>
      <c r="G2294">
        <v>2</v>
      </c>
      <c r="H2294" s="263" t="s">
        <v>436</v>
      </c>
      <c r="I2294" s="264"/>
      <c r="J2294" s="263" t="s">
        <v>437</v>
      </c>
    </row>
    <row r="2295" spans="1:10" x14ac:dyDescent="0.15">
      <c r="A2295" s="263" t="s">
        <v>9782</v>
      </c>
      <c r="B2295" s="263" t="s">
        <v>9783</v>
      </c>
      <c r="C2295" s="263" t="s">
        <v>81</v>
      </c>
      <c r="D2295" s="263" t="s">
        <v>9784</v>
      </c>
      <c r="E2295" s="263" t="s">
        <v>88</v>
      </c>
      <c r="F2295">
        <v>0</v>
      </c>
      <c r="G2295">
        <v>2</v>
      </c>
      <c r="H2295" s="263" t="s">
        <v>436</v>
      </c>
      <c r="I2295" s="264"/>
      <c r="J2295" s="263" t="s">
        <v>437</v>
      </c>
    </row>
    <row r="2296" spans="1:10" x14ac:dyDescent="0.15">
      <c r="A2296" s="263" t="s">
        <v>9785</v>
      </c>
      <c r="B2296" s="263" t="s">
        <v>9786</v>
      </c>
      <c r="C2296" s="263" t="s">
        <v>81</v>
      </c>
      <c r="D2296" s="263" t="s">
        <v>9787</v>
      </c>
      <c r="E2296" s="263" t="s">
        <v>88</v>
      </c>
      <c r="F2296">
        <v>0</v>
      </c>
      <c r="G2296">
        <v>2</v>
      </c>
      <c r="H2296" s="263" t="s">
        <v>436</v>
      </c>
      <c r="I2296" s="264"/>
      <c r="J2296" s="263" t="s">
        <v>437</v>
      </c>
    </row>
    <row r="2297" spans="1:10" x14ac:dyDescent="0.15">
      <c r="A2297" s="263" t="s">
        <v>9788</v>
      </c>
      <c r="B2297" s="263" t="s">
        <v>9789</v>
      </c>
      <c r="C2297" s="263" t="s">
        <v>81</v>
      </c>
      <c r="D2297" s="263" t="s">
        <v>9790</v>
      </c>
      <c r="E2297" s="263" t="s">
        <v>88</v>
      </c>
      <c r="F2297">
        <v>0</v>
      </c>
      <c r="G2297">
        <v>2</v>
      </c>
      <c r="H2297" s="263" t="s">
        <v>436</v>
      </c>
      <c r="I2297" s="264"/>
      <c r="J2297" s="263" t="s">
        <v>437</v>
      </c>
    </row>
    <row r="2298" spans="1:10" x14ac:dyDescent="0.15">
      <c r="A2298" s="263" t="s">
        <v>9791</v>
      </c>
      <c r="B2298" s="263" t="s">
        <v>9792</v>
      </c>
      <c r="C2298" s="263" t="s">
        <v>81</v>
      </c>
      <c r="D2298" s="263" t="s">
        <v>9793</v>
      </c>
      <c r="E2298" s="263" t="s">
        <v>88</v>
      </c>
      <c r="F2298">
        <v>0</v>
      </c>
      <c r="G2298">
        <v>2</v>
      </c>
      <c r="H2298" s="263" t="s">
        <v>436</v>
      </c>
      <c r="I2298" s="264"/>
      <c r="J2298" s="263" t="s">
        <v>437</v>
      </c>
    </row>
    <row r="2299" spans="1:10" x14ac:dyDescent="0.15">
      <c r="A2299" s="263" t="s">
        <v>6127</v>
      </c>
      <c r="B2299" s="263" t="s">
        <v>6128</v>
      </c>
      <c r="C2299" s="263" t="s">
        <v>94</v>
      </c>
      <c r="D2299" s="263" t="s">
        <v>6129</v>
      </c>
      <c r="E2299" s="263" t="s">
        <v>94</v>
      </c>
      <c r="F2299">
        <v>0</v>
      </c>
      <c r="G2299">
        <v>2</v>
      </c>
      <c r="H2299" s="263" t="s">
        <v>436</v>
      </c>
      <c r="I2299" s="264"/>
      <c r="J2299" s="263" t="s">
        <v>437</v>
      </c>
    </row>
    <row r="2300" spans="1:10" x14ac:dyDescent="0.15">
      <c r="A2300" s="263" t="s">
        <v>9794</v>
      </c>
      <c r="B2300" s="263" t="s">
        <v>9795</v>
      </c>
      <c r="C2300" s="263" t="s">
        <v>96</v>
      </c>
      <c r="D2300" s="263" t="s">
        <v>9796</v>
      </c>
      <c r="E2300" s="263" t="s">
        <v>97</v>
      </c>
      <c r="F2300">
        <v>0</v>
      </c>
      <c r="G2300">
        <v>2</v>
      </c>
      <c r="H2300" s="263" t="s">
        <v>436</v>
      </c>
      <c r="I2300" s="264"/>
      <c r="J2300" s="263" t="s">
        <v>437</v>
      </c>
    </row>
    <row r="2301" spans="1:10" x14ac:dyDescent="0.15">
      <c r="A2301" s="263" t="s">
        <v>6130</v>
      </c>
      <c r="B2301" s="263" t="s">
        <v>6131</v>
      </c>
      <c r="C2301" s="263" t="s">
        <v>96</v>
      </c>
      <c r="D2301" s="263" t="s">
        <v>6132</v>
      </c>
      <c r="E2301" s="263" t="s">
        <v>97</v>
      </c>
      <c r="F2301">
        <v>0</v>
      </c>
      <c r="G2301">
        <v>2</v>
      </c>
      <c r="H2301" s="263" t="s">
        <v>436</v>
      </c>
      <c r="I2301" s="264"/>
      <c r="J2301" s="263" t="s">
        <v>437</v>
      </c>
    </row>
    <row r="2302" spans="1:10" x14ac:dyDescent="0.15">
      <c r="A2302" s="263" t="s">
        <v>6133</v>
      </c>
      <c r="B2302" s="263" t="s">
        <v>6134</v>
      </c>
      <c r="C2302" s="263" t="s">
        <v>96</v>
      </c>
      <c r="D2302" s="263" t="s">
        <v>6135</v>
      </c>
      <c r="E2302" s="263" t="s">
        <v>97</v>
      </c>
      <c r="F2302">
        <v>0</v>
      </c>
      <c r="G2302">
        <v>2</v>
      </c>
      <c r="H2302" s="263" t="s">
        <v>436</v>
      </c>
      <c r="I2302" s="264"/>
      <c r="J2302" s="263" t="s">
        <v>437</v>
      </c>
    </row>
    <row r="2303" spans="1:10" x14ac:dyDescent="0.15">
      <c r="A2303" s="263" t="s">
        <v>6136</v>
      </c>
      <c r="B2303" s="263" t="s">
        <v>6137</v>
      </c>
      <c r="C2303" s="263" t="s">
        <v>96</v>
      </c>
      <c r="D2303" s="263" t="s">
        <v>6138</v>
      </c>
      <c r="E2303" s="263" t="s">
        <v>97</v>
      </c>
      <c r="F2303">
        <v>0</v>
      </c>
      <c r="G2303">
        <v>2</v>
      </c>
      <c r="H2303" s="263" t="s">
        <v>436</v>
      </c>
      <c r="I2303" s="264"/>
      <c r="J2303" s="263" t="s">
        <v>437</v>
      </c>
    </row>
    <row r="2304" spans="1:10" x14ac:dyDescent="0.15">
      <c r="A2304" s="263" t="s">
        <v>9797</v>
      </c>
      <c r="B2304" s="263" t="s">
        <v>9798</v>
      </c>
      <c r="C2304" s="263" t="s">
        <v>96</v>
      </c>
      <c r="D2304" s="263" t="s">
        <v>9799</v>
      </c>
      <c r="E2304" s="263" t="s">
        <v>97</v>
      </c>
      <c r="F2304">
        <v>0</v>
      </c>
      <c r="G2304">
        <v>2</v>
      </c>
      <c r="H2304" s="263" t="s">
        <v>436</v>
      </c>
      <c r="I2304" s="264"/>
      <c r="J2304" s="263" t="s">
        <v>437</v>
      </c>
    </row>
    <row r="2305" spans="1:10" x14ac:dyDescent="0.15">
      <c r="A2305" s="263" t="s">
        <v>6139</v>
      </c>
      <c r="B2305" s="263" t="s">
        <v>6140</v>
      </c>
      <c r="C2305" s="263" t="s">
        <v>96</v>
      </c>
      <c r="D2305" s="263" t="s">
        <v>6141</v>
      </c>
      <c r="E2305" s="263" t="s">
        <v>97</v>
      </c>
      <c r="F2305">
        <v>0</v>
      </c>
      <c r="G2305">
        <v>2</v>
      </c>
      <c r="H2305" s="263" t="s">
        <v>436</v>
      </c>
      <c r="I2305" s="264"/>
      <c r="J2305" s="263" t="s">
        <v>437</v>
      </c>
    </row>
    <row r="2306" spans="1:10" x14ac:dyDescent="0.15">
      <c r="A2306" s="263" t="s">
        <v>6142</v>
      </c>
      <c r="B2306" s="263" t="s">
        <v>6143</v>
      </c>
      <c r="C2306" s="263" t="s">
        <v>96</v>
      </c>
      <c r="D2306" s="263" t="s">
        <v>6144</v>
      </c>
      <c r="E2306" s="263" t="s">
        <v>97</v>
      </c>
      <c r="F2306">
        <v>0</v>
      </c>
      <c r="G2306">
        <v>2</v>
      </c>
      <c r="H2306" s="263" t="s">
        <v>436</v>
      </c>
      <c r="I2306" s="264"/>
      <c r="J2306" s="263" t="s">
        <v>437</v>
      </c>
    </row>
    <row r="2307" spans="1:10" x14ac:dyDescent="0.15">
      <c r="A2307" s="263" t="s">
        <v>6145</v>
      </c>
      <c r="B2307" s="263" t="s">
        <v>6146</v>
      </c>
      <c r="C2307" s="263" t="s">
        <v>96</v>
      </c>
      <c r="D2307" s="263" t="s">
        <v>6147</v>
      </c>
      <c r="E2307" s="263" t="s">
        <v>97</v>
      </c>
      <c r="F2307">
        <v>0</v>
      </c>
      <c r="G2307">
        <v>2</v>
      </c>
      <c r="H2307" s="263" t="s">
        <v>436</v>
      </c>
      <c r="I2307" s="264"/>
      <c r="J2307" s="263" t="s">
        <v>437</v>
      </c>
    </row>
    <row r="2308" spans="1:10" x14ac:dyDescent="0.15">
      <c r="A2308" s="263" t="s">
        <v>9800</v>
      </c>
      <c r="B2308" s="263" t="s">
        <v>9801</v>
      </c>
      <c r="C2308" s="263" t="s">
        <v>96</v>
      </c>
      <c r="D2308" s="263" t="s">
        <v>9802</v>
      </c>
      <c r="E2308" s="263" t="s">
        <v>97</v>
      </c>
      <c r="F2308">
        <v>0</v>
      </c>
      <c r="G2308">
        <v>2</v>
      </c>
      <c r="H2308" s="263" t="s">
        <v>436</v>
      </c>
      <c r="I2308" s="264"/>
      <c r="J2308" s="263" t="s">
        <v>437</v>
      </c>
    </row>
    <row r="2309" spans="1:10" x14ac:dyDescent="0.15">
      <c r="A2309" s="263" t="s">
        <v>6148</v>
      </c>
      <c r="B2309" s="263" t="s">
        <v>6149</v>
      </c>
      <c r="C2309" s="263" t="s">
        <v>96</v>
      </c>
      <c r="D2309" s="263" t="s">
        <v>6150</v>
      </c>
      <c r="E2309" s="263" t="s">
        <v>97</v>
      </c>
      <c r="F2309">
        <v>0</v>
      </c>
      <c r="G2309">
        <v>2</v>
      </c>
      <c r="H2309" s="263" t="s">
        <v>436</v>
      </c>
      <c r="I2309" s="264"/>
      <c r="J2309" s="263" t="s">
        <v>437</v>
      </c>
    </row>
    <row r="2310" spans="1:10" x14ac:dyDescent="0.15">
      <c r="A2310" s="263" t="s">
        <v>6151</v>
      </c>
      <c r="B2310" s="263" t="s">
        <v>6152</v>
      </c>
      <c r="C2310" s="263" t="s">
        <v>96</v>
      </c>
      <c r="D2310" s="263" t="s">
        <v>6153</v>
      </c>
      <c r="E2310" s="263" t="s">
        <v>97</v>
      </c>
      <c r="F2310">
        <v>0</v>
      </c>
      <c r="G2310">
        <v>2</v>
      </c>
      <c r="H2310" s="263" t="s">
        <v>436</v>
      </c>
      <c r="I2310" s="264"/>
      <c r="J2310" s="263" t="s">
        <v>437</v>
      </c>
    </row>
    <row r="2311" spans="1:10" x14ac:dyDescent="0.15">
      <c r="A2311" s="263" t="s">
        <v>6154</v>
      </c>
      <c r="B2311" s="263" t="s">
        <v>6155</v>
      </c>
      <c r="C2311" s="263" t="s">
        <v>96</v>
      </c>
      <c r="D2311" s="263" t="s">
        <v>6156</v>
      </c>
      <c r="E2311" s="263" t="s">
        <v>97</v>
      </c>
      <c r="F2311">
        <v>0</v>
      </c>
      <c r="G2311">
        <v>2</v>
      </c>
      <c r="H2311" s="263" t="s">
        <v>436</v>
      </c>
      <c r="I2311" s="264"/>
      <c r="J2311" s="263" t="s">
        <v>437</v>
      </c>
    </row>
    <row r="2312" spans="1:10" x14ac:dyDescent="0.15">
      <c r="A2312" s="263" t="s">
        <v>9803</v>
      </c>
      <c r="B2312" s="263" t="s">
        <v>9804</v>
      </c>
      <c r="C2312" s="263" t="s">
        <v>96</v>
      </c>
      <c r="D2312" s="263" t="s">
        <v>9106</v>
      </c>
      <c r="E2312" s="263" t="s">
        <v>97</v>
      </c>
      <c r="F2312">
        <v>0</v>
      </c>
      <c r="G2312">
        <v>2</v>
      </c>
      <c r="H2312" s="263" t="s">
        <v>436</v>
      </c>
      <c r="I2312" s="264"/>
      <c r="J2312" s="263" t="s">
        <v>437</v>
      </c>
    </row>
    <row r="2313" spans="1:10" x14ac:dyDescent="0.15">
      <c r="A2313" s="263" t="s">
        <v>9104</v>
      </c>
      <c r="B2313" s="263" t="s">
        <v>9105</v>
      </c>
      <c r="C2313" s="263" t="s">
        <v>96</v>
      </c>
      <c r="D2313" s="263" t="s">
        <v>9106</v>
      </c>
      <c r="E2313" s="263" t="s">
        <v>97</v>
      </c>
      <c r="F2313">
        <v>0</v>
      </c>
      <c r="G2313">
        <v>2</v>
      </c>
      <c r="H2313" s="263" t="s">
        <v>436</v>
      </c>
      <c r="I2313" s="264"/>
      <c r="J2313" s="263" t="s">
        <v>437</v>
      </c>
    </row>
    <row r="2314" spans="1:10" x14ac:dyDescent="0.15">
      <c r="A2314" s="263" t="s">
        <v>9805</v>
      </c>
      <c r="B2314" s="263" t="s">
        <v>9806</v>
      </c>
      <c r="C2314" s="263" t="s">
        <v>96</v>
      </c>
      <c r="D2314" s="263" t="s">
        <v>6159</v>
      </c>
      <c r="E2314" s="263" t="s">
        <v>97</v>
      </c>
      <c r="F2314">
        <v>0</v>
      </c>
      <c r="G2314">
        <v>2</v>
      </c>
      <c r="H2314" s="263" t="s">
        <v>436</v>
      </c>
      <c r="I2314" s="264"/>
      <c r="J2314" s="263" t="s">
        <v>437</v>
      </c>
    </row>
    <row r="2315" spans="1:10" x14ac:dyDescent="0.15">
      <c r="A2315" s="263" t="s">
        <v>6157</v>
      </c>
      <c r="B2315" s="263" t="s">
        <v>6158</v>
      </c>
      <c r="C2315" s="263" t="s">
        <v>96</v>
      </c>
      <c r="D2315" s="263" t="s">
        <v>9807</v>
      </c>
      <c r="E2315" s="263" t="s">
        <v>97</v>
      </c>
      <c r="F2315">
        <v>0</v>
      </c>
      <c r="G2315">
        <v>2</v>
      </c>
      <c r="H2315" s="263" t="s">
        <v>436</v>
      </c>
      <c r="I2315" s="264"/>
      <c r="J2315" s="263" t="s">
        <v>437</v>
      </c>
    </row>
    <row r="2316" spans="1:10" x14ac:dyDescent="0.15">
      <c r="A2316" s="263" t="s">
        <v>9808</v>
      </c>
      <c r="B2316" s="263" t="s">
        <v>6161</v>
      </c>
      <c r="C2316" s="263" t="s">
        <v>96</v>
      </c>
      <c r="D2316" s="263" t="s">
        <v>6162</v>
      </c>
      <c r="E2316" s="263" t="s">
        <v>97</v>
      </c>
      <c r="F2316">
        <v>0</v>
      </c>
      <c r="G2316">
        <v>2</v>
      </c>
      <c r="H2316" s="263" t="s">
        <v>436</v>
      </c>
      <c r="I2316" s="264"/>
      <c r="J2316" s="263" t="s">
        <v>437</v>
      </c>
    </row>
    <row r="2317" spans="1:10" x14ac:dyDescent="0.15">
      <c r="A2317" s="263" t="s">
        <v>6160</v>
      </c>
      <c r="B2317" s="263" t="s">
        <v>6161</v>
      </c>
      <c r="C2317" s="263" t="s">
        <v>96</v>
      </c>
      <c r="D2317" s="263" t="s">
        <v>6162</v>
      </c>
      <c r="E2317" s="263" t="s">
        <v>97</v>
      </c>
      <c r="F2317">
        <v>0</v>
      </c>
      <c r="G2317">
        <v>2</v>
      </c>
      <c r="H2317" s="263" t="s">
        <v>436</v>
      </c>
      <c r="I2317" s="264"/>
      <c r="J2317" s="263" t="s">
        <v>437</v>
      </c>
    </row>
    <row r="2318" spans="1:10" x14ac:dyDescent="0.15">
      <c r="A2318" s="263" t="s">
        <v>9809</v>
      </c>
      <c r="B2318" s="263" t="s">
        <v>9810</v>
      </c>
      <c r="C2318" s="263" t="s">
        <v>81</v>
      </c>
      <c r="D2318" s="263" t="s">
        <v>9811</v>
      </c>
      <c r="E2318" s="263" t="s">
        <v>88</v>
      </c>
      <c r="F2318">
        <v>0</v>
      </c>
      <c r="G2318">
        <v>2</v>
      </c>
      <c r="H2318" s="263" t="s">
        <v>436</v>
      </c>
      <c r="I2318" s="264"/>
      <c r="J2318" s="263" t="s">
        <v>437</v>
      </c>
    </row>
    <row r="2319" spans="1:10" x14ac:dyDescent="0.15">
      <c r="A2319" s="263" t="s">
        <v>9107</v>
      </c>
      <c r="B2319" s="263" t="s">
        <v>9108</v>
      </c>
      <c r="C2319" s="263" t="s">
        <v>81</v>
      </c>
      <c r="D2319" s="263" t="s">
        <v>9109</v>
      </c>
      <c r="E2319" s="263" t="s">
        <v>88</v>
      </c>
      <c r="F2319">
        <v>0</v>
      </c>
      <c r="G2319">
        <v>2</v>
      </c>
      <c r="H2319" s="263" t="s">
        <v>436</v>
      </c>
      <c r="I2319" s="264"/>
      <c r="J2319" s="263" t="s">
        <v>437</v>
      </c>
    </row>
    <row r="2320" spans="1:10" x14ac:dyDescent="0.15">
      <c r="A2320" s="263" t="s">
        <v>6163</v>
      </c>
      <c r="B2320" s="263" t="s">
        <v>6164</v>
      </c>
      <c r="C2320" s="263" t="s">
        <v>96</v>
      </c>
      <c r="D2320" s="263" t="s">
        <v>6165</v>
      </c>
      <c r="E2320" s="263" t="s">
        <v>97</v>
      </c>
      <c r="F2320">
        <v>0</v>
      </c>
      <c r="G2320">
        <v>2</v>
      </c>
      <c r="H2320" s="263" t="s">
        <v>436</v>
      </c>
      <c r="I2320" s="264"/>
      <c r="J2320" s="263" t="s">
        <v>437</v>
      </c>
    </row>
    <row r="2321" spans="1:10" x14ac:dyDescent="0.15">
      <c r="A2321" s="263" t="s">
        <v>6166</v>
      </c>
      <c r="B2321" s="263" t="s">
        <v>6167</v>
      </c>
      <c r="C2321" s="263" t="s">
        <v>81</v>
      </c>
      <c r="D2321" s="263" t="s">
        <v>6168</v>
      </c>
      <c r="E2321" s="263" t="s">
        <v>88</v>
      </c>
      <c r="F2321">
        <v>0</v>
      </c>
      <c r="G2321">
        <v>2</v>
      </c>
      <c r="H2321" s="263" t="s">
        <v>436</v>
      </c>
      <c r="I2321" s="264"/>
      <c r="J2321" s="263" t="s">
        <v>437</v>
      </c>
    </row>
    <row r="2322" spans="1:10" x14ac:dyDescent="0.15">
      <c r="A2322" s="263" t="s">
        <v>6169</v>
      </c>
      <c r="B2322" s="263" t="s">
        <v>5150</v>
      </c>
      <c r="C2322" s="263" t="s">
        <v>81</v>
      </c>
      <c r="D2322" s="263" t="s">
        <v>5151</v>
      </c>
      <c r="E2322" s="263" t="s">
        <v>88</v>
      </c>
      <c r="F2322">
        <v>0</v>
      </c>
      <c r="G2322">
        <v>2</v>
      </c>
      <c r="H2322" s="263" t="s">
        <v>436</v>
      </c>
      <c r="I2322" s="264"/>
      <c r="J2322" s="263" t="s">
        <v>437</v>
      </c>
    </row>
    <row r="2323" spans="1:10" x14ac:dyDescent="0.15">
      <c r="A2323" s="263" t="s">
        <v>6170</v>
      </c>
      <c r="B2323" s="263" t="s">
        <v>6171</v>
      </c>
      <c r="C2323" s="263" t="s">
        <v>81</v>
      </c>
      <c r="D2323" s="263" t="s">
        <v>6172</v>
      </c>
      <c r="E2323" s="263" t="s">
        <v>88</v>
      </c>
      <c r="F2323">
        <v>0</v>
      </c>
      <c r="G2323">
        <v>2</v>
      </c>
      <c r="H2323" s="263" t="s">
        <v>436</v>
      </c>
      <c r="I2323" s="264"/>
      <c r="J2323" s="263" t="s">
        <v>437</v>
      </c>
    </row>
    <row r="2324" spans="1:10" x14ac:dyDescent="0.15">
      <c r="A2324" s="263" t="s">
        <v>6173</v>
      </c>
      <c r="B2324" s="263" t="s">
        <v>6174</v>
      </c>
      <c r="C2324" s="263" t="s">
        <v>78</v>
      </c>
      <c r="D2324" s="263" t="s">
        <v>6175</v>
      </c>
      <c r="E2324" s="263" t="s">
        <v>78</v>
      </c>
      <c r="F2324">
        <v>0</v>
      </c>
      <c r="G2324">
        <v>2</v>
      </c>
      <c r="H2324" s="263" t="s">
        <v>436</v>
      </c>
      <c r="I2324" s="264"/>
      <c r="J2324" s="263" t="s">
        <v>437</v>
      </c>
    </row>
    <row r="2325" spans="1:10" x14ac:dyDescent="0.15">
      <c r="A2325" s="263" t="s">
        <v>6176</v>
      </c>
      <c r="B2325" s="263" t="s">
        <v>6177</v>
      </c>
      <c r="C2325" s="263" t="s">
        <v>98</v>
      </c>
      <c r="D2325" s="263" t="s">
        <v>6178</v>
      </c>
      <c r="E2325" s="263" t="s">
        <v>110</v>
      </c>
      <c r="F2325">
        <v>0</v>
      </c>
      <c r="G2325">
        <v>2</v>
      </c>
      <c r="H2325" s="263" t="s">
        <v>436</v>
      </c>
      <c r="I2325" s="264"/>
      <c r="J2325" s="263" t="s">
        <v>437</v>
      </c>
    </row>
    <row r="2326" spans="1:10" x14ac:dyDescent="0.15">
      <c r="A2326" s="263" t="s">
        <v>6179</v>
      </c>
      <c r="B2326" s="263" t="s">
        <v>6180</v>
      </c>
      <c r="C2326" s="263" t="s">
        <v>81</v>
      </c>
      <c r="D2326" s="263" t="s">
        <v>6181</v>
      </c>
      <c r="E2326" s="263" t="s">
        <v>88</v>
      </c>
      <c r="F2326">
        <v>0</v>
      </c>
      <c r="G2326">
        <v>2</v>
      </c>
      <c r="H2326" s="263" t="s">
        <v>436</v>
      </c>
      <c r="I2326" s="264"/>
      <c r="J2326" s="263" t="s">
        <v>437</v>
      </c>
    </row>
    <row r="2327" spans="1:10" x14ac:dyDescent="0.15">
      <c r="A2327" s="263" t="s">
        <v>6182</v>
      </c>
      <c r="B2327" s="263" t="s">
        <v>6183</v>
      </c>
      <c r="C2327" s="263" t="s">
        <v>98</v>
      </c>
      <c r="D2327" s="263" t="s">
        <v>6184</v>
      </c>
      <c r="E2327" s="263" t="s">
        <v>110</v>
      </c>
      <c r="F2327">
        <v>0</v>
      </c>
      <c r="G2327">
        <v>2</v>
      </c>
      <c r="H2327" s="263" t="s">
        <v>436</v>
      </c>
      <c r="I2327" s="264"/>
      <c r="J2327" s="263" t="s">
        <v>437</v>
      </c>
    </row>
    <row r="2328" spans="1:10" x14ac:dyDescent="0.15">
      <c r="A2328" s="263" t="s">
        <v>6185</v>
      </c>
      <c r="B2328" s="263" t="s">
        <v>9812</v>
      </c>
      <c r="C2328" s="263" t="s">
        <v>99</v>
      </c>
      <c r="D2328" s="263" t="s">
        <v>9813</v>
      </c>
      <c r="E2328" s="263" t="s">
        <v>84</v>
      </c>
      <c r="F2328">
        <v>0</v>
      </c>
      <c r="G2328">
        <v>2</v>
      </c>
      <c r="H2328" s="263" t="s">
        <v>436</v>
      </c>
      <c r="I2328" s="264"/>
      <c r="J2328" s="263" t="s">
        <v>437</v>
      </c>
    </row>
    <row r="2329" spans="1:10" x14ac:dyDescent="0.15">
      <c r="A2329" s="263" t="s">
        <v>6248</v>
      </c>
      <c r="B2329" s="263" t="s">
        <v>6249</v>
      </c>
      <c r="C2329" s="263" t="s">
        <v>98</v>
      </c>
      <c r="D2329" s="263" t="s">
        <v>6250</v>
      </c>
      <c r="E2329" s="263" t="s">
        <v>110</v>
      </c>
      <c r="F2329">
        <v>0</v>
      </c>
      <c r="G2329">
        <v>2</v>
      </c>
      <c r="H2329" s="263" t="s">
        <v>436</v>
      </c>
      <c r="I2329" s="264"/>
      <c r="J2329" s="263" t="s">
        <v>437</v>
      </c>
    </row>
    <row r="2330" spans="1:10" x14ac:dyDescent="0.15">
      <c r="A2330" s="263" t="s">
        <v>6251</v>
      </c>
      <c r="B2330" s="263" t="s">
        <v>6252</v>
      </c>
      <c r="C2330" s="263" t="s">
        <v>98</v>
      </c>
      <c r="D2330" s="263" t="s">
        <v>6253</v>
      </c>
      <c r="E2330" s="263" t="s">
        <v>110</v>
      </c>
      <c r="F2330">
        <v>0</v>
      </c>
      <c r="G2330">
        <v>2</v>
      </c>
      <c r="H2330" s="263" t="s">
        <v>436</v>
      </c>
      <c r="I2330" s="264"/>
      <c r="J2330" s="263" t="s">
        <v>437</v>
      </c>
    </row>
    <row r="2331" spans="1:10" x14ac:dyDescent="0.15">
      <c r="A2331" s="263" t="s">
        <v>6254</v>
      </c>
      <c r="B2331" s="263" t="s">
        <v>6255</v>
      </c>
      <c r="C2331" s="263" t="s">
        <v>98</v>
      </c>
      <c r="D2331" s="263" t="s">
        <v>6256</v>
      </c>
      <c r="E2331" s="263" t="s">
        <v>110</v>
      </c>
      <c r="F2331">
        <v>0</v>
      </c>
      <c r="G2331">
        <v>2</v>
      </c>
      <c r="H2331" s="263" t="s">
        <v>436</v>
      </c>
      <c r="I2331" s="264"/>
      <c r="J2331" s="263" t="s">
        <v>437</v>
      </c>
    </row>
    <row r="2332" spans="1:10" x14ac:dyDescent="0.15">
      <c r="A2332" s="263" t="s">
        <v>6257</v>
      </c>
      <c r="B2332" s="263" t="s">
        <v>6258</v>
      </c>
      <c r="C2332" s="263" t="s">
        <v>98</v>
      </c>
      <c r="D2332" s="263" t="s">
        <v>6259</v>
      </c>
      <c r="E2332" s="263" t="s">
        <v>110</v>
      </c>
      <c r="F2332">
        <v>0</v>
      </c>
      <c r="G2332">
        <v>2</v>
      </c>
      <c r="H2332" s="263" t="s">
        <v>436</v>
      </c>
      <c r="I2332" s="264"/>
      <c r="J2332" s="263" t="s">
        <v>437</v>
      </c>
    </row>
    <row r="2333" spans="1:10" x14ac:dyDescent="0.15">
      <c r="A2333" s="263" t="s">
        <v>6260</v>
      </c>
      <c r="B2333" s="263" t="s">
        <v>6261</v>
      </c>
      <c r="C2333" s="263" t="s">
        <v>98</v>
      </c>
      <c r="D2333" s="263" t="s">
        <v>6262</v>
      </c>
      <c r="E2333" s="263" t="s">
        <v>110</v>
      </c>
      <c r="F2333">
        <v>0</v>
      </c>
      <c r="G2333">
        <v>2</v>
      </c>
      <c r="H2333" s="263" t="s">
        <v>436</v>
      </c>
      <c r="I2333" s="264"/>
      <c r="J2333" s="263" t="s">
        <v>437</v>
      </c>
    </row>
    <row r="2334" spans="1:10" x14ac:dyDescent="0.15">
      <c r="A2334" s="263" t="s">
        <v>6263</v>
      </c>
      <c r="B2334" s="263" t="s">
        <v>6264</v>
      </c>
      <c r="C2334" s="263" t="s">
        <v>96</v>
      </c>
      <c r="D2334" s="263" t="s">
        <v>6265</v>
      </c>
      <c r="E2334" s="263" t="s">
        <v>97</v>
      </c>
      <c r="F2334">
        <v>0</v>
      </c>
      <c r="G2334">
        <v>2</v>
      </c>
      <c r="H2334" s="263" t="s">
        <v>436</v>
      </c>
      <c r="I2334" s="264"/>
      <c r="J2334" s="263" t="s">
        <v>437</v>
      </c>
    </row>
    <row r="2335" spans="1:10" x14ac:dyDescent="0.15">
      <c r="A2335" s="263" t="s">
        <v>6266</v>
      </c>
      <c r="B2335" s="263" t="s">
        <v>9814</v>
      </c>
      <c r="C2335" s="263" t="s">
        <v>96</v>
      </c>
      <c r="D2335" s="263" t="s">
        <v>9815</v>
      </c>
      <c r="E2335" s="263" t="s">
        <v>97</v>
      </c>
      <c r="F2335">
        <v>0</v>
      </c>
      <c r="G2335">
        <v>2</v>
      </c>
      <c r="H2335" s="263" t="s">
        <v>436</v>
      </c>
      <c r="I2335" s="264"/>
      <c r="J2335" s="263" t="s">
        <v>437</v>
      </c>
    </row>
    <row r="2336" spans="1:10" x14ac:dyDescent="0.15">
      <c r="A2336" s="263" t="s">
        <v>6267</v>
      </c>
      <c r="B2336" s="263" t="s">
        <v>9816</v>
      </c>
      <c r="C2336" s="263" t="s">
        <v>96</v>
      </c>
      <c r="D2336" s="263" t="s">
        <v>9817</v>
      </c>
      <c r="E2336" s="263" t="s">
        <v>97</v>
      </c>
      <c r="F2336">
        <v>0</v>
      </c>
      <c r="G2336">
        <v>2</v>
      </c>
      <c r="H2336" s="263" t="s">
        <v>436</v>
      </c>
      <c r="I2336" s="264"/>
      <c r="J2336" s="263" t="s">
        <v>437</v>
      </c>
    </row>
    <row r="2337" spans="1:10" x14ac:dyDescent="0.15">
      <c r="A2337" s="263" t="s">
        <v>6268</v>
      </c>
      <c r="B2337" s="263" t="s">
        <v>9818</v>
      </c>
      <c r="C2337" s="263" t="s">
        <v>96</v>
      </c>
      <c r="D2337" s="263" t="s">
        <v>9819</v>
      </c>
      <c r="E2337" s="263" t="s">
        <v>97</v>
      </c>
      <c r="F2337">
        <v>0</v>
      </c>
      <c r="G2337">
        <v>2</v>
      </c>
      <c r="H2337" s="263" t="s">
        <v>436</v>
      </c>
      <c r="I2337" s="264"/>
      <c r="J2337" s="263" t="s">
        <v>437</v>
      </c>
    </row>
    <row r="2338" spans="1:10" x14ac:dyDescent="0.15">
      <c r="A2338" s="263" t="s">
        <v>6269</v>
      </c>
      <c r="B2338" s="263" t="s">
        <v>9820</v>
      </c>
      <c r="C2338" s="263" t="s">
        <v>96</v>
      </c>
      <c r="D2338" s="263" t="s">
        <v>9821</v>
      </c>
      <c r="E2338" s="263" t="s">
        <v>97</v>
      </c>
      <c r="F2338">
        <v>0</v>
      </c>
      <c r="G2338">
        <v>2</v>
      </c>
      <c r="H2338" s="263" t="s">
        <v>436</v>
      </c>
      <c r="I2338" s="264"/>
      <c r="J2338" s="263" t="s">
        <v>437</v>
      </c>
    </row>
    <row r="2339" spans="1:10" x14ac:dyDescent="0.15">
      <c r="A2339" s="263" t="s">
        <v>6270</v>
      </c>
      <c r="B2339" s="263" t="s">
        <v>9822</v>
      </c>
      <c r="C2339" s="263" t="s">
        <v>96</v>
      </c>
      <c r="D2339" s="263" t="s">
        <v>9823</v>
      </c>
      <c r="E2339" s="263" t="s">
        <v>97</v>
      </c>
      <c r="F2339">
        <v>0</v>
      </c>
      <c r="G2339">
        <v>2</v>
      </c>
      <c r="H2339" s="263" t="s">
        <v>436</v>
      </c>
      <c r="I2339" s="264"/>
      <c r="J2339" s="263" t="s">
        <v>437</v>
      </c>
    </row>
    <row r="2340" spans="1:10" x14ac:dyDescent="0.15">
      <c r="A2340" s="263" t="s">
        <v>6271</v>
      </c>
      <c r="B2340" s="263" t="s">
        <v>9824</v>
      </c>
      <c r="C2340" s="263" t="s">
        <v>96</v>
      </c>
      <c r="D2340" s="263" t="s">
        <v>9825</v>
      </c>
      <c r="E2340" s="263" t="s">
        <v>97</v>
      </c>
      <c r="F2340">
        <v>0</v>
      </c>
      <c r="G2340">
        <v>2</v>
      </c>
      <c r="H2340" s="263" t="s">
        <v>436</v>
      </c>
      <c r="I2340" s="264"/>
      <c r="J2340" s="263" t="s">
        <v>437</v>
      </c>
    </row>
    <row r="2341" spans="1:10" x14ac:dyDescent="0.15">
      <c r="A2341" s="263" t="s">
        <v>6272</v>
      </c>
      <c r="B2341" s="263" t="s">
        <v>6273</v>
      </c>
      <c r="C2341" s="263" t="s">
        <v>96</v>
      </c>
      <c r="D2341" s="263" t="s">
        <v>6274</v>
      </c>
      <c r="E2341" s="263" t="s">
        <v>97</v>
      </c>
      <c r="F2341">
        <v>0</v>
      </c>
      <c r="G2341">
        <v>2</v>
      </c>
      <c r="H2341" s="263" t="s">
        <v>436</v>
      </c>
      <c r="I2341" s="264"/>
      <c r="J2341" s="263" t="s">
        <v>437</v>
      </c>
    </row>
    <row r="2342" spans="1:10" x14ac:dyDescent="0.15">
      <c r="A2342" s="263" t="s">
        <v>6275</v>
      </c>
      <c r="B2342" s="263" t="s">
        <v>9826</v>
      </c>
      <c r="C2342" s="263" t="s">
        <v>96</v>
      </c>
      <c r="D2342" s="263" t="s">
        <v>9827</v>
      </c>
      <c r="E2342" s="263" t="s">
        <v>97</v>
      </c>
      <c r="F2342">
        <v>0</v>
      </c>
      <c r="G2342">
        <v>2</v>
      </c>
      <c r="H2342" s="263" t="s">
        <v>436</v>
      </c>
      <c r="I2342" s="264"/>
      <c r="J2342" s="263" t="s">
        <v>437</v>
      </c>
    </row>
    <row r="2343" spans="1:10" x14ac:dyDescent="0.15">
      <c r="A2343" s="263" t="s">
        <v>6276</v>
      </c>
      <c r="B2343" s="263" t="s">
        <v>9828</v>
      </c>
      <c r="C2343" s="263" t="s">
        <v>96</v>
      </c>
      <c r="D2343" s="263" t="s">
        <v>9829</v>
      </c>
      <c r="E2343" s="263" t="s">
        <v>97</v>
      </c>
      <c r="F2343">
        <v>0</v>
      </c>
      <c r="G2343">
        <v>2</v>
      </c>
      <c r="H2343" s="263" t="s">
        <v>436</v>
      </c>
      <c r="I2343" s="264"/>
      <c r="J2343" s="263" t="s">
        <v>437</v>
      </c>
    </row>
    <row r="2344" spans="1:10" x14ac:dyDescent="0.15">
      <c r="A2344" s="263" t="s">
        <v>6277</v>
      </c>
      <c r="B2344" s="263" t="s">
        <v>9830</v>
      </c>
      <c r="C2344" s="263" t="s">
        <v>96</v>
      </c>
      <c r="D2344" s="263" t="s">
        <v>9831</v>
      </c>
      <c r="E2344" s="263" t="s">
        <v>97</v>
      </c>
      <c r="F2344">
        <v>0</v>
      </c>
      <c r="G2344">
        <v>2</v>
      </c>
      <c r="H2344" s="263" t="s">
        <v>436</v>
      </c>
      <c r="I2344" s="264"/>
      <c r="J2344" s="263" t="s">
        <v>437</v>
      </c>
    </row>
    <row r="2345" spans="1:10" x14ac:dyDescent="0.15">
      <c r="A2345" s="263" t="s">
        <v>6278</v>
      </c>
      <c r="B2345" s="263" t="s">
        <v>9832</v>
      </c>
      <c r="C2345" s="263" t="s">
        <v>96</v>
      </c>
      <c r="D2345" s="263" t="s">
        <v>9833</v>
      </c>
      <c r="E2345" s="263" t="s">
        <v>97</v>
      </c>
      <c r="F2345">
        <v>0</v>
      </c>
      <c r="G2345">
        <v>2</v>
      </c>
      <c r="H2345" s="263" t="s">
        <v>436</v>
      </c>
      <c r="I2345" s="264"/>
      <c r="J2345" s="263" t="s">
        <v>437</v>
      </c>
    </row>
    <row r="2346" spans="1:10" x14ac:dyDescent="0.15">
      <c r="A2346" s="263" t="s">
        <v>6279</v>
      </c>
      <c r="B2346" s="263" t="s">
        <v>9834</v>
      </c>
      <c r="C2346" s="263" t="s">
        <v>96</v>
      </c>
      <c r="D2346" s="263" t="s">
        <v>9835</v>
      </c>
      <c r="E2346" s="263" t="s">
        <v>97</v>
      </c>
      <c r="F2346">
        <v>0</v>
      </c>
      <c r="G2346">
        <v>2</v>
      </c>
      <c r="H2346" s="263" t="s">
        <v>436</v>
      </c>
      <c r="I2346" s="264"/>
      <c r="J2346" s="263" t="s">
        <v>437</v>
      </c>
    </row>
    <row r="2347" spans="1:10" x14ac:dyDescent="0.15">
      <c r="A2347" s="263" t="s">
        <v>6280</v>
      </c>
      <c r="B2347" s="263" t="s">
        <v>9836</v>
      </c>
      <c r="C2347" s="263" t="s">
        <v>96</v>
      </c>
      <c r="D2347" s="263" t="s">
        <v>9837</v>
      </c>
      <c r="E2347" s="263" t="s">
        <v>97</v>
      </c>
      <c r="F2347">
        <v>0</v>
      </c>
      <c r="G2347">
        <v>2</v>
      </c>
      <c r="H2347" s="263" t="s">
        <v>436</v>
      </c>
      <c r="I2347" s="264"/>
      <c r="J2347" s="263" t="s">
        <v>437</v>
      </c>
    </row>
    <row r="2348" spans="1:10" x14ac:dyDescent="0.15">
      <c r="A2348" s="263" t="s">
        <v>6281</v>
      </c>
      <c r="B2348" s="263" t="s">
        <v>9838</v>
      </c>
      <c r="C2348" s="263" t="s">
        <v>96</v>
      </c>
      <c r="D2348" s="263" t="s">
        <v>9839</v>
      </c>
      <c r="E2348" s="263" t="s">
        <v>97</v>
      </c>
      <c r="F2348">
        <v>0</v>
      </c>
      <c r="G2348">
        <v>2</v>
      </c>
      <c r="H2348" s="263" t="s">
        <v>436</v>
      </c>
      <c r="I2348" s="264"/>
      <c r="J2348" s="263" t="s">
        <v>437</v>
      </c>
    </row>
    <row r="2349" spans="1:10" x14ac:dyDescent="0.15">
      <c r="A2349" s="263" t="s">
        <v>6282</v>
      </c>
      <c r="B2349" s="263" t="s">
        <v>9840</v>
      </c>
      <c r="C2349" s="263" t="s">
        <v>96</v>
      </c>
      <c r="D2349" s="263" t="s">
        <v>9841</v>
      </c>
      <c r="E2349" s="263" t="s">
        <v>97</v>
      </c>
      <c r="F2349">
        <v>0</v>
      </c>
      <c r="G2349">
        <v>2</v>
      </c>
      <c r="H2349" s="263" t="s">
        <v>436</v>
      </c>
      <c r="I2349" s="264"/>
      <c r="J2349" s="263" t="s">
        <v>437</v>
      </c>
    </row>
    <row r="2350" spans="1:10" x14ac:dyDescent="0.15">
      <c r="A2350" s="263" t="s">
        <v>6283</v>
      </c>
      <c r="B2350" s="263" t="s">
        <v>9842</v>
      </c>
      <c r="C2350" s="263" t="s">
        <v>96</v>
      </c>
      <c r="D2350" s="263" t="s">
        <v>9843</v>
      </c>
      <c r="E2350" s="263" t="s">
        <v>97</v>
      </c>
      <c r="F2350">
        <v>0</v>
      </c>
      <c r="G2350">
        <v>2</v>
      </c>
      <c r="H2350" s="263" t="s">
        <v>436</v>
      </c>
      <c r="I2350" s="264"/>
      <c r="J2350" s="263" t="s">
        <v>437</v>
      </c>
    </row>
    <row r="2351" spans="1:10" x14ac:dyDescent="0.15">
      <c r="A2351" s="263" t="s">
        <v>6284</v>
      </c>
      <c r="B2351" s="263" t="s">
        <v>9844</v>
      </c>
      <c r="C2351" s="263" t="s">
        <v>96</v>
      </c>
      <c r="D2351" s="263" t="s">
        <v>9845</v>
      </c>
      <c r="E2351" s="263" t="s">
        <v>97</v>
      </c>
      <c r="F2351">
        <v>0</v>
      </c>
      <c r="G2351">
        <v>2</v>
      </c>
      <c r="H2351" s="263" t="s">
        <v>436</v>
      </c>
      <c r="I2351" s="264"/>
      <c r="J2351" s="263" t="s">
        <v>437</v>
      </c>
    </row>
    <row r="2352" spans="1:10" x14ac:dyDescent="0.15">
      <c r="A2352" s="263" t="s">
        <v>6285</v>
      </c>
      <c r="B2352" s="263" t="s">
        <v>9846</v>
      </c>
      <c r="C2352" s="263" t="s">
        <v>96</v>
      </c>
      <c r="D2352" s="263" t="s">
        <v>9847</v>
      </c>
      <c r="E2352" s="263" t="s">
        <v>97</v>
      </c>
      <c r="F2352">
        <v>0</v>
      </c>
      <c r="G2352">
        <v>2</v>
      </c>
      <c r="H2352" s="263" t="s">
        <v>436</v>
      </c>
      <c r="I2352" s="264"/>
      <c r="J2352" s="263" t="s">
        <v>437</v>
      </c>
    </row>
    <row r="2353" spans="1:10" x14ac:dyDescent="0.15">
      <c r="A2353" s="263" t="s">
        <v>6286</v>
      </c>
      <c r="B2353" s="263" t="s">
        <v>9848</v>
      </c>
      <c r="C2353" s="263" t="s">
        <v>96</v>
      </c>
      <c r="D2353" s="263" t="s">
        <v>9849</v>
      </c>
      <c r="E2353" s="263" t="s">
        <v>97</v>
      </c>
      <c r="F2353">
        <v>0</v>
      </c>
      <c r="G2353">
        <v>2</v>
      </c>
      <c r="H2353" s="263" t="s">
        <v>436</v>
      </c>
      <c r="I2353" s="264"/>
      <c r="J2353" s="263" t="s">
        <v>437</v>
      </c>
    </row>
    <row r="2354" spans="1:10" x14ac:dyDescent="0.15">
      <c r="A2354" s="263" t="s">
        <v>6287</v>
      </c>
      <c r="B2354" s="263" t="s">
        <v>9850</v>
      </c>
      <c r="C2354" s="263" t="s">
        <v>96</v>
      </c>
      <c r="D2354" s="263" t="s">
        <v>9851</v>
      </c>
      <c r="E2354" s="263" t="s">
        <v>97</v>
      </c>
      <c r="F2354">
        <v>0</v>
      </c>
      <c r="G2354">
        <v>2</v>
      </c>
      <c r="H2354" s="263" t="s">
        <v>436</v>
      </c>
      <c r="I2354" s="264"/>
      <c r="J2354" s="263" t="s">
        <v>437</v>
      </c>
    </row>
    <row r="2355" spans="1:10" x14ac:dyDescent="0.15">
      <c r="A2355" s="263" t="s">
        <v>6288</v>
      </c>
      <c r="B2355" s="263" t="s">
        <v>9852</v>
      </c>
      <c r="C2355" s="263" t="s">
        <v>96</v>
      </c>
      <c r="D2355" s="263" t="s">
        <v>9853</v>
      </c>
      <c r="E2355" s="263" t="s">
        <v>97</v>
      </c>
      <c r="F2355">
        <v>0</v>
      </c>
      <c r="G2355">
        <v>2</v>
      </c>
      <c r="H2355" s="263" t="s">
        <v>436</v>
      </c>
      <c r="I2355" s="264"/>
      <c r="J2355" s="263" t="s">
        <v>437</v>
      </c>
    </row>
    <row r="2356" spans="1:10" x14ac:dyDescent="0.15">
      <c r="A2356" s="263" t="s">
        <v>6289</v>
      </c>
      <c r="B2356" s="263" t="s">
        <v>9854</v>
      </c>
      <c r="C2356" s="263" t="s">
        <v>96</v>
      </c>
      <c r="D2356" s="263" t="s">
        <v>9855</v>
      </c>
      <c r="E2356" s="263" t="s">
        <v>97</v>
      </c>
      <c r="F2356">
        <v>0</v>
      </c>
      <c r="G2356">
        <v>2</v>
      </c>
      <c r="H2356" s="263" t="s">
        <v>436</v>
      </c>
      <c r="I2356" s="264"/>
      <c r="J2356" s="263" t="s">
        <v>437</v>
      </c>
    </row>
    <row r="2357" spans="1:10" x14ac:dyDescent="0.15">
      <c r="A2357" s="263" t="s">
        <v>6290</v>
      </c>
      <c r="B2357" s="263" t="s">
        <v>9856</v>
      </c>
      <c r="C2357" s="263" t="s">
        <v>96</v>
      </c>
      <c r="D2357" s="263" t="s">
        <v>9857</v>
      </c>
      <c r="E2357" s="263" t="s">
        <v>97</v>
      </c>
      <c r="F2357">
        <v>0</v>
      </c>
      <c r="G2357">
        <v>2</v>
      </c>
      <c r="H2357" s="263" t="s">
        <v>436</v>
      </c>
      <c r="I2357" s="264"/>
      <c r="J2357" s="263" t="s">
        <v>437</v>
      </c>
    </row>
    <row r="2358" spans="1:10" x14ac:dyDescent="0.15">
      <c r="A2358" s="263" t="s">
        <v>6291</v>
      </c>
      <c r="B2358" s="263" t="s">
        <v>9858</v>
      </c>
      <c r="C2358" s="263" t="s">
        <v>96</v>
      </c>
      <c r="D2358" s="263" t="s">
        <v>9859</v>
      </c>
      <c r="E2358" s="263" t="s">
        <v>97</v>
      </c>
      <c r="F2358">
        <v>0</v>
      </c>
      <c r="G2358">
        <v>2</v>
      </c>
      <c r="H2358" s="263" t="s">
        <v>436</v>
      </c>
      <c r="I2358" s="264"/>
      <c r="J2358" s="263" t="s">
        <v>437</v>
      </c>
    </row>
    <row r="2359" spans="1:10" x14ac:dyDescent="0.15">
      <c r="A2359" s="263" t="s">
        <v>6292</v>
      </c>
      <c r="B2359" s="263" t="s">
        <v>9860</v>
      </c>
      <c r="C2359" s="263" t="s">
        <v>96</v>
      </c>
      <c r="D2359" s="263" t="s">
        <v>9861</v>
      </c>
      <c r="E2359" s="263" t="s">
        <v>97</v>
      </c>
      <c r="F2359">
        <v>0</v>
      </c>
      <c r="G2359">
        <v>2</v>
      </c>
      <c r="H2359" s="263" t="s">
        <v>436</v>
      </c>
      <c r="I2359" s="264"/>
      <c r="J2359" s="263" t="s">
        <v>437</v>
      </c>
    </row>
    <row r="2360" spans="1:10" x14ac:dyDescent="0.15">
      <c r="A2360" s="263" t="s">
        <v>6293</v>
      </c>
      <c r="B2360" s="263" t="s">
        <v>9862</v>
      </c>
      <c r="C2360" s="263" t="s">
        <v>96</v>
      </c>
      <c r="D2360" s="263" t="s">
        <v>9863</v>
      </c>
      <c r="E2360" s="263" t="s">
        <v>97</v>
      </c>
      <c r="F2360">
        <v>0</v>
      </c>
      <c r="G2360">
        <v>2</v>
      </c>
      <c r="H2360" s="263" t="s">
        <v>436</v>
      </c>
      <c r="I2360" s="264"/>
      <c r="J2360" s="263" t="s">
        <v>437</v>
      </c>
    </row>
    <row r="2361" spans="1:10" x14ac:dyDescent="0.15">
      <c r="A2361" s="263" t="s">
        <v>6294</v>
      </c>
      <c r="B2361" s="263" t="s">
        <v>9864</v>
      </c>
      <c r="C2361" s="263" t="s">
        <v>96</v>
      </c>
      <c r="D2361" s="263" t="s">
        <v>9865</v>
      </c>
      <c r="E2361" s="263" t="s">
        <v>97</v>
      </c>
      <c r="F2361">
        <v>0</v>
      </c>
      <c r="G2361">
        <v>2</v>
      </c>
      <c r="H2361" s="263" t="s">
        <v>436</v>
      </c>
      <c r="I2361" s="264"/>
      <c r="J2361" s="263" t="s">
        <v>437</v>
      </c>
    </row>
    <row r="2362" spans="1:10" x14ac:dyDescent="0.15">
      <c r="A2362" s="263" t="s">
        <v>6295</v>
      </c>
      <c r="B2362" s="263" t="s">
        <v>9866</v>
      </c>
      <c r="C2362" s="263" t="s">
        <v>96</v>
      </c>
      <c r="D2362" s="263" t="s">
        <v>9867</v>
      </c>
      <c r="E2362" s="263" t="s">
        <v>97</v>
      </c>
      <c r="F2362">
        <v>0</v>
      </c>
      <c r="G2362">
        <v>2</v>
      </c>
      <c r="H2362" s="263" t="s">
        <v>436</v>
      </c>
      <c r="I2362" s="264"/>
      <c r="J2362" s="263" t="s">
        <v>437</v>
      </c>
    </row>
    <row r="2363" spans="1:10" x14ac:dyDescent="0.15">
      <c r="A2363" s="263" t="s">
        <v>6296</v>
      </c>
      <c r="B2363" s="263" t="s">
        <v>9868</v>
      </c>
      <c r="C2363" s="263" t="s">
        <v>96</v>
      </c>
      <c r="D2363" s="263" t="s">
        <v>9869</v>
      </c>
      <c r="E2363" s="263" t="s">
        <v>97</v>
      </c>
      <c r="F2363">
        <v>0</v>
      </c>
      <c r="G2363">
        <v>2</v>
      </c>
      <c r="H2363" s="263" t="s">
        <v>436</v>
      </c>
      <c r="I2363" s="264"/>
      <c r="J2363" s="263" t="s">
        <v>437</v>
      </c>
    </row>
    <row r="2364" spans="1:10" x14ac:dyDescent="0.15">
      <c r="A2364" s="263" t="s">
        <v>6297</v>
      </c>
      <c r="B2364" s="263" t="s">
        <v>9870</v>
      </c>
      <c r="C2364" s="263" t="s">
        <v>96</v>
      </c>
      <c r="D2364" s="263" t="s">
        <v>9871</v>
      </c>
      <c r="E2364" s="263" t="s">
        <v>97</v>
      </c>
      <c r="F2364">
        <v>0</v>
      </c>
      <c r="G2364">
        <v>2</v>
      </c>
      <c r="H2364" s="263" t="s">
        <v>436</v>
      </c>
      <c r="I2364" s="264"/>
      <c r="J2364" s="263" t="s">
        <v>437</v>
      </c>
    </row>
    <row r="2365" spans="1:10" x14ac:dyDescent="0.15">
      <c r="A2365" s="263" t="s">
        <v>6298</v>
      </c>
      <c r="B2365" s="263" t="s">
        <v>9872</v>
      </c>
      <c r="C2365" s="263" t="s">
        <v>96</v>
      </c>
      <c r="D2365" s="263" t="s">
        <v>9873</v>
      </c>
      <c r="E2365" s="263" t="s">
        <v>97</v>
      </c>
      <c r="F2365">
        <v>0</v>
      </c>
      <c r="G2365">
        <v>2</v>
      </c>
      <c r="H2365" s="263" t="s">
        <v>436</v>
      </c>
      <c r="I2365" s="264"/>
      <c r="J2365" s="263" t="s">
        <v>437</v>
      </c>
    </row>
    <row r="2366" spans="1:10" x14ac:dyDescent="0.15">
      <c r="A2366" s="263" t="s">
        <v>6299</v>
      </c>
      <c r="B2366" s="263" t="s">
        <v>9874</v>
      </c>
      <c r="C2366" s="263" t="s">
        <v>96</v>
      </c>
      <c r="D2366" s="263" t="s">
        <v>9875</v>
      </c>
      <c r="E2366" s="263" t="s">
        <v>97</v>
      </c>
      <c r="F2366">
        <v>0</v>
      </c>
      <c r="G2366">
        <v>2</v>
      </c>
      <c r="H2366" s="263" t="s">
        <v>436</v>
      </c>
      <c r="I2366" s="264"/>
      <c r="J2366" s="263" t="s">
        <v>437</v>
      </c>
    </row>
    <row r="2367" spans="1:10" x14ac:dyDescent="0.15">
      <c r="A2367" s="263" t="s">
        <v>6300</v>
      </c>
      <c r="B2367" s="263" t="s">
        <v>9876</v>
      </c>
      <c r="C2367" s="263" t="s">
        <v>96</v>
      </c>
      <c r="D2367" s="263" t="s">
        <v>9877</v>
      </c>
      <c r="E2367" s="263" t="s">
        <v>97</v>
      </c>
      <c r="F2367">
        <v>0</v>
      </c>
      <c r="G2367">
        <v>2</v>
      </c>
      <c r="H2367" s="263" t="s">
        <v>436</v>
      </c>
      <c r="I2367" s="264"/>
      <c r="J2367" s="263" t="s">
        <v>437</v>
      </c>
    </row>
    <row r="2368" spans="1:10" x14ac:dyDescent="0.15">
      <c r="A2368" s="263" t="s">
        <v>6301</v>
      </c>
      <c r="B2368" s="263" t="s">
        <v>9878</v>
      </c>
      <c r="C2368" s="263" t="s">
        <v>96</v>
      </c>
      <c r="D2368" s="263" t="s">
        <v>9879</v>
      </c>
      <c r="E2368" s="263" t="s">
        <v>97</v>
      </c>
      <c r="F2368">
        <v>0</v>
      </c>
      <c r="G2368">
        <v>2</v>
      </c>
      <c r="H2368" s="263" t="s">
        <v>436</v>
      </c>
      <c r="I2368" s="264"/>
      <c r="J2368" s="263" t="s">
        <v>437</v>
      </c>
    </row>
    <row r="2369" spans="1:10" x14ac:dyDescent="0.15">
      <c r="A2369" s="263" t="s">
        <v>6302</v>
      </c>
      <c r="B2369" s="263" t="s">
        <v>9880</v>
      </c>
      <c r="C2369" s="263" t="s">
        <v>96</v>
      </c>
      <c r="D2369" s="263" t="s">
        <v>9881</v>
      </c>
      <c r="E2369" s="263" t="s">
        <v>97</v>
      </c>
      <c r="F2369">
        <v>0</v>
      </c>
      <c r="G2369">
        <v>2</v>
      </c>
      <c r="H2369" s="263" t="s">
        <v>436</v>
      </c>
      <c r="I2369" s="264"/>
      <c r="J2369" s="263" t="s">
        <v>437</v>
      </c>
    </row>
    <row r="2370" spans="1:10" x14ac:dyDescent="0.15">
      <c r="A2370" s="263" t="s">
        <v>6303</v>
      </c>
      <c r="B2370" s="263" t="s">
        <v>9882</v>
      </c>
      <c r="C2370" s="263" t="s">
        <v>96</v>
      </c>
      <c r="D2370" s="263" t="s">
        <v>9883</v>
      </c>
      <c r="E2370" s="263" t="s">
        <v>97</v>
      </c>
      <c r="F2370">
        <v>0</v>
      </c>
      <c r="G2370">
        <v>2</v>
      </c>
      <c r="H2370" s="263" t="s">
        <v>436</v>
      </c>
      <c r="I2370" s="264"/>
      <c r="J2370" s="263" t="s">
        <v>437</v>
      </c>
    </row>
    <row r="2371" spans="1:10" x14ac:dyDescent="0.15">
      <c r="A2371" s="263" t="s">
        <v>6304</v>
      </c>
      <c r="B2371" s="263" t="s">
        <v>9884</v>
      </c>
      <c r="C2371" s="263" t="s">
        <v>96</v>
      </c>
      <c r="D2371" s="263" t="s">
        <v>9885</v>
      </c>
      <c r="E2371" s="263" t="s">
        <v>97</v>
      </c>
      <c r="F2371">
        <v>0</v>
      </c>
      <c r="G2371">
        <v>2</v>
      </c>
      <c r="H2371" s="263" t="s">
        <v>436</v>
      </c>
      <c r="I2371" s="264"/>
      <c r="J2371" s="263" t="s">
        <v>437</v>
      </c>
    </row>
    <row r="2372" spans="1:10" x14ac:dyDescent="0.15">
      <c r="A2372" s="263" t="s">
        <v>6305</v>
      </c>
      <c r="B2372" s="263" t="s">
        <v>9886</v>
      </c>
      <c r="C2372" s="263" t="s">
        <v>96</v>
      </c>
      <c r="D2372" s="263" t="s">
        <v>9887</v>
      </c>
      <c r="E2372" s="263" t="s">
        <v>97</v>
      </c>
      <c r="F2372">
        <v>0</v>
      </c>
      <c r="G2372">
        <v>2</v>
      </c>
      <c r="H2372" s="263" t="s">
        <v>436</v>
      </c>
      <c r="I2372" s="264"/>
      <c r="J2372" s="263" t="s">
        <v>437</v>
      </c>
    </row>
    <row r="2373" spans="1:10" x14ac:dyDescent="0.15">
      <c r="A2373" s="263" t="s">
        <v>6306</v>
      </c>
      <c r="B2373" s="263" t="s">
        <v>9888</v>
      </c>
      <c r="C2373" s="263" t="s">
        <v>96</v>
      </c>
      <c r="D2373" s="263" t="s">
        <v>9889</v>
      </c>
      <c r="E2373" s="263" t="s">
        <v>97</v>
      </c>
      <c r="F2373">
        <v>0</v>
      </c>
      <c r="G2373">
        <v>2</v>
      </c>
      <c r="H2373" s="263" t="s">
        <v>436</v>
      </c>
      <c r="I2373" s="264"/>
      <c r="J2373" s="263" t="s">
        <v>437</v>
      </c>
    </row>
    <row r="2374" spans="1:10" x14ac:dyDescent="0.15">
      <c r="A2374" s="263" t="s">
        <v>6307</v>
      </c>
      <c r="B2374" s="263" t="s">
        <v>9890</v>
      </c>
      <c r="C2374" s="263" t="s">
        <v>96</v>
      </c>
      <c r="D2374" s="263" t="s">
        <v>9891</v>
      </c>
      <c r="E2374" s="263" t="s">
        <v>97</v>
      </c>
      <c r="F2374">
        <v>0</v>
      </c>
      <c r="G2374">
        <v>2</v>
      </c>
      <c r="H2374" s="263" t="s">
        <v>436</v>
      </c>
      <c r="I2374" s="264"/>
      <c r="J2374" s="263" t="s">
        <v>437</v>
      </c>
    </row>
    <row r="2375" spans="1:10" x14ac:dyDescent="0.15">
      <c r="A2375" s="263" t="s">
        <v>6308</v>
      </c>
      <c r="B2375" s="263" t="s">
        <v>9892</v>
      </c>
      <c r="C2375" s="263" t="s">
        <v>96</v>
      </c>
      <c r="D2375" s="263" t="s">
        <v>9893</v>
      </c>
      <c r="E2375" s="263" t="s">
        <v>97</v>
      </c>
      <c r="F2375">
        <v>0</v>
      </c>
      <c r="G2375">
        <v>2</v>
      </c>
      <c r="H2375" s="263" t="s">
        <v>436</v>
      </c>
      <c r="I2375" s="264"/>
      <c r="J2375" s="263" t="s">
        <v>437</v>
      </c>
    </row>
    <row r="2376" spans="1:10" x14ac:dyDescent="0.15">
      <c r="A2376" s="263" t="s">
        <v>6309</v>
      </c>
      <c r="B2376" s="263" t="s">
        <v>9894</v>
      </c>
      <c r="C2376" s="263" t="s">
        <v>96</v>
      </c>
      <c r="D2376" s="263" t="s">
        <v>9895</v>
      </c>
      <c r="E2376" s="263" t="s">
        <v>97</v>
      </c>
      <c r="F2376">
        <v>0</v>
      </c>
      <c r="G2376">
        <v>2</v>
      </c>
      <c r="H2376" s="263" t="s">
        <v>436</v>
      </c>
      <c r="I2376" s="264"/>
      <c r="J2376" s="263" t="s">
        <v>437</v>
      </c>
    </row>
    <row r="2377" spans="1:10" x14ac:dyDescent="0.15">
      <c r="A2377" s="263" t="s">
        <v>6310</v>
      </c>
      <c r="B2377" s="263" t="s">
        <v>9896</v>
      </c>
      <c r="C2377" s="263" t="s">
        <v>96</v>
      </c>
      <c r="D2377" s="263" t="s">
        <v>9897</v>
      </c>
      <c r="E2377" s="263" t="s">
        <v>97</v>
      </c>
      <c r="F2377">
        <v>0</v>
      </c>
      <c r="G2377">
        <v>2</v>
      </c>
      <c r="H2377" s="263" t="s">
        <v>436</v>
      </c>
      <c r="I2377" s="264"/>
      <c r="J2377" s="263" t="s">
        <v>437</v>
      </c>
    </row>
    <row r="2378" spans="1:10" x14ac:dyDescent="0.15">
      <c r="A2378" s="263" t="s">
        <v>6311</v>
      </c>
      <c r="B2378" s="263" t="s">
        <v>9898</v>
      </c>
      <c r="C2378" s="263" t="s">
        <v>96</v>
      </c>
      <c r="D2378" s="263" t="s">
        <v>9899</v>
      </c>
      <c r="E2378" s="263" t="s">
        <v>97</v>
      </c>
      <c r="F2378">
        <v>0</v>
      </c>
      <c r="G2378">
        <v>2</v>
      </c>
      <c r="H2378" s="263" t="s">
        <v>436</v>
      </c>
      <c r="I2378" s="264"/>
      <c r="J2378" s="263" t="s">
        <v>437</v>
      </c>
    </row>
    <row r="2379" spans="1:10" x14ac:dyDescent="0.15">
      <c r="A2379" s="263" t="s">
        <v>6312</v>
      </c>
      <c r="B2379" s="263" t="s">
        <v>9900</v>
      </c>
      <c r="C2379" s="263" t="s">
        <v>96</v>
      </c>
      <c r="D2379" s="263" t="s">
        <v>9901</v>
      </c>
      <c r="E2379" s="263" t="s">
        <v>97</v>
      </c>
      <c r="F2379">
        <v>0</v>
      </c>
      <c r="G2379">
        <v>2</v>
      </c>
      <c r="H2379" s="263" t="s">
        <v>436</v>
      </c>
      <c r="I2379" s="264"/>
      <c r="J2379" s="263" t="s">
        <v>437</v>
      </c>
    </row>
    <row r="2380" spans="1:10" x14ac:dyDescent="0.15">
      <c r="A2380" s="263" t="s">
        <v>6313</v>
      </c>
      <c r="B2380" s="263" t="s">
        <v>9902</v>
      </c>
      <c r="C2380" s="263" t="s">
        <v>96</v>
      </c>
      <c r="D2380" s="263" t="s">
        <v>9903</v>
      </c>
      <c r="E2380" s="263" t="s">
        <v>97</v>
      </c>
      <c r="F2380">
        <v>0</v>
      </c>
      <c r="G2380">
        <v>2</v>
      </c>
      <c r="H2380" s="263" t="s">
        <v>436</v>
      </c>
      <c r="I2380" s="264"/>
      <c r="J2380" s="263" t="s">
        <v>437</v>
      </c>
    </row>
    <row r="2381" spans="1:10" x14ac:dyDescent="0.15">
      <c r="A2381" s="263" t="s">
        <v>6314</v>
      </c>
      <c r="B2381" s="263" t="s">
        <v>9904</v>
      </c>
      <c r="C2381" s="263" t="s">
        <v>96</v>
      </c>
      <c r="D2381" s="263" t="s">
        <v>9905</v>
      </c>
      <c r="E2381" s="263" t="s">
        <v>97</v>
      </c>
      <c r="F2381">
        <v>0</v>
      </c>
      <c r="G2381">
        <v>2</v>
      </c>
      <c r="H2381" s="263" t="s">
        <v>436</v>
      </c>
      <c r="I2381" s="264"/>
      <c r="J2381" s="263" t="s">
        <v>437</v>
      </c>
    </row>
    <row r="2382" spans="1:10" x14ac:dyDescent="0.15">
      <c r="A2382" s="263" t="s">
        <v>6315</v>
      </c>
      <c r="B2382" s="263" t="s">
        <v>9906</v>
      </c>
      <c r="C2382" s="263" t="s">
        <v>96</v>
      </c>
      <c r="D2382" s="263" t="s">
        <v>9907</v>
      </c>
      <c r="E2382" s="263" t="s">
        <v>97</v>
      </c>
      <c r="F2382">
        <v>0</v>
      </c>
      <c r="G2382">
        <v>2</v>
      </c>
      <c r="H2382" s="263" t="s">
        <v>436</v>
      </c>
      <c r="I2382" s="264"/>
      <c r="J2382" s="263" t="s">
        <v>437</v>
      </c>
    </row>
    <row r="2383" spans="1:10" x14ac:dyDescent="0.15">
      <c r="A2383" s="263" t="s">
        <v>6316</v>
      </c>
      <c r="B2383" s="263" t="s">
        <v>9908</v>
      </c>
      <c r="C2383" s="263" t="s">
        <v>96</v>
      </c>
      <c r="D2383" s="263" t="s">
        <v>9909</v>
      </c>
      <c r="E2383" s="263" t="s">
        <v>97</v>
      </c>
      <c r="F2383">
        <v>0</v>
      </c>
      <c r="G2383">
        <v>2</v>
      </c>
      <c r="H2383" s="263" t="s">
        <v>436</v>
      </c>
      <c r="I2383" s="264"/>
      <c r="J2383" s="263" t="s">
        <v>437</v>
      </c>
    </row>
    <row r="2384" spans="1:10" x14ac:dyDescent="0.15">
      <c r="A2384" s="263" t="s">
        <v>6317</v>
      </c>
      <c r="B2384" s="263" t="s">
        <v>9910</v>
      </c>
      <c r="C2384" s="263" t="s">
        <v>96</v>
      </c>
      <c r="D2384" s="263" t="s">
        <v>9911</v>
      </c>
      <c r="E2384" s="263" t="s">
        <v>97</v>
      </c>
      <c r="F2384">
        <v>0</v>
      </c>
      <c r="G2384">
        <v>2</v>
      </c>
      <c r="H2384" s="263" t="s">
        <v>436</v>
      </c>
      <c r="I2384" s="264"/>
      <c r="J2384" s="263" t="s">
        <v>437</v>
      </c>
    </row>
    <row r="2385" spans="1:10" x14ac:dyDescent="0.15">
      <c r="A2385" s="263" t="s">
        <v>6318</v>
      </c>
      <c r="B2385" s="263" t="s">
        <v>9912</v>
      </c>
      <c r="C2385" s="263" t="s">
        <v>96</v>
      </c>
      <c r="D2385" s="263" t="s">
        <v>9913</v>
      </c>
      <c r="E2385" s="263" t="s">
        <v>97</v>
      </c>
      <c r="F2385">
        <v>0</v>
      </c>
      <c r="G2385">
        <v>2</v>
      </c>
      <c r="H2385" s="263" t="s">
        <v>436</v>
      </c>
      <c r="I2385" s="264"/>
      <c r="J2385" s="263" t="s">
        <v>437</v>
      </c>
    </row>
    <row r="2386" spans="1:10" x14ac:dyDescent="0.15">
      <c r="A2386" s="263" t="s">
        <v>6319</v>
      </c>
      <c r="B2386" s="263" t="s">
        <v>9914</v>
      </c>
      <c r="C2386" s="263" t="s">
        <v>96</v>
      </c>
      <c r="D2386" s="263" t="s">
        <v>9915</v>
      </c>
      <c r="E2386" s="263" t="s">
        <v>97</v>
      </c>
      <c r="F2386">
        <v>0</v>
      </c>
      <c r="G2386">
        <v>2</v>
      </c>
      <c r="H2386" s="263" t="s">
        <v>436</v>
      </c>
      <c r="I2386" s="264"/>
      <c r="J2386" s="263" t="s">
        <v>437</v>
      </c>
    </row>
    <row r="2387" spans="1:10" x14ac:dyDescent="0.15">
      <c r="A2387" s="263" t="s">
        <v>6320</v>
      </c>
      <c r="B2387" s="263" t="s">
        <v>6321</v>
      </c>
      <c r="C2387" s="263" t="s">
        <v>96</v>
      </c>
      <c r="D2387" s="263" t="s">
        <v>6322</v>
      </c>
      <c r="E2387" s="263" t="s">
        <v>97</v>
      </c>
      <c r="F2387">
        <v>0</v>
      </c>
      <c r="G2387">
        <v>2</v>
      </c>
      <c r="H2387" s="263" t="s">
        <v>436</v>
      </c>
      <c r="I2387" s="264"/>
      <c r="J2387" s="263" t="s">
        <v>437</v>
      </c>
    </row>
    <row r="2388" spans="1:10" x14ac:dyDescent="0.15">
      <c r="A2388" s="263" t="s">
        <v>6323</v>
      </c>
      <c r="B2388" s="263" t="s">
        <v>6324</v>
      </c>
      <c r="C2388" s="263" t="s">
        <v>96</v>
      </c>
      <c r="D2388" s="263" t="s">
        <v>6325</v>
      </c>
      <c r="E2388" s="263" t="s">
        <v>97</v>
      </c>
      <c r="F2388">
        <v>0</v>
      </c>
      <c r="G2388">
        <v>2</v>
      </c>
      <c r="H2388" s="263" t="s">
        <v>436</v>
      </c>
      <c r="I2388" s="264"/>
      <c r="J2388" s="263" t="s">
        <v>437</v>
      </c>
    </row>
    <row r="2389" spans="1:10" x14ac:dyDescent="0.15">
      <c r="A2389" s="263" t="s">
        <v>6326</v>
      </c>
      <c r="B2389" s="263" t="s">
        <v>6327</v>
      </c>
      <c r="C2389" s="263" t="s">
        <v>96</v>
      </c>
      <c r="D2389" s="263" t="s">
        <v>6328</v>
      </c>
      <c r="E2389" s="263" t="s">
        <v>97</v>
      </c>
      <c r="F2389">
        <v>0</v>
      </c>
      <c r="G2389">
        <v>2</v>
      </c>
      <c r="H2389" s="263" t="s">
        <v>436</v>
      </c>
      <c r="I2389" s="264"/>
      <c r="J2389" s="263" t="s">
        <v>437</v>
      </c>
    </row>
    <row r="2390" spans="1:10" x14ac:dyDescent="0.15">
      <c r="A2390" s="263" t="s">
        <v>6329</v>
      </c>
      <c r="B2390" s="263" t="s">
        <v>6330</v>
      </c>
      <c r="C2390" s="263" t="s">
        <v>96</v>
      </c>
      <c r="D2390" s="263" t="s">
        <v>6331</v>
      </c>
      <c r="E2390" s="263" t="s">
        <v>97</v>
      </c>
      <c r="F2390">
        <v>0</v>
      </c>
      <c r="G2390">
        <v>2</v>
      </c>
      <c r="H2390" s="263" t="s">
        <v>436</v>
      </c>
      <c r="I2390" s="264"/>
      <c r="J2390" s="263" t="s">
        <v>437</v>
      </c>
    </row>
    <row r="2391" spans="1:10" x14ac:dyDescent="0.15">
      <c r="A2391" s="263" t="s">
        <v>6332</v>
      </c>
      <c r="B2391" s="263" t="s">
        <v>9916</v>
      </c>
      <c r="C2391" s="263" t="s">
        <v>96</v>
      </c>
      <c r="D2391" s="263" t="s">
        <v>9917</v>
      </c>
      <c r="E2391" s="263" t="s">
        <v>97</v>
      </c>
      <c r="F2391">
        <v>0</v>
      </c>
      <c r="G2391">
        <v>2</v>
      </c>
      <c r="H2391" s="263" t="s">
        <v>436</v>
      </c>
      <c r="I2391" s="264"/>
      <c r="J2391" s="263" t="s">
        <v>437</v>
      </c>
    </row>
    <row r="2392" spans="1:10" x14ac:dyDescent="0.15">
      <c r="A2392" s="263" t="s">
        <v>9918</v>
      </c>
      <c r="B2392" s="263" t="s">
        <v>9919</v>
      </c>
      <c r="C2392" s="263" t="s">
        <v>96</v>
      </c>
      <c r="D2392" s="263" t="s">
        <v>9920</v>
      </c>
      <c r="E2392" s="263" t="s">
        <v>97</v>
      </c>
      <c r="F2392">
        <v>0</v>
      </c>
      <c r="G2392">
        <v>2</v>
      </c>
      <c r="H2392" s="263" t="s">
        <v>436</v>
      </c>
      <c r="I2392" s="264"/>
      <c r="J2392" s="263" t="s">
        <v>437</v>
      </c>
    </row>
    <row r="2393" spans="1:10" x14ac:dyDescent="0.15">
      <c r="A2393" s="263" t="s">
        <v>6333</v>
      </c>
      <c r="B2393" s="263" t="s">
        <v>6334</v>
      </c>
      <c r="C2393" s="263" t="s">
        <v>96</v>
      </c>
      <c r="D2393" s="263" t="s">
        <v>6335</v>
      </c>
      <c r="E2393" s="263" t="s">
        <v>97</v>
      </c>
      <c r="F2393">
        <v>0</v>
      </c>
      <c r="G2393">
        <v>2</v>
      </c>
      <c r="H2393" s="263" t="s">
        <v>436</v>
      </c>
      <c r="I2393" s="264"/>
      <c r="J2393" s="263" t="s">
        <v>437</v>
      </c>
    </row>
    <row r="2394" spans="1:10" x14ac:dyDescent="0.15">
      <c r="A2394" s="263" t="s">
        <v>6336</v>
      </c>
      <c r="B2394" s="263" t="s">
        <v>6337</v>
      </c>
      <c r="C2394" s="263" t="s">
        <v>96</v>
      </c>
      <c r="D2394" s="263" t="s">
        <v>6338</v>
      </c>
      <c r="E2394" s="263" t="s">
        <v>97</v>
      </c>
      <c r="F2394">
        <v>0</v>
      </c>
      <c r="G2394">
        <v>2</v>
      </c>
      <c r="H2394" s="263" t="s">
        <v>436</v>
      </c>
      <c r="I2394" s="264"/>
      <c r="J2394" s="263" t="s">
        <v>437</v>
      </c>
    </row>
    <row r="2395" spans="1:10" x14ac:dyDescent="0.15">
      <c r="A2395" s="263" t="s">
        <v>6339</v>
      </c>
      <c r="B2395" s="263" t="s">
        <v>6340</v>
      </c>
      <c r="C2395" s="263" t="s">
        <v>96</v>
      </c>
      <c r="D2395" s="263" t="s">
        <v>6341</v>
      </c>
      <c r="E2395" s="263" t="s">
        <v>97</v>
      </c>
      <c r="F2395">
        <v>0</v>
      </c>
      <c r="G2395">
        <v>2</v>
      </c>
      <c r="H2395" s="263" t="s">
        <v>436</v>
      </c>
      <c r="I2395" s="264"/>
      <c r="J2395" s="263" t="s">
        <v>437</v>
      </c>
    </row>
    <row r="2396" spans="1:10" x14ac:dyDescent="0.15">
      <c r="A2396" s="263" t="s">
        <v>6342</v>
      </c>
      <c r="B2396" s="263" t="s">
        <v>6343</v>
      </c>
      <c r="C2396" s="263" t="s">
        <v>96</v>
      </c>
      <c r="D2396" s="263" t="s">
        <v>6344</v>
      </c>
      <c r="E2396" s="263" t="s">
        <v>97</v>
      </c>
      <c r="F2396">
        <v>0</v>
      </c>
      <c r="G2396">
        <v>2</v>
      </c>
      <c r="H2396" s="263" t="s">
        <v>436</v>
      </c>
      <c r="I2396" s="264"/>
      <c r="J2396" s="263" t="s">
        <v>437</v>
      </c>
    </row>
    <row r="2397" spans="1:10" x14ac:dyDescent="0.15">
      <c r="A2397" s="263" t="s">
        <v>6345</v>
      </c>
      <c r="B2397" s="263" t="s">
        <v>6346</v>
      </c>
      <c r="C2397" s="263" t="s">
        <v>96</v>
      </c>
      <c r="D2397" s="263" t="s">
        <v>6347</v>
      </c>
      <c r="E2397" s="263" t="s">
        <v>97</v>
      </c>
      <c r="F2397">
        <v>0</v>
      </c>
      <c r="G2397">
        <v>2</v>
      </c>
      <c r="H2397" s="263" t="s">
        <v>436</v>
      </c>
      <c r="I2397" s="264"/>
      <c r="J2397" s="263" t="s">
        <v>437</v>
      </c>
    </row>
    <row r="2398" spans="1:10" x14ac:dyDescent="0.15">
      <c r="A2398" s="263" t="s">
        <v>6348</v>
      </c>
      <c r="B2398" s="263" t="s">
        <v>9921</v>
      </c>
      <c r="C2398" s="263" t="s">
        <v>96</v>
      </c>
      <c r="D2398" s="263" t="s">
        <v>9922</v>
      </c>
      <c r="E2398" s="263" t="s">
        <v>97</v>
      </c>
      <c r="F2398">
        <v>0</v>
      </c>
      <c r="G2398">
        <v>2</v>
      </c>
      <c r="H2398" s="263" t="s">
        <v>436</v>
      </c>
      <c r="I2398" s="264"/>
      <c r="J2398" s="263" t="s">
        <v>437</v>
      </c>
    </row>
    <row r="2399" spans="1:10" x14ac:dyDescent="0.15">
      <c r="A2399" s="263" t="s">
        <v>6349</v>
      </c>
      <c r="B2399" s="263" t="s">
        <v>9923</v>
      </c>
      <c r="C2399" s="263" t="s">
        <v>96</v>
      </c>
      <c r="D2399" s="263" t="s">
        <v>9924</v>
      </c>
      <c r="E2399" s="263" t="s">
        <v>97</v>
      </c>
      <c r="F2399">
        <v>0</v>
      </c>
      <c r="G2399">
        <v>2</v>
      </c>
      <c r="H2399" s="263" t="s">
        <v>436</v>
      </c>
      <c r="I2399" s="264"/>
      <c r="J2399" s="263" t="s">
        <v>437</v>
      </c>
    </row>
    <row r="2400" spans="1:10" x14ac:dyDescent="0.15">
      <c r="A2400" s="263" t="s">
        <v>6350</v>
      </c>
      <c r="B2400" s="263" t="s">
        <v>9925</v>
      </c>
      <c r="C2400" s="263" t="s">
        <v>96</v>
      </c>
      <c r="D2400" s="263" t="s">
        <v>9926</v>
      </c>
      <c r="E2400" s="263" t="s">
        <v>97</v>
      </c>
      <c r="F2400">
        <v>0</v>
      </c>
      <c r="G2400">
        <v>2</v>
      </c>
      <c r="H2400" s="263" t="s">
        <v>436</v>
      </c>
      <c r="I2400" s="264"/>
      <c r="J2400" s="263" t="s">
        <v>437</v>
      </c>
    </row>
    <row r="2401" spans="1:10" x14ac:dyDescent="0.15">
      <c r="A2401" s="263" t="s">
        <v>6351</v>
      </c>
      <c r="B2401" s="263" t="s">
        <v>9927</v>
      </c>
      <c r="C2401" s="263" t="s">
        <v>96</v>
      </c>
      <c r="D2401" s="263" t="s">
        <v>9928</v>
      </c>
      <c r="E2401" s="263" t="s">
        <v>97</v>
      </c>
      <c r="F2401">
        <v>0</v>
      </c>
      <c r="G2401">
        <v>2</v>
      </c>
      <c r="H2401" s="263" t="s">
        <v>436</v>
      </c>
      <c r="I2401" s="264"/>
      <c r="J2401" s="263" t="s">
        <v>437</v>
      </c>
    </row>
    <row r="2402" spans="1:10" x14ac:dyDescent="0.15">
      <c r="A2402" s="263" t="s">
        <v>6352</v>
      </c>
      <c r="B2402" s="263" t="s">
        <v>9929</v>
      </c>
      <c r="C2402" s="263" t="s">
        <v>96</v>
      </c>
      <c r="D2402" s="263" t="s">
        <v>9930</v>
      </c>
      <c r="E2402" s="263" t="s">
        <v>97</v>
      </c>
      <c r="F2402">
        <v>0</v>
      </c>
      <c r="G2402">
        <v>2</v>
      </c>
      <c r="H2402" s="263" t="s">
        <v>436</v>
      </c>
      <c r="I2402" s="264"/>
      <c r="J2402" s="263" t="s">
        <v>437</v>
      </c>
    </row>
    <row r="2403" spans="1:10" x14ac:dyDescent="0.15">
      <c r="A2403" s="263" t="s">
        <v>6353</v>
      </c>
      <c r="B2403" s="263" t="s">
        <v>9931</v>
      </c>
      <c r="C2403" s="263" t="s">
        <v>96</v>
      </c>
      <c r="D2403" s="263" t="s">
        <v>9932</v>
      </c>
      <c r="E2403" s="263" t="s">
        <v>97</v>
      </c>
      <c r="F2403">
        <v>0</v>
      </c>
      <c r="G2403">
        <v>2</v>
      </c>
      <c r="H2403" s="263" t="s">
        <v>436</v>
      </c>
      <c r="I2403" s="264"/>
      <c r="J2403" s="263" t="s">
        <v>437</v>
      </c>
    </row>
    <row r="2404" spans="1:10" x14ac:dyDescent="0.15">
      <c r="A2404" s="263" t="s">
        <v>6354</v>
      </c>
      <c r="B2404" s="263" t="s">
        <v>9933</v>
      </c>
      <c r="C2404" s="263" t="s">
        <v>96</v>
      </c>
      <c r="D2404" s="263" t="s">
        <v>9934</v>
      </c>
      <c r="E2404" s="263" t="s">
        <v>97</v>
      </c>
      <c r="F2404">
        <v>0</v>
      </c>
      <c r="G2404">
        <v>2</v>
      </c>
      <c r="H2404" s="263" t="s">
        <v>436</v>
      </c>
      <c r="I2404" s="264"/>
      <c r="J2404" s="263" t="s">
        <v>437</v>
      </c>
    </row>
    <row r="2405" spans="1:10" x14ac:dyDescent="0.15">
      <c r="A2405" s="263" t="s">
        <v>6355</v>
      </c>
      <c r="B2405" s="263" t="s">
        <v>9935</v>
      </c>
      <c r="C2405" s="263" t="s">
        <v>96</v>
      </c>
      <c r="D2405" s="263" t="s">
        <v>9936</v>
      </c>
      <c r="E2405" s="263" t="s">
        <v>97</v>
      </c>
      <c r="F2405">
        <v>0</v>
      </c>
      <c r="G2405">
        <v>2</v>
      </c>
      <c r="H2405" s="263" t="s">
        <v>436</v>
      </c>
      <c r="I2405" s="264"/>
      <c r="J2405" s="263" t="s">
        <v>437</v>
      </c>
    </row>
    <row r="2406" spans="1:10" x14ac:dyDescent="0.15">
      <c r="A2406" s="263" t="s">
        <v>6356</v>
      </c>
      <c r="B2406" s="263" t="s">
        <v>9937</v>
      </c>
      <c r="C2406" s="263" t="s">
        <v>96</v>
      </c>
      <c r="D2406" s="263" t="s">
        <v>9938</v>
      </c>
      <c r="E2406" s="263" t="s">
        <v>97</v>
      </c>
      <c r="F2406">
        <v>0</v>
      </c>
      <c r="G2406">
        <v>2</v>
      </c>
      <c r="H2406" s="263" t="s">
        <v>436</v>
      </c>
      <c r="I2406" s="264"/>
      <c r="J2406" s="263" t="s">
        <v>437</v>
      </c>
    </row>
    <row r="2407" spans="1:10" x14ac:dyDescent="0.15">
      <c r="A2407" s="263" t="s">
        <v>6357</v>
      </c>
      <c r="B2407" s="263" t="s">
        <v>9939</v>
      </c>
      <c r="C2407" s="263" t="s">
        <v>96</v>
      </c>
      <c r="D2407" s="263" t="s">
        <v>9940</v>
      </c>
      <c r="E2407" s="263" t="s">
        <v>97</v>
      </c>
      <c r="F2407">
        <v>0</v>
      </c>
      <c r="G2407">
        <v>2</v>
      </c>
      <c r="H2407" s="263" t="s">
        <v>436</v>
      </c>
      <c r="I2407" s="264"/>
      <c r="J2407" s="263" t="s">
        <v>437</v>
      </c>
    </row>
    <row r="2408" spans="1:10" x14ac:dyDescent="0.15">
      <c r="A2408" s="263" t="s">
        <v>6358</v>
      </c>
      <c r="B2408" s="263" t="s">
        <v>9941</v>
      </c>
      <c r="C2408" s="263" t="s">
        <v>96</v>
      </c>
      <c r="D2408" s="263" t="s">
        <v>9942</v>
      </c>
      <c r="E2408" s="263" t="s">
        <v>97</v>
      </c>
      <c r="F2408">
        <v>0</v>
      </c>
      <c r="G2408">
        <v>2</v>
      </c>
      <c r="H2408" s="263" t="s">
        <v>436</v>
      </c>
      <c r="I2408" s="264"/>
      <c r="J2408" s="263" t="s">
        <v>437</v>
      </c>
    </row>
    <row r="2409" spans="1:10" x14ac:dyDescent="0.15">
      <c r="A2409" s="263" t="s">
        <v>6359</v>
      </c>
      <c r="B2409" s="263" t="s">
        <v>9943</v>
      </c>
      <c r="C2409" s="263" t="s">
        <v>96</v>
      </c>
      <c r="D2409" s="263" t="s">
        <v>9944</v>
      </c>
      <c r="E2409" s="263" t="s">
        <v>97</v>
      </c>
      <c r="F2409">
        <v>0</v>
      </c>
      <c r="G2409">
        <v>2</v>
      </c>
      <c r="H2409" s="263" t="s">
        <v>436</v>
      </c>
      <c r="I2409" s="264"/>
      <c r="J2409" s="263" t="s">
        <v>437</v>
      </c>
    </row>
    <row r="2410" spans="1:10" x14ac:dyDescent="0.15">
      <c r="A2410" s="263" t="s">
        <v>6360</v>
      </c>
      <c r="B2410" s="263" t="s">
        <v>9945</v>
      </c>
      <c r="C2410" s="263" t="s">
        <v>96</v>
      </c>
      <c r="D2410" s="263" t="s">
        <v>9946</v>
      </c>
      <c r="E2410" s="263" t="s">
        <v>97</v>
      </c>
      <c r="F2410">
        <v>0</v>
      </c>
      <c r="G2410">
        <v>2</v>
      </c>
      <c r="H2410" s="263" t="s">
        <v>436</v>
      </c>
      <c r="I2410" s="264"/>
      <c r="J2410" s="263" t="s">
        <v>437</v>
      </c>
    </row>
    <row r="2411" spans="1:10" x14ac:dyDescent="0.15">
      <c r="A2411" s="263" t="s">
        <v>6361</v>
      </c>
      <c r="B2411" s="263" t="s">
        <v>9947</v>
      </c>
      <c r="C2411" s="263" t="s">
        <v>96</v>
      </c>
      <c r="D2411" s="263" t="s">
        <v>9948</v>
      </c>
      <c r="E2411" s="263" t="s">
        <v>97</v>
      </c>
      <c r="F2411">
        <v>0</v>
      </c>
      <c r="G2411">
        <v>2</v>
      </c>
      <c r="H2411" s="263" t="s">
        <v>436</v>
      </c>
      <c r="I2411" s="264"/>
      <c r="J2411" s="263" t="s">
        <v>437</v>
      </c>
    </row>
    <row r="2412" spans="1:10" x14ac:dyDescent="0.15">
      <c r="A2412" s="263" t="s">
        <v>6362</v>
      </c>
      <c r="B2412" s="263" t="s">
        <v>9949</v>
      </c>
      <c r="C2412" s="263" t="s">
        <v>96</v>
      </c>
      <c r="D2412" s="263" t="s">
        <v>9950</v>
      </c>
      <c r="E2412" s="263" t="s">
        <v>97</v>
      </c>
      <c r="F2412">
        <v>0</v>
      </c>
      <c r="G2412">
        <v>2</v>
      </c>
      <c r="H2412" s="263" t="s">
        <v>436</v>
      </c>
      <c r="I2412" s="264"/>
      <c r="J2412" s="263" t="s">
        <v>437</v>
      </c>
    </row>
    <row r="2413" spans="1:10" x14ac:dyDescent="0.15">
      <c r="A2413" s="263" t="s">
        <v>6363</v>
      </c>
      <c r="B2413" s="263" t="s">
        <v>9951</v>
      </c>
      <c r="C2413" s="263" t="s">
        <v>96</v>
      </c>
      <c r="D2413" s="263" t="s">
        <v>9952</v>
      </c>
      <c r="E2413" s="263" t="s">
        <v>97</v>
      </c>
      <c r="F2413">
        <v>0</v>
      </c>
      <c r="G2413">
        <v>2</v>
      </c>
      <c r="H2413" s="263" t="s">
        <v>436</v>
      </c>
      <c r="I2413" s="264"/>
      <c r="J2413" s="263" t="s">
        <v>437</v>
      </c>
    </row>
    <row r="2414" spans="1:10" x14ac:dyDescent="0.15">
      <c r="A2414" s="263" t="s">
        <v>6364</v>
      </c>
      <c r="B2414" s="263" t="s">
        <v>9953</v>
      </c>
      <c r="C2414" s="263" t="s">
        <v>96</v>
      </c>
      <c r="D2414" s="263" t="s">
        <v>9954</v>
      </c>
      <c r="E2414" s="263" t="s">
        <v>97</v>
      </c>
      <c r="F2414">
        <v>0</v>
      </c>
      <c r="G2414">
        <v>2</v>
      </c>
      <c r="H2414" s="263" t="s">
        <v>436</v>
      </c>
      <c r="I2414" s="264"/>
      <c r="J2414" s="263" t="s">
        <v>437</v>
      </c>
    </row>
    <row r="2415" spans="1:10" x14ac:dyDescent="0.15">
      <c r="A2415" s="263" t="s">
        <v>6365</v>
      </c>
      <c r="B2415" s="263" t="s">
        <v>9955</v>
      </c>
      <c r="C2415" s="263" t="s">
        <v>81</v>
      </c>
      <c r="D2415" s="263" t="s">
        <v>9956</v>
      </c>
      <c r="E2415" s="263" t="s">
        <v>88</v>
      </c>
      <c r="F2415">
        <v>0</v>
      </c>
      <c r="G2415">
        <v>2</v>
      </c>
      <c r="H2415" s="263" t="s">
        <v>436</v>
      </c>
      <c r="I2415" s="264"/>
      <c r="J2415" s="263" t="s">
        <v>437</v>
      </c>
    </row>
    <row r="2416" spans="1:10" x14ac:dyDescent="0.15">
      <c r="A2416" s="263" t="s">
        <v>6366</v>
      </c>
      <c r="B2416" s="263" t="s">
        <v>9957</v>
      </c>
      <c r="C2416" s="263" t="s">
        <v>81</v>
      </c>
      <c r="D2416" s="263" t="s">
        <v>9958</v>
      </c>
      <c r="E2416" s="263" t="s">
        <v>88</v>
      </c>
      <c r="F2416">
        <v>0</v>
      </c>
      <c r="G2416">
        <v>2</v>
      </c>
      <c r="H2416" s="263" t="s">
        <v>436</v>
      </c>
      <c r="I2416" s="264"/>
      <c r="J2416" s="263" t="s">
        <v>437</v>
      </c>
    </row>
    <row r="2417" spans="1:10" x14ac:dyDescent="0.15">
      <c r="A2417" s="263" t="s">
        <v>6367</v>
      </c>
      <c r="B2417" s="263" t="s">
        <v>9959</v>
      </c>
      <c r="C2417" s="263" t="s">
        <v>81</v>
      </c>
      <c r="D2417" s="263" t="s">
        <v>9960</v>
      </c>
      <c r="E2417" s="263" t="s">
        <v>88</v>
      </c>
      <c r="F2417">
        <v>0</v>
      </c>
      <c r="G2417">
        <v>2</v>
      </c>
      <c r="H2417" s="263" t="s">
        <v>436</v>
      </c>
      <c r="I2417" s="264"/>
      <c r="J2417" s="263" t="s">
        <v>437</v>
      </c>
    </row>
    <row r="2418" spans="1:10" x14ac:dyDescent="0.15">
      <c r="A2418" s="263" t="s">
        <v>6368</v>
      </c>
      <c r="B2418" s="263" t="s">
        <v>9961</v>
      </c>
      <c r="C2418" s="263" t="s">
        <v>81</v>
      </c>
      <c r="D2418" s="263" t="s">
        <v>9962</v>
      </c>
      <c r="E2418" s="263" t="s">
        <v>88</v>
      </c>
      <c r="F2418">
        <v>0</v>
      </c>
      <c r="G2418">
        <v>2</v>
      </c>
      <c r="H2418" s="263" t="s">
        <v>436</v>
      </c>
      <c r="I2418" s="264"/>
      <c r="J2418" s="263" t="s">
        <v>437</v>
      </c>
    </row>
    <row r="2419" spans="1:10" x14ac:dyDescent="0.15">
      <c r="A2419" s="263" t="s">
        <v>6369</v>
      </c>
      <c r="B2419" s="263" t="s">
        <v>9963</v>
      </c>
      <c r="C2419" s="263" t="s">
        <v>81</v>
      </c>
      <c r="D2419" s="263" t="s">
        <v>9964</v>
      </c>
      <c r="E2419" s="263" t="s">
        <v>88</v>
      </c>
      <c r="F2419">
        <v>0</v>
      </c>
      <c r="G2419">
        <v>2</v>
      </c>
      <c r="H2419" s="263" t="s">
        <v>436</v>
      </c>
      <c r="I2419" s="264"/>
      <c r="J2419" s="263" t="s">
        <v>437</v>
      </c>
    </row>
    <row r="2420" spans="1:10" x14ac:dyDescent="0.15">
      <c r="A2420" s="263" t="s">
        <v>6370</v>
      </c>
      <c r="B2420" s="263" t="s">
        <v>9965</v>
      </c>
      <c r="C2420" s="263" t="s">
        <v>81</v>
      </c>
      <c r="D2420" s="263" t="s">
        <v>9966</v>
      </c>
      <c r="E2420" s="263" t="s">
        <v>88</v>
      </c>
      <c r="F2420">
        <v>0</v>
      </c>
      <c r="G2420">
        <v>2</v>
      </c>
      <c r="H2420" s="263" t="s">
        <v>436</v>
      </c>
      <c r="I2420" s="264"/>
      <c r="J2420" s="263" t="s">
        <v>437</v>
      </c>
    </row>
    <row r="2421" spans="1:10" x14ac:dyDescent="0.15">
      <c r="A2421" s="263" t="s">
        <v>6371</v>
      </c>
      <c r="B2421" s="263" t="s">
        <v>9967</v>
      </c>
      <c r="C2421" s="263" t="s">
        <v>81</v>
      </c>
      <c r="D2421" s="263" t="s">
        <v>9968</v>
      </c>
      <c r="E2421" s="263" t="s">
        <v>88</v>
      </c>
      <c r="F2421">
        <v>0</v>
      </c>
      <c r="G2421">
        <v>2</v>
      </c>
      <c r="H2421" s="263" t="s">
        <v>436</v>
      </c>
      <c r="I2421" s="264"/>
      <c r="J2421" s="263" t="s">
        <v>437</v>
      </c>
    </row>
    <row r="2422" spans="1:10" x14ac:dyDescent="0.15">
      <c r="A2422" s="263" t="s">
        <v>6372</v>
      </c>
      <c r="B2422" s="263" t="s">
        <v>9969</v>
      </c>
      <c r="C2422" s="263" t="s">
        <v>81</v>
      </c>
      <c r="D2422" s="263" t="s">
        <v>9970</v>
      </c>
      <c r="E2422" s="263" t="s">
        <v>88</v>
      </c>
      <c r="F2422">
        <v>0</v>
      </c>
      <c r="G2422">
        <v>2</v>
      </c>
      <c r="H2422" s="263" t="s">
        <v>436</v>
      </c>
      <c r="I2422" s="264"/>
      <c r="J2422" s="263" t="s">
        <v>437</v>
      </c>
    </row>
    <row r="2423" spans="1:10" x14ac:dyDescent="0.15">
      <c r="A2423" s="263" t="s">
        <v>6373</v>
      </c>
      <c r="B2423" s="263" t="s">
        <v>9971</v>
      </c>
      <c r="C2423" s="263" t="s">
        <v>81</v>
      </c>
      <c r="D2423" s="263" t="s">
        <v>9972</v>
      </c>
      <c r="E2423" s="263" t="s">
        <v>88</v>
      </c>
      <c r="F2423">
        <v>0</v>
      </c>
      <c r="G2423">
        <v>2</v>
      </c>
      <c r="H2423" s="263" t="s">
        <v>436</v>
      </c>
      <c r="I2423" s="264"/>
      <c r="J2423" s="263" t="s">
        <v>437</v>
      </c>
    </row>
    <row r="2424" spans="1:10" x14ac:dyDescent="0.15">
      <c r="A2424" s="263" t="s">
        <v>6374</v>
      </c>
      <c r="B2424" s="263" t="s">
        <v>9973</v>
      </c>
      <c r="C2424" s="263" t="s">
        <v>81</v>
      </c>
      <c r="D2424" s="263" t="s">
        <v>9974</v>
      </c>
      <c r="E2424" s="263" t="s">
        <v>88</v>
      </c>
      <c r="F2424">
        <v>0</v>
      </c>
      <c r="G2424">
        <v>2</v>
      </c>
      <c r="H2424" s="263" t="s">
        <v>436</v>
      </c>
      <c r="I2424" s="264"/>
      <c r="J2424" s="263" t="s">
        <v>437</v>
      </c>
    </row>
    <row r="2425" spans="1:10" x14ac:dyDescent="0.15">
      <c r="A2425" s="263" t="s">
        <v>6375</v>
      </c>
      <c r="B2425" s="263" t="s">
        <v>9975</v>
      </c>
      <c r="C2425" s="263" t="s">
        <v>81</v>
      </c>
      <c r="D2425" s="263" t="s">
        <v>9976</v>
      </c>
      <c r="E2425" s="263" t="s">
        <v>88</v>
      </c>
      <c r="F2425">
        <v>0</v>
      </c>
      <c r="G2425">
        <v>2</v>
      </c>
      <c r="H2425" s="263" t="s">
        <v>436</v>
      </c>
      <c r="I2425" s="264"/>
      <c r="J2425" s="263" t="s">
        <v>437</v>
      </c>
    </row>
    <row r="2426" spans="1:10" x14ac:dyDescent="0.15">
      <c r="A2426" s="263" t="s">
        <v>6376</v>
      </c>
      <c r="B2426" s="263" t="s">
        <v>9977</v>
      </c>
      <c r="C2426" s="263" t="s">
        <v>81</v>
      </c>
      <c r="D2426" s="263" t="s">
        <v>9978</v>
      </c>
      <c r="E2426" s="263" t="s">
        <v>88</v>
      </c>
      <c r="F2426">
        <v>0</v>
      </c>
      <c r="G2426">
        <v>2</v>
      </c>
      <c r="H2426" s="263" t="s">
        <v>436</v>
      </c>
      <c r="I2426" s="264"/>
      <c r="J2426" s="263" t="s">
        <v>437</v>
      </c>
    </row>
    <row r="2427" spans="1:10" x14ac:dyDescent="0.15">
      <c r="A2427" s="263" t="s">
        <v>6377</v>
      </c>
      <c r="B2427" s="263" t="s">
        <v>9979</v>
      </c>
      <c r="C2427" s="263" t="s">
        <v>81</v>
      </c>
      <c r="D2427" s="263" t="s">
        <v>9980</v>
      </c>
      <c r="E2427" s="263" t="s">
        <v>88</v>
      </c>
      <c r="F2427">
        <v>0</v>
      </c>
      <c r="G2427">
        <v>2</v>
      </c>
      <c r="H2427" s="263" t="s">
        <v>436</v>
      </c>
      <c r="I2427" s="264"/>
      <c r="J2427" s="263" t="s">
        <v>437</v>
      </c>
    </row>
    <row r="2428" spans="1:10" x14ac:dyDescent="0.15">
      <c r="A2428" s="263" t="s">
        <v>6378</v>
      </c>
      <c r="B2428" s="263" t="s">
        <v>9981</v>
      </c>
      <c r="C2428" s="263" t="s">
        <v>81</v>
      </c>
      <c r="D2428" s="263" t="s">
        <v>9982</v>
      </c>
      <c r="E2428" s="263" t="s">
        <v>88</v>
      </c>
      <c r="F2428">
        <v>0</v>
      </c>
      <c r="G2428">
        <v>2</v>
      </c>
      <c r="H2428" s="263" t="s">
        <v>436</v>
      </c>
      <c r="I2428" s="264"/>
      <c r="J2428" s="263" t="s">
        <v>437</v>
      </c>
    </row>
    <row r="2429" spans="1:10" x14ac:dyDescent="0.15">
      <c r="A2429" s="263" t="s">
        <v>9983</v>
      </c>
      <c r="B2429" s="263" t="s">
        <v>9984</v>
      </c>
      <c r="C2429" s="263" t="s">
        <v>81</v>
      </c>
      <c r="D2429" s="263" t="s">
        <v>9985</v>
      </c>
      <c r="E2429" s="263" t="s">
        <v>88</v>
      </c>
      <c r="F2429">
        <v>0</v>
      </c>
      <c r="G2429">
        <v>2</v>
      </c>
      <c r="H2429" s="263" t="s">
        <v>436</v>
      </c>
      <c r="I2429" s="264"/>
      <c r="J2429" s="263" t="s">
        <v>437</v>
      </c>
    </row>
    <row r="2430" spans="1:10" x14ac:dyDescent="0.15">
      <c r="A2430" s="263" t="s">
        <v>6379</v>
      </c>
      <c r="B2430" s="263" t="s">
        <v>6380</v>
      </c>
      <c r="C2430" s="263" t="s">
        <v>81</v>
      </c>
      <c r="D2430" s="263" t="s">
        <v>6381</v>
      </c>
      <c r="E2430" s="263" t="s">
        <v>88</v>
      </c>
      <c r="F2430">
        <v>0</v>
      </c>
      <c r="G2430">
        <v>2</v>
      </c>
      <c r="H2430" s="263" t="s">
        <v>436</v>
      </c>
      <c r="I2430" s="264"/>
      <c r="J2430" s="263" t="s">
        <v>437</v>
      </c>
    </row>
    <row r="2431" spans="1:10" x14ac:dyDescent="0.15">
      <c r="A2431" s="263" t="s">
        <v>6382</v>
      </c>
      <c r="B2431" s="263" t="s">
        <v>6383</v>
      </c>
      <c r="C2431" s="263" t="s">
        <v>81</v>
      </c>
      <c r="D2431" s="263" t="s">
        <v>6384</v>
      </c>
      <c r="E2431" s="263" t="s">
        <v>88</v>
      </c>
      <c r="F2431">
        <v>0</v>
      </c>
      <c r="G2431">
        <v>2</v>
      </c>
      <c r="H2431" s="263" t="s">
        <v>436</v>
      </c>
      <c r="I2431" s="264"/>
      <c r="J2431" s="263" t="s">
        <v>437</v>
      </c>
    </row>
    <row r="2432" spans="1:10" x14ac:dyDescent="0.15">
      <c r="A2432" s="263" t="s">
        <v>6385</v>
      </c>
      <c r="B2432" s="263" t="s">
        <v>6386</v>
      </c>
      <c r="C2432" s="263" t="s">
        <v>81</v>
      </c>
      <c r="D2432" s="263" t="s">
        <v>6387</v>
      </c>
      <c r="E2432" s="263" t="s">
        <v>88</v>
      </c>
      <c r="F2432">
        <v>0</v>
      </c>
      <c r="G2432">
        <v>2</v>
      </c>
      <c r="H2432" s="263" t="s">
        <v>436</v>
      </c>
      <c r="I2432" s="264"/>
      <c r="J2432" s="263" t="s">
        <v>437</v>
      </c>
    </row>
    <row r="2433" spans="1:10" x14ac:dyDescent="0.15">
      <c r="A2433" s="263" t="s">
        <v>6388</v>
      </c>
      <c r="B2433" s="263" t="s">
        <v>6389</v>
      </c>
      <c r="C2433" s="263" t="s">
        <v>81</v>
      </c>
      <c r="D2433" s="263" t="s">
        <v>6390</v>
      </c>
      <c r="E2433" s="263" t="s">
        <v>88</v>
      </c>
      <c r="F2433">
        <v>0</v>
      </c>
      <c r="G2433">
        <v>2</v>
      </c>
      <c r="H2433" s="263" t="s">
        <v>436</v>
      </c>
      <c r="I2433" s="264"/>
      <c r="J2433" s="263" t="s">
        <v>437</v>
      </c>
    </row>
    <row r="2434" spans="1:10" x14ac:dyDescent="0.15">
      <c r="A2434" s="263" t="s">
        <v>6391</v>
      </c>
      <c r="B2434" s="263" t="s">
        <v>6392</v>
      </c>
      <c r="C2434" s="263" t="s">
        <v>81</v>
      </c>
      <c r="D2434" s="263" t="s">
        <v>6393</v>
      </c>
      <c r="E2434" s="263" t="s">
        <v>88</v>
      </c>
      <c r="F2434">
        <v>0</v>
      </c>
      <c r="G2434">
        <v>2</v>
      </c>
      <c r="H2434" s="263" t="s">
        <v>436</v>
      </c>
      <c r="I2434" s="264"/>
      <c r="J2434" s="263" t="s">
        <v>437</v>
      </c>
    </row>
    <row r="2435" spans="1:10" x14ac:dyDescent="0.15">
      <c r="A2435" s="263" t="s">
        <v>6394</v>
      </c>
      <c r="B2435" s="263" t="s">
        <v>6395</v>
      </c>
      <c r="C2435" s="263" t="s">
        <v>81</v>
      </c>
      <c r="D2435" s="263" t="s">
        <v>6396</v>
      </c>
      <c r="E2435" s="263" t="s">
        <v>88</v>
      </c>
      <c r="F2435">
        <v>0</v>
      </c>
      <c r="G2435">
        <v>2</v>
      </c>
      <c r="H2435" s="263" t="s">
        <v>436</v>
      </c>
      <c r="I2435" s="264"/>
      <c r="J2435" s="263" t="s">
        <v>437</v>
      </c>
    </row>
    <row r="2436" spans="1:10" x14ac:dyDescent="0.15">
      <c r="A2436" s="263" t="s">
        <v>6397</v>
      </c>
      <c r="B2436" s="263" t="s">
        <v>6398</v>
      </c>
      <c r="C2436" s="263" t="s">
        <v>96</v>
      </c>
      <c r="D2436" s="263" t="s">
        <v>6399</v>
      </c>
      <c r="E2436" s="263" t="s">
        <v>97</v>
      </c>
      <c r="F2436">
        <v>0</v>
      </c>
      <c r="G2436">
        <v>2</v>
      </c>
      <c r="H2436" s="263" t="s">
        <v>436</v>
      </c>
      <c r="I2436" s="264"/>
      <c r="J2436" s="263" t="s">
        <v>437</v>
      </c>
    </row>
    <row r="2437" spans="1:10" x14ac:dyDescent="0.15">
      <c r="A2437" s="263" t="s">
        <v>6400</v>
      </c>
      <c r="B2437" s="263" t="s">
        <v>6401</v>
      </c>
      <c r="C2437" s="263" t="s">
        <v>96</v>
      </c>
      <c r="D2437" s="263" t="s">
        <v>6402</v>
      </c>
      <c r="E2437" s="263" t="s">
        <v>97</v>
      </c>
      <c r="F2437">
        <v>0</v>
      </c>
      <c r="G2437">
        <v>2</v>
      </c>
      <c r="H2437" s="263" t="s">
        <v>436</v>
      </c>
      <c r="I2437" s="264"/>
      <c r="J2437" s="263" t="s">
        <v>437</v>
      </c>
    </row>
    <row r="2438" spans="1:10" x14ac:dyDescent="0.15">
      <c r="A2438" s="263" t="s">
        <v>6403</v>
      </c>
      <c r="B2438" s="263" t="s">
        <v>6404</v>
      </c>
      <c r="C2438" s="263" t="s">
        <v>96</v>
      </c>
      <c r="D2438" s="263" t="s">
        <v>6405</v>
      </c>
      <c r="E2438" s="263" t="s">
        <v>97</v>
      </c>
      <c r="F2438">
        <v>0</v>
      </c>
      <c r="G2438">
        <v>2</v>
      </c>
      <c r="H2438" s="263" t="s">
        <v>436</v>
      </c>
      <c r="I2438" s="264"/>
      <c r="J2438" s="263" t="s">
        <v>437</v>
      </c>
    </row>
    <row r="2439" spans="1:10" x14ac:dyDescent="0.15">
      <c r="A2439" s="263" t="s">
        <v>6406</v>
      </c>
      <c r="B2439" s="263" t="s">
        <v>6407</v>
      </c>
      <c r="C2439" s="263" t="s">
        <v>96</v>
      </c>
      <c r="D2439" s="263" t="s">
        <v>6408</v>
      </c>
      <c r="E2439" s="263" t="s">
        <v>97</v>
      </c>
      <c r="F2439">
        <v>0</v>
      </c>
      <c r="G2439">
        <v>2</v>
      </c>
      <c r="H2439" s="263" t="s">
        <v>436</v>
      </c>
      <c r="I2439" s="264"/>
      <c r="J2439" s="263" t="s">
        <v>437</v>
      </c>
    </row>
    <row r="2440" spans="1:10" x14ac:dyDescent="0.15">
      <c r="A2440" s="263" t="s">
        <v>6409</v>
      </c>
      <c r="B2440" s="263" t="s">
        <v>6410</v>
      </c>
      <c r="C2440" s="263" t="s">
        <v>96</v>
      </c>
      <c r="D2440" s="263" t="s">
        <v>6411</v>
      </c>
      <c r="E2440" s="263" t="s">
        <v>97</v>
      </c>
      <c r="F2440">
        <v>0</v>
      </c>
      <c r="G2440">
        <v>2</v>
      </c>
      <c r="H2440" s="263" t="s">
        <v>436</v>
      </c>
      <c r="I2440" s="264"/>
      <c r="J2440" s="263" t="s">
        <v>437</v>
      </c>
    </row>
    <row r="2441" spans="1:10" x14ac:dyDescent="0.15">
      <c r="A2441" s="263" t="s">
        <v>6412</v>
      </c>
      <c r="B2441" s="263" t="s">
        <v>6413</v>
      </c>
      <c r="C2441" s="263" t="s">
        <v>96</v>
      </c>
      <c r="D2441" s="263" t="s">
        <v>6414</v>
      </c>
      <c r="E2441" s="263" t="s">
        <v>97</v>
      </c>
      <c r="F2441">
        <v>0</v>
      </c>
      <c r="G2441">
        <v>2</v>
      </c>
      <c r="H2441" s="263" t="s">
        <v>436</v>
      </c>
      <c r="I2441" s="264"/>
      <c r="J2441" s="263" t="s">
        <v>437</v>
      </c>
    </row>
    <row r="2442" spans="1:10" x14ac:dyDescent="0.15">
      <c r="A2442" s="263" t="s">
        <v>6415</v>
      </c>
      <c r="B2442" s="263" t="s">
        <v>6416</v>
      </c>
      <c r="C2442" s="263" t="s">
        <v>96</v>
      </c>
      <c r="D2442" s="263" t="s">
        <v>6417</v>
      </c>
      <c r="E2442" s="263" t="s">
        <v>97</v>
      </c>
      <c r="F2442">
        <v>0</v>
      </c>
      <c r="G2442">
        <v>2</v>
      </c>
      <c r="H2442" s="263" t="s">
        <v>436</v>
      </c>
      <c r="I2442" s="264"/>
      <c r="J2442" s="263" t="s">
        <v>437</v>
      </c>
    </row>
    <row r="2443" spans="1:10" x14ac:dyDescent="0.15">
      <c r="A2443" s="263" t="s">
        <v>6418</v>
      </c>
      <c r="B2443" s="263" t="s">
        <v>6419</v>
      </c>
      <c r="C2443" s="263" t="s">
        <v>96</v>
      </c>
      <c r="D2443" s="263" t="s">
        <v>6420</v>
      </c>
      <c r="E2443" s="263" t="s">
        <v>97</v>
      </c>
      <c r="F2443">
        <v>0</v>
      </c>
      <c r="G2443">
        <v>2</v>
      </c>
      <c r="H2443" s="263" t="s">
        <v>436</v>
      </c>
      <c r="I2443" s="264"/>
      <c r="J2443" s="263" t="s">
        <v>437</v>
      </c>
    </row>
    <row r="2444" spans="1:10" x14ac:dyDescent="0.15">
      <c r="A2444" s="263" t="s">
        <v>6421</v>
      </c>
      <c r="B2444" s="263" t="s">
        <v>6422</v>
      </c>
      <c r="C2444" s="263" t="s">
        <v>96</v>
      </c>
      <c r="D2444" s="263" t="s">
        <v>6423</v>
      </c>
      <c r="E2444" s="263" t="s">
        <v>97</v>
      </c>
      <c r="F2444">
        <v>0</v>
      </c>
      <c r="G2444">
        <v>2</v>
      </c>
      <c r="H2444" s="263" t="s">
        <v>436</v>
      </c>
      <c r="I2444" s="264"/>
      <c r="J2444" s="263" t="s">
        <v>437</v>
      </c>
    </row>
    <row r="2445" spans="1:10" x14ac:dyDescent="0.15">
      <c r="A2445" s="263" t="s">
        <v>6424</v>
      </c>
      <c r="B2445" s="263" t="s">
        <v>6425</v>
      </c>
      <c r="C2445" s="263" t="s">
        <v>96</v>
      </c>
      <c r="D2445" s="263" t="s">
        <v>6426</v>
      </c>
      <c r="E2445" s="263" t="s">
        <v>97</v>
      </c>
      <c r="F2445">
        <v>0</v>
      </c>
      <c r="G2445">
        <v>2</v>
      </c>
      <c r="H2445" s="263" t="s">
        <v>436</v>
      </c>
      <c r="I2445" s="264"/>
      <c r="J2445" s="263" t="s">
        <v>437</v>
      </c>
    </row>
    <row r="2446" spans="1:10" x14ac:dyDescent="0.15">
      <c r="A2446" s="263" t="s">
        <v>6427</v>
      </c>
      <c r="B2446" s="263" t="s">
        <v>6428</v>
      </c>
      <c r="C2446" s="263" t="s">
        <v>96</v>
      </c>
      <c r="D2446" s="263" t="s">
        <v>6429</v>
      </c>
      <c r="E2446" s="263" t="s">
        <v>97</v>
      </c>
      <c r="F2446">
        <v>0</v>
      </c>
      <c r="G2446">
        <v>2</v>
      </c>
      <c r="H2446" s="263" t="s">
        <v>436</v>
      </c>
      <c r="I2446" s="264"/>
      <c r="J2446" s="263" t="s">
        <v>437</v>
      </c>
    </row>
    <row r="2447" spans="1:10" x14ac:dyDescent="0.15">
      <c r="A2447" s="263" t="s">
        <v>6430</v>
      </c>
      <c r="B2447" s="263" t="s">
        <v>6431</v>
      </c>
      <c r="C2447" s="263" t="s">
        <v>96</v>
      </c>
      <c r="D2447" s="263" t="s">
        <v>6432</v>
      </c>
      <c r="E2447" s="263" t="s">
        <v>97</v>
      </c>
      <c r="F2447">
        <v>0</v>
      </c>
      <c r="G2447">
        <v>2</v>
      </c>
      <c r="H2447" s="263" t="s">
        <v>436</v>
      </c>
      <c r="I2447" s="264"/>
      <c r="J2447" s="263" t="s">
        <v>437</v>
      </c>
    </row>
    <row r="2448" spans="1:10" x14ac:dyDescent="0.15">
      <c r="A2448" s="263" t="s">
        <v>6433</v>
      </c>
      <c r="B2448" s="263" t="s">
        <v>6434</v>
      </c>
      <c r="C2448" s="263" t="s">
        <v>96</v>
      </c>
      <c r="D2448" s="263" t="s">
        <v>6435</v>
      </c>
      <c r="E2448" s="263" t="s">
        <v>97</v>
      </c>
      <c r="F2448">
        <v>0</v>
      </c>
      <c r="G2448">
        <v>2</v>
      </c>
      <c r="H2448" s="263" t="s">
        <v>436</v>
      </c>
      <c r="I2448" s="264"/>
      <c r="J2448" s="263" t="s">
        <v>437</v>
      </c>
    </row>
    <row r="2449" spans="1:10" x14ac:dyDescent="0.15">
      <c r="A2449" s="263" t="s">
        <v>6436</v>
      </c>
      <c r="B2449" s="263" t="s">
        <v>6437</v>
      </c>
      <c r="C2449" s="263" t="s">
        <v>96</v>
      </c>
      <c r="D2449" s="263" t="s">
        <v>6438</v>
      </c>
      <c r="E2449" s="263" t="s">
        <v>97</v>
      </c>
      <c r="F2449">
        <v>0</v>
      </c>
      <c r="G2449">
        <v>2</v>
      </c>
      <c r="H2449" s="263" t="s">
        <v>436</v>
      </c>
      <c r="I2449" s="264"/>
      <c r="J2449" s="263" t="s">
        <v>437</v>
      </c>
    </row>
    <row r="2450" spans="1:10" x14ac:dyDescent="0.15">
      <c r="A2450" s="263" t="s">
        <v>6439</v>
      </c>
      <c r="B2450" s="263" t="s">
        <v>9986</v>
      </c>
      <c r="C2450" s="263" t="s">
        <v>96</v>
      </c>
      <c r="D2450" s="263" t="s">
        <v>9987</v>
      </c>
      <c r="E2450" s="263" t="s">
        <v>97</v>
      </c>
      <c r="F2450">
        <v>0</v>
      </c>
      <c r="G2450">
        <v>2</v>
      </c>
      <c r="H2450" s="263" t="s">
        <v>436</v>
      </c>
      <c r="I2450" s="264"/>
      <c r="J2450" s="263" t="s">
        <v>437</v>
      </c>
    </row>
    <row r="2451" spans="1:10" x14ac:dyDescent="0.15">
      <c r="A2451" s="263" t="s">
        <v>6440</v>
      </c>
      <c r="B2451" s="263" t="s">
        <v>6441</v>
      </c>
      <c r="C2451" s="263" t="s">
        <v>96</v>
      </c>
      <c r="D2451" s="263" t="s">
        <v>6442</v>
      </c>
      <c r="E2451" s="263" t="s">
        <v>97</v>
      </c>
      <c r="F2451">
        <v>0</v>
      </c>
      <c r="G2451">
        <v>2</v>
      </c>
      <c r="H2451" s="263" t="s">
        <v>436</v>
      </c>
      <c r="I2451" s="264"/>
      <c r="J2451" s="263" t="s">
        <v>437</v>
      </c>
    </row>
    <row r="2452" spans="1:10" x14ac:dyDescent="0.15">
      <c r="A2452" s="263" t="s">
        <v>6443</v>
      </c>
      <c r="B2452" s="263" t="s">
        <v>9988</v>
      </c>
      <c r="C2452" s="263" t="s">
        <v>96</v>
      </c>
      <c r="D2452" s="263" t="s">
        <v>9989</v>
      </c>
      <c r="E2452" s="263" t="s">
        <v>97</v>
      </c>
      <c r="F2452">
        <v>0</v>
      </c>
      <c r="G2452">
        <v>2</v>
      </c>
      <c r="H2452" s="263" t="s">
        <v>436</v>
      </c>
      <c r="I2452" s="264"/>
      <c r="J2452" s="263" t="s">
        <v>437</v>
      </c>
    </row>
    <row r="2453" spans="1:10" x14ac:dyDescent="0.15">
      <c r="A2453" s="263" t="s">
        <v>6444</v>
      </c>
      <c r="B2453" s="263" t="s">
        <v>9990</v>
      </c>
      <c r="C2453" s="263" t="s">
        <v>81</v>
      </c>
      <c r="D2453" s="263" t="s">
        <v>9991</v>
      </c>
      <c r="E2453" s="263" t="s">
        <v>88</v>
      </c>
      <c r="F2453">
        <v>0</v>
      </c>
      <c r="G2453">
        <v>2</v>
      </c>
      <c r="H2453" s="263" t="s">
        <v>436</v>
      </c>
      <c r="I2453" s="264"/>
      <c r="J2453" s="263" t="s">
        <v>437</v>
      </c>
    </row>
    <row r="2454" spans="1:10" x14ac:dyDescent="0.15">
      <c r="A2454" s="263" t="s">
        <v>6445</v>
      </c>
      <c r="B2454" s="263" t="s">
        <v>9992</v>
      </c>
      <c r="C2454" s="263" t="s">
        <v>81</v>
      </c>
      <c r="D2454" s="263" t="s">
        <v>9993</v>
      </c>
      <c r="E2454" s="263" t="s">
        <v>88</v>
      </c>
      <c r="F2454">
        <v>0</v>
      </c>
      <c r="G2454">
        <v>2</v>
      </c>
      <c r="H2454" s="263" t="s">
        <v>436</v>
      </c>
      <c r="I2454" s="264"/>
      <c r="J2454" s="263" t="s">
        <v>437</v>
      </c>
    </row>
    <row r="2455" spans="1:10" x14ac:dyDescent="0.15">
      <c r="A2455" s="263" t="s">
        <v>6446</v>
      </c>
      <c r="B2455" s="263" t="s">
        <v>9994</v>
      </c>
      <c r="C2455" s="263" t="s">
        <v>81</v>
      </c>
      <c r="D2455" s="263" t="s">
        <v>9995</v>
      </c>
      <c r="E2455" s="263" t="s">
        <v>88</v>
      </c>
      <c r="F2455">
        <v>0</v>
      </c>
      <c r="G2455">
        <v>2</v>
      </c>
      <c r="H2455" s="263" t="s">
        <v>436</v>
      </c>
      <c r="I2455" s="264"/>
      <c r="J2455" s="263" t="s">
        <v>437</v>
      </c>
    </row>
    <row r="2456" spans="1:10" x14ac:dyDescent="0.15">
      <c r="A2456" s="263" t="s">
        <v>6447</v>
      </c>
      <c r="B2456" s="263" t="s">
        <v>9996</v>
      </c>
      <c r="C2456" s="263" t="s">
        <v>81</v>
      </c>
      <c r="D2456" s="263" t="s">
        <v>9997</v>
      </c>
      <c r="E2456" s="263" t="s">
        <v>88</v>
      </c>
      <c r="F2456">
        <v>0</v>
      </c>
      <c r="G2456">
        <v>2</v>
      </c>
      <c r="H2456" s="263" t="s">
        <v>436</v>
      </c>
      <c r="I2456" s="264"/>
      <c r="J2456" s="263" t="s">
        <v>437</v>
      </c>
    </row>
    <row r="2457" spans="1:10" x14ac:dyDescent="0.15">
      <c r="A2457" s="263" t="s">
        <v>6448</v>
      </c>
      <c r="B2457" s="263" t="s">
        <v>9998</v>
      </c>
      <c r="C2457" s="263" t="s">
        <v>96</v>
      </c>
      <c r="D2457" s="263" t="s">
        <v>9999</v>
      </c>
      <c r="E2457" s="263" t="s">
        <v>97</v>
      </c>
      <c r="F2457">
        <v>0</v>
      </c>
      <c r="G2457">
        <v>2</v>
      </c>
      <c r="H2457" s="263" t="s">
        <v>436</v>
      </c>
      <c r="I2457" s="264"/>
      <c r="J2457" s="263" t="s">
        <v>437</v>
      </c>
    </row>
    <row r="2458" spans="1:10" x14ac:dyDescent="0.15">
      <c r="A2458" s="263" t="s">
        <v>6449</v>
      </c>
      <c r="B2458" s="263" t="s">
        <v>10000</v>
      </c>
      <c r="C2458" s="263" t="s">
        <v>81</v>
      </c>
      <c r="D2458" s="263" t="s">
        <v>10001</v>
      </c>
      <c r="E2458" s="263" t="s">
        <v>88</v>
      </c>
      <c r="F2458">
        <v>0</v>
      </c>
      <c r="G2458">
        <v>2</v>
      </c>
      <c r="H2458" s="263" t="s">
        <v>436</v>
      </c>
      <c r="I2458" s="264"/>
      <c r="J2458" s="263" t="s">
        <v>437</v>
      </c>
    </row>
    <row r="2459" spans="1:10" x14ac:dyDescent="0.15">
      <c r="A2459" s="263" t="s">
        <v>6450</v>
      </c>
      <c r="B2459" s="263" t="s">
        <v>6451</v>
      </c>
      <c r="C2459" s="263" t="s">
        <v>96</v>
      </c>
      <c r="D2459" s="263" t="s">
        <v>6452</v>
      </c>
      <c r="E2459" s="263" t="s">
        <v>97</v>
      </c>
      <c r="F2459">
        <v>0</v>
      </c>
      <c r="G2459">
        <v>2</v>
      </c>
      <c r="H2459" s="263" t="s">
        <v>436</v>
      </c>
      <c r="I2459" s="264"/>
      <c r="J2459" s="263" t="s">
        <v>437</v>
      </c>
    </row>
    <row r="2460" spans="1:10" x14ac:dyDescent="0.15">
      <c r="A2460" s="263" t="s">
        <v>6453</v>
      </c>
      <c r="B2460" s="263" t="s">
        <v>6454</v>
      </c>
      <c r="C2460" s="263" t="s">
        <v>96</v>
      </c>
      <c r="D2460" s="263" t="s">
        <v>6455</v>
      </c>
      <c r="E2460" s="263" t="s">
        <v>97</v>
      </c>
      <c r="F2460">
        <v>0</v>
      </c>
      <c r="G2460">
        <v>2</v>
      </c>
      <c r="H2460" s="263" t="s">
        <v>436</v>
      </c>
      <c r="I2460" s="264"/>
      <c r="J2460" s="263" t="s">
        <v>437</v>
      </c>
    </row>
    <row r="2461" spans="1:10" x14ac:dyDescent="0.15">
      <c r="A2461" s="263" t="s">
        <v>6456</v>
      </c>
      <c r="B2461" s="263" t="s">
        <v>6457</v>
      </c>
      <c r="C2461" s="263" t="s">
        <v>96</v>
      </c>
      <c r="D2461" s="263" t="s">
        <v>6458</v>
      </c>
      <c r="E2461" s="263" t="s">
        <v>97</v>
      </c>
      <c r="F2461">
        <v>0</v>
      </c>
      <c r="G2461">
        <v>2</v>
      </c>
      <c r="H2461" s="263" t="s">
        <v>436</v>
      </c>
      <c r="I2461" s="264"/>
      <c r="J2461" s="263" t="s">
        <v>437</v>
      </c>
    </row>
    <row r="2462" spans="1:10" x14ac:dyDescent="0.15">
      <c r="A2462" s="263" t="s">
        <v>6459</v>
      </c>
      <c r="B2462" s="263" t="s">
        <v>6460</v>
      </c>
      <c r="C2462" s="263" t="s">
        <v>96</v>
      </c>
      <c r="D2462" s="263" t="s">
        <v>6461</v>
      </c>
      <c r="E2462" s="263" t="s">
        <v>97</v>
      </c>
      <c r="F2462">
        <v>0</v>
      </c>
      <c r="G2462">
        <v>2</v>
      </c>
      <c r="H2462" s="263" t="s">
        <v>436</v>
      </c>
      <c r="I2462" s="264"/>
      <c r="J2462" s="263" t="s">
        <v>437</v>
      </c>
    </row>
    <row r="2463" spans="1:10" x14ac:dyDescent="0.15">
      <c r="A2463" s="263" t="s">
        <v>6462</v>
      </c>
      <c r="B2463" s="263" t="s">
        <v>6463</v>
      </c>
      <c r="C2463" s="263" t="s">
        <v>96</v>
      </c>
      <c r="D2463" s="263" t="s">
        <v>6464</v>
      </c>
      <c r="E2463" s="263" t="s">
        <v>97</v>
      </c>
      <c r="F2463">
        <v>0</v>
      </c>
      <c r="G2463">
        <v>2</v>
      </c>
      <c r="H2463" s="263" t="s">
        <v>436</v>
      </c>
      <c r="I2463" s="264"/>
      <c r="J2463" s="263" t="s">
        <v>437</v>
      </c>
    </row>
    <row r="2464" spans="1:10" x14ac:dyDescent="0.15">
      <c r="A2464" s="263" t="s">
        <v>6465</v>
      </c>
      <c r="B2464" s="263" t="s">
        <v>6466</v>
      </c>
      <c r="C2464" s="263" t="s">
        <v>96</v>
      </c>
      <c r="D2464" s="263" t="s">
        <v>6467</v>
      </c>
      <c r="E2464" s="263" t="s">
        <v>97</v>
      </c>
      <c r="F2464">
        <v>0</v>
      </c>
      <c r="G2464">
        <v>2</v>
      </c>
      <c r="H2464" s="263" t="s">
        <v>436</v>
      </c>
      <c r="I2464" s="264"/>
      <c r="J2464" s="263" t="s">
        <v>437</v>
      </c>
    </row>
    <row r="2465" spans="1:10" x14ac:dyDescent="0.15">
      <c r="A2465" s="263" t="s">
        <v>10002</v>
      </c>
      <c r="B2465" s="263" t="s">
        <v>9955</v>
      </c>
      <c r="C2465" s="263" t="s">
        <v>81</v>
      </c>
      <c r="D2465" s="263" t="s">
        <v>9956</v>
      </c>
      <c r="E2465" s="263" t="s">
        <v>88</v>
      </c>
      <c r="F2465">
        <v>0</v>
      </c>
      <c r="G2465">
        <v>2</v>
      </c>
      <c r="H2465" s="263" t="s">
        <v>436</v>
      </c>
      <c r="I2465" s="264"/>
      <c r="J2465" s="263" t="s">
        <v>437</v>
      </c>
    </row>
    <row r="2466" spans="1:10" x14ac:dyDescent="0.15">
      <c r="A2466" s="263" t="s">
        <v>10003</v>
      </c>
      <c r="B2466" s="263" t="s">
        <v>10004</v>
      </c>
      <c r="C2466" s="263" t="s">
        <v>96</v>
      </c>
      <c r="D2466" s="263" t="s">
        <v>10005</v>
      </c>
      <c r="E2466" s="263" t="s">
        <v>97</v>
      </c>
      <c r="F2466">
        <v>0</v>
      </c>
      <c r="G2466">
        <v>2</v>
      </c>
      <c r="H2466" s="263" t="s">
        <v>436</v>
      </c>
      <c r="I2466" s="264"/>
      <c r="J2466" s="263" t="s">
        <v>437</v>
      </c>
    </row>
    <row r="2467" spans="1:10" x14ac:dyDescent="0.15">
      <c r="A2467" s="263" t="s">
        <v>10006</v>
      </c>
      <c r="B2467" s="263" t="s">
        <v>9996</v>
      </c>
      <c r="C2467" s="263" t="s">
        <v>81</v>
      </c>
      <c r="D2467" s="263" t="s">
        <v>9997</v>
      </c>
      <c r="E2467" s="263" t="s">
        <v>88</v>
      </c>
      <c r="F2467">
        <v>0</v>
      </c>
      <c r="G2467">
        <v>2</v>
      </c>
      <c r="H2467" s="263" t="s">
        <v>436</v>
      </c>
      <c r="I2467" s="264"/>
      <c r="J2467" s="263" t="s">
        <v>437</v>
      </c>
    </row>
    <row r="2468" spans="1:10" x14ac:dyDescent="0.15">
      <c r="A2468" s="263" t="s">
        <v>6468</v>
      </c>
      <c r="B2468" s="263" t="s">
        <v>6469</v>
      </c>
      <c r="C2468" s="263" t="s">
        <v>96</v>
      </c>
      <c r="D2468" s="263" t="s">
        <v>6470</v>
      </c>
      <c r="E2468" s="263" t="s">
        <v>97</v>
      </c>
      <c r="F2468">
        <v>0</v>
      </c>
      <c r="G2468">
        <v>2</v>
      </c>
      <c r="H2468" s="263" t="s">
        <v>436</v>
      </c>
      <c r="I2468" s="264"/>
      <c r="J2468" s="263" t="s">
        <v>437</v>
      </c>
    </row>
    <row r="2469" spans="1:10" x14ac:dyDescent="0.15">
      <c r="A2469" s="263" t="s">
        <v>6471</v>
      </c>
      <c r="B2469" s="263" t="s">
        <v>6472</v>
      </c>
      <c r="C2469" s="263" t="s">
        <v>96</v>
      </c>
      <c r="D2469" s="263" t="s">
        <v>6473</v>
      </c>
      <c r="E2469" s="263" t="s">
        <v>97</v>
      </c>
      <c r="F2469">
        <v>0</v>
      </c>
      <c r="G2469">
        <v>2</v>
      </c>
      <c r="H2469" s="263" t="s">
        <v>436</v>
      </c>
      <c r="I2469" s="264"/>
      <c r="J2469" s="263" t="s">
        <v>437</v>
      </c>
    </row>
    <row r="2470" spans="1:10" x14ac:dyDescent="0.15">
      <c r="A2470" s="263" t="s">
        <v>6474</v>
      </c>
      <c r="B2470" s="263" t="s">
        <v>6475</v>
      </c>
      <c r="C2470" s="263" t="s">
        <v>96</v>
      </c>
      <c r="D2470" s="263" t="s">
        <v>6476</v>
      </c>
      <c r="E2470" s="263" t="s">
        <v>97</v>
      </c>
      <c r="F2470">
        <v>0</v>
      </c>
      <c r="G2470">
        <v>2</v>
      </c>
      <c r="H2470" s="263" t="s">
        <v>436</v>
      </c>
      <c r="I2470" s="264"/>
      <c r="J2470" s="263" t="s">
        <v>437</v>
      </c>
    </row>
    <row r="2471" spans="1:10" x14ac:dyDescent="0.15">
      <c r="A2471" s="263" t="s">
        <v>6477</v>
      </c>
      <c r="B2471" s="263" t="s">
        <v>6478</v>
      </c>
      <c r="C2471" s="263" t="s">
        <v>96</v>
      </c>
      <c r="D2471" s="263" t="s">
        <v>6479</v>
      </c>
      <c r="E2471" s="263" t="s">
        <v>97</v>
      </c>
      <c r="F2471">
        <v>0</v>
      </c>
      <c r="G2471">
        <v>2</v>
      </c>
      <c r="H2471" s="263" t="s">
        <v>436</v>
      </c>
      <c r="I2471" s="264"/>
      <c r="J2471" s="263" t="s">
        <v>437</v>
      </c>
    </row>
    <row r="2472" spans="1:10" x14ac:dyDescent="0.15">
      <c r="A2472" s="263" t="s">
        <v>6480</v>
      </c>
      <c r="B2472" s="263" t="s">
        <v>6481</v>
      </c>
      <c r="C2472" s="263" t="s">
        <v>96</v>
      </c>
      <c r="D2472" s="263" t="s">
        <v>6482</v>
      </c>
      <c r="E2472" s="263" t="s">
        <v>97</v>
      </c>
      <c r="F2472">
        <v>0</v>
      </c>
      <c r="G2472">
        <v>2</v>
      </c>
      <c r="H2472" s="263" t="s">
        <v>436</v>
      </c>
      <c r="I2472" s="264"/>
      <c r="J2472" s="263" t="s">
        <v>437</v>
      </c>
    </row>
    <row r="2473" spans="1:10" x14ac:dyDescent="0.15">
      <c r="A2473" s="263" t="s">
        <v>6483</v>
      </c>
      <c r="B2473" s="263" t="s">
        <v>6484</v>
      </c>
      <c r="C2473" s="263" t="s">
        <v>96</v>
      </c>
      <c r="D2473" s="263" t="s">
        <v>6485</v>
      </c>
      <c r="E2473" s="263" t="s">
        <v>97</v>
      </c>
      <c r="F2473">
        <v>0</v>
      </c>
      <c r="G2473">
        <v>2</v>
      </c>
      <c r="H2473" s="263" t="s">
        <v>436</v>
      </c>
      <c r="I2473" s="264"/>
      <c r="J2473" s="263" t="s">
        <v>437</v>
      </c>
    </row>
    <row r="2474" spans="1:10" x14ac:dyDescent="0.15">
      <c r="A2474" s="263" t="s">
        <v>6486</v>
      </c>
      <c r="B2474" s="263" t="s">
        <v>6487</v>
      </c>
      <c r="C2474" s="263" t="s">
        <v>96</v>
      </c>
      <c r="D2474" s="263" t="s">
        <v>6488</v>
      </c>
      <c r="E2474" s="263" t="s">
        <v>97</v>
      </c>
      <c r="F2474">
        <v>0</v>
      </c>
      <c r="G2474">
        <v>2</v>
      </c>
      <c r="H2474" s="263" t="s">
        <v>436</v>
      </c>
      <c r="I2474" s="264"/>
      <c r="J2474" s="263" t="s">
        <v>437</v>
      </c>
    </row>
    <row r="2475" spans="1:10" x14ac:dyDescent="0.15">
      <c r="A2475" s="263" t="s">
        <v>6489</v>
      </c>
      <c r="B2475" s="263" t="s">
        <v>10007</v>
      </c>
      <c r="C2475" s="263" t="s">
        <v>96</v>
      </c>
      <c r="D2475" s="263" t="s">
        <v>10008</v>
      </c>
      <c r="E2475" s="263" t="s">
        <v>97</v>
      </c>
      <c r="F2475">
        <v>0</v>
      </c>
      <c r="G2475">
        <v>2</v>
      </c>
      <c r="H2475" s="263" t="s">
        <v>436</v>
      </c>
      <c r="I2475" s="264"/>
      <c r="J2475" s="263" t="s">
        <v>437</v>
      </c>
    </row>
    <row r="2476" spans="1:10" x14ac:dyDescent="0.15">
      <c r="A2476" s="263" t="s">
        <v>6490</v>
      </c>
      <c r="B2476" s="263" t="s">
        <v>10009</v>
      </c>
      <c r="C2476" s="263" t="s">
        <v>96</v>
      </c>
      <c r="D2476" s="263" t="s">
        <v>10010</v>
      </c>
      <c r="E2476" s="263" t="s">
        <v>97</v>
      </c>
      <c r="F2476">
        <v>0</v>
      </c>
      <c r="G2476">
        <v>2</v>
      </c>
      <c r="H2476" s="263" t="s">
        <v>436</v>
      </c>
      <c r="I2476" s="264"/>
      <c r="J2476" s="263" t="s">
        <v>437</v>
      </c>
    </row>
    <row r="2477" spans="1:10" x14ac:dyDescent="0.15">
      <c r="A2477" s="263" t="s">
        <v>6491</v>
      </c>
      <c r="B2477" s="263" t="s">
        <v>6492</v>
      </c>
      <c r="C2477" s="263" t="s">
        <v>96</v>
      </c>
      <c r="D2477" s="263" t="s">
        <v>6493</v>
      </c>
      <c r="E2477" s="263" t="s">
        <v>97</v>
      </c>
      <c r="F2477">
        <v>0</v>
      </c>
      <c r="G2477">
        <v>2</v>
      </c>
      <c r="H2477" s="263" t="s">
        <v>436</v>
      </c>
      <c r="I2477" s="264"/>
      <c r="J2477" s="263" t="s">
        <v>437</v>
      </c>
    </row>
    <row r="2478" spans="1:10" x14ac:dyDescent="0.15">
      <c r="A2478" s="263" t="s">
        <v>6494</v>
      </c>
      <c r="B2478" s="263" t="s">
        <v>6495</v>
      </c>
      <c r="C2478" s="263" t="s">
        <v>96</v>
      </c>
      <c r="D2478" s="263" t="s">
        <v>6496</v>
      </c>
      <c r="E2478" s="263" t="s">
        <v>97</v>
      </c>
      <c r="F2478">
        <v>0</v>
      </c>
      <c r="G2478">
        <v>2</v>
      </c>
      <c r="H2478" s="263" t="s">
        <v>436</v>
      </c>
      <c r="I2478" s="264"/>
      <c r="J2478" s="263" t="s">
        <v>437</v>
      </c>
    </row>
    <row r="2479" spans="1:10" x14ac:dyDescent="0.15">
      <c r="A2479" s="263" t="s">
        <v>6497</v>
      </c>
      <c r="B2479" s="263" t="s">
        <v>6498</v>
      </c>
      <c r="C2479" s="263" t="s">
        <v>96</v>
      </c>
      <c r="D2479" s="263" t="s">
        <v>6499</v>
      </c>
      <c r="E2479" s="263" t="s">
        <v>97</v>
      </c>
      <c r="F2479">
        <v>0</v>
      </c>
      <c r="G2479">
        <v>2</v>
      </c>
      <c r="H2479" s="263" t="s">
        <v>436</v>
      </c>
      <c r="I2479" s="264"/>
      <c r="J2479" s="263" t="s">
        <v>437</v>
      </c>
    </row>
    <row r="2480" spans="1:10" x14ac:dyDescent="0.15">
      <c r="A2480" s="263" t="s">
        <v>6500</v>
      </c>
      <c r="B2480" s="263" t="s">
        <v>6501</v>
      </c>
      <c r="C2480" s="263" t="s">
        <v>96</v>
      </c>
      <c r="D2480" s="263" t="s">
        <v>6502</v>
      </c>
      <c r="E2480" s="263" t="s">
        <v>97</v>
      </c>
      <c r="F2480">
        <v>0</v>
      </c>
      <c r="G2480">
        <v>2</v>
      </c>
      <c r="H2480" s="263" t="s">
        <v>436</v>
      </c>
      <c r="I2480" s="264"/>
      <c r="J2480" s="263" t="s">
        <v>437</v>
      </c>
    </row>
    <row r="2481" spans="1:10" x14ac:dyDescent="0.15">
      <c r="A2481" s="263" t="s">
        <v>6503</v>
      </c>
      <c r="B2481" s="263" t="s">
        <v>6504</v>
      </c>
      <c r="C2481" s="263" t="s">
        <v>96</v>
      </c>
      <c r="D2481" s="263" t="s">
        <v>6505</v>
      </c>
      <c r="E2481" s="263" t="s">
        <v>97</v>
      </c>
      <c r="F2481">
        <v>0</v>
      </c>
      <c r="G2481">
        <v>2</v>
      </c>
      <c r="H2481" s="263" t="s">
        <v>436</v>
      </c>
      <c r="I2481" s="264"/>
      <c r="J2481" s="263" t="s">
        <v>437</v>
      </c>
    </row>
    <row r="2482" spans="1:10" x14ac:dyDescent="0.15">
      <c r="A2482" s="263" t="s">
        <v>6506</v>
      </c>
      <c r="B2482" s="263" t="s">
        <v>6507</v>
      </c>
      <c r="C2482" s="263" t="s">
        <v>96</v>
      </c>
      <c r="D2482" s="263" t="s">
        <v>6508</v>
      </c>
      <c r="E2482" s="263" t="s">
        <v>97</v>
      </c>
      <c r="F2482">
        <v>0</v>
      </c>
      <c r="G2482">
        <v>2</v>
      </c>
      <c r="H2482" s="263" t="s">
        <v>436</v>
      </c>
      <c r="I2482" s="264"/>
      <c r="J2482" s="263" t="s">
        <v>437</v>
      </c>
    </row>
    <row r="2483" spans="1:10" x14ac:dyDescent="0.15">
      <c r="A2483" s="263" t="s">
        <v>6509</v>
      </c>
      <c r="B2483" s="263" t="s">
        <v>6510</v>
      </c>
      <c r="C2483" s="263" t="s">
        <v>96</v>
      </c>
      <c r="D2483" s="263" t="s">
        <v>6511</v>
      </c>
      <c r="E2483" s="263" t="s">
        <v>97</v>
      </c>
      <c r="F2483">
        <v>0</v>
      </c>
      <c r="G2483">
        <v>2</v>
      </c>
      <c r="H2483" s="263" t="s">
        <v>436</v>
      </c>
      <c r="I2483" s="264"/>
      <c r="J2483" s="263" t="s">
        <v>437</v>
      </c>
    </row>
    <row r="2484" spans="1:10" x14ac:dyDescent="0.15">
      <c r="A2484" s="263" t="s">
        <v>6512</v>
      </c>
      <c r="B2484" s="263" t="s">
        <v>6513</v>
      </c>
      <c r="C2484" s="263" t="s">
        <v>96</v>
      </c>
      <c r="D2484" s="263" t="s">
        <v>6514</v>
      </c>
      <c r="E2484" s="263" t="s">
        <v>97</v>
      </c>
      <c r="F2484">
        <v>0</v>
      </c>
      <c r="G2484">
        <v>2</v>
      </c>
      <c r="H2484" s="263" t="s">
        <v>436</v>
      </c>
      <c r="I2484" s="264"/>
      <c r="J2484" s="263" t="s">
        <v>437</v>
      </c>
    </row>
    <row r="2485" spans="1:10" x14ac:dyDescent="0.15">
      <c r="A2485" s="263" t="s">
        <v>6515</v>
      </c>
      <c r="B2485" s="263" t="s">
        <v>6516</v>
      </c>
      <c r="C2485" s="263" t="s">
        <v>96</v>
      </c>
      <c r="D2485" s="263" t="s">
        <v>6517</v>
      </c>
      <c r="E2485" s="263" t="s">
        <v>97</v>
      </c>
      <c r="F2485">
        <v>0</v>
      </c>
      <c r="G2485">
        <v>2</v>
      </c>
      <c r="H2485" s="263" t="s">
        <v>436</v>
      </c>
      <c r="I2485" s="264"/>
      <c r="J2485" s="263" t="s">
        <v>437</v>
      </c>
    </row>
    <row r="2486" spans="1:10" x14ac:dyDescent="0.15">
      <c r="A2486" s="263" t="s">
        <v>6518</v>
      </c>
      <c r="B2486" s="263" t="s">
        <v>6519</v>
      </c>
      <c r="C2486" s="263" t="s">
        <v>96</v>
      </c>
      <c r="D2486" s="263" t="s">
        <v>6520</v>
      </c>
      <c r="E2486" s="263" t="s">
        <v>97</v>
      </c>
      <c r="F2486">
        <v>0</v>
      </c>
      <c r="G2486">
        <v>2</v>
      </c>
      <c r="H2486" s="263" t="s">
        <v>436</v>
      </c>
      <c r="I2486" s="264"/>
      <c r="J2486" s="263" t="s">
        <v>437</v>
      </c>
    </row>
    <row r="2487" spans="1:10" x14ac:dyDescent="0.15">
      <c r="A2487" s="263" t="s">
        <v>6521</v>
      </c>
      <c r="B2487" s="263" t="s">
        <v>6522</v>
      </c>
      <c r="C2487" s="263" t="s">
        <v>96</v>
      </c>
      <c r="D2487" s="263" t="s">
        <v>6523</v>
      </c>
      <c r="E2487" s="263" t="s">
        <v>97</v>
      </c>
      <c r="F2487">
        <v>0</v>
      </c>
      <c r="G2487">
        <v>2</v>
      </c>
      <c r="H2487" s="263" t="s">
        <v>436</v>
      </c>
      <c r="I2487" s="264"/>
      <c r="J2487" s="263" t="s">
        <v>437</v>
      </c>
    </row>
    <row r="2488" spans="1:10" x14ac:dyDescent="0.15">
      <c r="A2488" s="263" t="s">
        <v>6524</v>
      </c>
      <c r="B2488" s="263" t="s">
        <v>6525</v>
      </c>
      <c r="C2488" s="263" t="s">
        <v>96</v>
      </c>
      <c r="D2488" s="263" t="s">
        <v>6526</v>
      </c>
      <c r="E2488" s="263" t="s">
        <v>97</v>
      </c>
      <c r="F2488">
        <v>0</v>
      </c>
      <c r="G2488">
        <v>2</v>
      </c>
      <c r="H2488" s="263" t="s">
        <v>436</v>
      </c>
      <c r="I2488" s="264"/>
      <c r="J2488" s="263" t="s">
        <v>437</v>
      </c>
    </row>
    <row r="2489" spans="1:10" x14ac:dyDescent="0.15">
      <c r="A2489" s="263" t="s">
        <v>6527</v>
      </c>
      <c r="B2489" s="263" t="s">
        <v>6528</v>
      </c>
      <c r="C2489" s="263" t="s">
        <v>96</v>
      </c>
      <c r="D2489" s="263" t="s">
        <v>6529</v>
      </c>
      <c r="E2489" s="263" t="s">
        <v>97</v>
      </c>
      <c r="F2489">
        <v>0</v>
      </c>
      <c r="G2489">
        <v>2</v>
      </c>
      <c r="H2489" s="263" t="s">
        <v>436</v>
      </c>
      <c r="I2489" s="264"/>
      <c r="J2489" s="263" t="s">
        <v>437</v>
      </c>
    </row>
    <row r="2490" spans="1:10" x14ac:dyDescent="0.15">
      <c r="A2490" s="263" t="s">
        <v>6530</v>
      </c>
      <c r="B2490" s="263" t="s">
        <v>6531</v>
      </c>
      <c r="C2490" s="263" t="s">
        <v>96</v>
      </c>
      <c r="D2490" s="263" t="s">
        <v>6532</v>
      </c>
      <c r="E2490" s="263" t="s">
        <v>97</v>
      </c>
      <c r="F2490">
        <v>0</v>
      </c>
      <c r="G2490">
        <v>2</v>
      </c>
      <c r="H2490" s="263" t="s">
        <v>436</v>
      </c>
      <c r="I2490" s="264"/>
      <c r="J2490" s="263" t="s">
        <v>437</v>
      </c>
    </row>
    <row r="2491" spans="1:10" x14ac:dyDescent="0.15">
      <c r="A2491" s="263" t="s">
        <v>6533</v>
      </c>
      <c r="B2491" s="263" t="s">
        <v>6534</v>
      </c>
      <c r="C2491" s="263" t="s">
        <v>96</v>
      </c>
      <c r="D2491" s="263" t="s">
        <v>6535</v>
      </c>
      <c r="E2491" s="263" t="s">
        <v>97</v>
      </c>
      <c r="F2491">
        <v>0</v>
      </c>
      <c r="G2491">
        <v>2</v>
      </c>
      <c r="H2491" s="263" t="s">
        <v>436</v>
      </c>
      <c r="I2491" s="264"/>
      <c r="J2491" s="263" t="s">
        <v>437</v>
      </c>
    </row>
    <row r="2492" spans="1:10" x14ac:dyDescent="0.15">
      <c r="A2492" s="263" t="s">
        <v>6536</v>
      </c>
      <c r="B2492" s="263" t="s">
        <v>6537</v>
      </c>
      <c r="C2492" s="263" t="s">
        <v>96</v>
      </c>
      <c r="D2492" s="263" t="s">
        <v>6538</v>
      </c>
      <c r="E2492" s="263" t="s">
        <v>97</v>
      </c>
      <c r="F2492">
        <v>0</v>
      </c>
      <c r="G2492">
        <v>2</v>
      </c>
      <c r="H2492" s="263" t="s">
        <v>436</v>
      </c>
      <c r="I2492" s="264"/>
      <c r="J2492" s="263" t="s">
        <v>437</v>
      </c>
    </row>
    <row r="2493" spans="1:10" x14ac:dyDescent="0.15">
      <c r="A2493" s="263" t="s">
        <v>6539</v>
      </c>
      <c r="B2493" s="263" t="s">
        <v>6540</v>
      </c>
      <c r="C2493" s="263" t="s">
        <v>96</v>
      </c>
      <c r="D2493" s="263" t="s">
        <v>6541</v>
      </c>
      <c r="E2493" s="263" t="s">
        <v>97</v>
      </c>
      <c r="F2493">
        <v>0</v>
      </c>
      <c r="G2493">
        <v>2</v>
      </c>
      <c r="H2493" s="263" t="s">
        <v>436</v>
      </c>
      <c r="I2493" s="264"/>
      <c r="J2493" s="263" t="s">
        <v>437</v>
      </c>
    </row>
    <row r="2494" spans="1:10" x14ac:dyDescent="0.15">
      <c r="A2494" s="263" t="s">
        <v>6542</v>
      </c>
      <c r="B2494" s="263" t="s">
        <v>6543</v>
      </c>
      <c r="C2494" s="263" t="s">
        <v>96</v>
      </c>
      <c r="D2494" s="263" t="s">
        <v>6544</v>
      </c>
      <c r="E2494" s="263" t="s">
        <v>97</v>
      </c>
      <c r="F2494">
        <v>0</v>
      </c>
      <c r="G2494">
        <v>2</v>
      </c>
      <c r="H2494" s="263" t="s">
        <v>436</v>
      </c>
      <c r="I2494" s="264"/>
      <c r="J2494" s="263" t="s">
        <v>437</v>
      </c>
    </row>
    <row r="2495" spans="1:10" x14ac:dyDescent="0.15">
      <c r="A2495" s="263" t="s">
        <v>6545</v>
      </c>
      <c r="B2495" s="263" t="s">
        <v>6546</v>
      </c>
      <c r="C2495" s="263" t="s">
        <v>96</v>
      </c>
      <c r="D2495" s="263" t="s">
        <v>6547</v>
      </c>
      <c r="E2495" s="263" t="s">
        <v>97</v>
      </c>
      <c r="F2495">
        <v>0</v>
      </c>
      <c r="G2495">
        <v>2</v>
      </c>
      <c r="H2495" s="263" t="s">
        <v>436</v>
      </c>
      <c r="I2495" s="264"/>
      <c r="J2495" s="263" t="s">
        <v>437</v>
      </c>
    </row>
    <row r="2496" spans="1:10" x14ac:dyDescent="0.15">
      <c r="A2496" s="263" t="s">
        <v>6548</v>
      </c>
      <c r="B2496" s="263" t="s">
        <v>6549</v>
      </c>
      <c r="C2496" s="263" t="s">
        <v>96</v>
      </c>
      <c r="D2496" s="263" t="s">
        <v>6550</v>
      </c>
      <c r="E2496" s="263" t="s">
        <v>97</v>
      </c>
      <c r="F2496">
        <v>0</v>
      </c>
      <c r="G2496">
        <v>2</v>
      </c>
      <c r="H2496" s="263" t="s">
        <v>436</v>
      </c>
      <c r="I2496" s="264"/>
      <c r="J2496" s="263" t="s">
        <v>437</v>
      </c>
    </row>
    <row r="2497" spans="1:10" x14ac:dyDescent="0.15">
      <c r="A2497" s="263" t="s">
        <v>6551</v>
      </c>
      <c r="B2497" s="263" t="s">
        <v>6552</v>
      </c>
      <c r="C2497" s="263" t="s">
        <v>96</v>
      </c>
      <c r="D2497" s="263" t="s">
        <v>6553</v>
      </c>
      <c r="E2497" s="263" t="s">
        <v>97</v>
      </c>
      <c r="F2497">
        <v>0</v>
      </c>
      <c r="G2497">
        <v>2</v>
      </c>
      <c r="H2497" s="263" t="s">
        <v>436</v>
      </c>
      <c r="I2497" s="264"/>
      <c r="J2497" s="263" t="s">
        <v>437</v>
      </c>
    </row>
    <row r="2498" spans="1:10" x14ac:dyDescent="0.15">
      <c r="A2498" s="263" t="s">
        <v>6554</v>
      </c>
      <c r="B2498" s="263" t="s">
        <v>6555</v>
      </c>
      <c r="C2498" s="263" t="s">
        <v>96</v>
      </c>
      <c r="D2498" s="263" t="s">
        <v>6556</v>
      </c>
      <c r="E2498" s="263" t="s">
        <v>97</v>
      </c>
      <c r="F2498">
        <v>0</v>
      </c>
      <c r="G2498">
        <v>2</v>
      </c>
      <c r="H2498" s="263" t="s">
        <v>436</v>
      </c>
      <c r="I2498" s="264"/>
      <c r="J2498" s="263" t="s">
        <v>437</v>
      </c>
    </row>
    <row r="2499" spans="1:10" x14ac:dyDescent="0.15">
      <c r="A2499" s="263" t="s">
        <v>6557</v>
      </c>
      <c r="B2499" s="263" t="s">
        <v>6558</v>
      </c>
      <c r="C2499" s="263" t="s">
        <v>96</v>
      </c>
      <c r="D2499" s="263" t="s">
        <v>6559</v>
      </c>
      <c r="E2499" s="263" t="s">
        <v>97</v>
      </c>
      <c r="F2499">
        <v>0</v>
      </c>
      <c r="G2499">
        <v>2</v>
      </c>
      <c r="H2499" s="263" t="s">
        <v>436</v>
      </c>
      <c r="I2499" s="264"/>
      <c r="J2499" s="263" t="s">
        <v>437</v>
      </c>
    </row>
    <row r="2500" spans="1:10" x14ac:dyDescent="0.15">
      <c r="A2500" s="263" t="s">
        <v>6560</v>
      </c>
      <c r="B2500" s="263" t="s">
        <v>6561</v>
      </c>
      <c r="C2500" s="263" t="s">
        <v>96</v>
      </c>
      <c r="D2500" s="263" t="s">
        <v>6562</v>
      </c>
      <c r="E2500" s="263" t="s">
        <v>97</v>
      </c>
      <c r="F2500">
        <v>0</v>
      </c>
      <c r="G2500">
        <v>2</v>
      </c>
      <c r="H2500" s="263" t="s">
        <v>436</v>
      </c>
      <c r="I2500" s="264"/>
      <c r="J2500" s="263" t="s">
        <v>437</v>
      </c>
    </row>
    <row r="2501" spans="1:10" x14ac:dyDescent="0.15">
      <c r="A2501" s="263" t="s">
        <v>6563</v>
      </c>
      <c r="B2501" s="263" t="s">
        <v>6564</v>
      </c>
      <c r="C2501" s="263" t="s">
        <v>96</v>
      </c>
      <c r="D2501" s="263" t="s">
        <v>6565</v>
      </c>
      <c r="E2501" s="263" t="s">
        <v>97</v>
      </c>
      <c r="F2501">
        <v>0</v>
      </c>
      <c r="G2501">
        <v>2</v>
      </c>
      <c r="H2501" s="263" t="s">
        <v>436</v>
      </c>
      <c r="I2501" s="264"/>
      <c r="J2501" s="263" t="s">
        <v>437</v>
      </c>
    </row>
    <row r="2502" spans="1:10" x14ac:dyDescent="0.15">
      <c r="A2502" s="263" t="s">
        <v>6566</v>
      </c>
      <c r="B2502" s="263" t="s">
        <v>6567</v>
      </c>
      <c r="C2502" s="263" t="s">
        <v>96</v>
      </c>
      <c r="D2502" s="263" t="s">
        <v>6568</v>
      </c>
      <c r="E2502" s="263" t="s">
        <v>97</v>
      </c>
      <c r="F2502">
        <v>0</v>
      </c>
      <c r="G2502">
        <v>2</v>
      </c>
      <c r="H2502" s="263" t="s">
        <v>436</v>
      </c>
      <c r="I2502" s="264"/>
      <c r="J2502" s="263" t="s">
        <v>437</v>
      </c>
    </row>
    <row r="2503" spans="1:10" x14ac:dyDescent="0.15">
      <c r="A2503" s="263" t="s">
        <v>6569</v>
      </c>
      <c r="B2503" s="263" t="s">
        <v>6570</v>
      </c>
      <c r="C2503" s="263" t="s">
        <v>96</v>
      </c>
      <c r="D2503" s="263" t="s">
        <v>6571</v>
      </c>
      <c r="E2503" s="263" t="s">
        <v>97</v>
      </c>
      <c r="F2503">
        <v>0</v>
      </c>
      <c r="G2503">
        <v>2</v>
      </c>
      <c r="H2503" s="263" t="s">
        <v>436</v>
      </c>
      <c r="I2503" s="264"/>
      <c r="J2503" s="263" t="s">
        <v>437</v>
      </c>
    </row>
    <row r="2504" spans="1:10" x14ac:dyDescent="0.15">
      <c r="A2504" s="263" t="s">
        <v>6572</v>
      </c>
      <c r="B2504" s="263" t="s">
        <v>6573</v>
      </c>
      <c r="C2504" s="263" t="s">
        <v>96</v>
      </c>
      <c r="D2504" s="263" t="s">
        <v>6574</v>
      </c>
      <c r="E2504" s="263" t="s">
        <v>97</v>
      </c>
      <c r="F2504">
        <v>0</v>
      </c>
      <c r="G2504">
        <v>2</v>
      </c>
      <c r="H2504" s="263" t="s">
        <v>436</v>
      </c>
      <c r="I2504" s="264"/>
      <c r="J2504" s="263" t="s">
        <v>437</v>
      </c>
    </row>
    <row r="2505" spans="1:10" x14ac:dyDescent="0.15">
      <c r="A2505" s="263" t="s">
        <v>6575</v>
      </c>
      <c r="B2505" s="263" t="s">
        <v>6576</v>
      </c>
      <c r="C2505" s="263" t="s">
        <v>96</v>
      </c>
      <c r="D2505" s="263" t="s">
        <v>6577</v>
      </c>
      <c r="E2505" s="263" t="s">
        <v>97</v>
      </c>
      <c r="F2505">
        <v>0</v>
      </c>
      <c r="G2505">
        <v>2</v>
      </c>
      <c r="H2505" s="263" t="s">
        <v>436</v>
      </c>
      <c r="I2505" s="264"/>
      <c r="J2505" s="263" t="s">
        <v>437</v>
      </c>
    </row>
    <row r="2506" spans="1:10" x14ac:dyDescent="0.15">
      <c r="A2506" s="263" t="s">
        <v>6578</v>
      </c>
      <c r="B2506" s="263" t="s">
        <v>6579</v>
      </c>
      <c r="C2506" s="263" t="s">
        <v>96</v>
      </c>
      <c r="D2506" s="263" t="s">
        <v>6580</v>
      </c>
      <c r="E2506" s="263" t="s">
        <v>97</v>
      </c>
      <c r="F2506">
        <v>0</v>
      </c>
      <c r="G2506">
        <v>2</v>
      </c>
      <c r="H2506" s="263" t="s">
        <v>436</v>
      </c>
      <c r="I2506" s="264"/>
      <c r="J2506" s="263" t="s">
        <v>437</v>
      </c>
    </row>
    <row r="2507" spans="1:10" x14ac:dyDescent="0.15">
      <c r="A2507" s="263" t="s">
        <v>6581</v>
      </c>
      <c r="B2507" s="263" t="s">
        <v>6582</v>
      </c>
      <c r="C2507" s="263" t="s">
        <v>96</v>
      </c>
      <c r="D2507" s="263" t="s">
        <v>6583</v>
      </c>
      <c r="E2507" s="263" t="s">
        <v>97</v>
      </c>
      <c r="F2507">
        <v>0</v>
      </c>
      <c r="G2507">
        <v>2</v>
      </c>
      <c r="H2507" s="263" t="s">
        <v>436</v>
      </c>
      <c r="I2507" s="264"/>
      <c r="J2507" s="263" t="s">
        <v>437</v>
      </c>
    </row>
    <row r="2508" spans="1:10" x14ac:dyDescent="0.15">
      <c r="A2508" s="263" t="s">
        <v>6584</v>
      </c>
      <c r="B2508" s="263" t="s">
        <v>6585</v>
      </c>
      <c r="C2508" s="263" t="s">
        <v>81</v>
      </c>
      <c r="D2508" s="263" t="s">
        <v>6586</v>
      </c>
      <c r="E2508" s="263" t="s">
        <v>88</v>
      </c>
      <c r="F2508">
        <v>0</v>
      </c>
      <c r="G2508">
        <v>2</v>
      </c>
      <c r="H2508" s="263" t="s">
        <v>436</v>
      </c>
      <c r="I2508" s="264"/>
      <c r="J2508" s="263" t="s">
        <v>437</v>
      </c>
    </row>
    <row r="2509" spans="1:10" x14ac:dyDescent="0.15">
      <c r="A2509" s="263" t="s">
        <v>6587</v>
      </c>
      <c r="B2509" s="263" t="s">
        <v>6588</v>
      </c>
      <c r="C2509" s="263" t="s">
        <v>81</v>
      </c>
      <c r="D2509" s="263" t="s">
        <v>6589</v>
      </c>
      <c r="E2509" s="263" t="s">
        <v>88</v>
      </c>
      <c r="F2509">
        <v>0</v>
      </c>
      <c r="G2509">
        <v>2</v>
      </c>
      <c r="H2509" s="263" t="s">
        <v>436</v>
      </c>
      <c r="I2509" s="264"/>
      <c r="J2509" s="263" t="s">
        <v>437</v>
      </c>
    </row>
    <row r="2510" spans="1:10" x14ac:dyDescent="0.15">
      <c r="A2510" s="263" t="s">
        <v>6590</v>
      </c>
      <c r="B2510" s="263" t="s">
        <v>6591</v>
      </c>
      <c r="C2510" s="263" t="s">
        <v>81</v>
      </c>
      <c r="D2510" s="263" t="s">
        <v>6592</v>
      </c>
      <c r="E2510" s="263" t="s">
        <v>88</v>
      </c>
      <c r="F2510">
        <v>0</v>
      </c>
      <c r="G2510">
        <v>2</v>
      </c>
      <c r="H2510" s="263" t="s">
        <v>436</v>
      </c>
      <c r="I2510" s="264"/>
      <c r="J2510" s="263" t="s">
        <v>437</v>
      </c>
    </row>
    <row r="2511" spans="1:10" x14ac:dyDescent="0.15">
      <c r="A2511" s="263" t="s">
        <v>6593</v>
      </c>
      <c r="B2511" s="263" t="s">
        <v>6594</v>
      </c>
      <c r="C2511" s="263" t="s">
        <v>81</v>
      </c>
      <c r="D2511" s="263" t="s">
        <v>6595</v>
      </c>
      <c r="E2511" s="263" t="s">
        <v>88</v>
      </c>
      <c r="F2511">
        <v>0</v>
      </c>
      <c r="G2511">
        <v>2</v>
      </c>
      <c r="H2511" s="263" t="s">
        <v>436</v>
      </c>
      <c r="I2511" s="264"/>
      <c r="J2511" s="263" t="s">
        <v>437</v>
      </c>
    </row>
    <row r="2512" spans="1:10" x14ac:dyDescent="0.15">
      <c r="A2512" s="263" t="s">
        <v>6596</v>
      </c>
      <c r="B2512" s="263" t="s">
        <v>6597</v>
      </c>
      <c r="C2512" s="263" t="s">
        <v>81</v>
      </c>
      <c r="D2512" s="263" t="s">
        <v>6598</v>
      </c>
      <c r="E2512" s="263" t="s">
        <v>88</v>
      </c>
      <c r="F2512">
        <v>0</v>
      </c>
      <c r="G2512">
        <v>2</v>
      </c>
      <c r="H2512" s="263" t="s">
        <v>436</v>
      </c>
      <c r="I2512" s="264"/>
      <c r="J2512" s="263" t="s">
        <v>437</v>
      </c>
    </row>
    <row r="2513" spans="1:10" x14ac:dyDescent="0.15">
      <c r="A2513" s="263" t="s">
        <v>6599</v>
      </c>
      <c r="B2513" s="263" t="s">
        <v>6600</v>
      </c>
      <c r="C2513" s="263" t="s">
        <v>81</v>
      </c>
      <c r="D2513" s="263" t="s">
        <v>6601</v>
      </c>
      <c r="E2513" s="263" t="s">
        <v>88</v>
      </c>
      <c r="F2513">
        <v>0</v>
      </c>
      <c r="G2513">
        <v>2</v>
      </c>
      <c r="H2513" s="263" t="s">
        <v>436</v>
      </c>
      <c r="I2513" s="264"/>
      <c r="J2513" s="263" t="s">
        <v>437</v>
      </c>
    </row>
    <row r="2514" spans="1:10" x14ac:dyDescent="0.15">
      <c r="A2514" s="263" t="s">
        <v>6602</v>
      </c>
      <c r="B2514" s="263" t="s">
        <v>6603</v>
      </c>
      <c r="C2514" s="263" t="s">
        <v>81</v>
      </c>
      <c r="D2514" s="263" t="s">
        <v>6604</v>
      </c>
      <c r="E2514" s="263" t="s">
        <v>88</v>
      </c>
      <c r="F2514">
        <v>0</v>
      </c>
      <c r="G2514">
        <v>2</v>
      </c>
      <c r="H2514" s="263" t="s">
        <v>436</v>
      </c>
      <c r="I2514" s="264"/>
      <c r="J2514" s="263" t="s">
        <v>437</v>
      </c>
    </row>
    <row r="2515" spans="1:10" x14ac:dyDescent="0.15">
      <c r="A2515" s="263" t="s">
        <v>6605</v>
      </c>
      <c r="B2515" s="263" t="s">
        <v>6606</v>
      </c>
      <c r="C2515" s="263" t="s">
        <v>81</v>
      </c>
      <c r="D2515" s="263" t="s">
        <v>6607</v>
      </c>
      <c r="E2515" s="263" t="s">
        <v>88</v>
      </c>
      <c r="F2515">
        <v>0</v>
      </c>
      <c r="G2515">
        <v>2</v>
      </c>
      <c r="H2515" s="263" t="s">
        <v>436</v>
      </c>
      <c r="I2515" s="264"/>
      <c r="J2515" s="263" t="s">
        <v>437</v>
      </c>
    </row>
    <row r="2516" spans="1:10" x14ac:dyDescent="0.15">
      <c r="A2516" s="263" t="s">
        <v>6608</v>
      </c>
      <c r="B2516" s="263" t="s">
        <v>6609</v>
      </c>
      <c r="C2516" s="263" t="s">
        <v>81</v>
      </c>
      <c r="D2516" s="263" t="s">
        <v>6610</v>
      </c>
      <c r="E2516" s="263" t="s">
        <v>88</v>
      </c>
      <c r="F2516">
        <v>0</v>
      </c>
      <c r="G2516">
        <v>2</v>
      </c>
      <c r="H2516" s="263" t="s">
        <v>436</v>
      </c>
      <c r="I2516" s="264"/>
      <c r="J2516" s="263" t="s">
        <v>437</v>
      </c>
    </row>
    <row r="2517" spans="1:10" x14ac:dyDescent="0.15">
      <c r="A2517" s="263" t="s">
        <v>6611</v>
      </c>
      <c r="B2517" s="263" t="s">
        <v>6612</v>
      </c>
      <c r="C2517" s="263" t="s">
        <v>81</v>
      </c>
      <c r="D2517" s="263" t="s">
        <v>6613</v>
      </c>
      <c r="E2517" s="263" t="s">
        <v>88</v>
      </c>
      <c r="F2517">
        <v>0</v>
      </c>
      <c r="G2517">
        <v>2</v>
      </c>
      <c r="H2517" s="263" t="s">
        <v>436</v>
      </c>
      <c r="I2517" s="264"/>
      <c r="J2517" s="263" t="s">
        <v>437</v>
      </c>
    </row>
    <row r="2518" spans="1:10" x14ac:dyDescent="0.15">
      <c r="A2518" s="263" t="s">
        <v>6614</v>
      </c>
      <c r="B2518" s="263" t="s">
        <v>6615</v>
      </c>
      <c r="C2518" s="263" t="s">
        <v>81</v>
      </c>
      <c r="D2518" s="263" t="s">
        <v>6616</v>
      </c>
      <c r="E2518" s="263" t="s">
        <v>88</v>
      </c>
      <c r="F2518">
        <v>0</v>
      </c>
      <c r="G2518">
        <v>2</v>
      </c>
      <c r="H2518" s="263" t="s">
        <v>436</v>
      </c>
      <c r="I2518" s="264"/>
      <c r="J2518" s="263" t="s">
        <v>437</v>
      </c>
    </row>
    <row r="2519" spans="1:10" x14ac:dyDescent="0.15">
      <c r="A2519" s="263" t="s">
        <v>6617</v>
      </c>
      <c r="B2519" s="263" t="s">
        <v>6618</v>
      </c>
      <c r="C2519" s="263" t="s">
        <v>81</v>
      </c>
      <c r="D2519" s="263" t="s">
        <v>6619</v>
      </c>
      <c r="E2519" s="263" t="s">
        <v>88</v>
      </c>
      <c r="F2519">
        <v>0</v>
      </c>
      <c r="G2519">
        <v>2</v>
      </c>
      <c r="H2519" s="263" t="s">
        <v>436</v>
      </c>
      <c r="I2519" s="264"/>
      <c r="J2519" s="263" t="s">
        <v>437</v>
      </c>
    </row>
    <row r="2520" spans="1:10" x14ac:dyDescent="0.15">
      <c r="A2520" s="263" t="s">
        <v>6620</v>
      </c>
      <c r="B2520" s="263" t="s">
        <v>6621</v>
      </c>
      <c r="C2520" s="263" t="s">
        <v>81</v>
      </c>
      <c r="D2520" s="263" t="s">
        <v>6622</v>
      </c>
      <c r="E2520" s="263" t="s">
        <v>88</v>
      </c>
      <c r="F2520">
        <v>0</v>
      </c>
      <c r="G2520">
        <v>2</v>
      </c>
      <c r="H2520" s="263" t="s">
        <v>436</v>
      </c>
      <c r="I2520" s="264"/>
      <c r="J2520" s="263" t="s">
        <v>437</v>
      </c>
    </row>
    <row r="2521" spans="1:10" x14ac:dyDescent="0.15">
      <c r="A2521" s="263" t="s">
        <v>6623</v>
      </c>
      <c r="B2521" s="263" t="s">
        <v>6624</v>
      </c>
      <c r="C2521" s="263" t="s">
        <v>81</v>
      </c>
      <c r="D2521" s="263" t="s">
        <v>6625</v>
      </c>
      <c r="E2521" s="263" t="s">
        <v>88</v>
      </c>
      <c r="F2521">
        <v>0</v>
      </c>
      <c r="G2521">
        <v>2</v>
      </c>
      <c r="H2521" s="263" t="s">
        <v>436</v>
      </c>
      <c r="I2521" s="264"/>
      <c r="J2521" s="263" t="s">
        <v>437</v>
      </c>
    </row>
    <row r="2522" spans="1:10" x14ac:dyDescent="0.15">
      <c r="A2522" s="263" t="s">
        <v>6626</v>
      </c>
      <c r="B2522" s="263" t="s">
        <v>6627</v>
      </c>
      <c r="C2522" s="263" t="s">
        <v>81</v>
      </c>
      <c r="D2522" s="263" t="s">
        <v>6628</v>
      </c>
      <c r="E2522" s="263" t="s">
        <v>88</v>
      </c>
      <c r="F2522">
        <v>0</v>
      </c>
      <c r="G2522">
        <v>2</v>
      </c>
      <c r="H2522" s="263" t="s">
        <v>436</v>
      </c>
      <c r="I2522" s="264"/>
      <c r="J2522" s="263" t="s">
        <v>437</v>
      </c>
    </row>
    <row r="2523" spans="1:10" x14ac:dyDescent="0.15">
      <c r="A2523" s="263" t="s">
        <v>6629</v>
      </c>
      <c r="B2523" s="263" t="s">
        <v>6630</v>
      </c>
      <c r="C2523" s="263" t="s">
        <v>81</v>
      </c>
      <c r="D2523" s="263" t="s">
        <v>6631</v>
      </c>
      <c r="E2523" s="263" t="s">
        <v>88</v>
      </c>
      <c r="F2523">
        <v>0</v>
      </c>
      <c r="G2523">
        <v>2</v>
      </c>
      <c r="H2523" s="263" t="s">
        <v>436</v>
      </c>
      <c r="I2523" s="264"/>
      <c r="J2523" s="263" t="s">
        <v>437</v>
      </c>
    </row>
    <row r="2524" spans="1:10" x14ac:dyDescent="0.15">
      <c r="A2524" s="263" t="s">
        <v>6632</v>
      </c>
      <c r="B2524" s="263" t="s">
        <v>6633</v>
      </c>
      <c r="C2524" s="263" t="s">
        <v>81</v>
      </c>
      <c r="D2524" s="263" t="s">
        <v>6634</v>
      </c>
      <c r="E2524" s="263" t="s">
        <v>88</v>
      </c>
      <c r="F2524">
        <v>0</v>
      </c>
      <c r="G2524">
        <v>2</v>
      </c>
      <c r="H2524" s="263" t="s">
        <v>436</v>
      </c>
      <c r="I2524" s="264"/>
      <c r="J2524" s="263" t="s">
        <v>437</v>
      </c>
    </row>
    <row r="2525" spans="1:10" x14ac:dyDescent="0.15">
      <c r="A2525" s="263" t="s">
        <v>6635</v>
      </c>
      <c r="B2525" s="263" t="s">
        <v>6636</v>
      </c>
      <c r="C2525" s="263" t="s">
        <v>81</v>
      </c>
      <c r="D2525" s="263" t="s">
        <v>6637</v>
      </c>
      <c r="E2525" s="263" t="s">
        <v>88</v>
      </c>
      <c r="F2525">
        <v>0</v>
      </c>
      <c r="G2525">
        <v>2</v>
      </c>
      <c r="H2525" s="263" t="s">
        <v>436</v>
      </c>
      <c r="I2525" s="264"/>
      <c r="J2525" s="263" t="s">
        <v>437</v>
      </c>
    </row>
    <row r="2526" spans="1:10" x14ac:dyDescent="0.15">
      <c r="A2526" s="263" t="s">
        <v>6638</v>
      </c>
      <c r="B2526" s="263" t="s">
        <v>6639</v>
      </c>
      <c r="C2526" s="263" t="s">
        <v>81</v>
      </c>
      <c r="D2526" s="263" t="s">
        <v>6640</v>
      </c>
      <c r="E2526" s="263" t="s">
        <v>88</v>
      </c>
      <c r="F2526">
        <v>0</v>
      </c>
      <c r="G2526">
        <v>2</v>
      </c>
      <c r="H2526" s="263" t="s">
        <v>436</v>
      </c>
      <c r="I2526" s="264"/>
      <c r="J2526" s="263" t="s">
        <v>437</v>
      </c>
    </row>
    <row r="2527" spans="1:10" x14ac:dyDescent="0.15">
      <c r="A2527" s="263" t="s">
        <v>6641</v>
      </c>
      <c r="B2527" s="263" t="s">
        <v>6642</v>
      </c>
      <c r="C2527" s="263" t="s">
        <v>81</v>
      </c>
      <c r="D2527" s="263" t="s">
        <v>6643</v>
      </c>
      <c r="E2527" s="263" t="s">
        <v>88</v>
      </c>
      <c r="F2527">
        <v>0</v>
      </c>
      <c r="G2527">
        <v>2</v>
      </c>
      <c r="H2527" s="263" t="s">
        <v>436</v>
      </c>
      <c r="I2527" s="264"/>
      <c r="J2527" s="263" t="s">
        <v>437</v>
      </c>
    </row>
    <row r="2528" spans="1:10" x14ac:dyDescent="0.15">
      <c r="A2528" s="263" t="s">
        <v>6644</v>
      </c>
      <c r="B2528" s="263" t="s">
        <v>6645</v>
      </c>
      <c r="C2528" s="263" t="s">
        <v>81</v>
      </c>
      <c r="D2528" s="263" t="s">
        <v>6646</v>
      </c>
      <c r="E2528" s="263" t="s">
        <v>88</v>
      </c>
      <c r="F2528">
        <v>0</v>
      </c>
      <c r="G2528">
        <v>2</v>
      </c>
      <c r="H2528" s="263" t="s">
        <v>436</v>
      </c>
      <c r="I2528" s="264"/>
      <c r="J2528" s="263" t="s">
        <v>437</v>
      </c>
    </row>
    <row r="2529" spans="1:10" x14ac:dyDescent="0.15">
      <c r="A2529" s="263" t="s">
        <v>6647</v>
      </c>
      <c r="B2529" s="263" t="s">
        <v>6648</v>
      </c>
      <c r="C2529" s="263" t="s">
        <v>81</v>
      </c>
      <c r="D2529" s="263" t="s">
        <v>6649</v>
      </c>
      <c r="E2529" s="263" t="s">
        <v>88</v>
      </c>
      <c r="F2529">
        <v>0</v>
      </c>
      <c r="G2529">
        <v>2</v>
      </c>
      <c r="H2529" s="263" t="s">
        <v>436</v>
      </c>
      <c r="I2529" s="264"/>
      <c r="J2529" s="263" t="s">
        <v>437</v>
      </c>
    </row>
    <row r="2530" spans="1:10" x14ac:dyDescent="0.15">
      <c r="A2530" s="263" t="s">
        <v>9110</v>
      </c>
      <c r="B2530" s="263" t="s">
        <v>9111</v>
      </c>
      <c r="C2530" s="263" t="s">
        <v>81</v>
      </c>
      <c r="D2530" s="263" t="s">
        <v>9112</v>
      </c>
      <c r="E2530" s="263" t="s">
        <v>88</v>
      </c>
      <c r="F2530">
        <v>0</v>
      </c>
      <c r="G2530">
        <v>2</v>
      </c>
      <c r="H2530" s="263" t="s">
        <v>436</v>
      </c>
      <c r="I2530" s="264"/>
      <c r="J2530" s="263" t="s">
        <v>437</v>
      </c>
    </row>
    <row r="2531" spans="1:10" x14ac:dyDescent="0.15">
      <c r="A2531" s="263" t="s">
        <v>6650</v>
      </c>
      <c r="B2531" s="263" t="s">
        <v>6651</v>
      </c>
      <c r="C2531" s="263" t="s">
        <v>81</v>
      </c>
      <c r="D2531" s="263" t="s">
        <v>6652</v>
      </c>
      <c r="E2531" s="263" t="s">
        <v>88</v>
      </c>
      <c r="F2531">
        <v>0</v>
      </c>
      <c r="G2531">
        <v>2</v>
      </c>
      <c r="H2531" s="263" t="s">
        <v>436</v>
      </c>
      <c r="I2531" s="264"/>
      <c r="J2531" s="263" t="s">
        <v>437</v>
      </c>
    </row>
    <row r="2532" spans="1:10" x14ac:dyDescent="0.15">
      <c r="A2532" s="263" t="s">
        <v>6653</v>
      </c>
      <c r="B2532" s="263" t="s">
        <v>6654</v>
      </c>
      <c r="C2532" s="263" t="s">
        <v>81</v>
      </c>
      <c r="D2532" s="263" t="s">
        <v>6655</v>
      </c>
      <c r="E2532" s="263" t="s">
        <v>88</v>
      </c>
      <c r="F2532">
        <v>0</v>
      </c>
      <c r="G2532">
        <v>2</v>
      </c>
      <c r="H2532" s="263" t="s">
        <v>436</v>
      </c>
      <c r="I2532" s="264"/>
      <c r="J2532" s="263" t="s">
        <v>437</v>
      </c>
    </row>
    <row r="2533" spans="1:10" x14ac:dyDescent="0.15">
      <c r="A2533" s="263" t="s">
        <v>6656</v>
      </c>
      <c r="B2533" s="263" t="s">
        <v>6657</v>
      </c>
      <c r="C2533" s="263" t="s">
        <v>81</v>
      </c>
      <c r="D2533" s="263" t="s">
        <v>6658</v>
      </c>
      <c r="E2533" s="263" t="s">
        <v>88</v>
      </c>
      <c r="F2533">
        <v>0</v>
      </c>
      <c r="G2533">
        <v>2</v>
      </c>
      <c r="H2533" s="263" t="s">
        <v>436</v>
      </c>
      <c r="I2533" s="264"/>
      <c r="J2533" s="263" t="s">
        <v>437</v>
      </c>
    </row>
    <row r="2534" spans="1:10" x14ac:dyDescent="0.15">
      <c r="A2534" s="263" t="s">
        <v>6659</v>
      </c>
      <c r="B2534" s="263" t="s">
        <v>6660</v>
      </c>
      <c r="C2534" s="263" t="s">
        <v>81</v>
      </c>
      <c r="D2534" s="263" t="s">
        <v>6661</v>
      </c>
      <c r="E2534" s="263" t="s">
        <v>88</v>
      </c>
      <c r="F2534">
        <v>0</v>
      </c>
      <c r="G2534">
        <v>2</v>
      </c>
      <c r="H2534" s="263" t="s">
        <v>436</v>
      </c>
      <c r="I2534" s="264"/>
      <c r="J2534" s="263" t="s">
        <v>437</v>
      </c>
    </row>
    <row r="2535" spans="1:10" x14ac:dyDescent="0.15">
      <c r="A2535" s="263" t="s">
        <v>6662</v>
      </c>
      <c r="B2535" s="263" t="s">
        <v>6663</v>
      </c>
      <c r="C2535" s="263" t="s">
        <v>81</v>
      </c>
      <c r="D2535" s="263" t="s">
        <v>6664</v>
      </c>
      <c r="E2535" s="263" t="s">
        <v>88</v>
      </c>
      <c r="F2535">
        <v>0</v>
      </c>
      <c r="G2535">
        <v>2</v>
      </c>
      <c r="H2535" s="263" t="s">
        <v>436</v>
      </c>
      <c r="I2535" s="264"/>
      <c r="J2535" s="263" t="s">
        <v>437</v>
      </c>
    </row>
    <row r="2536" spans="1:10" x14ac:dyDescent="0.15">
      <c r="A2536" s="263" t="s">
        <v>6665</v>
      </c>
      <c r="B2536" s="263" t="s">
        <v>6666</v>
      </c>
      <c r="C2536" s="263" t="s">
        <v>81</v>
      </c>
      <c r="D2536" s="263" t="s">
        <v>6667</v>
      </c>
      <c r="E2536" s="263" t="s">
        <v>88</v>
      </c>
      <c r="F2536">
        <v>0</v>
      </c>
      <c r="G2536">
        <v>2</v>
      </c>
      <c r="H2536" s="263" t="s">
        <v>436</v>
      </c>
      <c r="I2536" s="264"/>
      <c r="J2536" s="263" t="s">
        <v>437</v>
      </c>
    </row>
    <row r="2537" spans="1:10" x14ac:dyDescent="0.15">
      <c r="A2537" s="263" t="s">
        <v>6668</v>
      </c>
      <c r="B2537" s="263" t="s">
        <v>6669</v>
      </c>
      <c r="C2537" s="263" t="s">
        <v>81</v>
      </c>
      <c r="D2537" s="263" t="s">
        <v>6670</v>
      </c>
      <c r="E2537" s="263" t="s">
        <v>88</v>
      </c>
      <c r="F2537">
        <v>0</v>
      </c>
      <c r="G2537">
        <v>2</v>
      </c>
      <c r="H2537" s="263" t="s">
        <v>436</v>
      </c>
      <c r="I2537" s="264"/>
      <c r="J2537" s="263" t="s">
        <v>437</v>
      </c>
    </row>
    <row r="2538" spans="1:10" x14ac:dyDescent="0.15">
      <c r="A2538" s="263" t="s">
        <v>6671</v>
      </c>
      <c r="B2538" s="263" t="s">
        <v>6672</v>
      </c>
      <c r="C2538" s="263" t="s">
        <v>81</v>
      </c>
      <c r="D2538" s="263" t="s">
        <v>6673</v>
      </c>
      <c r="E2538" s="263" t="s">
        <v>88</v>
      </c>
      <c r="F2538">
        <v>0</v>
      </c>
      <c r="G2538">
        <v>2</v>
      </c>
      <c r="H2538" s="263" t="s">
        <v>436</v>
      </c>
      <c r="I2538" s="264"/>
      <c r="J2538" s="263" t="s">
        <v>437</v>
      </c>
    </row>
    <row r="2539" spans="1:10" x14ac:dyDescent="0.15">
      <c r="A2539" s="263" t="s">
        <v>6674</v>
      </c>
      <c r="B2539" s="263" t="s">
        <v>6675</v>
      </c>
      <c r="C2539" s="263" t="s">
        <v>81</v>
      </c>
      <c r="D2539" s="263" t="s">
        <v>6676</v>
      </c>
      <c r="E2539" s="263" t="s">
        <v>88</v>
      </c>
      <c r="F2539">
        <v>0</v>
      </c>
      <c r="G2539">
        <v>2</v>
      </c>
      <c r="H2539" s="263" t="s">
        <v>436</v>
      </c>
      <c r="I2539" s="264"/>
      <c r="J2539" s="263" t="s">
        <v>437</v>
      </c>
    </row>
    <row r="2540" spans="1:10" x14ac:dyDescent="0.15">
      <c r="A2540" s="263" t="s">
        <v>6677</v>
      </c>
      <c r="B2540" s="263" t="s">
        <v>6678</v>
      </c>
      <c r="C2540" s="263" t="s">
        <v>81</v>
      </c>
      <c r="D2540" s="263" t="s">
        <v>6679</v>
      </c>
      <c r="E2540" s="263" t="s">
        <v>88</v>
      </c>
      <c r="F2540">
        <v>0</v>
      </c>
      <c r="G2540">
        <v>2</v>
      </c>
      <c r="H2540" s="263" t="s">
        <v>436</v>
      </c>
      <c r="I2540" s="264"/>
      <c r="J2540" s="263" t="s">
        <v>437</v>
      </c>
    </row>
    <row r="2541" spans="1:10" x14ac:dyDescent="0.15">
      <c r="A2541" s="263" t="s">
        <v>6680</v>
      </c>
      <c r="B2541" s="263" t="s">
        <v>6681</v>
      </c>
      <c r="C2541" s="263" t="s">
        <v>81</v>
      </c>
      <c r="D2541" s="263" t="s">
        <v>6682</v>
      </c>
      <c r="E2541" s="263" t="s">
        <v>88</v>
      </c>
      <c r="F2541">
        <v>0</v>
      </c>
      <c r="G2541">
        <v>2</v>
      </c>
      <c r="H2541" s="263" t="s">
        <v>436</v>
      </c>
      <c r="I2541" s="264"/>
      <c r="J2541" s="263" t="s">
        <v>437</v>
      </c>
    </row>
    <row r="2542" spans="1:10" x14ac:dyDescent="0.15">
      <c r="A2542" s="263" t="s">
        <v>6683</v>
      </c>
      <c r="B2542" s="263" t="s">
        <v>6684</v>
      </c>
      <c r="C2542" s="263" t="s">
        <v>81</v>
      </c>
      <c r="D2542" s="263" t="s">
        <v>6685</v>
      </c>
      <c r="E2542" s="263" t="s">
        <v>88</v>
      </c>
      <c r="F2542">
        <v>0</v>
      </c>
      <c r="G2542">
        <v>2</v>
      </c>
      <c r="H2542" s="263" t="s">
        <v>436</v>
      </c>
      <c r="I2542" s="264"/>
      <c r="J2542" s="263" t="s">
        <v>437</v>
      </c>
    </row>
    <row r="2543" spans="1:10" x14ac:dyDescent="0.15">
      <c r="A2543" s="263" t="s">
        <v>6686</v>
      </c>
      <c r="B2543" s="263" t="s">
        <v>6687</v>
      </c>
      <c r="C2543" s="263" t="s">
        <v>81</v>
      </c>
      <c r="D2543" s="263" t="s">
        <v>6688</v>
      </c>
      <c r="E2543" s="263" t="s">
        <v>88</v>
      </c>
      <c r="F2543">
        <v>0</v>
      </c>
      <c r="G2543">
        <v>2</v>
      </c>
      <c r="H2543" s="263" t="s">
        <v>436</v>
      </c>
      <c r="I2543" s="264"/>
      <c r="J2543" s="263" t="s">
        <v>437</v>
      </c>
    </row>
    <row r="2544" spans="1:10" x14ac:dyDescent="0.15">
      <c r="A2544" s="263" t="s">
        <v>6689</v>
      </c>
      <c r="B2544" s="263" t="s">
        <v>6690</v>
      </c>
      <c r="C2544" s="263" t="s">
        <v>81</v>
      </c>
      <c r="D2544" s="263" t="s">
        <v>6691</v>
      </c>
      <c r="E2544" s="263" t="s">
        <v>88</v>
      </c>
      <c r="F2544">
        <v>0</v>
      </c>
      <c r="G2544">
        <v>2</v>
      </c>
      <c r="H2544" s="263" t="s">
        <v>436</v>
      </c>
      <c r="I2544" s="264"/>
      <c r="J2544" s="263" t="s">
        <v>437</v>
      </c>
    </row>
    <row r="2545" spans="1:10" x14ac:dyDescent="0.15">
      <c r="A2545" s="263" t="s">
        <v>6692</v>
      </c>
      <c r="B2545" s="263" t="s">
        <v>6693</v>
      </c>
      <c r="C2545" s="263" t="s">
        <v>81</v>
      </c>
      <c r="D2545" s="263" t="s">
        <v>6694</v>
      </c>
      <c r="E2545" s="263" t="s">
        <v>88</v>
      </c>
      <c r="F2545">
        <v>0</v>
      </c>
      <c r="G2545">
        <v>2</v>
      </c>
      <c r="H2545" s="263" t="s">
        <v>436</v>
      </c>
      <c r="I2545" s="264"/>
      <c r="J2545" s="263" t="s">
        <v>437</v>
      </c>
    </row>
    <row r="2546" spans="1:10" x14ac:dyDescent="0.15">
      <c r="A2546" s="263" t="s">
        <v>6695</v>
      </c>
      <c r="B2546" s="263" t="s">
        <v>6696</v>
      </c>
      <c r="C2546" s="263" t="s">
        <v>81</v>
      </c>
      <c r="D2546" s="263" t="s">
        <v>6697</v>
      </c>
      <c r="E2546" s="263" t="s">
        <v>88</v>
      </c>
      <c r="F2546">
        <v>0</v>
      </c>
      <c r="G2546">
        <v>2</v>
      </c>
      <c r="H2546" s="263" t="s">
        <v>436</v>
      </c>
      <c r="I2546" s="264"/>
      <c r="J2546" s="263" t="s">
        <v>437</v>
      </c>
    </row>
    <row r="2547" spans="1:10" x14ac:dyDescent="0.15">
      <c r="A2547" s="263" t="s">
        <v>6698</v>
      </c>
      <c r="B2547" s="263" t="s">
        <v>6699</v>
      </c>
      <c r="C2547" s="263" t="s">
        <v>81</v>
      </c>
      <c r="D2547" s="263" t="s">
        <v>6700</v>
      </c>
      <c r="E2547" s="263" t="s">
        <v>88</v>
      </c>
      <c r="F2547">
        <v>0</v>
      </c>
      <c r="G2547">
        <v>2</v>
      </c>
      <c r="H2547" s="263" t="s">
        <v>436</v>
      </c>
      <c r="I2547" s="264"/>
      <c r="J2547" s="263" t="s">
        <v>437</v>
      </c>
    </row>
    <row r="2548" spans="1:10" x14ac:dyDescent="0.15">
      <c r="A2548" s="263" t="s">
        <v>6701</v>
      </c>
      <c r="B2548" s="263" t="s">
        <v>6702</v>
      </c>
      <c r="C2548" s="263" t="s">
        <v>81</v>
      </c>
      <c r="D2548" s="263" t="s">
        <v>6703</v>
      </c>
      <c r="E2548" s="263" t="s">
        <v>88</v>
      </c>
      <c r="F2548">
        <v>0</v>
      </c>
      <c r="G2548">
        <v>2</v>
      </c>
      <c r="H2548" s="263" t="s">
        <v>436</v>
      </c>
      <c r="I2548" s="264"/>
      <c r="J2548" s="263" t="s">
        <v>437</v>
      </c>
    </row>
    <row r="2549" spans="1:10" x14ac:dyDescent="0.15">
      <c r="A2549" s="263" t="s">
        <v>6704</v>
      </c>
      <c r="B2549" s="263" t="s">
        <v>6705</v>
      </c>
      <c r="C2549" s="263" t="s">
        <v>81</v>
      </c>
      <c r="D2549" s="263" t="s">
        <v>6706</v>
      </c>
      <c r="E2549" s="263" t="s">
        <v>88</v>
      </c>
      <c r="F2549">
        <v>0</v>
      </c>
      <c r="G2549">
        <v>2</v>
      </c>
      <c r="H2549" s="263" t="s">
        <v>436</v>
      </c>
      <c r="I2549" s="264"/>
      <c r="J2549" s="263" t="s">
        <v>437</v>
      </c>
    </row>
    <row r="2550" spans="1:10" x14ac:dyDescent="0.15">
      <c r="A2550" s="263" t="s">
        <v>6707</v>
      </c>
      <c r="B2550" s="263" t="s">
        <v>6708</v>
      </c>
      <c r="C2550" s="263" t="s">
        <v>81</v>
      </c>
      <c r="D2550" s="263" t="s">
        <v>6709</v>
      </c>
      <c r="E2550" s="263" t="s">
        <v>88</v>
      </c>
      <c r="F2550">
        <v>0</v>
      </c>
      <c r="G2550">
        <v>2</v>
      </c>
      <c r="H2550" s="263" t="s">
        <v>436</v>
      </c>
      <c r="I2550" s="264"/>
      <c r="J2550" s="263" t="s">
        <v>437</v>
      </c>
    </row>
    <row r="2551" spans="1:10" x14ac:dyDescent="0.15">
      <c r="A2551" s="263" t="s">
        <v>6710</v>
      </c>
      <c r="B2551" s="263" t="s">
        <v>6711</v>
      </c>
      <c r="C2551" s="263" t="s">
        <v>81</v>
      </c>
      <c r="D2551" s="263" t="s">
        <v>6712</v>
      </c>
      <c r="E2551" s="263" t="s">
        <v>88</v>
      </c>
      <c r="F2551">
        <v>0</v>
      </c>
      <c r="G2551">
        <v>2</v>
      </c>
      <c r="H2551" s="263" t="s">
        <v>436</v>
      </c>
      <c r="I2551" s="264"/>
      <c r="J2551" s="263" t="s">
        <v>437</v>
      </c>
    </row>
    <row r="2552" spans="1:10" x14ac:dyDescent="0.15">
      <c r="A2552" s="263" t="s">
        <v>6713</v>
      </c>
      <c r="B2552" s="263" t="s">
        <v>6714</v>
      </c>
      <c r="C2552" s="263" t="s">
        <v>81</v>
      </c>
      <c r="D2552" s="263" t="s">
        <v>6715</v>
      </c>
      <c r="E2552" s="263" t="s">
        <v>88</v>
      </c>
      <c r="F2552">
        <v>0</v>
      </c>
      <c r="G2552">
        <v>2</v>
      </c>
      <c r="H2552" s="263" t="s">
        <v>436</v>
      </c>
      <c r="I2552" s="264"/>
      <c r="J2552" s="263" t="s">
        <v>437</v>
      </c>
    </row>
    <row r="2553" spans="1:10" x14ac:dyDescent="0.15">
      <c r="A2553" s="263" t="s">
        <v>6716</v>
      </c>
      <c r="B2553" s="263" t="s">
        <v>6717</v>
      </c>
      <c r="C2553" s="263" t="s">
        <v>81</v>
      </c>
      <c r="D2553" s="263" t="s">
        <v>6718</v>
      </c>
      <c r="E2553" s="263" t="s">
        <v>88</v>
      </c>
      <c r="F2553">
        <v>0</v>
      </c>
      <c r="G2553">
        <v>2</v>
      </c>
      <c r="H2553" s="263" t="s">
        <v>436</v>
      </c>
      <c r="I2553" s="264"/>
      <c r="J2553" s="263" t="s">
        <v>437</v>
      </c>
    </row>
    <row r="2554" spans="1:10" x14ac:dyDescent="0.15">
      <c r="A2554" s="263" t="s">
        <v>6719</v>
      </c>
      <c r="B2554" s="263" t="s">
        <v>6720</v>
      </c>
      <c r="C2554" s="263" t="s">
        <v>81</v>
      </c>
      <c r="D2554" s="263" t="s">
        <v>6721</v>
      </c>
      <c r="E2554" s="263" t="s">
        <v>88</v>
      </c>
      <c r="F2554">
        <v>0</v>
      </c>
      <c r="G2554">
        <v>2</v>
      </c>
      <c r="H2554" s="263" t="s">
        <v>436</v>
      </c>
      <c r="I2554" s="264"/>
      <c r="J2554" s="263" t="s">
        <v>437</v>
      </c>
    </row>
    <row r="2555" spans="1:10" x14ac:dyDescent="0.15">
      <c r="A2555" s="263" t="s">
        <v>6722</v>
      </c>
      <c r="B2555" s="263" t="s">
        <v>6723</v>
      </c>
      <c r="C2555" s="263" t="s">
        <v>81</v>
      </c>
      <c r="D2555" s="263" t="s">
        <v>6724</v>
      </c>
      <c r="E2555" s="263" t="s">
        <v>88</v>
      </c>
      <c r="F2555">
        <v>0</v>
      </c>
      <c r="G2555">
        <v>2</v>
      </c>
      <c r="H2555" s="263" t="s">
        <v>436</v>
      </c>
      <c r="I2555" s="264"/>
      <c r="J2555" s="263" t="s">
        <v>437</v>
      </c>
    </row>
    <row r="2556" spans="1:10" x14ac:dyDescent="0.15">
      <c r="A2556" s="263" t="s">
        <v>6725</v>
      </c>
      <c r="B2556" s="263" t="s">
        <v>6726</v>
      </c>
      <c r="C2556" s="263" t="s">
        <v>81</v>
      </c>
      <c r="D2556" s="263" t="s">
        <v>6727</v>
      </c>
      <c r="E2556" s="263" t="s">
        <v>88</v>
      </c>
      <c r="F2556">
        <v>0</v>
      </c>
      <c r="G2556">
        <v>2</v>
      </c>
      <c r="H2556" s="263" t="s">
        <v>436</v>
      </c>
      <c r="I2556" s="264"/>
      <c r="J2556" s="263" t="s">
        <v>437</v>
      </c>
    </row>
    <row r="2557" spans="1:10" x14ac:dyDescent="0.15">
      <c r="A2557" s="263" t="s">
        <v>6728</v>
      </c>
      <c r="B2557" s="263" t="s">
        <v>6729</v>
      </c>
      <c r="C2557" s="263" t="s">
        <v>81</v>
      </c>
      <c r="D2557" s="263" t="s">
        <v>6730</v>
      </c>
      <c r="E2557" s="263" t="s">
        <v>88</v>
      </c>
      <c r="F2557">
        <v>0</v>
      </c>
      <c r="G2557">
        <v>2</v>
      </c>
      <c r="H2557" s="263" t="s">
        <v>436</v>
      </c>
      <c r="I2557" s="264"/>
      <c r="J2557" s="263" t="s">
        <v>437</v>
      </c>
    </row>
    <row r="2558" spans="1:10" x14ac:dyDescent="0.15">
      <c r="A2558" s="263" t="s">
        <v>6731</v>
      </c>
      <c r="B2558" s="263" t="s">
        <v>6732</v>
      </c>
      <c r="C2558" s="263" t="s">
        <v>81</v>
      </c>
      <c r="D2558" s="263" t="s">
        <v>6733</v>
      </c>
      <c r="E2558" s="263" t="s">
        <v>88</v>
      </c>
      <c r="F2558">
        <v>0</v>
      </c>
      <c r="G2558">
        <v>2</v>
      </c>
      <c r="H2558" s="263" t="s">
        <v>436</v>
      </c>
      <c r="I2558" s="264"/>
      <c r="J2558" s="263" t="s">
        <v>437</v>
      </c>
    </row>
    <row r="2559" spans="1:10" x14ac:dyDescent="0.15">
      <c r="A2559" s="263" t="s">
        <v>6734</v>
      </c>
      <c r="B2559" s="263" t="s">
        <v>6735</v>
      </c>
      <c r="C2559" s="263" t="s">
        <v>81</v>
      </c>
      <c r="D2559" s="263" t="s">
        <v>6736</v>
      </c>
      <c r="E2559" s="263" t="s">
        <v>88</v>
      </c>
      <c r="F2559">
        <v>0</v>
      </c>
      <c r="G2559">
        <v>2</v>
      </c>
      <c r="H2559" s="263" t="s">
        <v>436</v>
      </c>
      <c r="I2559" s="264"/>
      <c r="J2559" s="263" t="s">
        <v>437</v>
      </c>
    </row>
    <row r="2560" spans="1:10" x14ac:dyDescent="0.15">
      <c r="A2560" s="263" t="s">
        <v>6737</v>
      </c>
      <c r="B2560" s="263" t="s">
        <v>6738</v>
      </c>
      <c r="C2560" s="263" t="s">
        <v>81</v>
      </c>
      <c r="D2560" s="263" t="s">
        <v>6739</v>
      </c>
      <c r="E2560" s="263" t="s">
        <v>88</v>
      </c>
      <c r="F2560">
        <v>0</v>
      </c>
      <c r="G2560">
        <v>2</v>
      </c>
      <c r="H2560" s="263" t="s">
        <v>436</v>
      </c>
      <c r="I2560" s="264"/>
      <c r="J2560" s="263" t="s">
        <v>437</v>
      </c>
    </row>
    <row r="2561" spans="1:10" x14ac:dyDescent="0.15">
      <c r="A2561" s="263" t="s">
        <v>6740</v>
      </c>
      <c r="B2561" s="263" t="s">
        <v>6741</v>
      </c>
      <c r="C2561" s="263" t="s">
        <v>81</v>
      </c>
      <c r="D2561" s="263" t="s">
        <v>6742</v>
      </c>
      <c r="E2561" s="263" t="s">
        <v>88</v>
      </c>
      <c r="F2561">
        <v>0</v>
      </c>
      <c r="G2561">
        <v>2</v>
      </c>
      <c r="H2561" s="263" t="s">
        <v>436</v>
      </c>
      <c r="I2561" s="264"/>
      <c r="J2561" s="263" t="s">
        <v>437</v>
      </c>
    </row>
    <row r="2562" spans="1:10" x14ac:dyDescent="0.15">
      <c r="A2562" s="263" t="s">
        <v>6743</v>
      </c>
      <c r="B2562" s="263" t="s">
        <v>6744</v>
      </c>
      <c r="C2562" s="263" t="s">
        <v>81</v>
      </c>
      <c r="D2562" s="263" t="s">
        <v>6745</v>
      </c>
      <c r="E2562" s="263" t="s">
        <v>88</v>
      </c>
      <c r="F2562">
        <v>0</v>
      </c>
      <c r="G2562">
        <v>2</v>
      </c>
      <c r="H2562" s="263" t="s">
        <v>436</v>
      </c>
      <c r="I2562" s="264"/>
      <c r="J2562" s="263" t="s">
        <v>437</v>
      </c>
    </row>
    <row r="2563" spans="1:10" x14ac:dyDescent="0.15">
      <c r="A2563" s="263" t="s">
        <v>6746</v>
      </c>
      <c r="B2563" s="263" t="s">
        <v>6747</v>
      </c>
      <c r="C2563" s="263" t="s">
        <v>81</v>
      </c>
      <c r="D2563" s="263" t="s">
        <v>6748</v>
      </c>
      <c r="E2563" s="263" t="s">
        <v>88</v>
      </c>
      <c r="F2563">
        <v>0</v>
      </c>
      <c r="G2563">
        <v>2</v>
      </c>
      <c r="H2563" s="263" t="s">
        <v>436</v>
      </c>
      <c r="I2563" s="264"/>
      <c r="J2563" s="263" t="s">
        <v>437</v>
      </c>
    </row>
    <row r="2564" spans="1:10" x14ac:dyDescent="0.15">
      <c r="A2564" s="263" t="s">
        <v>6749</v>
      </c>
      <c r="B2564" s="263" t="s">
        <v>6750</v>
      </c>
      <c r="C2564" s="263" t="s">
        <v>81</v>
      </c>
      <c r="D2564" s="263" t="s">
        <v>6751</v>
      </c>
      <c r="E2564" s="263" t="s">
        <v>88</v>
      </c>
      <c r="F2564">
        <v>0</v>
      </c>
      <c r="G2564">
        <v>2</v>
      </c>
      <c r="H2564" s="263" t="s">
        <v>436</v>
      </c>
      <c r="I2564" s="264"/>
      <c r="J2564" s="263" t="s">
        <v>437</v>
      </c>
    </row>
    <row r="2565" spans="1:10" x14ac:dyDescent="0.15">
      <c r="A2565" s="263" t="s">
        <v>6752</v>
      </c>
      <c r="B2565" s="263" t="s">
        <v>6753</v>
      </c>
      <c r="C2565" s="263" t="s">
        <v>81</v>
      </c>
      <c r="D2565" s="263" t="s">
        <v>6754</v>
      </c>
      <c r="E2565" s="263" t="s">
        <v>88</v>
      </c>
      <c r="F2565">
        <v>0</v>
      </c>
      <c r="G2565">
        <v>2</v>
      </c>
      <c r="H2565" s="263" t="s">
        <v>436</v>
      </c>
      <c r="I2565" s="264"/>
      <c r="J2565" s="263" t="s">
        <v>437</v>
      </c>
    </row>
    <row r="2566" spans="1:10" x14ac:dyDescent="0.15">
      <c r="A2566" s="263" t="s">
        <v>6755</v>
      </c>
      <c r="B2566" s="263" t="s">
        <v>6756</v>
      </c>
      <c r="C2566" s="263" t="s">
        <v>81</v>
      </c>
      <c r="D2566" s="263" t="s">
        <v>6757</v>
      </c>
      <c r="E2566" s="263" t="s">
        <v>88</v>
      </c>
      <c r="F2566">
        <v>0</v>
      </c>
      <c r="G2566">
        <v>2</v>
      </c>
      <c r="H2566" s="263" t="s">
        <v>436</v>
      </c>
      <c r="I2566" s="264"/>
      <c r="J2566" s="263" t="s">
        <v>437</v>
      </c>
    </row>
    <row r="2567" spans="1:10" x14ac:dyDescent="0.15">
      <c r="A2567" s="263" t="s">
        <v>6758</v>
      </c>
      <c r="B2567" s="263" t="s">
        <v>6759</v>
      </c>
      <c r="C2567" s="263" t="s">
        <v>81</v>
      </c>
      <c r="D2567" s="263" t="s">
        <v>6760</v>
      </c>
      <c r="E2567" s="263" t="s">
        <v>88</v>
      </c>
      <c r="F2567">
        <v>0</v>
      </c>
      <c r="G2567">
        <v>2</v>
      </c>
      <c r="H2567" s="263" t="s">
        <v>436</v>
      </c>
      <c r="I2567" s="264"/>
      <c r="J2567" s="263" t="s">
        <v>437</v>
      </c>
    </row>
    <row r="2568" spans="1:10" x14ac:dyDescent="0.15">
      <c r="A2568" s="263" t="s">
        <v>6761</v>
      </c>
      <c r="B2568" s="263" t="s">
        <v>6762</v>
      </c>
      <c r="C2568" s="263" t="s">
        <v>81</v>
      </c>
      <c r="D2568" s="263" t="s">
        <v>6763</v>
      </c>
      <c r="E2568" s="263" t="s">
        <v>88</v>
      </c>
      <c r="F2568">
        <v>0</v>
      </c>
      <c r="G2568">
        <v>2</v>
      </c>
      <c r="H2568" s="263" t="s">
        <v>436</v>
      </c>
      <c r="I2568" s="264"/>
      <c r="J2568" s="263" t="s">
        <v>437</v>
      </c>
    </row>
    <row r="2569" spans="1:10" x14ac:dyDescent="0.15">
      <c r="A2569" s="263" t="s">
        <v>6764</v>
      </c>
      <c r="B2569" s="263" t="s">
        <v>6765</v>
      </c>
      <c r="C2569" s="263" t="s">
        <v>81</v>
      </c>
      <c r="D2569" s="263" t="s">
        <v>6766</v>
      </c>
      <c r="E2569" s="263" t="s">
        <v>88</v>
      </c>
      <c r="F2569">
        <v>0</v>
      </c>
      <c r="G2569">
        <v>2</v>
      </c>
      <c r="H2569" s="263" t="s">
        <v>436</v>
      </c>
      <c r="I2569" s="264"/>
      <c r="J2569" s="263" t="s">
        <v>437</v>
      </c>
    </row>
    <row r="2570" spans="1:10" x14ac:dyDescent="0.15">
      <c r="A2570" s="263" t="s">
        <v>6767</v>
      </c>
      <c r="B2570" s="263" t="s">
        <v>6768</v>
      </c>
      <c r="C2570" s="263" t="s">
        <v>81</v>
      </c>
      <c r="D2570" s="263" t="s">
        <v>6769</v>
      </c>
      <c r="E2570" s="263" t="s">
        <v>88</v>
      </c>
      <c r="F2570">
        <v>0</v>
      </c>
      <c r="G2570">
        <v>2</v>
      </c>
      <c r="H2570" s="263" t="s">
        <v>436</v>
      </c>
      <c r="I2570" s="264"/>
      <c r="J2570" s="263" t="s">
        <v>437</v>
      </c>
    </row>
    <row r="2571" spans="1:10" x14ac:dyDescent="0.15">
      <c r="A2571" s="263" t="s">
        <v>6770</v>
      </c>
      <c r="B2571" s="263" t="s">
        <v>6771</v>
      </c>
      <c r="C2571" s="263" t="s">
        <v>81</v>
      </c>
      <c r="D2571" s="263" t="s">
        <v>6772</v>
      </c>
      <c r="E2571" s="263" t="s">
        <v>88</v>
      </c>
      <c r="F2571">
        <v>0</v>
      </c>
      <c r="G2571">
        <v>2</v>
      </c>
      <c r="H2571" s="263" t="s">
        <v>436</v>
      </c>
      <c r="I2571" s="264"/>
      <c r="J2571" s="263" t="s">
        <v>437</v>
      </c>
    </row>
    <row r="2572" spans="1:10" x14ac:dyDescent="0.15">
      <c r="A2572" s="263" t="s">
        <v>6773</v>
      </c>
      <c r="B2572" s="263" t="s">
        <v>6774</v>
      </c>
      <c r="C2572" s="263" t="s">
        <v>81</v>
      </c>
      <c r="D2572" s="263" t="s">
        <v>6775</v>
      </c>
      <c r="E2572" s="263" t="s">
        <v>88</v>
      </c>
      <c r="F2572">
        <v>0</v>
      </c>
      <c r="G2572">
        <v>2</v>
      </c>
      <c r="H2572" s="263" t="s">
        <v>436</v>
      </c>
      <c r="I2572" s="264"/>
      <c r="J2572" s="263" t="s">
        <v>437</v>
      </c>
    </row>
    <row r="2573" spans="1:10" x14ac:dyDescent="0.15">
      <c r="A2573" s="263" t="s">
        <v>6776</v>
      </c>
      <c r="B2573" s="263" t="s">
        <v>6777</v>
      </c>
      <c r="C2573" s="263" t="s">
        <v>81</v>
      </c>
      <c r="D2573" s="263" t="s">
        <v>6778</v>
      </c>
      <c r="E2573" s="263" t="s">
        <v>88</v>
      </c>
      <c r="F2573">
        <v>0</v>
      </c>
      <c r="G2573">
        <v>2</v>
      </c>
      <c r="H2573" s="263" t="s">
        <v>436</v>
      </c>
      <c r="I2573" s="264"/>
      <c r="J2573" s="263" t="s">
        <v>437</v>
      </c>
    </row>
    <row r="2574" spans="1:10" x14ac:dyDescent="0.15">
      <c r="A2574" s="263" t="s">
        <v>6779</v>
      </c>
      <c r="B2574" s="263" t="s">
        <v>6780</v>
      </c>
      <c r="C2574" s="263" t="s">
        <v>81</v>
      </c>
      <c r="D2574" s="263" t="s">
        <v>6781</v>
      </c>
      <c r="E2574" s="263" t="s">
        <v>88</v>
      </c>
      <c r="F2574">
        <v>0</v>
      </c>
      <c r="G2574">
        <v>2</v>
      </c>
      <c r="H2574" s="263" t="s">
        <v>436</v>
      </c>
      <c r="I2574" s="264"/>
      <c r="J2574" s="263" t="s">
        <v>437</v>
      </c>
    </row>
    <row r="2575" spans="1:10" x14ac:dyDescent="0.15">
      <c r="A2575" s="263" t="s">
        <v>6782</v>
      </c>
      <c r="B2575" s="263" t="s">
        <v>6783</v>
      </c>
      <c r="C2575" s="263" t="s">
        <v>81</v>
      </c>
      <c r="D2575" s="263" t="s">
        <v>6784</v>
      </c>
      <c r="E2575" s="263" t="s">
        <v>88</v>
      </c>
      <c r="F2575">
        <v>0</v>
      </c>
      <c r="G2575">
        <v>2</v>
      </c>
      <c r="H2575" s="263" t="s">
        <v>436</v>
      </c>
      <c r="I2575" s="264"/>
      <c r="J2575" s="263" t="s">
        <v>437</v>
      </c>
    </row>
    <row r="2576" spans="1:10" x14ac:dyDescent="0.15">
      <c r="A2576" s="263" t="s">
        <v>6785</v>
      </c>
      <c r="B2576" s="263" t="s">
        <v>6786</v>
      </c>
      <c r="C2576" s="263" t="s">
        <v>81</v>
      </c>
      <c r="D2576" s="263" t="s">
        <v>6787</v>
      </c>
      <c r="E2576" s="263" t="s">
        <v>88</v>
      </c>
      <c r="F2576">
        <v>0</v>
      </c>
      <c r="G2576">
        <v>2</v>
      </c>
      <c r="H2576" s="263" t="s">
        <v>436</v>
      </c>
      <c r="I2576" s="264"/>
      <c r="J2576" s="263" t="s">
        <v>437</v>
      </c>
    </row>
    <row r="2577" spans="1:10" x14ac:dyDescent="0.15">
      <c r="A2577" s="263" t="s">
        <v>6788</v>
      </c>
      <c r="B2577" s="263" t="s">
        <v>10011</v>
      </c>
      <c r="C2577" s="263" t="s">
        <v>81</v>
      </c>
      <c r="D2577" s="263" t="s">
        <v>10012</v>
      </c>
      <c r="E2577" s="263" t="s">
        <v>88</v>
      </c>
      <c r="F2577">
        <v>0</v>
      </c>
      <c r="G2577">
        <v>2</v>
      </c>
      <c r="H2577" s="263" t="s">
        <v>436</v>
      </c>
      <c r="I2577" s="264"/>
      <c r="J2577" s="263" t="s">
        <v>437</v>
      </c>
    </row>
    <row r="2578" spans="1:10" x14ac:dyDescent="0.15">
      <c r="A2578" s="263" t="s">
        <v>6789</v>
      </c>
      <c r="B2578" s="263" t="s">
        <v>6790</v>
      </c>
      <c r="C2578" s="263" t="s">
        <v>96</v>
      </c>
      <c r="D2578" s="263" t="s">
        <v>6791</v>
      </c>
      <c r="E2578" s="263" t="s">
        <v>97</v>
      </c>
      <c r="F2578">
        <v>0</v>
      </c>
      <c r="G2578">
        <v>2</v>
      </c>
      <c r="H2578" s="263" t="s">
        <v>436</v>
      </c>
      <c r="I2578" s="264"/>
      <c r="J2578" s="263" t="s">
        <v>437</v>
      </c>
    </row>
    <row r="2579" spans="1:10" x14ac:dyDescent="0.15">
      <c r="A2579" s="263" t="s">
        <v>6792</v>
      </c>
      <c r="B2579" s="263" t="s">
        <v>6793</v>
      </c>
      <c r="C2579" s="263" t="s">
        <v>81</v>
      </c>
      <c r="D2579" s="263" t="s">
        <v>6794</v>
      </c>
      <c r="E2579" s="263" t="s">
        <v>88</v>
      </c>
      <c r="F2579">
        <v>0</v>
      </c>
      <c r="G2579">
        <v>2</v>
      </c>
      <c r="H2579" s="263" t="s">
        <v>436</v>
      </c>
      <c r="I2579" s="264"/>
      <c r="J2579" s="263" t="s">
        <v>437</v>
      </c>
    </row>
    <row r="2580" spans="1:10" x14ac:dyDescent="0.15">
      <c r="A2580" s="263" t="s">
        <v>6795</v>
      </c>
      <c r="B2580" s="263" t="s">
        <v>6796</v>
      </c>
      <c r="C2580" s="263" t="s">
        <v>81</v>
      </c>
      <c r="D2580" s="263" t="s">
        <v>6797</v>
      </c>
      <c r="E2580" s="263" t="s">
        <v>88</v>
      </c>
      <c r="F2580">
        <v>0</v>
      </c>
      <c r="G2580">
        <v>2</v>
      </c>
      <c r="H2580" s="263" t="s">
        <v>436</v>
      </c>
      <c r="I2580" s="264"/>
      <c r="J2580" s="263" t="s">
        <v>437</v>
      </c>
    </row>
    <row r="2581" spans="1:10" x14ac:dyDescent="0.15">
      <c r="A2581" s="263" t="s">
        <v>6798</v>
      </c>
      <c r="B2581" s="263" t="s">
        <v>6799</v>
      </c>
      <c r="C2581" s="263" t="s">
        <v>81</v>
      </c>
      <c r="D2581" s="263" t="s">
        <v>6800</v>
      </c>
      <c r="E2581" s="263" t="s">
        <v>88</v>
      </c>
      <c r="F2581">
        <v>0</v>
      </c>
      <c r="G2581">
        <v>2</v>
      </c>
      <c r="H2581" s="263" t="s">
        <v>436</v>
      </c>
      <c r="I2581" s="264"/>
      <c r="J2581" s="263" t="s">
        <v>437</v>
      </c>
    </row>
    <row r="2582" spans="1:10" x14ac:dyDescent="0.15">
      <c r="A2582" s="263" t="s">
        <v>6801</v>
      </c>
      <c r="B2582" s="263" t="s">
        <v>10013</v>
      </c>
      <c r="C2582" s="263" t="s">
        <v>81</v>
      </c>
      <c r="D2582" s="263" t="s">
        <v>10014</v>
      </c>
      <c r="E2582" s="263" t="s">
        <v>88</v>
      </c>
      <c r="F2582">
        <v>0</v>
      </c>
      <c r="G2582">
        <v>2</v>
      </c>
      <c r="H2582" s="263" t="s">
        <v>436</v>
      </c>
      <c r="I2582" s="264"/>
      <c r="J2582" s="263" t="s">
        <v>437</v>
      </c>
    </row>
    <row r="2583" spans="1:10" x14ac:dyDescent="0.15">
      <c r="A2583" s="263" t="s">
        <v>6802</v>
      </c>
      <c r="B2583" s="263" t="s">
        <v>6803</v>
      </c>
      <c r="C2583" s="263" t="s">
        <v>81</v>
      </c>
      <c r="D2583" s="263" t="s">
        <v>6804</v>
      </c>
      <c r="E2583" s="263" t="s">
        <v>88</v>
      </c>
      <c r="F2583">
        <v>0</v>
      </c>
      <c r="G2583">
        <v>2</v>
      </c>
      <c r="H2583" s="263" t="s">
        <v>436</v>
      </c>
      <c r="I2583" s="264"/>
      <c r="J2583" s="263" t="s">
        <v>437</v>
      </c>
    </row>
    <row r="2584" spans="1:10" x14ac:dyDescent="0.15">
      <c r="A2584" s="263" t="s">
        <v>6805</v>
      </c>
      <c r="B2584" s="263" t="s">
        <v>6806</v>
      </c>
      <c r="C2584" s="263" t="s">
        <v>81</v>
      </c>
      <c r="D2584" s="263" t="s">
        <v>6807</v>
      </c>
      <c r="E2584" s="263" t="s">
        <v>88</v>
      </c>
      <c r="F2584">
        <v>0</v>
      </c>
      <c r="G2584">
        <v>2</v>
      </c>
      <c r="H2584" s="263" t="s">
        <v>436</v>
      </c>
      <c r="I2584" s="264"/>
      <c r="J2584" s="263" t="s">
        <v>437</v>
      </c>
    </row>
    <row r="2585" spans="1:10" x14ac:dyDescent="0.15">
      <c r="A2585" s="263" t="s">
        <v>6808</v>
      </c>
      <c r="B2585" s="263" t="s">
        <v>6809</v>
      </c>
      <c r="C2585" s="263" t="s">
        <v>81</v>
      </c>
      <c r="D2585" s="263" t="s">
        <v>6810</v>
      </c>
      <c r="E2585" s="263" t="s">
        <v>88</v>
      </c>
      <c r="F2585">
        <v>0</v>
      </c>
      <c r="G2585">
        <v>2</v>
      </c>
      <c r="H2585" s="263" t="s">
        <v>436</v>
      </c>
      <c r="I2585" s="264"/>
      <c r="J2585" s="263" t="s">
        <v>437</v>
      </c>
    </row>
    <row r="2586" spans="1:10" x14ac:dyDescent="0.15">
      <c r="A2586" s="263" t="s">
        <v>6811</v>
      </c>
      <c r="B2586" s="263" t="s">
        <v>6812</v>
      </c>
      <c r="C2586" s="263" t="s">
        <v>96</v>
      </c>
      <c r="D2586" s="263" t="s">
        <v>6813</v>
      </c>
      <c r="E2586" s="263" t="s">
        <v>97</v>
      </c>
      <c r="F2586">
        <v>0</v>
      </c>
      <c r="G2586">
        <v>2</v>
      </c>
      <c r="H2586" s="263" t="s">
        <v>436</v>
      </c>
      <c r="I2586" s="264"/>
      <c r="J2586" s="263" t="s">
        <v>437</v>
      </c>
    </row>
    <row r="2587" spans="1:10" x14ac:dyDescent="0.15">
      <c r="A2587" s="263" t="s">
        <v>6814</v>
      </c>
      <c r="B2587" s="263" t="s">
        <v>6815</v>
      </c>
      <c r="C2587" s="263" t="s">
        <v>99</v>
      </c>
      <c r="D2587" s="263" t="s">
        <v>6816</v>
      </c>
      <c r="E2587" s="263" t="s">
        <v>84</v>
      </c>
      <c r="F2587">
        <v>0</v>
      </c>
      <c r="G2587">
        <v>2</v>
      </c>
      <c r="H2587" s="263" t="s">
        <v>436</v>
      </c>
      <c r="I2587" s="264"/>
      <c r="J2587" s="263" t="s">
        <v>437</v>
      </c>
    </row>
    <row r="2588" spans="1:10" x14ac:dyDescent="0.15">
      <c r="A2588" s="263" t="s">
        <v>6817</v>
      </c>
      <c r="B2588" s="263" t="s">
        <v>6818</v>
      </c>
      <c r="C2588" s="263" t="s">
        <v>99</v>
      </c>
      <c r="D2588" s="263" t="s">
        <v>6819</v>
      </c>
      <c r="E2588" s="263" t="s">
        <v>84</v>
      </c>
      <c r="F2588">
        <v>0</v>
      </c>
      <c r="G2588">
        <v>2</v>
      </c>
      <c r="H2588" s="263" t="s">
        <v>436</v>
      </c>
      <c r="I2588" s="264"/>
      <c r="J2588" s="263" t="s">
        <v>437</v>
      </c>
    </row>
    <row r="2589" spans="1:10" x14ac:dyDescent="0.15">
      <c r="A2589" s="263" t="s">
        <v>6820</v>
      </c>
      <c r="B2589" s="263" t="s">
        <v>6821</v>
      </c>
      <c r="C2589" s="263" t="s">
        <v>99</v>
      </c>
      <c r="D2589" s="263" t="s">
        <v>6822</v>
      </c>
      <c r="E2589" s="263" t="s">
        <v>84</v>
      </c>
      <c r="F2589">
        <v>0</v>
      </c>
      <c r="G2589">
        <v>2</v>
      </c>
      <c r="H2589" s="263" t="s">
        <v>436</v>
      </c>
      <c r="I2589" s="264"/>
      <c r="J2589" s="263" t="s">
        <v>437</v>
      </c>
    </row>
    <row r="2590" spans="1:10" x14ac:dyDescent="0.15">
      <c r="A2590" s="263" t="s">
        <v>6823</v>
      </c>
      <c r="B2590" s="263" t="s">
        <v>6824</v>
      </c>
      <c r="C2590" s="263" t="s">
        <v>99</v>
      </c>
      <c r="D2590" s="263" t="s">
        <v>6825</v>
      </c>
      <c r="E2590" s="263" t="s">
        <v>84</v>
      </c>
      <c r="F2590">
        <v>0</v>
      </c>
      <c r="G2590">
        <v>2</v>
      </c>
      <c r="H2590" s="263" t="s">
        <v>436</v>
      </c>
      <c r="I2590" s="264"/>
      <c r="J2590" s="263" t="s">
        <v>437</v>
      </c>
    </row>
    <row r="2591" spans="1:10" x14ac:dyDescent="0.15">
      <c r="A2591" s="263" t="s">
        <v>6826</v>
      </c>
      <c r="B2591" s="263" t="s">
        <v>6827</v>
      </c>
      <c r="C2591" s="263" t="s">
        <v>99</v>
      </c>
      <c r="D2591" s="263" t="s">
        <v>6828</v>
      </c>
      <c r="E2591" s="263" t="s">
        <v>84</v>
      </c>
      <c r="F2591">
        <v>0</v>
      </c>
      <c r="G2591">
        <v>2</v>
      </c>
      <c r="H2591" s="263" t="s">
        <v>436</v>
      </c>
      <c r="I2591" s="264"/>
      <c r="J2591" s="263" t="s">
        <v>437</v>
      </c>
    </row>
    <row r="2592" spans="1:10" x14ac:dyDescent="0.15">
      <c r="A2592" s="263" t="s">
        <v>6829</v>
      </c>
      <c r="B2592" s="263" t="s">
        <v>6830</v>
      </c>
      <c r="C2592" s="263" t="s">
        <v>99</v>
      </c>
      <c r="D2592" s="263" t="s">
        <v>6831</v>
      </c>
      <c r="E2592" s="263" t="s">
        <v>84</v>
      </c>
      <c r="F2592">
        <v>0</v>
      </c>
      <c r="G2592">
        <v>2</v>
      </c>
      <c r="H2592" s="263" t="s">
        <v>436</v>
      </c>
      <c r="I2592" s="264"/>
      <c r="J2592" s="263" t="s">
        <v>437</v>
      </c>
    </row>
    <row r="2593" spans="1:10" x14ac:dyDescent="0.15">
      <c r="A2593" s="263" t="s">
        <v>6832</v>
      </c>
      <c r="B2593" s="263" t="s">
        <v>6833</v>
      </c>
      <c r="C2593" s="263" t="s">
        <v>99</v>
      </c>
      <c r="D2593" s="263" t="s">
        <v>6834</v>
      </c>
      <c r="E2593" s="263" t="s">
        <v>84</v>
      </c>
      <c r="F2593">
        <v>0</v>
      </c>
      <c r="G2593">
        <v>2</v>
      </c>
      <c r="H2593" s="263" t="s">
        <v>436</v>
      </c>
      <c r="I2593" s="264"/>
      <c r="J2593" s="263" t="s">
        <v>437</v>
      </c>
    </row>
    <row r="2594" spans="1:10" x14ac:dyDescent="0.15">
      <c r="A2594" s="263" t="s">
        <v>6835</v>
      </c>
      <c r="B2594" s="263" t="s">
        <v>6836</v>
      </c>
      <c r="C2594" s="263" t="s">
        <v>99</v>
      </c>
      <c r="D2594" s="263" t="s">
        <v>6837</v>
      </c>
      <c r="E2594" s="263" t="s">
        <v>84</v>
      </c>
      <c r="F2594">
        <v>0</v>
      </c>
      <c r="G2594">
        <v>2</v>
      </c>
      <c r="H2594" s="263" t="s">
        <v>436</v>
      </c>
      <c r="I2594" s="264"/>
      <c r="J2594" s="263" t="s">
        <v>437</v>
      </c>
    </row>
    <row r="2595" spans="1:10" x14ac:dyDescent="0.15">
      <c r="A2595" s="263" t="s">
        <v>6838</v>
      </c>
      <c r="B2595" s="263" t="s">
        <v>6839</v>
      </c>
      <c r="C2595" s="263" t="s">
        <v>99</v>
      </c>
      <c r="D2595" s="263" t="s">
        <v>6840</v>
      </c>
      <c r="E2595" s="263" t="s">
        <v>84</v>
      </c>
      <c r="F2595">
        <v>0</v>
      </c>
      <c r="G2595">
        <v>2</v>
      </c>
      <c r="H2595" s="263" t="s">
        <v>436</v>
      </c>
      <c r="I2595" s="264"/>
      <c r="J2595" s="263" t="s">
        <v>437</v>
      </c>
    </row>
    <row r="2596" spans="1:10" x14ac:dyDescent="0.15">
      <c r="A2596" s="263" t="s">
        <v>6841</v>
      </c>
      <c r="B2596" s="263" t="s">
        <v>6842</v>
      </c>
      <c r="C2596" s="263" t="s">
        <v>99</v>
      </c>
      <c r="D2596" s="263" t="s">
        <v>6843</v>
      </c>
      <c r="E2596" s="263" t="s">
        <v>84</v>
      </c>
      <c r="F2596">
        <v>0</v>
      </c>
      <c r="G2596">
        <v>2</v>
      </c>
      <c r="H2596" s="263" t="s">
        <v>436</v>
      </c>
      <c r="I2596" s="264"/>
      <c r="J2596" s="263" t="s">
        <v>437</v>
      </c>
    </row>
    <row r="2597" spans="1:10" x14ac:dyDescent="0.15">
      <c r="A2597" s="263" t="s">
        <v>6844</v>
      </c>
      <c r="B2597" s="263" t="s">
        <v>6845</v>
      </c>
      <c r="C2597" s="263" t="s">
        <v>99</v>
      </c>
      <c r="D2597" s="263" t="s">
        <v>6846</v>
      </c>
      <c r="E2597" s="263" t="s">
        <v>84</v>
      </c>
      <c r="F2597">
        <v>0</v>
      </c>
      <c r="G2597">
        <v>2</v>
      </c>
      <c r="H2597" s="263" t="s">
        <v>436</v>
      </c>
      <c r="I2597" s="264"/>
      <c r="J2597" s="263" t="s">
        <v>437</v>
      </c>
    </row>
    <row r="2598" spans="1:10" x14ac:dyDescent="0.15">
      <c r="A2598" s="263" t="s">
        <v>6847</v>
      </c>
      <c r="B2598" s="263" t="s">
        <v>6848</v>
      </c>
      <c r="C2598" s="263" t="s">
        <v>99</v>
      </c>
      <c r="D2598" s="263" t="s">
        <v>6849</v>
      </c>
      <c r="E2598" s="263" t="s">
        <v>84</v>
      </c>
      <c r="F2598">
        <v>0</v>
      </c>
      <c r="G2598">
        <v>2</v>
      </c>
      <c r="H2598" s="263" t="s">
        <v>436</v>
      </c>
      <c r="I2598" s="264"/>
      <c r="J2598" s="263" t="s">
        <v>437</v>
      </c>
    </row>
    <row r="2599" spans="1:10" x14ac:dyDescent="0.15">
      <c r="A2599" s="263" t="s">
        <v>6850</v>
      </c>
      <c r="B2599" s="263" t="s">
        <v>6851</v>
      </c>
      <c r="C2599" s="263" t="s">
        <v>99</v>
      </c>
      <c r="D2599" s="263" t="s">
        <v>6852</v>
      </c>
      <c r="E2599" s="263" t="s">
        <v>84</v>
      </c>
      <c r="F2599">
        <v>0</v>
      </c>
      <c r="G2599">
        <v>2</v>
      </c>
      <c r="H2599" s="263" t="s">
        <v>436</v>
      </c>
      <c r="I2599" s="264"/>
      <c r="J2599" s="263" t="s">
        <v>437</v>
      </c>
    </row>
    <row r="2600" spans="1:10" x14ac:dyDescent="0.15">
      <c r="A2600" s="263" t="s">
        <v>6853</v>
      </c>
      <c r="B2600" s="263" t="s">
        <v>6854</v>
      </c>
      <c r="C2600" s="263" t="s">
        <v>99</v>
      </c>
      <c r="D2600" s="263" t="s">
        <v>6855</v>
      </c>
      <c r="E2600" s="263" t="s">
        <v>84</v>
      </c>
      <c r="F2600">
        <v>0</v>
      </c>
      <c r="G2600">
        <v>2</v>
      </c>
      <c r="H2600" s="263" t="s">
        <v>436</v>
      </c>
      <c r="I2600" s="264"/>
      <c r="J2600" s="263" t="s">
        <v>437</v>
      </c>
    </row>
    <row r="2601" spans="1:10" x14ac:dyDescent="0.15">
      <c r="A2601" s="263" t="s">
        <v>6856</v>
      </c>
      <c r="B2601" s="263" t="s">
        <v>6857</v>
      </c>
      <c r="C2601" s="263" t="s">
        <v>99</v>
      </c>
      <c r="D2601" s="263" t="s">
        <v>6858</v>
      </c>
      <c r="E2601" s="263" t="s">
        <v>84</v>
      </c>
      <c r="F2601">
        <v>0</v>
      </c>
      <c r="G2601">
        <v>2</v>
      </c>
      <c r="H2601" s="263" t="s">
        <v>436</v>
      </c>
      <c r="I2601" s="264"/>
      <c r="J2601" s="263" t="s">
        <v>437</v>
      </c>
    </row>
    <row r="2602" spans="1:10" x14ac:dyDescent="0.15">
      <c r="A2602" s="263" t="s">
        <v>6859</v>
      </c>
      <c r="B2602" s="263" t="s">
        <v>6860</v>
      </c>
      <c r="C2602" s="263" t="s">
        <v>99</v>
      </c>
      <c r="D2602" s="263" t="s">
        <v>6861</v>
      </c>
      <c r="E2602" s="263" t="s">
        <v>84</v>
      </c>
      <c r="F2602">
        <v>0</v>
      </c>
      <c r="G2602">
        <v>2</v>
      </c>
      <c r="H2602" s="263" t="s">
        <v>436</v>
      </c>
      <c r="I2602" s="264"/>
      <c r="J2602" s="263" t="s">
        <v>437</v>
      </c>
    </row>
    <row r="2603" spans="1:10" x14ac:dyDescent="0.15">
      <c r="A2603" s="263" t="s">
        <v>6862</v>
      </c>
      <c r="B2603" s="263" t="s">
        <v>6863</v>
      </c>
      <c r="C2603" s="263" t="s">
        <v>99</v>
      </c>
      <c r="D2603" s="263" t="s">
        <v>6864</v>
      </c>
      <c r="E2603" s="263" t="s">
        <v>84</v>
      </c>
      <c r="F2603">
        <v>0</v>
      </c>
      <c r="G2603">
        <v>2</v>
      </c>
      <c r="H2603" s="263" t="s">
        <v>436</v>
      </c>
      <c r="I2603" s="264"/>
      <c r="J2603" s="263" t="s">
        <v>437</v>
      </c>
    </row>
    <row r="2604" spans="1:10" x14ac:dyDescent="0.15">
      <c r="A2604" s="263" t="s">
        <v>6865</v>
      </c>
      <c r="B2604" s="263" t="s">
        <v>6866</v>
      </c>
      <c r="C2604" s="263" t="s">
        <v>99</v>
      </c>
      <c r="D2604" s="263" t="s">
        <v>6867</v>
      </c>
      <c r="E2604" s="263" t="s">
        <v>84</v>
      </c>
      <c r="F2604">
        <v>0</v>
      </c>
      <c r="G2604">
        <v>2</v>
      </c>
      <c r="H2604" s="263" t="s">
        <v>436</v>
      </c>
      <c r="I2604" s="264"/>
      <c r="J2604" s="263" t="s">
        <v>437</v>
      </c>
    </row>
    <row r="2605" spans="1:10" x14ac:dyDescent="0.15">
      <c r="A2605" s="263" t="s">
        <v>6868</v>
      </c>
      <c r="B2605" s="263" t="s">
        <v>6869</v>
      </c>
      <c r="C2605" s="263" t="s">
        <v>99</v>
      </c>
      <c r="D2605" s="263" t="s">
        <v>6870</v>
      </c>
      <c r="E2605" s="263" t="s">
        <v>84</v>
      </c>
      <c r="F2605">
        <v>0</v>
      </c>
      <c r="G2605">
        <v>2</v>
      </c>
      <c r="H2605" s="263" t="s">
        <v>436</v>
      </c>
      <c r="I2605" s="264"/>
      <c r="J2605" s="263" t="s">
        <v>437</v>
      </c>
    </row>
    <row r="2606" spans="1:10" x14ac:dyDescent="0.15">
      <c r="A2606" s="263" t="s">
        <v>6871</v>
      </c>
      <c r="B2606" s="263" t="s">
        <v>6872</v>
      </c>
      <c r="C2606" s="263" t="s">
        <v>99</v>
      </c>
      <c r="D2606" s="263" t="s">
        <v>6873</v>
      </c>
      <c r="E2606" s="263" t="s">
        <v>84</v>
      </c>
      <c r="F2606">
        <v>0</v>
      </c>
      <c r="G2606">
        <v>2</v>
      </c>
      <c r="H2606" s="263" t="s">
        <v>436</v>
      </c>
      <c r="I2606" s="264"/>
      <c r="J2606" s="263" t="s">
        <v>437</v>
      </c>
    </row>
    <row r="2607" spans="1:10" x14ac:dyDescent="0.15">
      <c r="A2607" s="263" t="s">
        <v>6874</v>
      </c>
      <c r="B2607" s="263" t="s">
        <v>6875</v>
      </c>
      <c r="C2607" s="263" t="s">
        <v>99</v>
      </c>
      <c r="D2607" s="263" t="s">
        <v>6876</v>
      </c>
      <c r="E2607" s="263" t="s">
        <v>84</v>
      </c>
      <c r="F2607">
        <v>0</v>
      </c>
      <c r="G2607">
        <v>2</v>
      </c>
      <c r="H2607" s="263" t="s">
        <v>436</v>
      </c>
      <c r="I2607" s="264"/>
      <c r="J2607" s="263" t="s">
        <v>437</v>
      </c>
    </row>
    <row r="2608" spans="1:10" x14ac:dyDescent="0.15">
      <c r="A2608" s="263" t="s">
        <v>6877</v>
      </c>
      <c r="B2608" s="263" t="s">
        <v>6815</v>
      </c>
      <c r="C2608" s="263" t="s">
        <v>98</v>
      </c>
      <c r="D2608" s="263" t="s">
        <v>6816</v>
      </c>
      <c r="E2608" s="263" t="s">
        <v>110</v>
      </c>
      <c r="F2608">
        <v>0</v>
      </c>
      <c r="G2608">
        <v>2</v>
      </c>
      <c r="H2608" s="263" t="s">
        <v>436</v>
      </c>
      <c r="I2608" s="264"/>
      <c r="J2608" s="263" t="s">
        <v>437</v>
      </c>
    </row>
    <row r="2609" spans="1:10" x14ac:dyDescent="0.15">
      <c r="A2609" s="263" t="s">
        <v>6878</v>
      </c>
      <c r="B2609" s="263" t="s">
        <v>6818</v>
      </c>
      <c r="C2609" s="263" t="s">
        <v>98</v>
      </c>
      <c r="D2609" s="263" t="s">
        <v>6819</v>
      </c>
      <c r="E2609" s="263" t="s">
        <v>110</v>
      </c>
      <c r="F2609">
        <v>0</v>
      </c>
      <c r="G2609">
        <v>2</v>
      </c>
      <c r="H2609" s="263" t="s">
        <v>436</v>
      </c>
      <c r="I2609" s="264"/>
      <c r="J2609" s="263" t="s">
        <v>437</v>
      </c>
    </row>
    <row r="2610" spans="1:10" x14ac:dyDescent="0.15">
      <c r="A2610" s="263" t="s">
        <v>6879</v>
      </c>
      <c r="B2610" s="263" t="s">
        <v>6821</v>
      </c>
      <c r="C2610" s="263" t="s">
        <v>98</v>
      </c>
      <c r="D2610" s="263" t="s">
        <v>6822</v>
      </c>
      <c r="E2610" s="263" t="s">
        <v>110</v>
      </c>
      <c r="F2610">
        <v>0</v>
      </c>
      <c r="G2610">
        <v>2</v>
      </c>
      <c r="H2610" s="263" t="s">
        <v>436</v>
      </c>
      <c r="I2610" s="264"/>
      <c r="J2610" s="263" t="s">
        <v>437</v>
      </c>
    </row>
    <row r="2611" spans="1:10" x14ac:dyDescent="0.15">
      <c r="A2611" s="263" t="s">
        <v>6880</v>
      </c>
      <c r="B2611" s="263" t="s">
        <v>6824</v>
      </c>
      <c r="C2611" s="263" t="s">
        <v>98</v>
      </c>
      <c r="D2611" s="263" t="s">
        <v>6825</v>
      </c>
      <c r="E2611" s="263" t="s">
        <v>110</v>
      </c>
      <c r="F2611">
        <v>0</v>
      </c>
      <c r="G2611">
        <v>2</v>
      </c>
      <c r="H2611" s="263" t="s">
        <v>436</v>
      </c>
      <c r="I2611" s="264"/>
      <c r="J2611" s="263" t="s">
        <v>437</v>
      </c>
    </row>
    <row r="2612" spans="1:10" x14ac:dyDescent="0.15">
      <c r="A2612" s="263" t="s">
        <v>6881</v>
      </c>
      <c r="B2612" s="263" t="s">
        <v>6827</v>
      </c>
      <c r="C2612" s="263" t="s">
        <v>98</v>
      </c>
      <c r="D2612" s="263" t="s">
        <v>6828</v>
      </c>
      <c r="E2612" s="263" t="s">
        <v>110</v>
      </c>
      <c r="F2612">
        <v>0</v>
      </c>
      <c r="G2612">
        <v>2</v>
      </c>
      <c r="H2612" s="263" t="s">
        <v>436</v>
      </c>
      <c r="I2612" s="264"/>
      <c r="J2612" s="263" t="s">
        <v>437</v>
      </c>
    </row>
    <row r="2613" spans="1:10" x14ac:dyDescent="0.15">
      <c r="A2613" s="263" t="s">
        <v>6882</v>
      </c>
      <c r="B2613" s="263" t="s">
        <v>6830</v>
      </c>
      <c r="C2613" s="263" t="s">
        <v>98</v>
      </c>
      <c r="D2613" s="263" t="s">
        <v>6831</v>
      </c>
      <c r="E2613" s="263" t="s">
        <v>110</v>
      </c>
      <c r="F2613">
        <v>0</v>
      </c>
      <c r="G2613">
        <v>2</v>
      </c>
      <c r="H2613" s="263" t="s">
        <v>436</v>
      </c>
      <c r="I2613" s="264"/>
      <c r="J2613" s="263" t="s">
        <v>437</v>
      </c>
    </row>
    <row r="2614" spans="1:10" x14ac:dyDescent="0.15">
      <c r="A2614" s="263" t="s">
        <v>6883</v>
      </c>
      <c r="B2614" s="263" t="s">
        <v>6833</v>
      </c>
      <c r="C2614" s="263" t="s">
        <v>98</v>
      </c>
      <c r="D2614" s="263" t="s">
        <v>6834</v>
      </c>
      <c r="E2614" s="263" t="s">
        <v>110</v>
      </c>
      <c r="F2614">
        <v>0</v>
      </c>
      <c r="G2614">
        <v>2</v>
      </c>
      <c r="H2614" s="263" t="s">
        <v>436</v>
      </c>
      <c r="I2614" s="264"/>
      <c r="J2614" s="263" t="s">
        <v>437</v>
      </c>
    </row>
    <row r="2615" spans="1:10" x14ac:dyDescent="0.15">
      <c r="A2615" s="263" t="s">
        <v>6884</v>
      </c>
      <c r="B2615" s="263" t="s">
        <v>6836</v>
      </c>
      <c r="C2615" s="263" t="s">
        <v>98</v>
      </c>
      <c r="D2615" s="263" t="s">
        <v>6837</v>
      </c>
      <c r="E2615" s="263" t="s">
        <v>110</v>
      </c>
      <c r="F2615">
        <v>0</v>
      </c>
      <c r="G2615">
        <v>2</v>
      </c>
      <c r="H2615" s="263" t="s">
        <v>436</v>
      </c>
      <c r="I2615" s="264"/>
      <c r="J2615" s="263" t="s">
        <v>437</v>
      </c>
    </row>
    <row r="2616" spans="1:10" x14ac:dyDescent="0.15">
      <c r="A2616" s="263" t="s">
        <v>6885</v>
      </c>
      <c r="B2616" s="263" t="s">
        <v>6839</v>
      </c>
      <c r="C2616" s="263" t="s">
        <v>98</v>
      </c>
      <c r="D2616" s="263" t="s">
        <v>6840</v>
      </c>
      <c r="E2616" s="263" t="s">
        <v>110</v>
      </c>
      <c r="F2616">
        <v>0</v>
      </c>
      <c r="G2616">
        <v>2</v>
      </c>
      <c r="H2616" s="263" t="s">
        <v>436</v>
      </c>
      <c r="I2616" s="264"/>
      <c r="J2616" s="263" t="s">
        <v>437</v>
      </c>
    </row>
    <row r="2617" spans="1:10" x14ac:dyDescent="0.15">
      <c r="A2617" s="263" t="s">
        <v>6886</v>
      </c>
      <c r="B2617" s="263" t="s">
        <v>6842</v>
      </c>
      <c r="C2617" s="263" t="s">
        <v>98</v>
      </c>
      <c r="D2617" s="263" t="s">
        <v>6843</v>
      </c>
      <c r="E2617" s="263" t="s">
        <v>110</v>
      </c>
      <c r="F2617">
        <v>0</v>
      </c>
      <c r="G2617">
        <v>2</v>
      </c>
      <c r="H2617" s="263" t="s">
        <v>436</v>
      </c>
      <c r="I2617" s="264"/>
      <c r="J2617" s="263" t="s">
        <v>437</v>
      </c>
    </row>
    <row r="2618" spans="1:10" x14ac:dyDescent="0.15">
      <c r="A2618" s="263" t="s">
        <v>6887</v>
      </c>
      <c r="B2618" s="263" t="s">
        <v>6845</v>
      </c>
      <c r="C2618" s="263" t="s">
        <v>98</v>
      </c>
      <c r="D2618" s="263" t="s">
        <v>6846</v>
      </c>
      <c r="E2618" s="263" t="s">
        <v>110</v>
      </c>
      <c r="F2618">
        <v>0</v>
      </c>
      <c r="G2618">
        <v>2</v>
      </c>
      <c r="H2618" s="263" t="s">
        <v>436</v>
      </c>
      <c r="I2618" s="264"/>
      <c r="J2618" s="263" t="s">
        <v>437</v>
      </c>
    </row>
    <row r="2619" spans="1:10" x14ac:dyDescent="0.15">
      <c r="A2619" s="263" t="s">
        <v>6888</v>
      </c>
      <c r="B2619" s="263" t="s">
        <v>6815</v>
      </c>
      <c r="C2619" s="263" t="s">
        <v>94</v>
      </c>
      <c r="D2619" s="263" t="s">
        <v>6816</v>
      </c>
      <c r="E2619" s="263" t="s">
        <v>94</v>
      </c>
      <c r="F2619">
        <v>0</v>
      </c>
      <c r="G2619">
        <v>2</v>
      </c>
      <c r="H2619" s="263" t="s">
        <v>436</v>
      </c>
      <c r="I2619" s="264"/>
      <c r="J2619" s="263" t="s">
        <v>437</v>
      </c>
    </row>
    <row r="2620" spans="1:10" x14ac:dyDescent="0.15">
      <c r="A2620" s="263" t="s">
        <v>6889</v>
      </c>
      <c r="B2620" s="263" t="s">
        <v>6890</v>
      </c>
      <c r="C2620" s="263" t="s">
        <v>99</v>
      </c>
      <c r="D2620" s="263" t="s">
        <v>6891</v>
      </c>
      <c r="E2620" s="263" t="s">
        <v>84</v>
      </c>
      <c r="F2620">
        <v>0</v>
      </c>
      <c r="G2620">
        <v>2</v>
      </c>
      <c r="H2620" s="263" t="s">
        <v>436</v>
      </c>
      <c r="I2620" s="264"/>
      <c r="J2620" s="263" t="s">
        <v>437</v>
      </c>
    </row>
    <row r="2621" spans="1:10" x14ac:dyDescent="0.15">
      <c r="A2621" s="263" t="s">
        <v>6892</v>
      </c>
      <c r="B2621" s="263" t="s">
        <v>6890</v>
      </c>
      <c r="C2621" s="263" t="s">
        <v>98</v>
      </c>
      <c r="D2621" s="263" t="s">
        <v>6891</v>
      </c>
      <c r="E2621" s="263" t="s">
        <v>110</v>
      </c>
      <c r="F2621">
        <v>0</v>
      </c>
      <c r="G2621">
        <v>2</v>
      </c>
      <c r="H2621" s="263" t="s">
        <v>436</v>
      </c>
      <c r="I2621" s="264"/>
      <c r="J2621" s="263" t="s">
        <v>437</v>
      </c>
    </row>
    <row r="2622" spans="1:10" x14ac:dyDescent="0.15">
      <c r="A2622" s="263" t="s">
        <v>6893</v>
      </c>
      <c r="B2622" s="263" t="s">
        <v>6815</v>
      </c>
      <c r="C2622" s="263" t="s">
        <v>96</v>
      </c>
      <c r="D2622" s="263" t="s">
        <v>6816</v>
      </c>
      <c r="E2622" s="263" t="s">
        <v>97</v>
      </c>
      <c r="F2622">
        <v>0</v>
      </c>
      <c r="G2622">
        <v>2</v>
      </c>
      <c r="H2622" s="263" t="s">
        <v>436</v>
      </c>
      <c r="I2622" s="264"/>
      <c r="J2622" s="263" t="s">
        <v>437</v>
      </c>
    </row>
    <row r="2623" spans="1:10" x14ac:dyDescent="0.15">
      <c r="A2623" s="263" t="s">
        <v>6894</v>
      </c>
      <c r="B2623" s="263" t="s">
        <v>6895</v>
      </c>
      <c r="C2623" s="263" t="s">
        <v>96</v>
      </c>
      <c r="D2623" s="263" t="s">
        <v>6896</v>
      </c>
      <c r="E2623" s="263" t="s">
        <v>97</v>
      </c>
      <c r="F2623">
        <v>0</v>
      </c>
      <c r="G2623">
        <v>2</v>
      </c>
      <c r="H2623" s="263" t="s">
        <v>436</v>
      </c>
      <c r="I2623" s="264"/>
      <c r="J2623" s="263" t="s">
        <v>437</v>
      </c>
    </row>
    <row r="2624" spans="1:10" x14ac:dyDescent="0.15">
      <c r="A2624" s="263" t="s">
        <v>6897</v>
      </c>
      <c r="B2624" s="263" t="s">
        <v>6898</v>
      </c>
      <c r="C2624" s="263" t="s">
        <v>96</v>
      </c>
      <c r="D2624" s="263" t="s">
        <v>6899</v>
      </c>
      <c r="E2624" s="263" t="s">
        <v>97</v>
      </c>
      <c r="F2624">
        <v>0</v>
      </c>
      <c r="G2624">
        <v>2</v>
      </c>
      <c r="H2624" s="263" t="s">
        <v>436</v>
      </c>
      <c r="I2624" s="264"/>
      <c r="J2624" s="263" t="s">
        <v>437</v>
      </c>
    </row>
    <row r="2625" spans="1:10" x14ac:dyDescent="0.15">
      <c r="A2625" s="263" t="s">
        <v>6900</v>
      </c>
      <c r="B2625" s="263" t="s">
        <v>6901</v>
      </c>
      <c r="C2625" s="263" t="s">
        <v>96</v>
      </c>
      <c r="D2625" s="263" t="s">
        <v>6902</v>
      </c>
      <c r="E2625" s="263" t="s">
        <v>97</v>
      </c>
      <c r="F2625">
        <v>0</v>
      </c>
      <c r="G2625">
        <v>2</v>
      </c>
      <c r="H2625" s="263" t="s">
        <v>436</v>
      </c>
      <c r="I2625" s="264"/>
      <c r="J2625" s="263" t="s">
        <v>437</v>
      </c>
    </row>
    <row r="2626" spans="1:10" x14ac:dyDescent="0.15">
      <c r="A2626" s="263" t="s">
        <v>6903</v>
      </c>
      <c r="B2626" s="263" t="s">
        <v>6904</v>
      </c>
      <c r="C2626" s="263" t="s">
        <v>96</v>
      </c>
      <c r="D2626" s="263" t="s">
        <v>6905</v>
      </c>
      <c r="E2626" s="263" t="s">
        <v>97</v>
      </c>
      <c r="F2626">
        <v>0</v>
      </c>
      <c r="G2626">
        <v>2</v>
      </c>
      <c r="H2626" s="263" t="s">
        <v>436</v>
      </c>
      <c r="I2626" s="264"/>
      <c r="J2626" s="263" t="s">
        <v>437</v>
      </c>
    </row>
    <row r="2627" spans="1:10" x14ac:dyDescent="0.15">
      <c r="A2627" s="263" t="s">
        <v>6906</v>
      </c>
      <c r="B2627" s="263" t="s">
        <v>6907</v>
      </c>
      <c r="C2627" s="263" t="s">
        <v>96</v>
      </c>
      <c r="D2627" s="263" t="s">
        <v>6908</v>
      </c>
      <c r="E2627" s="263" t="s">
        <v>97</v>
      </c>
      <c r="F2627">
        <v>0</v>
      </c>
      <c r="G2627">
        <v>2</v>
      </c>
      <c r="H2627" s="263" t="s">
        <v>436</v>
      </c>
      <c r="I2627" s="264"/>
      <c r="J2627" s="263" t="s">
        <v>437</v>
      </c>
    </row>
    <row r="2628" spans="1:10" x14ac:dyDescent="0.15">
      <c r="A2628" s="263" t="s">
        <v>6909</v>
      </c>
      <c r="B2628" s="263" t="s">
        <v>6910</v>
      </c>
      <c r="C2628" s="263" t="s">
        <v>96</v>
      </c>
      <c r="D2628" s="263" t="s">
        <v>6911</v>
      </c>
      <c r="E2628" s="263" t="s">
        <v>97</v>
      </c>
      <c r="F2628">
        <v>0</v>
      </c>
      <c r="G2628">
        <v>2</v>
      </c>
      <c r="H2628" s="263" t="s">
        <v>436</v>
      </c>
      <c r="I2628" s="264"/>
      <c r="J2628" s="263" t="s">
        <v>437</v>
      </c>
    </row>
    <row r="2629" spans="1:10" x14ac:dyDescent="0.15">
      <c r="A2629" s="263" t="s">
        <v>6912</v>
      </c>
      <c r="B2629" s="263" t="s">
        <v>6913</v>
      </c>
      <c r="C2629" s="263" t="s">
        <v>96</v>
      </c>
      <c r="D2629" s="263" t="s">
        <v>6914</v>
      </c>
      <c r="E2629" s="263" t="s">
        <v>97</v>
      </c>
      <c r="F2629">
        <v>0</v>
      </c>
      <c r="G2629">
        <v>2</v>
      </c>
      <c r="H2629" s="263" t="s">
        <v>436</v>
      </c>
      <c r="I2629" s="264"/>
      <c r="J2629" s="263" t="s">
        <v>437</v>
      </c>
    </row>
    <row r="2630" spans="1:10" x14ac:dyDescent="0.15">
      <c r="A2630" s="263" t="s">
        <v>6915</v>
      </c>
      <c r="B2630" s="263" t="s">
        <v>6916</v>
      </c>
      <c r="C2630" s="263" t="s">
        <v>81</v>
      </c>
      <c r="D2630" s="263" t="s">
        <v>6917</v>
      </c>
      <c r="E2630" s="263" t="s">
        <v>88</v>
      </c>
      <c r="F2630">
        <v>0</v>
      </c>
      <c r="G2630">
        <v>2</v>
      </c>
      <c r="H2630" s="263" t="s">
        <v>436</v>
      </c>
      <c r="I2630" s="264"/>
      <c r="J2630" s="263" t="s">
        <v>437</v>
      </c>
    </row>
    <row r="2631" spans="1:10" x14ac:dyDescent="0.15">
      <c r="A2631" s="263" t="s">
        <v>6918</v>
      </c>
      <c r="B2631" s="263" t="s">
        <v>6919</v>
      </c>
      <c r="C2631" s="263" t="s">
        <v>81</v>
      </c>
      <c r="D2631" s="263" t="s">
        <v>6920</v>
      </c>
      <c r="E2631" s="263" t="s">
        <v>88</v>
      </c>
      <c r="F2631">
        <v>0</v>
      </c>
      <c r="G2631">
        <v>2</v>
      </c>
      <c r="H2631" s="263" t="s">
        <v>436</v>
      </c>
      <c r="I2631" s="264"/>
      <c r="J2631" s="263" t="s">
        <v>437</v>
      </c>
    </row>
    <row r="2632" spans="1:10" x14ac:dyDescent="0.15">
      <c r="A2632" s="263" t="s">
        <v>6921</v>
      </c>
      <c r="B2632" s="263" t="s">
        <v>6922</v>
      </c>
      <c r="C2632" s="263" t="s">
        <v>81</v>
      </c>
      <c r="D2632" s="263" t="s">
        <v>6923</v>
      </c>
      <c r="E2632" s="263" t="s">
        <v>88</v>
      </c>
      <c r="F2632">
        <v>0</v>
      </c>
      <c r="G2632">
        <v>2</v>
      </c>
      <c r="H2632" s="263" t="s">
        <v>436</v>
      </c>
      <c r="I2632" s="264"/>
      <c r="J2632" s="263" t="s">
        <v>437</v>
      </c>
    </row>
    <row r="2633" spans="1:10" x14ac:dyDescent="0.15">
      <c r="A2633" s="263" t="s">
        <v>6924</v>
      </c>
      <c r="B2633" s="263" t="s">
        <v>6925</v>
      </c>
      <c r="C2633" s="263" t="s">
        <v>81</v>
      </c>
      <c r="D2633" s="263" t="s">
        <v>6926</v>
      </c>
      <c r="E2633" s="263" t="s">
        <v>88</v>
      </c>
      <c r="F2633">
        <v>0</v>
      </c>
      <c r="G2633">
        <v>2</v>
      </c>
      <c r="H2633" s="263" t="s">
        <v>436</v>
      </c>
      <c r="I2633" s="264"/>
      <c r="J2633" s="263" t="s">
        <v>437</v>
      </c>
    </row>
    <row r="2634" spans="1:10" x14ac:dyDescent="0.15">
      <c r="A2634" s="263" t="s">
        <v>6927</v>
      </c>
      <c r="B2634" s="263" t="s">
        <v>6928</v>
      </c>
      <c r="C2634" s="263" t="s">
        <v>81</v>
      </c>
      <c r="D2634" s="263" t="s">
        <v>6929</v>
      </c>
      <c r="E2634" s="263" t="s">
        <v>88</v>
      </c>
      <c r="F2634">
        <v>0</v>
      </c>
      <c r="G2634">
        <v>2</v>
      </c>
      <c r="H2634" s="263" t="s">
        <v>436</v>
      </c>
      <c r="I2634" s="264"/>
      <c r="J2634" s="263" t="s">
        <v>437</v>
      </c>
    </row>
    <row r="2635" spans="1:10" x14ac:dyDescent="0.15">
      <c r="A2635" s="263" t="s">
        <v>6930</v>
      </c>
      <c r="B2635" s="263" t="s">
        <v>6931</v>
      </c>
      <c r="C2635" s="263" t="s">
        <v>81</v>
      </c>
      <c r="D2635" s="263" t="s">
        <v>6932</v>
      </c>
      <c r="E2635" s="263" t="s">
        <v>88</v>
      </c>
      <c r="F2635">
        <v>0</v>
      </c>
      <c r="G2635">
        <v>2</v>
      </c>
      <c r="H2635" s="263" t="s">
        <v>436</v>
      </c>
      <c r="I2635" s="264"/>
      <c r="J2635" s="263" t="s">
        <v>437</v>
      </c>
    </row>
    <row r="2636" spans="1:10" x14ac:dyDescent="0.15">
      <c r="A2636" s="263" t="s">
        <v>6933</v>
      </c>
      <c r="B2636" s="263" t="s">
        <v>6934</v>
      </c>
      <c r="C2636" s="263" t="s">
        <v>81</v>
      </c>
      <c r="D2636" s="263" t="s">
        <v>6935</v>
      </c>
      <c r="E2636" s="263" t="s">
        <v>88</v>
      </c>
      <c r="F2636">
        <v>0</v>
      </c>
      <c r="G2636">
        <v>2</v>
      </c>
      <c r="H2636" s="263" t="s">
        <v>436</v>
      </c>
      <c r="I2636" s="264"/>
      <c r="J2636" s="263" t="s">
        <v>437</v>
      </c>
    </row>
    <row r="2637" spans="1:10" x14ac:dyDescent="0.15">
      <c r="A2637" s="263" t="s">
        <v>6936</v>
      </c>
      <c r="B2637" s="263" t="s">
        <v>6937</v>
      </c>
      <c r="C2637" s="263" t="s">
        <v>81</v>
      </c>
      <c r="D2637" s="263" t="s">
        <v>6938</v>
      </c>
      <c r="E2637" s="263" t="s">
        <v>88</v>
      </c>
      <c r="F2637">
        <v>0</v>
      </c>
      <c r="G2637">
        <v>2</v>
      </c>
      <c r="H2637" s="263" t="s">
        <v>436</v>
      </c>
      <c r="I2637" s="264"/>
      <c r="J2637" s="263" t="s">
        <v>437</v>
      </c>
    </row>
    <row r="2638" spans="1:10" x14ac:dyDescent="0.15">
      <c r="A2638" s="263" t="s">
        <v>6939</v>
      </c>
      <c r="B2638" s="263" t="s">
        <v>6940</v>
      </c>
      <c r="C2638" s="263" t="s">
        <v>81</v>
      </c>
      <c r="D2638" s="263" t="s">
        <v>6941</v>
      </c>
      <c r="E2638" s="263" t="s">
        <v>88</v>
      </c>
      <c r="F2638">
        <v>0</v>
      </c>
      <c r="G2638">
        <v>2</v>
      </c>
      <c r="H2638" s="263" t="s">
        <v>436</v>
      </c>
      <c r="I2638" s="264"/>
      <c r="J2638" s="263" t="s">
        <v>437</v>
      </c>
    </row>
    <row r="2639" spans="1:10" x14ac:dyDescent="0.15">
      <c r="A2639" s="263" t="s">
        <v>6942</v>
      </c>
      <c r="B2639" s="263" t="s">
        <v>6943</v>
      </c>
      <c r="C2639" s="263" t="s">
        <v>81</v>
      </c>
      <c r="D2639" s="263" t="s">
        <v>6944</v>
      </c>
      <c r="E2639" s="263" t="s">
        <v>88</v>
      </c>
      <c r="F2639">
        <v>0</v>
      </c>
      <c r="G2639">
        <v>2</v>
      </c>
      <c r="H2639" s="263" t="s">
        <v>436</v>
      </c>
      <c r="I2639" s="264"/>
      <c r="J2639" s="263" t="s">
        <v>437</v>
      </c>
    </row>
    <row r="2640" spans="1:10" x14ac:dyDescent="0.15">
      <c r="A2640" s="263" t="s">
        <v>6945</v>
      </c>
      <c r="B2640" s="263" t="s">
        <v>6946</v>
      </c>
      <c r="C2640" s="263" t="s">
        <v>81</v>
      </c>
      <c r="D2640" s="263" t="s">
        <v>6947</v>
      </c>
      <c r="E2640" s="263" t="s">
        <v>88</v>
      </c>
      <c r="F2640">
        <v>0</v>
      </c>
      <c r="G2640">
        <v>2</v>
      </c>
      <c r="H2640" s="263" t="s">
        <v>436</v>
      </c>
      <c r="I2640" s="264"/>
      <c r="J2640" s="263" t="s">
        <v>437</v>
      </c>
    </row>
    <row r="2641" spans="1:10" x14ac:dyDescent="0.15">
      <c r="A2641" s="263" t="s">
        <v>6948</v>
      </c>
      <c r="B2641" s="263" t="s">
        <v>6949</v>
      </c>
      <c r="C2641" s="263" t="s">
        <v>81</v>
      </c>
      <c r="D2641" s="263" t="s">
        <v>6950</v>
      </c>
      <c r="E2641" s="263" t="s">
        <v>88</v>
      </c>
      <c r="F2641">
        <v>0</v>
      </c>
      <c r="G2641">
        <v>2</v>
      </c>
      <c r="H2641" s="263" t="s">
        <v>436</v>
      </c>
      <c r="I2641" s="264"/>
      <c r="J2641" s="263" t="s">
        <v>437</v>
      </c>
    </row>
    <row r="2642" spans="1:10" x14ac:dyDescent="0.15">
      <c r="A2642" s="263" t="s">
        <v>6951</v>
      </c>
      <c r="B2642" s="263" t="s">
        <v>6952</v>
      </c>
      <c r="C2642" s="263" t="s">
        <v>81</v>
      </c>
      <c r="D2642" s="263" t="s">
        <v>6953</v>
      </c>
      <c r="E2642" s="263" t="s">
        <v>88</v>
      </c>
      <c r="F2642">
        <v>0</v>
      </c>
      <c r="G2642">
        <v>2</v>
      </c>
      <c r="H2642" s="263" t="s">
        <v>436</v>
      </c>
      <c r="I2642" s="264"/>
      <c r="J2642" s="263" t="s">
        <v>437</v>
      </c>
    </row>
    <row r="2643" spans="1:10" x14ac:dyDescent="0.15">
      <c r="A2643" s="263" t="s">
        <v>6954</v>
      </c>
      <c r="B2643" s="263" t="s">
        <v>6955</v>
      </c>
      <c r="C2643" s="263" t="s">
        <v>81</v>
      </c>
      <c r="D2643" s="263" t="s">
        <v>6956</v>
      </c>
      <c r="E2643" s="263" t="s">
        <v>88</v>
      </c>
      <c r="F2643">
        <v>0</v>
      </c>
      <c r="G2643">
        <v>2</v>
      </c>
      <c r="H2643" s="263" t="s">
        <v>436</v>
      </c>
      <c r="I2643" s="264"/>
      <c r="J2643" s="263" t="s">
        <v>437</v>
      </c>
    </row>
    <row r="2644" spans="1:10" x14ac:dyDescent="0.15">
      <c r="A2644" s="263" t="s">
        <v>6957</v>
      </c>
      <c r="B2644" s="263" t="s">
        <v>6958</v>
      </c>
      <c r="C2644" s="263" t="s">
        <v>81</v>
      </c>
      <c r="D2644" s="263" t="s">
        <v>6959</v>
      </c>
      <c r="E2644" s="263" t="s">
        <v>88</v>
      </c>
      <c r="F2644">
        <v>0</v>
      </c>
      <c r="G2644">
        <v>2</v>
      </c>
      <c r="H2644" s="263" t="s">
        <v>436</v>
      </c>
      <c r="I2644" s="264"/>
      <c r="J2644" s="263" t="s">
        <v>437</v>
      </c>
    </row>
    <row r="2645" spans="1:10" x14ac:dyDescent="0.15">
      <c r="A2645" s="263" t="s">
        <v>6960</v>
      </c>
      <c r="B2645" s="263" t="s">
        <v>6961</v>
      </c>
      <c r="C2645" s="263" t="s">
        <v>81</v>
      </c>
      <c r="D2645" s="263" t="s">
        <v>6962</v>
      </c>
      <c r="E2645" s="263" t="s">
        <v>88</v>
      </c>
      <c r="F2645">
        <v>0</v>
      </c>
      <c r="G2645">
        <v>2</v>
      </c>
      <c r="H2645" s="263" t="s">
        <v>436</v>
      </c>
      <c r="I2645" s="264"/>
      <c r="J2645" s="263" t="s">
        <v>437</v>
      </c>
    </row>
    <row r="2646" spans="1:10" x14ac:dyDescent="0.15">
      <c r="A2646" s="263" t="s">
        <v>6963</v>
      </c>
      <c r="B2646" s="263" t="s">
        <v>6964</v>
      </c>
      <c r="C2646" s="263" t="s">
        <v>81</v>
      </c>
      <c r="D2646" s="263" t="s">
        <v>6965</v>
      </c>
      <c r="E2646" s="263" t="s">
        <v>88</v>
      </c>
      <c r="F2646">
        <v>0</v>
      </c>
      <c r="G2646">
        <v>2</v>
      </c>
      <c r="H2646" s="263" t="s">
        <v>436</v>
      </c>
      <c r="I2646" s="264"/>
      <c r="J2646" s="263" t="s">
        <v>437</v>
      </c>
    </row>
    <row r="2647" spans="1:10" x14ac:dyDescent="0.15">
      <c r="A2647" s="263" t="s">
        <v>6966</v>
      </c>
      <c r="B2647" s="263" t="s">
        <v>6967</v>
      </c>
      <c r="C2647" s="263" t="s">
        <v>81</v>
      </c>
      <c r="D2647" s="263" t="s">
        <v>6968</v>
      </c>
      <c r="E2647" s="263" t="s">
        <v>88</v>
      </c>
      <c r="F2647">
        <v>0</v>
      </c>
      <c r="G2647">
        <v>2</v>
      </c>
      <c r="H2647" s="263" t="s">
        <v>436</v>
      </c>
      <c r="I2647" s="264"/>
      <c r="J2647" s="263" t="s">
        <v>437</v>
      </c>
    </row>
    <row r="2648" spans="1:10" x14ac:dyDescent="0.15">
      <c r="A2648" s="263" t="s">
        <v>6969</v>
      </c>
      <c r="B2648" s="263" t="s">
        <v>6970</v>
      </c>
      <c r="C2648" s="263" t="s">
        <v>81</v>
      </c>
      <c r="D2648" s="263" t="s">
        <v>6971</v>
      </c>
      <c r="E2648" s="263" t="s">
        <v>88</v>
      </c>
      <c r="F2648">
        <v>0</v>
      </c>
      <c r="G2648">
        <v>2</v>
      </c>
      <c r="H2648" s="263" t="s">
        <v>436</v>
      </c>
      <c r="I2648" s="264"/>
      <c r="J2648" s="263" t="s">
        <v>437</v>
      </c>
    </row>
    <row r="2649" spans="1:10" x14ac:dyDescent="0.15">
      <c r="A2649" s="263" t="s">
        <v>6972</v>
      </c>
      <c r="B2649" s="263" t="s">
        <v>6973</v>
      </c>
      <c r="C2649" s="263" t="s">
        <v>81</v>
      </c>
      <c r="D2649" s="263" t="s">
        <v>6974</v>
      </c>
      <c r="E2649" s="263" t="s">
        <v>88</v>
      </c>
      <c r="F2649">
        <v>0</v>
      </c>
      <c r="G2649">
        <v>2</v>
      </c>
      <c r="H2649" s="263" t="s">
        <v>436</v>
      </c>
      <c r="I2649" s="264"/>
      <c r="J2649" s="263" t="s">
        <v>437</v>
      </c>
    </row>
    <row r="2650" spans="1:10" x14ac:dyDescent="0.15">
      <c r="A2650" s="263" t="s">
        <v>6975</v>
      </c>
      <c r="B2650" s="263" t="s">
        <v>6976</v>
      </c>
      <c r="C2650" s="263" t="s">
        <v>81</v>
      </c>
      <c r="D2650" s="263" t="s">
        <v>6977</v>
      </c>
      <c r="E2650" s="263" t="s">
        <v>88</v>
      </c>
      <c r="F2650">
        <v>0</v>
      </c>
      <c r="G2650">
        <v>2</v>
      </c>
      <c r="H2650" s="263" t="s">
        <v>436</v>
      </c>
      <c r="I2650" s="264"/>
      <c r="J2650" s="263" t="s">
        <v>437</v>
      </c>
    </row>
    <row r="2651" spans="1:10" x14ac:dyDescent="0.15">
      <c r="A2651" s="263" t="s">
        <v>6978</v>
      </c>
      <c r="B2651" s="263" t="s">
        <v>6979</v>
      </c>
      <c r="C2651" s="263" t="s">
        <v>81</v>
      </c>
      <c r="D2651" s="263" t="s">
        <v>6980</v>
      </c>
      <c r="E2651" s="263" t="s">
        <v>88</v>
      </c>
      <c r="F2651">
        <v>0</v>
      </c>
      <c r="G2651">
        <v>2</v>
      </c>
      <c r="H2651" s="263" t="s">
        <v>436</v>
      </c>
      <c r="I2651" s="264"/>
      <c r="J2651" s="263" t="s">
        <v>437</v>
      </c>
    </row>
    <row r="2652" spans="1:10" x14ac:dyDescent="0.15">
      <c r="A2652" s="263" t="s">
        <v>6981</v>
      </c>
      <c r="B2652" s="263" t="s">
        <v>6982</v>
      </c>
      <c r="C2652" s="263" t="s">
        <v>81</v>
      </c>
      <c r="D2652" s="263" t="s">
        <v>6983</v>
      </c>
      <c r="E2652" s="263" t="s">
        <v>88</v>
      </c>
      <c r="F2652">
        <v>0</v>
      </c>
      <c r="G2652">
        <v>2</v>
      </c>
      <c r="H2652" s="263" t="s">
        <v>436</v>
      </c>
      <c r="I2652" s="264"/>
      <c r="J2652" s="263" t="s">
        <v>437</v>
      </c>
    </row>
    <row r="2653" spans="1:10" x14ac:dyDescent="0.15">
      <c r="A2653" s="263" t="s">
        <v>6984</v>
      </c>
      <c r="B2653" s="263" t="s">
        <v>6985</v>
      </c>
      <c r="C2653" s="263" t="s">
        <v>81</v>
      </c>
      <c r="D2653" s="263" t="s">
        <v>6986</v>
      </c>
      <c r="E2653" s="263" t="s">
        <v>88</v>
      </c>
      <c r="F2653">
        <v>0</v>
      </c>
      <c r="G2653">
        <v>2</v>
      </c>
      <c r="H2653" s="263" t="s">
        <v>436</v>
      </c>
      <c r="I2653" s="264"/>
      <c r="J2653" s="263" t="s">
        <v>437</v>
      </c>
    </row>
    <row r="2654" spans="1:10" x14ac:dyDescent="0.15">
      <c r="A2654" s="263" t="s">
        <v>6987</v>
      </c>
      <c r="B2654" s="263" t="s">
        <v>6988</v>
      </c>
      <c r="C2654" s="263" t="s">
        <v>81</v>
      </c>
      <c r="D2654" s="263" t="s">
        <v>6989</v>
      </c>
      <c r="E2654" s="263" t="s">
        <v>88</v>
      </c>
      <c r="F2654">
        <v>0</v>
      </c>
      <c r="G2654">
        <v>2</v>
      </c>
      <c r="H2654" s="263" t="s">
        <v>436</v>
      </c>
      <c r="I2654" s="264"/>
      <c r="J2654" s="263" t="s">
        <v>437</v>
      </c>
    </row>
    <row r="2655" spans="1:10" x14ac:dyDescent="0.15">
      <c r="A2655" s="263" t="s">
        <v>6990</v>
      </c>
      <c r="B2655" s="263" t="s">
        <v>6991</v>
      </c>
      <c r="C2655" s="263" t="s">
        <v>81</v>
      </c>
      <c r="D2655" s="263" t="s">
        <v>6992</v>
      </c>
      <c r="E2655" s="263" t="s">
        <v>88</v>
      </c>
      <c r="F2655">
        <v>0</v>
      </c>
      <c r="G2655">
        <v>2</v>
      </c>
      <c r="H2655" s="263" t="s">
        <v>436</v>
      </c>
      <c r="I2655" s="264"/>
      <c r="J2655" s="263" t="s">
        <v>437</v>
      </c>
    </row>
    <row r="2656" spans="1:10" x14ac:dyDescent="0.15">
      <c r="A2656" s="263" t="s">
        <v>6993</v>
      </c>
      <c r="B2656" s="263" t="s">
        <v>6994</v>
      </c>
      <c r="C2656" s="263" t="s">
        <v>81</v>
      </c>
      <c r="D2656" s="263" t="s">
        <v>6995</v>
      </c>
      <c r="E2656" s="263" t="s">
        <v>88</v>
      </c>
      <c r="F2656">
        <v>0</v>
      </c>
      <c r="G2656">
        <v>2</v>
      </c>
      <c r="H2656" s="263" t="s">
        <v>436</v>
      </c>
      <c r="I2656" s="264"/>
      <c r="J2656" s="263" t="s">
        <v>437</v>
      </c>
    </row>
    <row r="2657" spans="1:10" x14ac:dyDescent="0.15">
      <c r="A2657" s="263" t="s">
        <v>6996</v>
      </c>
      <c r="B2657" s="263" t="s">
        <v>6997</v>
      </c>
      <c r="C2657" s="263" t="s">
        <v>81</v>
      </c>
      <c r="D2657" s="263" t="s">
        <v>6998</v>
      </c>
      <c r="E2657" s="263" t="s">
        <v>88</v>
      </c>
      <c r="F2657">
        <v>0</v>
      </c>
      <c r="G2657">
        <v>2</v>
      </c>
      <c r="H2657" s="263" t="s">
        <v>436</v>
      </c>
      <c r="I2657" s="264"/>
      <c r="J2657" s="263" t="s">
        <v>437</v>
      </c>
    </row>
    <row r="2658" spans="1:10" x14ac:dyDescent="0.15">
      <c r="A2658" s="263" t="s">
        <v>6999</v>
      </c>
      <c r="B2658" s="263" t="s">
        <v>7000</v>
      </c>
      <c r="C2658" s="263" t="s">
        <v>81</v>
      </c>
      <c r="D2658" s="263" t="s">
        <v>7001</v>
      </c>
      <c r="E2658" s="263" t="s">
        <v>88</v>
      </c>
      <c r="F2658">
        <v>0</v>
      </c>
      <c r="G2658">
        <v>2</v>
      </c>
      <c r="H2658" s="263" t="s">
        <v>436</v>
      </c>
      <c r="I2658" s="264"/>
      <c r="J2658" s="263" t="s">
        <v>437</v>
      </c>
    </row>
    <row r="2659" spans="1:10" x14ac:dyDescent="0.15">
      <c r="A2659" s="263" t="s">
        <v>7002</v>
      </c>
      <c r="B2659" s="263" t="s">
        <v>7003</v>
      </c>
      <c r="C2659" s="263" t="s">
        <v>81</v>
      </c>
      <c r="D2659" s="263" t="s">
        <v>7004</v>
      </c>
      <c r="E2659" s="263" t="s">
        <v>88</v>
      </c>
      <c r="F2659">
        <v>0</v>
      </c>
      <c r="G2659">
        <v>2</v>
      </c>
      <c r="H2659" s="263" t="s">
        <v>436</v>
      </c>
      <c r="I2659" s="264"/>
      <c r="J2659" s="263" t="s">
        <v>437</v>
      </c>
    </row>
    <row r="2660" spans="1:10" x14ac:dyDescent="0.15">
      <c r="A2660" s="263" t="s">
        <v>7005</v>
      </c>
      <c r="B2660" s="263" t="s">
        <v>7006</v>
      </c>
      <c r="C2660" s="263" t="s">
        <v>81</v>
      </c>
      <c r="D2660" s="263" t="s">
        <v>7007</v>
      </c>
      <c r="E2660" s="263" t="s">
        <v>88</v>
      </c>
      <c r="F2660">
        <v>0</v>
      </c>
      <c r="G2660">
        <v>2</v>
      </c>
      <c r="H2660" s="263" t="s">
        <v>436</v>
      </c>
      <c r="I2660" s="264"/>
      <c r="J2660" s="263" t="s">
        <v>437</v>
      </c>
    </row>
    <row r="2661" spans="1:10" x14ac:dyDescent="0.15">
      <c r="A2661" s="263" t="s">
        <v>9113</v>
      </c>
      <c r="B2661" s="263" t="s">
        <v>9114</v>
      </c>
      <c r="C2661" s="263" t="s">
        <v>81</v>
      </c>
      <c r="D2661" s="263" t="s">
        <v>9115</v>
      </c>
      <c r="E2661" s="263" t="s">
        <v>88</v>
      </c>
      <c r="F2661">
        <v>0</v>
      </c>
      <c r="G2661">
        <v>2</v>
      </c>
      <c r="H2661" s="263" t="s">
        <v>436</v>
      </c>
      <c r="I2661" s="264"/>
      <c r="J2661" s="263" t="s">
        <v>437</v>
      </c>
    </row>
    <row r="2662" spans="1:10" x14ac:dyDescent="0.15">
      <c r="A2662" s="263" t="s">
        <v>9116</v>
      </c>
      <c r="B2662" s="263" t="s">
        <v>9117</v>
      </c>
      <c r="C2662" s="263" t="s">
        <v>81</v>
      </c>
      <c r="D2662" s="263" t="s">
        <v>9118</v>
      </c>
      <c r="E2662" s="263" t="s">
        <v>88</v>
      </c>
      <c r="F2662">
        <v>0</v>
      </c>
      <c r="G2662">
        <v>2</v>
      </c>
      <c r="H2662" s="263" t="s">
        <v>436</v>
      </c>
      <c r="I2662" s="264"/>
      <c r="J2662" s="263" t="s">
        <v>437</v>
      </c>
    </row>
    <row r="2663" spans="1:10" x14ac:dyDescent="0.15">
      <c r="A2663" s="263" t="s">
        <v>9119</v>
      </c>
      <c r="B2663" s="263" t="s">
        <v>9120</v>
      </c>
      <c r="C2663" s="263" t="s">
        <v>81</v>
      </c>
      <c r="D2663" s="263" t="s">
        <v>9121</v>
      </c>
      <c r="E2663" s="263" t="s">
        <v>88</v>
      </c>
      <c r="F2663">
        <v>0</v>
      </c>
      <c r="G2663">
        <v>2</v>
      </c>
      <c r="H2663" s="263" t="s">
        <v>436</v>
      </c>
      <c r="I2663" s="264"/>
      <c r="J2663" s="263" t="s">
        <v>437</v>
      </c>
    </row>
    <row r="2664" spans="1:10" x14ac:dyDescent="0.15">
      <c r="A2664" s="263" t="s">
        <v>7008</v>
      </c>
      <c r="B2664" s="263" t="s">
        <v>7009</v>
      </c>
      <c r="C2664" s="263" t="s">
        <v>81</v>
      </c>
      <c r="D2664" s="263" t="s">
        <v>7010</v>
      </c>
      <c r="E2664" s="263" t="s">
        <v>88</v>
      </c>
      <c r="F2664">
        <v>0</v>
      </c>
      <c r="G2664">
        <v>2</v>
      </c>
      <c r="H2664" s="263" t="s">
        <v>436</v>
      </c>
      <c r="I2664" s="264"/>
      <c r="J2664" s="263" t="s">
        <v>437</v>
      </c>
    </row>
    <row r="2665" spans="1:10" x14ac:dyDescent="0.15">
      <c r="A2665" s="263" t="s">
        <v>7011</v>
      </c>
      <c r="B2665" s="263" t="s">
        <v>7012</v>
      </c>
      <c r="C2665" s="263" t="s">
        <v>81</v>
      </c>
      <c r="D2665" s="263" t="s">
        <v>7013</v>
      </c>
      <c r="E2665" s="263" t="s">
        <v>88</v>
      </c>
      <c r="F2665">
        <v>0</v>
      </c>
      <c r="G2665">
        <v>2</v>
      </c>
      <c r="H2665" s="263" t="s">
        <v>436</v>
      </c>
      <c r="I2665" s="264"/>
      <c r="J2665" s="263" t="s">
        <v>437</v>
      </c>
    </row>
    <row r="2666" spans="1:10" x14ac:dyDescent="0.15">
      <c r="A2666" s="263" t="s">
        <v>7014</v>
      </c>
      <c r="B2666" s="263" t="s">
        <v>7015</v>
      </c>
      <c r="C2666" s="263" t="s">
        <v>99</v>
      </c>
      <c r="D2666" s="263" t="s">
        <v>7016</v>
      </c>
      <c r="E2666" s="263" t="s">
        <v>84</v>
      </c>
      <c r="F2666">
        <v>0</v>
      </c>
      <c r="G2666">
        <v>2</v>
      </c>
      <c r="H2666" s="263" t="s">
        <v>436</v>
      </c>
      <c r="I2666" s="264"/>
      <c r="J2666" s="263" t="s">
        <v>437</v>
      </c>
    </row>
    <row r="2667" spans="1:10" x14ac:dyDescent="0.15">
      <c r="A2667" s="263" t="s">
        <v>7017</v>
      </c>
      <c r="B2667" s="263" t="s">
        <v>7018</v>
      </c>
      <c r="C2667" s="263" t="s">
        <v>99</v>
      </c>
      <c r="D2667" s="263" t="s">
        <v>7019</v>
      </c>
      <c r="E2667" s="263" t="s">
        <v>84</v>
      </c>
      <c r="F2667">
        <v>0</v>
      </c>
      <c r="G2667">
        <v>2</v>
      </c>
      <c r="H2667" s="263" t="s">
        <v>436</v>
      </c>
      <c r="I2667" s="264"/>
      <c r="J2667" s="263" t="s">
        <v>437</v>
      </c>
    </row>
    <row r="2668" spans="1:10" x14ac:dyDescent="0.15">
      <c r="A2668" s="263" t="s">
        <v>7020</v>
      </c>
      <c r="B2668" s="263" t="s">
        <v>7021</v>
      </c>
      <c r="C2668" s="263" t="s">
        <v>99</v>
      </c>
      <c r="D2668" s="263" t="s">
        <v>7022</v>
      </c>
      <c r="E2668" s="263" t="s">
        <v>84</v>
      </c>
      <c r="F2668">
        <v>0</v>
      </c>
      <c r="G2668">
        <v>2</v>
      </c>
      <c r="H2668" s="263" t="s">
        <v>436</v>
      </c>
      <c r="I2668" s="264"/>
      <c r="J2668" s="263" t="s">
        <v>437</v>
      </c>
    </row>
    <row r="2669" spans="1:10" x14ac:dyDescent="0.15">
      <c r="A2669" s="263" t="s">
        <v>7023</v>
      </c>
      <c r="B2669" s="263" t="s">
        <v>7024</v>
      </c>
      <c r="C2669" s="263" t="s">
        <v>98</v>
      </c>
      <c r="D2669" s="263" t="s">
        <v>7025</v>
      </c>
      <c r="E2669" s="263" t="s">
        <v>110</v>
      </c>
      <c r="F2669">
        <v>0</v>
      </c>
      <c r="G2669">
        <v>2</v>
      </c>
      <c r="H2669" s="263" t="s">
        <v>436</v>
      </c>
      <c r="I2669" s="264"/>
      <c r="J2669" s="263" t="s">
        <v>437</v>
      </c>
    </row>
    <row r="2670" spans="1:10" x14ac:dyDescent="0.15">
      <c r="A2670" s="263" t="s">
        <v>7026</v>
      </c>
      <c r="B2670" s="263" t="s">
        <v>7015</v>
      </c>
      <c r="C2670" s="263" t="s">
        <v>98</v>
      </c>
      <c r="D2670" s="263" t="s">
        <v>7016</v>
      </c>
      <c r="E2670" s="263" t="s">
        <v>110</v>
      </c>
      <c r="F2670">
        <v>0</v>
      </c>
      <c r="G2670">
        <v>2</v>
      </c>
      <c r="H2670" s="263" t="s">
        <v>436</v>
      </c>
      <c r="I2670" s="264"/>
      <c r="J2670" s="263" t="s">
        <v>437</v>
      </c>
    </row>
    <row r="2671" spans="1:10" x14ac:dyDescent="0.15">
      <c r="A2671" s="263" t="s">
        <v>7027</v>
      </c>
      <c r="B2671" s="263" t="s">
        <v>7028</v>
      </c>
      <c r="C2671" s="263" t="s">
        <v>94</v>
      </c>
      <c r="D2671" s="263" t="s">
        <v>7029</v>
      </c>
      <c r="E2671" s="263" t="s">
        <v>94</v>
      </c>
      <c r="F2671">
        <v>0</v>
      </c>
      <c r="G2671">
        <v>2</v>
      </c>
      <c r="H2671" s="263" t="s">
        <v>436</v>
      </c>
      <c r="I2671" s="264"/>
      <c r="J2671" s="263" t="s">
        <v>437</v>
      </c>
    </row>
    <row r="2672" spans="1:10" x14ac:dyDescent="0.15">
      <c r="A2672" s="263" t="s">
        <v>7030</v>
      </c>
      <c r="B2672" s="263" t="s">
        <v>7031</v>
      </c>
      <c r="C2672" s="263" t="s">
        <v>99</v>
      </c>
      <c r="D2672" s="263" t="s">
        <v>7032</v>
      </c>
      <c r="E2672" s="263" t="s">
        <v>84</v>
      </c>
      <c r="F2672">
        <v>0</v>
      </c>
      <c r="G2672">
        <v>2</v>
      </c>
      <c r="H2672" s="263" t="s">
        <v>436</v>
      </c>
      <c r="I2672" s="264"/>
      <c r="J2672" s="263" t="s">
        <v>437</v>
      </c>
    </row>
    <row r="2673" spans="1:10" x14ac:dyDescent="0.15">
      <c r="A2673" s="263" t="s">
        <v>7033</v>
      </c>
      <c r="B2673" s="263" t="s">
        <v>7031</v>
      </c>
      <c r="C2673" s="263" t="s">
        <v>98</v>
      </c>
      <c r="D2673" s="263" t="s">
        <v>7032</v>
      </c>
      <c r="E2673" s="263" t="s">
        <v>110</v>
      </c>
      <c r="F2673">
        <v>0</v>
      </c>
      <c r="G2673">
        <v>2</v>
      </c>
      <c r="H2673" s="263" t="s">
        <v>436</v>
      </c>
      <c r="I2673" s="264"/>
      <c r="J2673" s="263" t="s">
        <v>437</v>
      </c>
    </row>
    <row r="2674" spans="1:10" x14ac:dyDescent="0.15">
      <c r="A2674" s="263" t="s">
        <v>9122</v>
      </c>
      <c r="B2674" s="263" t="s">
        <v>9123</v>
      </c>
      <c r="C2674" s="263" t="s">
        <v>81</v>
      </c>
      <c r="D2674" s="263" t="s">
        <v>9124</v>
      </c>
      <c r="E2674" s="263" t="s">
        <v>88</v>
      </c>
      <c r="F2674">
        <v>0</v>
      </c>
      <c r="G2674">
        <v>2</v>
      </c>
      <c r="H2674" s="263" t="s">
        <v>436</v>
      </c>
      <c r="I2674" s="264"/>
      <c r="J2674" s="263" t="s">
        <v>437</v>
      </c>
    </row>
    <row r="2675" spans="1:10" x14ac:dyDescent="0.15">
      <c r="A2675" s="263" t="s">
        <v>7034</v>
      </c>
      <c r="B2675" s="263" t="s">
        <v>7035</v>
      </c>
      <c r="C2675" s="263" t="s">
        <v>81</v>
      </c>
      <c r="D2675" s="263" t="s">
        <v>7036</v>
      </c>
      <c r="E2675" s="263" t="s">
        <v>88</v>
      </c>
      <c r="F2675">
        <v>0</v>
      </c>
      <c r="G2675">
        <v>2</v>
      </c>
      <c r="H2675" s="263" t="s">
        <v>436</v>
      </c>
      <c r="I2675" s="264"/>
      <c r="J2675" s="263" t="s">
        <v>437</v>
      </c>
    </row>
    <row r="2676" spans="1:10" x14ac:dyDescent="0.15">
      <c r="A2676" s="263" t="s">
        <v>7037</v>
      </c>
      <c r="B2676" s="263" t="s">
        <v>7038</v>
      </c>
      <c r="C2676" s="263" t="s">
        <v>81</v>
      </c>
      <c r="D2676" s="263" t="s">
        <v>7039</v>
      </c>
      <c r="E2676" s="263" t="s">
        <v>88</v>
      </c>
      <c r="F2676">
        <v>0</v>
      </c>
      <c r="G2676">
        <v>2</v>
      </c>
      <c r="H2676" s="263" t="s">
        <v>436</v>
      </c>
      <c r="I2676" s="264"/>
      <c r="J2676" s="263" t="s">
        <v>437</v>
      </c>
    </row>
    <row r="2677" spans="1:10" x14ac:dyDescent="0.15">
      <c r="A2677" s="263" t="s">
        <v>7040</v>
      </c>
      <c r="B2677" s="263" t="s">
        <v>7041</v>
      </c>
      <c r="C2677" s="263" t="s">
        <v>81</v>
      </c>
      <c r="D2677" s="263" t="s">
        <v>7042</v>
      </c>
      <c r="E2677" s="263" t="s">
        <v>88</v>
      </c>
      <c r="F2677">
        <v>0</v>
      </c>
      <c r="G2677">
        <v>2</v>
      </c>
      <c r="H2677" s="263" t="s">
        <v>436</v>
      </c>
      <c r="I2677" s="264"/>
      <c r="J2677" s="263" t="s">
        <v>437</v>
      </c>
    </row>
    <row r="2678" spans="1:10" x14ac:dyDescent="0.15">
      <c r="A2678" s="263" t="s">
        <v>7043</v>
      </c>
      <c r="B2678" s="263" t="s">
        <v>7044</v>
      </c>
      <c r="C2678" s="263" t="s">
        <v>81</v>
      </c>
      <c r="D2678" s="263" t="s">
        <v>7045</v>
      </c>
      <c r="E2678" s="263" t="s">
        <v>88</v>
      </c>
      <c r="F2678">
        <v>0</v>
      </c>
      <c r="G2678">
        <v>2</v>
      </c>
      <c r="H2678" s="263" t="s">
        <v>436</v>
      </c>
      <c r="I2678" s="264"/>
      <c r="J2678" s="263" t="s">
        <v>437</v>
      </c>
    </row>
    <row r="2679" spans="1:10" x14ac:dyDescent="0.15">
      <c r="A2679" s="263" t="s">
        <v>7046</v>
      </c>
      <c r="B2679" s="263" t="s">
        <v>7047</v>
      </c>
      <c r="C2679" s="263" t="s">
        <v>81</v>
      </c>
      <c r="D2679" s="263" t="s">
        <v>7048</v>
      </c>
      <c r="E2679" s="263" t="s">
        <v>88</v>
      </c>
      <c r="F2679">
        <v>0</v>
      </c>
      <c r="G2679">
        <v>2</v>
      </c>
      <c r="H2679" s="263" t="s">
        <v>436</v>
      </c>
      <c r="I2679" s="264"/>
      <c r="J2679" s="263" t="s">
        <v>437</v>
      </c>
    </row>
    <row r="2680" spans="1:10" x14ac:dyDescent="0.15">
      <c r="A2680" s="263" t="s">
        <v>7049</v>
      </c>
      <c r="B2680" s="263" t="s">
        <v>7050</v>
      </c>
      <c r="C2680" s="263" t="s">
        <v>81</v>
      </c>
      <c r="D2680" s="263" t="s">
        <v>7051</v>
      </c>
      <c r="E2680" s="263" t="s">
        <v>88</v>
      </c>
      <c r="F2680">
        <v>0</v>
      </c>
      <c r="G2680">
        <v>2</v>
      </c>
      <c r="H2680" s="263" t="s">
        <v>436</v>
      </c>
      <c r="I2680" s="264"/>
      <c r="J2680" s="263" t="s">
        <v>437</v>
      </c>
    </row>
    <row r="2681" spans="1:10" x14ac:dyDescent="0.15">
      <c r="A2681" s="263" t="s">
        <v>7052</v>
      </c>
      <c r="B2681" s="263" t="s">
        <v>7053</v>
      </c>
      <c r="C2681" s="263" t="s">
        <v>81</v>
      </c>
      <c r="D2681" s="263" t="s">
        <v>7054</v>
      </c>
      <c r="E2681" s="263" t="s">
        <v>88</v>
      </c>
      <c r="F2681">
        <v>0</v>
      </c>
      <c r="G2681">
        <v>2</v>
      </c>
      <c r="H2681" s="263" t="s">
        <v>436</v>
      </c>
      <c r="I2681" s="264"/>
      <c r="J2681" s="263" t="s">
        <v>437</v>
      </c>
    </row>
    <row r="2682" spans="1:10" x14ac:dyDescent="0.15">
      <c r="A2682" s="263" t="s">
        <v>9125</v>
      </c>
      <c r="B2682" s="263" t="s">
        <v>9126</v>
      </c>
      <c r="C2682" s="263" t="s">
        <v>81</v>
      </c>
      <c r="D2682" s="263" t="s">
        <v>9127</v>
      </c>
      <c r="E2682" s="263" t="s">
        <v>88</v>
      </c>
      <c r="F2682">
        <v>0</v>
      </c>
      <c r="G2682">
        <v>2</v>
      </c>
      <c r="H2682" s="263" t="s">
        <v>436</v>
      </c>
      <c r="I2682" s="264"/>
      <c r="J2682" s="263" t="s">
        <v>437</v>
      </c>
    </row>
    <row r="2683" spans="1:10" x14ac:dyDescent="0.15">
      <c r="A2683" s="263" t="s">
        <v>9128</v>
      </c>
      <c r="B2683" s="263" t="s">
        <v>9129</v>
      </c>
      <c r="C2683" s="263" t="s">
        <v>81</v>
      </c>
      <c r="D2683" s="263" t="s">
        <v>9130</v>
      </c>
      <c r="E2683" s="263" t="s">
        <v>88</v>
      </c>
      <c r="F2683">
        <v>0</v>
      </c>
      <c r="G2683">
        <v>2</v>
      </c>
      <c r="H2683" s="263" t="s">
        <v>436</v>
      </c>
      <c r="I2683" s="264"/>
      <c r="J2683" s="263" t="s">
        <v>437</v>
      </c>
    </row>
    <row r="2684" spans="1:10" x14ac:dyDescent="0.15">
      <c r="A2684" s="263" t="s">
        <v>7055</v>
      </c>
      <c r="B2684" s="263" t="s">
        <v>7056</v>
      </c>
      <c r="C2684" s="263" t="s">
        <v>99</v>
      </c>
      <c r="D2684" s="263" t="s">
        <v>7057</v>
      </c>
      <c r="E2684" s="263" t="s">
        <v>84</v>
      </c>
      <c r="F2684">
        <v>0</v>
      </c>
      <c r="G2684">
        <v>2</v>
      </c>
      <c r="H2684" s="263" t="s">
        <v>436</v>
      </c>
      <c r="I2684" s="264"/>
      <c r="J2684" s="263" t="s">
        <v>437</v>
      </c>
    </row>
    <row r="2685" spans="1:10" x14ac:dyDescent="0.15">
      <c r="A2685" s="263" t="s">
        <v>7058</v>
      </c>
      <c r="B2685" s="263" t="s">
        <v>7056</v>
      </c>
      <c r="C2685" s="263" t="s">
        <v>98</v>
      </c>
      <c r="D2685" s="263" t="s">
        <v>7057</v>
      </c>
      <c r="E2685" s="263" t="s">
        <v>110</v>
      </c>
      <c r="F2685">
        <v>0</v>
      </c>
      <c r="G2685">
        <v>2</v>
      </c>
      <c r="H2685" s="263" t="s">
        <v>436</v>
      </c>
      <c r="I2685" s="264"/>
      <c r="J2685" s="263" t="s">
        <v>437</v>
      </c>
    </row>
    <row r="2686" spans="1:10" x14ac:dyDescent="0.15">
      <c r="A2686" s="263" t="s">
        <v>7059</v>
      </c>
      <c r="B2686" s="263" t="s">
        <v>7056</v>
      </c>
      <c r="C2686" s="263" t="s">
        <v>96</v>
      </c>
      <c r="D2686" s="263" t="s">
        <v>7057</v>
      </c>
      <c r="E2686" s="263" t="s">
        <v>97</v>
      </c>
      <c r="F2686">
        <v>0</v>
      </c>
      <c r="G2686">
        <v>2</v>
      </c>
      <c r="H2686" s="263" t="s">
        <v>436</v>
      </c>
      <c r="I2686" s="264"/>
      <c r="J2686" s="263" t="s">
        <v>437</v>
      </c>
    </row>
    <row r="2687" spans="1:10" x14ac:dyDescent="0.15">
      <c r="A2687" s="263" t="s">
        <v>7060</v>
      </c>
      <c r="B2687" s="263" t="s">
        <v>7061</v>
      </c>
      <c r="C2687" s="263" t="s">
        <v>96</v>
      </c>
      <c r="D2687" s="263" t="s">
        <v>7062</v>
      </c>
      <c r="E2687" s="263" t="s">
        <v>97</v>
      </c>
      <c r="F2687">
        <v>0</v>
      </c>
      <c r="G2687">
        <v>2</v>
      </c>
      <c r="H2687" s="263" t="s">
        <v>436</v>
      </c>
      <c r="I2687" s="264"/>
      <c r="J2687" s="263" t="s">
        <v>437</v>
      </c>
    </row>
    <row r="2688" spans="1:10" x14ac:dyDescent="0.15">
      <c r="A2688" s="263" t="s">
        <v>7063</v>
      </c>
      <c r="B2688" s="263" t="s">
        <v>7064</v>
      </c>
      <c r="C2688" s="263" t="s">
        <v>96</v>
      </c>
      <c r="D2688" s="263" t="s">
        <v>7065</v>
      </c>
      <c r="E2688" s="263" t="s">
        <v>97</v>
      </c>
      <c r="F2688">
        <v>0</v>
      </c>
      <c r="G2688">
        <v>2</v>
      </c>
      <c r="H2688" s="263" t="s">
        <v>436</v>
      </c>
      <c r="I2688" s="264"/>
      <c r="J2688" s="263" t="s">
        <v>437</v>
      </c>
    </row>
    <row r="2689" spans="1:10" x14ac:dyDescent="0.15">
      <c r="A2689" s="263" t="s">
        <v>7066</v>
      </c>
      <c r="B2689" s="263" t="s">
        <v>7067</v>
      </c>
      <c r="C2689" s="263" t="s">
        <v>81</v>
      </c>
      <c r="D2689" s="263" t="s">
        <v>7068</v>
      </c>
      <c r="E2689" s="263" t="s">
        <v>88</v>
      </c>
      <c r="F2689">
        <v>0</v>
      </c>
      <c r="G2689">
        <v>2</v>
      </c>
      <c r="H2689" s="263" t="s">
        <v>436</v>
      </c>
      <c r="I2689" s="264"/>
      <c r="J2689" s="263" t="s">
        <v>437</v>
      </c>
    </row>
    <row r="2690" spans="1:10" x14ac:dyDescent="0.15">
      <c r="A2690" s="263" t="s">
        <v>7069</v>
      </c>
      <c r="B2690" s="263" t="s">
        <v>7070</v>
      </c>
      <c r="C2690" s="263" t="s">
        <v>96</v>
      </c>
      <c r="D2690" s="263" t="s">
        <v>7071</v>
      </c>
      <c r="E2690" s="263" t="s">
        <v>97</v>
      </c>
      <c r="F2690">
        <v>0</v>
      </c>
      <c r="G2690">
        <v>2</v>
      </c>
      <c r="H2690" s="263" t="s">
        <v>436</v>
      </c>
      <c r="I2690" s="264"/>
      <c r="J2690" s="263" t="s">
        <v>437</v>
      </c>
    </row>
    <row r="2691" spans="1:10" x14ac:dyDescent="0.15">
      <c r="A2691" s="263" t="s">
        <v>7072</v>
      </c>
      <c r="B2691" s="263" t="s">
        <v>7070</v>
      </c>
      <c r="C2691" s="263" t="s">
        <v>98</v>
      </c>
      <c r="D2691" s="263" t="s">
        <v>7071</v>
      </c>
      <c r="E2691" s="263" t="s">
        <v>109</v>
      </c>
      <c r="F2691">
        <v>0</v>
      </c>
      <c r="G2691">
        <v>2</v>
      </c>
      <c r="H2691" s="263" t="s">
        <v>436</v>
      </c>
      <c r="I2691" s="264"/>
      <c r="J2691" s="263" t="s">
        <v>437</v>
      </c>
    </row>
    <row r="2692" spans="1:10" x14ac:dyDescent="0.15">
      <c r="A2692" s="263" t="s">
        <v>7073</v>
      </c>
      <c r="B2692" s="263" t="s">
        <v>7070</v>
      </c>
      <c r="C2692" s="263" t="s">
        <v>94</v>
      </c>
      <c r="D2692" s="263" t="s">
        <v>7071</v>
      </c>
      <c r="E2692" s="263" t="s">
        <v>94</v>
      </c>
      <c r="F2692">
        <v>0</v>
      </c>
      <c r="G2692">
        <v>2</v>
      </c>
      <c r="H2692" s="263" t="s">
        <v>436</v>
      </c>
      <c r="I2692" s="264"/>
      <c r="J2692" s="263" t="s">
        <v>437</v>
      </c>
    </row>
    <row r="2693" spans="1:10" x14ac:dyDescent="0.15">
      <c r="A2693" s="263" t="s">
        <v>7074</v>
      </c>
      <c r="B2693" s="263" t="s">
        <v>7075</v>
      </c>
      <c r="C2693" s="263" t="s">
        <v>98</v>
      </c>
      <c r="D2693" s="263" t="s">
        <v>7076</v>
      </c>
      <c r="E2693" s="263" t="s">
        <v>110</v>
      </c>
      <c r="F2693">
        <v>0</v>
      </c>
      <c r="G2693">
        <v>2</v>
      </c>
      <c r="H2693" s="263" t="s">
        <v>436</v>
      </c>
      <c r="I2693" s="264"/>
      <c r="J2693" s="263" t="s">
        <v>437</v>
      </c>
    </row>
    <row r="2694" spans="1:10" x14ac:dyDescent="0.15">
      <c r="A2694" s="263" t="s">
        <v>7077</v>
      </c>
      <c r="B2694" s="263" t="s">
        <v>7078</v>
      </c>
      <c r="C2694" s="263" t="s">
        <v>96</v>
      </c>
      <c r="D2694" s="263" t="s">
        <v>7079</v>
      </c>
      <c r="E2694" s="263" t="s">
        <v>97</v>
      </c>
      <c r="F2694">
        <v>0</v>
      </c>
      <c r="G2694">
        <v>2</v>
      </c>
      <c r="H2694" s="263" t="s">
        <v>436</v>
      </c>
      <c r="I2694" s="264"/>
      <c r="J2694" s="263" t="s">
        <v>437</v>
      </c>
    </row>
    <row r="2695" spans="1:10" x14ac:dyDescent="0.15">
      <c r="A2695" s="263" t="s">
        <v>7080</v>
      </c>
      <c r="B2695" s="263" t="s">
        <v>7081</v>
      </c>
      <c r="C2695" s="263" t="s">
        <v>105</v>
      </c>
      <c r="D2695" s="263" t="s">
        <v>7082</v>
      </c>
      <c r="E2695" s="263" t="s">
        <v>112</v>
      </c>
      <c r="F2695">
        <v>0</v>
      </c>
      <c r="G2695">
        <v>2</v>
      </c>
      <c r="H2695" s="263" t="s">
        <v>436</v>
      </c>
      <c r="I2695" s="264"/>
      <c r="J2695" s="263" t="s">
        <v>437</v>
      </c>
    </row>
    <row r="2696" spans="1:10" x14ac:dyDescent="0.15">
      <c r="A2696" s="263" t="s">
        <v>7083</v>
      </c>
      <c r="B2696" s="263" t="s">
        <v>7084</v>
      </c>
      <c r="C2696" s="263" t="s">
        <v>81</v>
      </c>
      <c r="D2696" s="263" t="s">
        <v>7085</v>
      </c>
      <c r="E2696" s="263" t="s">
        <v>88</v>
      </c>
      <c r="F2696">
        <v>0</v>
      </c>
      <c r="G2696">
        <v>2</v>
      </c>
      <c r="H2696" s="263" t="s">
        <v>436</v>
      </c>
      <c r="I2696" s="264"/>
      <c r="J2696" s="263" t="s">
        <v>437</v>
      </c>
    </row>
    <row r="2697" spans="1:10" x14ac:dyDescent="0.15">
      <c r="A2697" s="263" t="s">
        <v>7086</v>
      </c>
      <c r="B2697" s="263" t="s">
        <v>7087</v>
      </c>
      <c r="C2697" s="263" t="s">
        <v>81</v>
      </c>
      <c r="D2697" s="263" t="s">
        <v>7088</v>
      </c>
      <c r="E2697" s="263" t="s">
        <v>88</v>
      </c>
      <c r="F2697">
        <v>0</v>
      </c>
      <c r="G2697">
        <v>2</v>
      </c>
      <c r="H2697" s="263" t="s">
        <v>436</v>
      </c>
      <c r="I2697" s="264"/>
      <c r="J2697" s="263" t="s">
        <v>437</v>
      </c>
    </row>
    <row r="2698" spans="1:10" x14ac:dyDescent="0.15">
      <c r="A2698" s="263" t="s">
        <v>7089</v>
      </c>
      <c r="B2698" s="263" t="s">
        <v>7090</v>
      </c>
      <c r="C2698" s="263" t="s">
        <v>87</v>
      </c>
      <c r="D2698" s="263" t="s">
        <v>7091</v>
      </c>
      <c r="E2698" s="263" t="s">
        <v>93</v>
      </c>
      <c r="F2698">
        <v>0</v>
      </c>
      <c r="G2698">
        <v>2</v>
      </c>
      <c r="H2698" s="263" t="s">
        <v>436</v>
      </c>
      <c r="I2698" s="264"/>
      <c r="J2698" s="263" t="s">
        <v>437</v>
      </c>
    </row>
    <row r="2699" spans="1:10" x14ac:dyDescent="0.15">
      <c r="A2699" s="263" t="s">
        <v>10015</v>
      </c>
      <c r="B2699" s="263" t="s">
        <v>10016</v>
      </c>
      <c r="C2699" s="263" t="s">
        <v>87</v>
      </c>
      <c r="D2699" s="263" t="s">
        <v>10017</v>
      </c>
      <c r="E2699" s="263" t="s">
        <v>93</v>
      </c>
      <c r="F2699">
        <v>0</v>
      </c>
      <c r="G2699">
        <v>2</v>
      </c>
      <c r="H2699" s="263" t="s">
        <v>436</v>
      </c>
      <c r="I2699" s="264"/>
      <c r="J2699" s="263" t="s">
        <v>437</v>
      </c>
    </row>
    <row r="2700" spans="1:10" x14ac:dyDescent="0.15">
      <c r="A2700" s="263" t="s">
        <v>7092</v>
      </c>
      <c r="B2700" s="263" t="s">
        <v>7093</v>
      </c>
      <c r="C2700" s="263" t="s">
        <v>87</v>
      </c>
      <c r="D2700" s="263" t="s">
        <v>7094</v>
      </c>
      <c r="E2700" s="263" t="s">
        <v>93</v>
      </c>
      <c r="F2700">
        <v>0</v>
      </c>
      <c r="G2700">
        <v>2</v>
      </c>
      <c r="H2700" s="263" t="s">
        <v>436</v>
      </c>
      <c r="I2700" s="264"/>
      <c r="J2700" s="263" t="s">
        <v>437</v>
      </c>
    </row>
    <row r="2701" spans="1:10" x14ac:dyDescent="0.15">
      <c r="A2701" s="263" t="s">
        <v>7095</v>
      </c>
      <c r="B2701" s="263" t="s">
        <v>7096</v>
      </c>
      <c r="C2701" s="263" t="s">
        <v>87</v>
      </c>
      <c r="D2701" s="263" t="s">
        <v>7097</v>
      </c>
      <c r="E2701" s="263" t="s">
        <v>93</v>
      </c>
      <c r="F2701">
        <v>0</v>
      </c>
      <c r="G2701">
        <v>2</v>
      </c>
      <c r="H2701" s="263" t="s">
        <v>436</v>
      </c>
      <c r="I2701" s="264"/>
      <c r="J2701" s="263" t="s">
        <v>437</v>
      </c>
    </row>
    <row r="2702" spans="1:10" x14ac:dyDescent="0.15">
      <c r="A2702" s="263" t="s">
        <v>7098</v>
      </c>
      <c r="B2702" s="263" t="s">
        <v>7099</v>
      </c>
      <c r="C2702" s="263" t="s">
        <v>87</v>
      </c>
      <c r="D2702" s="263" t="s">
        <v>7100</v>
      </c>
      <c r="E2702" s="263" t="s">
        <v>93</v>
      </c>
      <c r="F2702">
        <v>0</v>
      </c>
      <c r="G2702">
        <v>2</v>
      </c>
      <c r="H2702" s="263" t="s">
        <v>436</v>
      </c>
      <c r="I2702" s="264"/>
      <c r="J2702" s="263" t="s">
        <v>437</v>
      </c>
    </row>
    <row r="2703" spans="1:10" x14ac:dyDescent="0.15">
      <c r="A2703" s="263" t="s">
        <v>7101</v>
      </c>
      <c r="B2703" s="263" t="s">
        <v>7102</v>
      </c>
      <c r="C2703" s="263" t="s">
        <v>87</v>
      </c>
      <c r="D2703" s="263" t="s">
        <v>7103</v>
      </c>
      <c r="E2703" s="263" t="s">
        <v>93</v>
      </c>
      <c r="F2703">
        <v>0</v>
      </c>
      <c r="G2703">
        <v>2</v>
      </c>
      <c r="H2703" s="263" t="s">
        <v>436</v>
      </c>
      <c r="I2703" s="264"/>
      <c r="J2703" s="263" t="s">
        <v>437</v>
      </c>
    </row>
    <row r="2704" spans="1:10" x14ac:dyDescent="0.15">
      <c r="A2704" s="263" t="s">
        <v>7104</v>
      </c>
      <c r="B2704" s="263" t="s">
        <v>7105</v>
      </c>
      <c r="C2704" s="263" t="s">
        <v>87</v>
      </c>
      <c r="D2704" s="263" t="s">
        <v>7106</v>
      </c>
      <c r="E2704" s="263" t="s">
        <v>93</v>
      </c>
      <c r="F2704">
        <v>0</v>
      </c>
      <c r="G2704">
        <v>2</v>
      </c>
      <c r="H2704" s="263" t="s">
        <v>436</v>
      </c>
      <c r="I2704" s="264"/>
      <c r="J2704" s="263" t="s">
        <v>437</v>
      </c>
    </row>
    <row r="2705" spans="1:10" x14ac:dyDescent="0.15">
      <c r="A2705" s="263" t="s">
        <v>7107</v>
      </c>
      <c r="B2705" s="263" t="s">
        <v>7108</v>
      </c>
      <c r="C2705" s="263" t="s">
        <v>87</v>
      </c>
      <c r="D2705" s="263" t="s">
        <v>7109</v>
      </c>
      <c r="E2705" s="263" t="s">
        <v>93</v>
      </c>
      <c r="F2705">
        <v>0</v>
      </c>
      <c r="G2705">
        <v>2</v>
      </c>
      <c r="H2705" s="263" t="s">
        <v>436</v>
      </c>
      <c r="I2705" s="264"/>
      <c r="J2705" s="263" t="s">
        <v>437</v>
      </c>
    </row>
    <row r="2706" spans="1:10" x14ac:dyDescent="0.15">
      <c r="A2706" s="263" t="s">
        <v>7110</v>
      </c>
      <c r="B2706" s="263" t="s">
        <v>7111</v>
      </c>
      <c r="C2706" s="263" t="s">
        <v>87</v>
      </c>
      <c r="D2706" s="263" t="s">
        <v>7112</v>
      </c>
      <c r="E2706" s="263" t="s">
        <v>93</v>
      </c>
      <c r="F2706">
        <v>0</v>
      </c>
      <c r="G2706">
        <v>2</v>
      </c>
      <c r="H2706" s="263" t="s">
        <v>436</v>
      </c>
      <c r="I2706" s="264"/>
      <c r="J2706" s="263" t="s">
        <v>437</v>
      </c>
    </row>
    <row r="2707" spans="1:10" x14ac:dyDescent="0.15">
      <c r="A2707" s="263" t="s">
        <v>7113</v>
      </c>
      <c r="B2707" s="263" t="s">
        <v>10018</v>
      </c>
      <c r="C2707" s="263" t="s">
        <v>87</v>
      </c>
      <c r="D2707" s="263" t="s">
        <v>10019</v>
      </c>
      <c r="E2707" s="263" t="s">
        <v>93</v>
      </c>
      <c r="F2707">
        <v>0</v>
      </c>
      <c r="G2707">
        <v>2</v>
      </c>
      <c r="H2707" s="263" t="s">
        <v>436</v>
      </c>
      <c r="I2707" s="264"/>
      <c r="J2707" s="263" t="s">
        <v>437</v>
      </c>
    </row>
    <row r="2708" spans="1:10" x14ac:dyDescent="0.15">
      <c r="A2708" s="263" t="s">
        <v>7114</v>
      </c>
      <c r="B2708" s="263" t="s">
        <v>7115</v>
      </c>
      <c r="C2708" s="263" t="s">
        <v>87</v>
      </c>
      <c r="D2708" s="263" t="s">
        <v>7116</v>
      </c>
      <c r="E2708" s="263" t="s">
        <v>93</v>
      </c>
      <c r="F2708">
        <v>0</v>
      </c>
      <c r="G2708">
        <v>2</v>
      </c>
      <c r="H2708" s="263" t="s">
        <v>436</v>
      </c>
      <c r="I2708" s="264"/>
      <c r="J2708" s="263" t="s">
        <v>437</v>
      </c>
    </row>
    <row r="2709" spans="1:10" x14ac:dyDescent="0.15">
      <c r="A2709" s="263" t="s">
        <v>7117</v>
      </c>
      <c r="B2709" s="263" t="s">
        <v>7118</v>
      </c>
      <c r="C2709" s="263" t="s">
        <v>87</v>
      </c>
      <c r="D2709" s="263" t="s">
        <v>7119</v>
      </c>
      <c r="E2709" s="263" t="s">
        <v>93</v>
      </c>
      <c r="F2709">
        <v>0</v>
      </c>
      <c r="G2709">
        <v>2</v>
      </c>
      <c r="H2709" s="263" t="s">
        <v>436</v>
      </c>
      <c r="I2709" s="264"/>
      <c r="J2709" s="263" t="s">
        <v>437</v>
      </c>
    </row>
    <row r="2710" spans="1:10" x14ac:dyDescent="0.15">
      <c r="A2710" s="263" t="s">
        <v>7120</v>
      </c>
      <c r="B2710" s="263" t="s">
        <v>7121</v>
      </c>
      <c r="C2710" s="263" t="s">
        <v>87</v>
      </c>
      <c r="D2710" s="263" t="s">
        <v>7122</v>
      </c>
      <c r="E2710" s="263" t="s">
        <v>93</v>
      </c>
      <c r="F2710">
        <v>0</v>
      </c>
      <c r="G2710">
        <v>2</v>
      </c>
      <c r="H2710" s="263" t="s">
        <v>436</v>
      </c>
      <c r="I2710" s="264"/>
      <c r="J2710" s="263" t="s">
        <v>437</v>
      </c>
    </row>
    <row r="2711" spans="1:10" x14ac:dyDescent="0.15">
      <c r="A2711" s="263" t="s">
        <v>7123</v>
      </c>
      <c r="B2711" s="263" t="s">
        <v>7124</v>
      </c>
      <c r="C2711" s="263" t="s">
        <v>87</v>
      </c>
      <c r="D2711" s="263" t="s">
        <v>7125</v>
      </c>
      <c r="E2711" s="263" t="s">
        <v>93</v>
      </c>
      <c r="F2711">
        <v>0</v>
      </c>
      <c r="G2711">
        <v>2</v>
      </c>
      <c r="H2711" s="263" t="s">
        <v>436</v>
      </c>
      <c r="I2711" s="264"/>
      <c r="J2711" s="263" t="s">
        <v>437</v>
      </c>
    </row>
    <row r="2712" spans="1:10" x14ac:dyDescent="0.15">
      <c r="A2712" s="263" t="s">
        <v>7126</v>
      </c>
      <c r="B2712" s="263" t="s">
        <v>7127</v>
      </c>
      <c r="C2712" s="263" t="s">
        <v>87</v>
      </c>
      <c r="D2712" s="263" t="s">
        <v>7128</v>
      </c>
      <c r="E2712" s="263" t="s">
        <v>93</v>
      </c>
      <c r="F2712">
        <v>0</v>
      </c>
      <c r="G2712">
        <v>2</v>
      </c>
      <c r="H2712" s="263" t="s">
        <v>436</v>
      </c>
      <c r="I2712" s="264"/>
      <c r="J2712" s="263" t="s">
        <v>437</v>
      </c>
    </row>
    <row r="2713" spans="1:10" x14ac:dyDescent="0.15">
      <c r="A2713" s="263" t="s">
        <v>7129</v>
      </c>
      <c r="B2713" s="263" t="s">
        <v>7130</v>
      </c>
      <c r="C2713" s="263" t="s">
        <v>87</v>
      </c>
      <c r="D2713" s="263" t="s">
        <v>7131</v>
      </c>
      <c r="E2713" s="263" t="s">
        <v>93</v>
      </c>
      <c r="F2713">
        <v>0</v>
      </c>
      <c r="G2713">
        <v>2</v>
      </c>
      <c r="H2713" s="263" t="s">
        <v>436</v>
      </c>
      <c r="I2713" s="264"/>
      <c r="J2713" s="263" t="s">
        <v>437</v>
      </c>
    </row>
    <row r="2714" spans="1:10" x14ac:dyDescent="0.15">
      <c r="A2714" s="263" t="s">
        <v>7132</v>
      </c>
      <c r="B2714" s="263" t="s">
        <v>7133</v>
      </c>
      <c r="C2714" s="263" t="s">
        <v>87</v>
      </c>
      <c r="D2714" s="263" t="s">
        <v>7134</v>
      </c>
      <c r="E2714" s="263" t="s">
        <v>93</v>
      </c>
      <c r="F2714">
        <v>0</v>
      </c>
      <c r="G2714">
        <v>2</v>
      </c>
      <c r="H2714" s="263" t="s">
        <v>436</v>
      </c>
      <c r="I2714" s="264"/>
      <c r="J2714" s="263" t="s">
        <v>437</v>
      </c>
    </row>
    <row r="2715" spans="1:10" x14ac:dyDescent="0.15">
      <c r="A2715" s="263" t="s">
        <v>10020</v>
      </c>
      <c r="B2715" s="263" t="s">
        <v>10021</v>
      </c>
      <c r="C2715" s="263" t="s">
        <v>87</v>
      </c>
      <c r="D2715" s="263" t="s">
        <v>10022</v>
      </c>
      <c r="E2715" s="263" t="s">
        <v>93</v>
      </c>
      <c r="F2715">
        <v>0</v>
      </c>
      <c r="G2715">
        <v>2</v>
      </c>
      <c r="H2715" s="263" t="s">
        <v>436</v>
      </c>
      <c r="I2715" s="264"/>
      <c r="J2715" s="263" t="s">
        <v>437</v>
      </c>
    </row>
    <row r="2716" spans="1:10" x14ac:dyDescent="0.15">
      <c r="A2716" s="263" t="s">
        <v>7135</v>
      </c>
      <c r="B2716" s="263" t="s">
        <v>7136</v>
      </c>
      <c r="C2716" s="263" t="s">
        <v>87</v>
      </c>
      <c r="D2716" s="263" t="s">
        <v>7137</v>
      </c>
      <c r="E2716" s="263" t="s">
        <v>93</v>
      </c>
      <c r="F2716">
        <v>0</v>
      </c>
      <c r="G2716">
        <v>2</v>
      </c>
      <c r="H2716" s="263" t="s">
        <v>436</v>
      </c>
      <c r="I2716" s="264"/>
      <c r="J2716" s="263" t="s">
        <v>437</v>
      </c>
    </row>
    <row r="2717" spans="1:10" x14ac:dyDescent="0.15">
      <c r="A2717" s="263" t="s">
        <v>7138</v>
      </c>
      <c r="B2717" s="263" t="s">
        <v>10023</v>
      </c>
      <c r="C2717" s="263" t="s">
        <v>87</v>
      </c>
      <c r="D2717" s="263" t="s">
        <v>7139</v>
      </c>
      <c r="E2717" s="263" t="s">
        <v>93</v>
      </c>
      <c r="F2717">
        <v>0</v>
      </c>
      <c r="G2717">
        <v>2</v>
      </c>
      <c r="H2717" s="263" t="s">
        <v>436</v>
      </c>
      <c r="I2717" s="264"/>
      <c r="J2717" s="263" t="s">
        <v>437</v>
      </c>
    </row>
    <row r="2718" spans="1:10" x14ac:dyDescent="0.15">
      <c r="A2718" s="263" t="s">
        <v>7140</v>
      </c>
      <c r="B2718" s="263" t="s">
        <v>7141</v>
      </c>
      <c r="C2718" s="263" t="s">
        <v>87</v>
      </c>
      <c r="D2718" s="263" t="s">
        <v>7142</v>
      </c>
      <c r="E2718" s="263" t="s">
        <v>93</v>
      </c>
      <c r="F2718">
        <v>0</v>
      </c>
      <c r="G2718">
        <v>2</v>
      </c>
      <c r="H2718" s="263" t="s">
        <v>436</v>
      </c>
      <c r="I2718" s="264"/>
      <c r="J2718" s="263" t="s">
        <v>437</v>
      </c>
    </row>
    <row r="2719" spans="1:10" x14ac:dyDescent="0.15">
      <c r="A2719" s="263" t="s">
        <v>7143</v>
      </c>
      <c r="B2719" s="263" t="s">
        <v>7144</v>
      </c>
      <c r="C2719" s="263" t="s">
        <v>87</v>
      </c>
      <c r="D2719" s="263" t="s">
        <v>7145</v>
      </c>
      <c r="E2719" s="263" t="s">
        <v>93</v>
      </c>
      <c r="F2719">
        <v>0</v>
      </c>
      <c r="G2719">
        <v>2</v>
      </c>
      <c r="H2719" s="263" t="s">
        <v>436</v>
      </c>
      <c r="I2719" s="264"/>
      <c r="J2719" s="263" t="s">
        <v>437</v>
      </c>
    </row>
    <row r="2720" spans="1:10" x14ac:dyDescent="0.15">
      <c r="A2720" s="263" t="s">
        <v>7146</v>
      </c>
      <c r="B2720" s="263" t="s">
        <v>7147</v>
      </c>
      <c r="C2720" s="263" t="s">
        <v>87</v>
      </c>
      <c r="D2720" s="263" t="s">
        <v>7148</v>
      </c>
      <c r="E2720" s="263" t="s">
        <v>93</v>
      </c>
      <c r="F2720">
        <v>0</v>
      </c>
      <c r="G2720">
        <v>2</v>
      </c>
      <c r="H2720" s="263" t="s">
        <v>436</v>
      </c>
      <c r="I2720" s="264"/>
      <c r="J2720" s="263" t="s">
        <v>437</v>
      </c>
    </row>
    <row r="2721" spans="1:10" x14ac:dyDescent="0.15">
      <c r="A2721" s="263" t="s">
        <v>7149</v>
      </c>
      <c r="B2721" s="263" t="s">
        <v>7150</v>
      </c>
      <c r="C2721" s="263" t="s">
        <v>87</v>
      </c>
      <c r="D2721" s="263" t="s">
        <v>7151</v>
      </c>
      <c r="E2721" s="263" t="s">
        <v>93</v>
      </c>
      <c r="F2721">
        <v>0</v>
      </c>
      <c r="G2721">
        <v>2</v>
      </c>
      <c r="H2721" s="263" t="s">
        <v>436</v>
      </c>
      <c r="I2721" s="264"/>
      <c r="J2721" s="263" t="s">
        <v>437</v>
      </c>
    </row>
    <row r="2722" spans="1:10" x14ac:dyDescent="0.15">
      <c r="A2722" s="263" t="s">
        <v>7152</v>
      </c>
      <c r="B2722" s="263" t="s">
        <v>7153</v>
      </c>
      <c r="C2722" s="263" t="s">
        <v>87</v>
      </c>
      <c r="D2722" s="263" t="s">
        <v>7154</v>
      </c>
      <c r="E2722" s="263" t="s">
        <v>93</v>
      </c>
      <c r="F2722">
        <v>0</v>
      </c>
      <c r="G2722">
        <v>2</v>
      </c>
      <c r="H2722" s="263" t="s">
        <v>436</v>
      </c>
      <c r="I2722" s="264"/>
      <c r="J2722" s="263" t="s">
        <v>437</v>
      </c>
    </row>
    <row r="2723" spans="1:10" x14ac:dyDescent="0.15">
      <c r="A2723" s="263" t="s">
        <v>7155</v>
      </c>
      <c r="B2723" s="263" t="s">
        <v>7156</v>
      </c>
      <c r="C2723" s="263" t="s">
        <v>87</v>
      </c>
      <c r="D2723" s="263" t="s">
        <v>7157</v>
      </c>
      <c r="E2723" s="263" t="s">
        <v>93</v>
      </c>
      <c r="F2723">
        <v>0</v>
      </c>
      <c r="G2723">
        <v>2</v>
      </c>
      <c r="H2723" s="263" t="s">
        <v>436</v>
      </c>
      <c r="I2723" s="264"/>
      <c r="J2723" s="263" t="s">
        <v>437</v>
      </c>
    </row>
    <row r="2724" spans="1:10" x14ac:dyDescent="0.15">
      <c r="A2724" s="263" t="s">
        <v>10024</v>
      </c>
      <c r="B2724" s="263" t="s">
        <v>10025</v>
      </c>
      <c r="C2724" s="263" t="s">
        <v>87</v>
      </c>
      <c r="D2724" s="263" t="s">
        <v>10026</v>
      </c>
      <c r="E2724" s="263" t="s">
        <v>93</v>
      </c>
      <c r="F2724">
        <v>0</v>
      </c>
      <c r="G2724">
        <v>2</v>
      </c>
      <c r="H2724" s="263" t="s">
        <v>436</v>
      </c>
      <c r="I2724" s="264"/>
      <c r="J2724" s="263" t="s">
        <v>437</v>
      </c>
    </row>
    <row r="2725" spans="1:10" x14ac:dyDescent="0.15">
      <c r="A2725" s="263" t="s">
        <v>7158</v>
      </c>
      <c r="B2725" s="263" t="s">
        <v>7159</v>
      </c>
      <c r="C2725" s="263" t="s">
        <v>87</v>
      </c>
      <c r="D2725" s="263" t="s">
        <v>7160</v>
      </c>
      <c r="E2725" s="263" t="s">
        <v>93</v>
      </c>
      <c r="F2725">
        <v>0</v>
      </c>
      <c r="G2725">
        <v>2</v>
      </c>
      <c r="H2725" s="263" t="s">
        <v>436</v>
      </c>
      <c r="I2725" s="264"/>
      <c r="J2725" s="263" t="s">
        <v>437</v>
      </c>
    </row>
    <row r="2726" spans="1:10" x14ac:dyDescent="0.15">
      <c r="A2726" s="263" t="s">
        <v>7161</v>
      </c>
      <c r="B2726" s="263" t="s">
        <v>7162</v>
      </c>
      <c r="C2726" s="263" t="s">
        <v>87</v>
      </c>
      <c r="D2726" s="263" t="s">
        <v>7163</v>
      </c>
      <c r="E2726" s="263" t="s">
        <v>93</v>
      </c>
      <c r="F2726">
        <v>0</v>
      </c>
      <c r="G2726">
        <v>2</v>
      </c>
      <c r="H2726" s="263" t="s">
        <v>436</v>
      </c>
      <c r="I2726" s="264"/>
      <c r="J2726" s="263" t="s">
        <v>437</v>
      </c>
    </row>
    <row r="2727" spans="1:10" x14ac:dyDescent="0.15">
      <c r="A2727" s="263" t="s">
        <v>7164</v>
      </c>
      <c r="B2727" s="263" t="s">
        <v>7165</v>
      </c>
      <c r="C2727" s="263" t="s">
        <v>87</v>
      </c>
      <c r="D2727" s="263" t="s">
        <v>7166</v>
      </c>
      <c r="E2727" s="263" t="s">
        <v>93</v>
      </c>
      <c r="F2727">
        <v>0</v>
      </c>
      <c r="G2727">
        <v>2</v>
      </c>
      <c r="H2727" s="263" t="s">
        <v>436</v>
      </c>
      <c r="I2727" s="264"/>
      <c r="J2727" s="263" t="s">
        <v>437</v>
      </c>
    </row>
    <row r="2728" spans="1:10" x14ac:dyDescent="0.15">
      <c r="A2728" s="263" t="s">
        <v>7167</v>
      </c>
      <c r="B2728" s="263" t="s">
        <v>7168</v>
      </c>
      <c r="C2728" s="263" t="s">
        <v>87</v>
      </c>
      <c r="D2728" s="263" t="s">
        <v>7169</v>
      </c>
      <c r="E2728" s="263" t="s">
        <v>93</v>
      </c>
      <c r="F2728">
        <v>0</v>
      </c>
      <c r="G2728">
        <v>2</v>
      </c>
      <c r="H2728" s="263" t="s">
        <v>436</v>
      </c>
      <c r="I2728" s="264"/>
      <c r="J2728" s="263" t="s">
        <v>437</v>
      </c>
    </row>
    <row r="2729" spans="1:10" x14ac:dyDescent="0.15">
      <c r="A2729" s="263" t="s">
        <v>7170</v>
      </c>
      <c r="B2729" s="263" t="s">
        <v>7171</v>
      </c>
      <c r="C2729" s="263" t="s">
        <v>87</v>
      </c>
      <c r="D2729" s="263" t="s">
        <v>7172</v>
      </c>
      <c r="E2729" s="263" t="s">
        <v>93</v>
      </c>
      <c r="F2729">
        <v>0</v>
      </c>
      <c r="G2729">
        <v>2</v>
      </c>
      <c r="H2729" s="263" t="s">
        <v>436</v>
      </c>
      <c r="I2729" s="264"/>
      <c r="J2729" s="263" t="s">
        <v>437</v>
      </c>
    </row>
    <row r="2730" spans="1:10" x14ac:dyDescent="0.15">
      <c r="A2730" s="263" t="s">
        <v>7173</v>
      </c>
      <c r="B2730" s="263" t="s">
        <v>7174</v>
      </c>
      <c r="C2730" s="263" t="s">
        <v>87</v>
      </c>
      <c r="D2730" s="263" t="s">
        <v>7175</v>
      </c>
      <c r="E2730" s="263" t="s">
        <v>93</v>
      </c>
      <c r="F2730">
        <v>0</v>
      </c>
      <c r="G2730">
        <v>2</v>
      </c>
      <c r="H2730" s="263" t="s">
        <v>436</v>
      </c>
      <c r="I2730" s="264"/>
      <c r="J2730" s="263" t="s">
        <v>437</v>
      </c>
    </row>
    <row r="2731" spans="1:10" x14ac:dyDescent="0.15">
      <c r="A2731" s="263" t="s">
        <v>7176</v>
      </c>
      <c r="B2731" s="263" t="s">
        <v>7177</v>
      </c>
      <c r="C2731" s="263" t="s">
        <v>87</v>
      </c>
      <c r="D2731" s="263" t="s">
        <v>7178</v>
      </c>
      <c r="E2731" s="263" t="s">
        <v>93</v>
      </c>
      <c r="F2731">
        <v>0</v>
      </c>
      <c r="G2731">
        <v>2</v>
      </c>
      <c r="H2731" s="263" t="s">
        <v>436</v>
      </c>
      <c r="I2731" s="264"/>
      <c r="J2731" s="263" t="s">
        <v>437</v>
      </c>
    </row>
    <row r="2732" spans="1:10" x14ac:dyDescent="0.15">
      <c r="A2732" s="263" t="s">
        <v>7179</v>
      </c>
      <c r="B2732" s="263" t="s">
        <v>7180</v>
      </c>
      <c r="C2732" s="263" t="s">
        <v>87</v>
      </c>
      <c r="D2732" s="263" t="s">
        <v>7181</v>
      </c>
      <c r="E2732" s="263" t="s">
        <v>93</v>
      </c>
      <c r="F2732">
        <v>0</v>
      </c>
      <c r="G2732">
        <v>2</v>
      </c>
      <c r="H2732" s="263" t="s">
        <v>436</v>
      </c>
      <c r="I2732" s="264"/>
      <c r="J2732" s="263" t="s">
        <v>437</v>
      </c>
    </row>
    <row r="2733" spans="1:10" x14ac:dyDescent="0.15">
      <c r="A2733" s="263" t="s">
        <v>7182</v>
      </c>
      <c r="B2733" s="263" t="s">
        <v>7183</v>
      </c>
      <c r="C2733" s="263" t="s">
        <v>87</v>
      </c>
      <c r="D2733" s="263" t="s">
        <v>7184</v>
      </c>
      <c r="E2733" s="263" t="s">
        <v>93</v>
      </c>
      <c r="F2733">
        <v>0</v>
      </c>
      <c r="G2733">
        <v>2</v>
      </c>
      <c r="H2733" s="263" t="s">
        <v>436</v>
      </c>
      <c r="I2733" s="264"/>
      <c r="J2733" s="263" t="s">
        <v>437</v>
      </c>
    </row>
    <row r="2734" spans="1:10" x14ac:dyDescent="0.15">
      <c r="A2734" s="263" t="s">
        <v>7185</v>
      </c>
      <c r="B2734" s="263" t="s">
        <v>7186</v>
      </c>
      <c r="C2734" s="263" t="s">
        <v>87</v>
      </c>
      <c r="D2734" s="263" t="s">
        <v>7187</v>
      </c>
      <c r="E2734" s="263" t="s">
        <v>93</v>
      </c>
      <c r="F2734">
        <v>0</v>
      </c>
      <c r="G2734">
        <v>2</v>
      </c>
      <c r="H2734" s="263" t="s">
        <v>436</v>
      </c>
      <c r="I2734" s="264"/>
      <c r="J2734" s="263" t="s">
        <v>437</v>
      </c>
    </row>
    <row r="2735" spans="1:10" x14ac:dyDescent="0.15">
      <c r="A2735" s="263" t="s">
        <v>7188</v>
      </c>
      <c r="B2735" s="263" t="s">
        <v>7189</v>
      </c>
      <c r="C2735" s="263" t="s">
        <v>87</v>
      </c>
      <c r="D2735" s="263" t="s">
        <v>7190</v>
      </c>
      <c r="E2735" s="263" t="s">
        <v>93</v>
      </c>
      <c r="F2735">
        <v>0</v>
      </c>
      <c r="G2735">
        <v>2</v>
      </c>
      <c r="H2735" s="263" t="s">
        <v>436</v>
      </c>
      <c r="I2735" s="264"/>
      <c r="J2735" s="263" t="s">
        <v>437</v>
      </c>
    </row>
    <row r="2736" spans="1:10" x14ac:dyDescent="0.15">
      <c r="A2736" s="263" t="s">
        <v>7191</v>
      </c>
      <c r="B2736" s="263" t="s">
        <v>7192</v>
      </c>
      <c r="C2736" s="263" t="s">
        <v>87</v>
      </c>
      <c r="D2736" s="263" t="s">
        <v>7193</v>
      </c>
      <c r="E2736" s="263" t="s">
        <v>93</v>
      </c>
      <c r="F2736">
        <v>0</v>
      </c>
      <c r="G2736">
        <v>2</v>
      </c>
      <c r="H2736" s="263" t="s">
        <v>436</v>
      </c>
      <c r="I2736" s="264"/>
      <c r="J2736" s="263" t="s">
        <v>437</v>
      </c>
    </row>
    <row r="2737" spans="1:10" x14ac:dyDescent="0.15">
      <c r="A2737" s="263" t="s">
        <v>7194</v>
      </c>
      <c r="B2737" s="263" t="s">
        <v>7195</v>
      </c>
      <c r="C2737" s="263" t="s">
        <v>87</v>
      </c>
      <c r="D2737" s="263" t="s">
        <v>7196</v>
      </c>
      <c r="E2737" s="263" t="s">
        <v>93</v>
      </c>
      <c r="F2737">
        <v>0</v>
      </c>
      <c r="G2737">
        <v>2</v>
      </c>
      <c r="H2737" s="263" t="s">
        <v>436</v>
      </c>
      <c r="I2737" s="264"/>
      <c r="J2737" s="263" t="s">
        <v>437</v>
      </c>
    </row>
    <row r="2738" spans="1:10" x14ac:dyDescent="0.15">
      <c r="A2738" s="263" t="s">
        <v>7197</v>
      </c>
      <c r="B2738" s="263" t="s">
        <v>7198</v>
      </c>
      <c r="C2738" s="263" t="s">
        <v>87</v>
      </c>
      <c r="D2738" s="263" t="s">
        <v>7199</v>
      </c>
      <c r="E2738" s="263" t="s">
        <v>93</v>
      </c>
      <c r="F2738">
        <v>0</v>
      </c>
      <c r="G2738">
        <v>2</v>
      </c>
      <c r="H2738" s="263" t="s">
        <v>436</v>
      </c>
      <c r="I2738" s="264"/>
      <c r="J2738" s="263" t="s">
        <v>437</v>
      </c>
    </row>
    <row r="2739" spans="1:10" x14ac:dyDescent="0.15">
      <c r="A2739" s="263" t="s">
        <v>7200</v>
      </c>
      <c r="B2739" s="263" t="s">
        <v>7201</v>
      </c>
      <c r="C2739" s="263" t="s">
        <v>87</v>
      </c>
      <c r="D2739" s="263" t="s">
        <v>7202</v>
      </c>
      <c r="E2739" s="263" t="s">
        <v>93</v>
      </c>
      <c r="F2739">
        <v>0</v>
      </c>
      <c r="G2739">
        <v>2</v>
      </c>
      <c r="H2739" s="263" t="s">
        <v>436</v>
      </c>
      <c r="I2739" s="264"/>
      <c r="J2739" s="263" t="s">
        <v>437</v>
      </c>
    </row>
    <row r="2740" spans="1:10" x14ac:dyDescent="0.15">
      <c r="A2740" s="263" t="s">
        <v>7203</v>
      </c>
      <c r="B2740" s="263" t="s">
        <v>7204</v>
      </c>
      <c r="C2740" s="263" t="s">
        <v>87</v>
      </c>
      <c r="D2740" s="263" t="s">
        <v>7205</v>
      </c>
      <c r="E2740" s="263" t="s">
        <v>93</v>
      </c>
      <c r="F2740">
        <v>0</v>
      </c>
      <c r="G2740">
        <v>2</v>
      </c>
      <c r="H2740" s="263" t="s">
        <v>436</v>
      </c>
      <c r="I2740" s="264"/>
      <c r="J2740" s="263" t="s">
        <v>437</v>
      </c>
    </row>
    <row r="2741" spans="1:10" x14ac:dyDescent="0.15">
      <c r="A2741" s="263" t="s">
        <v>7206</v>
      </c>
      <c r="B2741" s="263" t="s">
        <v>7207</v>
      </c>
      <c r="C2741" s="263" t="s">
        <v>87</v>
      </c>
      <c r="D2741" s="263" t="s">
        <v>7208</v>
      </c>
      <c r="E2741" s="263" t="s">
        <v>93</v>
      </c>
      <c r="F2741">
        <v>0</v>
      </c>
      <c r="G2741">
        <v>2</v>
      </c>
      <c r="H2741" s="263" t="s">
        <v>436</v>
      </c>
      <c r="I2741" s="264"/>
      <c r="J2741" s="263" t="s">
        <v>437</v>
      </c>
    </row>
    <row r="2742" spans="1:10" x14ac:dyDescent="0.15">
      <c r="A2742" s="263" t="s">
        <v>7209</v>
      </c>
      <c r="B2742" s="263" t="s">
        <v>7210</v>
      </c>
      <c r="C2742" s="263" t="s">
        <v>87</v>
      </c>
      <c r="D2742" s="263" t="s">
        <v>7211</v>
      </c>
      <c r="E2742" s="263" t="s">
        <v>93</v>
      </c>
      <c r="F2742">
        <v>0</v>
      </c>
      <c r="G2742">
        <v>2</v>
      </c>
      <c r="H2742" s="263" t="s">
        <v>436</v>
      </c>
      <c r="I2742" s="264"/>
      <c r="J2742" s="263" t="s">
        <v>437</v>
      </c>
    </row>
    <row r="2743" spans="1:10" x14ac:dyDescent="0.15">
      <c r="A2743" s="263" t="s">
        <v>7212</v>
      </c>
      <c r="B2743" s="263" t="s">
        <v>7213</v>
      </c>
      <c r="C2743" s="263" t="s">
        <v>87</v>
      </c>
      <c r="D2743" s="263" t="s">
        <v>7214</v>
      </c>
      <c r="E2743" s="263" t="s">
        <v>93</v>
      </c>
      <c r="F2743">
        <v>0</v>
      </c>
      <c r="G2743">
        <v>2</v>
      </c>
      <c r="H2743" s="263" t="s">
        <v>436</v>
      </c>
      <c r="I2743" s="264"/>
      <c r="J2743" s="263" t="s">
        <v>437</v>
      </c>
    </row>
    <row r="2744" spans="1:10" x14ac:dyDescent="0.15">
      <c r="A2744" s="263" t="s">
        <v>7215</v>
      </c>
      <c r="B2744" s="263" t="s">
        <v>7216</v>
      </c>
      <c r="C2744" s="263" t="s">
        <v>87</v>
      </c>
      <c r="D2744" s="263" t="s">
        <v>7217</v>
      </c>
      <c r="E2744" s="263" t="s">
        <v>93</v>
      </c>
      <c r="F2744">
        <v>0</v>
      </c>
      <c r="G2744">
        <v>2</v>
      </c>
      <c r="H2744" s="263" t="s">
        <v>436</v>
      </c>
      <c r="I2744" s="264"/>
      <c r="J2744" s="263" t="s">
        <v>437</v>
      </c>
    </row>
    <row r="2745" spans="1:10" x14ac:dyDescent="0.15">
      <c r="A2745" s="263" t="s">
        <v>7218</v>
      </c>
      <c r="B2745" s="263" t="s">
        <v>7219</v>
      </c>
      <c r="C2745" s="263" t="s">
        <v>87</v>
      </c>
      <c r="D2745" s="263" t="s">
        <v>7220</v>
      </c>
      <c r="E2745" s="263" t="s">
        <v>93</v>
      </c>
      <c r="F2745">
        <v>0</v>
      </c>
      <c r="G2745">
        <v>2</v>
      </c>
      <c r="H2745" s="263" t="s">
        <v>436</v>
      </c>
      <c r="I2745" s="264"/>
      <c r="J2745" s="263" t="s">
        <v>437</v>
      </c>
    </row>
    <row r="2746" spans="1:10" x14ac:dyDescent="0.15">
      <c r="A2746" s="263" t="s">
        <v>7221</v>
      </c>
      <c r="B2746" s="263" t="s">
        <v>7222</v>
      </c>
      <c r="C2746" s="263" t="s">
        <v>87</v>
      </c>
      <c r="D2746" s="263" t="s">
        <v>7223</v>
      </c>
      <c r="E2746" s="263" t="s">
        <v>93</v>
      </c>
      <c r="F2746">
        <v>0</v>
      </c>
      <c r="G2746">
        <v>2</v>
      </c>
      <c r="H2746" s="263" t="s">
        <v>436</v>
      </c>
      <c r="I2746" s="264"/>
      <c r="J2746" s="263" t="s">
        <v>437</v>
      </c>
    </row>
    <row r="2747" spans="1:10" x14ac:dyDescent="0.15">
      <c r="A2747" s="263" t="s">
        <v>7224</v>
      </c>
      <c r="B2747" s="263" t="s">
        <v>7225</v>
      </c>
      <c r="C2747" s="263" t="s">
        <v>87</v>
      </c>
      <c r="D2747" s="263" t="s">
        <v>7226</v>
      </c>
      <c r="E2747" s="263" t="s">
        <v>93</v>
      </c>
      <c r="F2747">
        <v>0</v>
      </c>
      <c r="G2747">
        <v>2</v>
      </c>
      <c r="H2747" s="263" t="s">
        <v>436</v>
      </c>
      <c r="I2747" s="264"/>
      <c r="J2747" s="263" t="s">
        <v>437</v>
      </c>
    </row>
    <row r="2748" spans="1:10" x14ac:dyDescent="0.15">
      <c r="A2748" s="263" t="s">
        <v>7227</v>
      </c>
      <c r="B2748" s="263" t="s">
        <v>7228</v>
      </c>
      <c r="C2748" s="263" t="s">
        <v>87</v>
      </c>
      <c r="D2748" s="263" t="s">
        <v>7229</v>
      </c>
      <c r="E2748" s="263" t="s">
        <v>93</v>
      </c>
      <c r="F2748">
        <v>0</v>
      </c>
      <c r="G2748">
        <v>2</v>
      </c>
      <c r="H2748" s="263" t="s">
        <v>436</v>
      </c>
      <c r="I2748" s="264"/>
      <c r="J2748" s="263" t="s">
        <v>437</v>
      </c>
    </row>
    <row r="2749" spans="1:10" x14ac:dyDescent="0.15">
      <c r="A2749" s="263" t="s">
        <v>7230</v>
      </c>
      <c r="B2749" s="263" t="s">
        <v>7231</v>
      </c>
      <c r="C2749" s="263" t="s">
        <v>87</v>
      </c>
      <c r="D2749" s="263" t="s">
        <v>7232</v>
      </c>
      <c r="E2749" s="263" t="s">
        <v>93</v>
      </c>
      <c r="F2749">
        <v>0</v>
      </c>
      <c r="G2749">
        <v>2</v>
      </c>
      <c r="H2749" s="263" t="s">
        <v>436</v>
      </c>
      <c r="I2749" s="264"/>
      <c r="J2749" s="263" t="s">
        <v>437</v>
      </c>
    </row>
    <row r="2750" spans="1:10" x14ac:dyDescent="0.15">
      <c r="A2750" s="263" t="s">
        <v>7233</v>
      </c>
      <c r="B2750" s="263" t="s">
        <v>7234</v>
      </c>
      <c r="C2750" s="263" t="s">
        <v>87</v>
      </c>
      <c r="D2750" s="263" t="s">
        <v>7235</v>
      </c>
      <c r="E2750" s="263" t="s">
        <v>93</v>
      </c>
      <c r="F2750">
        <v>0</v>
      </c>
      <c r="G2750">
        <v>2</v>
      </c>
      <c r="H2750" s="263" t="s">
        <v>436</v>
      </c>
      <c r="I2750" s="264"/>
      <c r="J2750" s="263" t="s">
        <v>437</v>
      </c>
    </row>
    <row r="2751" spans="1:10" x14ac:dyDescent="0.15">
      <c r="A2751" s="263" t="s">
        <v>10027</v>
      </c>
      <c r="B2751" s="263" t="s">
        <v>10028</v>
      </c>
      <c r="C2751" s="263" t="s">
        <v>87</v>
      </c>
      <c r="D2751" s="263" t="s">
        <v>10029</v>
      </c>
      <c r="E2751" s="263" t="s">
        <v>93</v>
      </c>
      <c r="F2751">
        <v>0</v>
      </c>
      <c r="G2751">
        <v>2</v>
      </c>
      <c r="H2751" s="263" t="s">
        <v>436</v>
      </c>
      <c r="I2751" s="264"/>
      <c r="J2751" s="263" t="s">
        <v>437</v>
      </c>
    </row>
    <row r="2752" spans="1:10" x14ac:dyDescent="0.15">
      <c r="A2752" s="263" t="s">
        <v>7236</v>
      </c>
      <c r="B2752" s="263" t="s">
        <v>7237</v>
      </c>
      <c r="C2752" s="263" t="s">
        <v>87</v>
      </c>
      <c r="D2752" s="263" t="s">
        <v>7238</v>
      </c>
      <c r="E2752" s="263" t="s">
        <v>93</v>
      </c>
      <c r="F2752">
        <v>0</v>
      </c>
      <c r="G2752">
        <v>2</v>
      </c>
      <c r="H2752" s="263" t="s">
        <v>436</v>
      </c>
      <c r="I2752" s="264"/>
      <c r="J2752" s="263" t="s">
        <v>437</v>
      </c>
    </row>
    <row r="2753" spans="1:10" x14ac:dyDescent="0.15">
      <c r="A2753" s="263" t="s">
        <v>7239</v>
      </c>
      <c r="B2753" s="263" t="s">
        <v>7240</v>
      </c>
      <c r="C2753" s="263" t="s">
        <v>87</v>
      </c>
      <c r="D2753" s="263" t="s">
        <v>7241</v>
      </c>
      <c r="E2753" s="263" t="s">
        <v>93</v>
      </c>
      <c r="F2753">
        <v>0</v>
      </c>
      <c r="G2753">
        <v>2</v>
      </c>
      <c r="H2753" s="263" t="s">
        <v>436</v>
      </c>
      <c r="I2753" s="264"/>
      <c r="J2753" s="263" t="s">
        <v>437</v>
      </c>
    </row>
    <row r="2754" spans="1:10" x14ac:dyDescent="0.15">
      <c r="A2754" s="263" t="s">
        <v>7242</v>
      </c>
      <c r="B2754" s="263" t="s">
        <v>7243</v>
      </c>
      <c r="C2754" s="263" t="s">
        <v>87</v>
      </c>
      <c r="D2754" s="263" t="s">
        <v>7244</v>
      </c>
      <c r="E2754" s="263" t="s">
        <v>93</v>
      </c>
      <c r="F2754">
        <v>0</v>
      </c>
      <c r="G2754">
        <v>2</v>
      </c>
      <c r="H2754" s="263" t="s">
        <v>436</v>
      </c>
      <c r="I2754" s="264"/>
      <c r="J2754" s="263" t="s">
        <v>437</v>
      </c>
    </row>
    <row r="2755" spans="1:10" x14ac:dyDescent="0.15">
      <c r="A2755" s="263" t="s">
        <v>7245</v>
      </c>
      <c r="B2755" s="263" t="s">
        <v>7246</v>
      </c>
      <c r="C2755" s="263" t="s">
        <v>87</v>
      </c>
      <c r="D2755" s="263" t="s">
        <v>7247</v>
      </c>
      <c r="E2755" s="263" t="s">
        <v>93</v>
      </c>
      <c r="F2755">
        <v>0</v>
      </c>
      <c r="G2755">
        <v>2</v>
      </c>
      <c r="H2755" s="263" t="s">
        <v>436</v>
      </c>
      <c r="I2755" s="264"/>
      <c r="J2755" s="263" t="s">
        <v>437</v>
      </c>
    </row>
    <row r="2756" spans="1:10" x14ac:dyDescent="0.15">
      <c r="A2756" s="263" t="s">
        <v>7248</v>
      </c>
      <c r="B2756" s="263" t="s">
        <v>7249</v>
      </c>
      <c r="C2756" s="263" t="s">
        <v>87</v>
      </c>
      <c r="D2756" s="263" t="s">
        <v>7250</v>
      </c>
      <c r="E2756" s="263" t="s">
        <v>93</v>
      </c>
      <c r="F2756">
        <v>0</v>
      </c>
      <c r="G2756">
        <v>2</v>
      </c>
      <c r="H2756" s="263" t="s">
        <v>436</v>
      </c>
      <c r="I2756" s="264"/>
      <c r="J2756" s="263" t="s">
        <v>437</v>
      </c>
    </row>
    <row r="2757" spans="1:10" x14ac:dyDescent="0.15">
      <c r="A2757" s="263" t="s">
        <v>7251</v>
      </c>
      <c r="B2757" s="263" t="s">
        <v>7252</v>
      </c>
      <c r="C2757" s="263" t="s">
        <v>87</v>
      </c>
      <c r="D2757" s="263" t="s">
        <v>7253</v>
      </c>
      <c r="E2757" s="263" t="s">
        <v>93</v>
      </c>
      <c r="F2757">
        <v>0</v>
      </c>
      <c r="G2757">
        <v>2</v>
      </c>
      <c r="H2757" s="263" t="s">
        <v>436</v>
      </c>
      <c r="I2757" s="264"/>
      <c r="J2757" s="263" t="s">
        <v>437</v>
      </c>
    </row>
    <row r="2758" spans="1:10" x14ac:dyDescent="0.15">
      <c r="A2758" s="263" t="s">
        <v>7254</v>
      </c>
      <c r="B2758" s="263" t="s">
        <v>7255</v>
      </c>
      <c r="C2758" s="263" t="s">
        <v>87</v>
      </c>
      <c r="D2758" s="263" t="s">
        <v>7256</v>
      </c>
      <c r="E2758" s="263" t="s">
        <v>93</v>
      </c>
      <c r="F2758">
        <v>0</v>
      </c>
      <c r="G2758">
        <v>2</v>
      </c>
      <c r="H2758" s="263" t="s">
        <v>436</v>
      </c>
      <c r="I2758" s="264"/>
      <c r="J2758" s="263" t="s">
        <v>437</v>
      </c>
    </row>
    <row r="2759" spans="1:10" x14ac:dyDescent="0.15">
      <c r="A2759" s="263" t="s">
        <v>7257</v>
      </c>
      <c r="B2759" s="263" t="s">
        <v>7258</v>
      </c>
      <c r="C2759" s="263" t="s">
        <v>87</v>
      </c>
      <c r="D2759" s="263" t="s">
        <v>7259</v>
      </c>
      <c r="E2759" s="263" t="s">
        <v>93</v>
      </c>
      <c r="F2759">
        <v>0</v>
      </c>
      <c r="G2759">
        <v>2</v>
      </c>
      <c r="H2759" s="263" t="s">
        <v>436</v>
      </c>
      <c r="I2759" s="264"/>
      <c r="J2759" s="263" t="s">
        <v>437</v>
      </c>
    </row>
    <row r="2760" spans="1:10" x14ac:dyDescent="0.15">
      <c r="A2760" s="263" t="s">
        <v>7260</v>
      </c>
      <c r="B2760" s="263" t="s">
        <v>7261</v>
      </c>
      <c r="C2760" s="263" t="s">
        <v>87</v>
      </c>
      <c r="D2760" s="263" t="s">
        <v>7262</v>
      </c>
      <c r="E2760" s="263" t="s">
        <v>93</v>
      </c>
      <c r="F2760">
        <v>0</v>
      </c>
      <c r="G2760">
        <v>2</v>
      </c>
      <c r="H2760" s="263" t="s">
        <v>436</v>
      </c>
      <c r="I2760" s="264"/>
      <c r="J2760" s="263" t="s">
        <v>437</v>
      </c>
    </row>
    <row r="2761" spans="1:10" x14ac:dyDescent="0.15">
      <c r="A2761" s="263" t="s">
        <v>7263</v>
      </c>
      <c r="B2761" s="263" t="s">
        <v>7264</v>
      </c>
      <c r="C2761" s="263" t="s">
        <v>87</v>
      </c>
      <c r="D2761" s="263" t="s">
        <v>7265</v>
      </c>
      <c r="E2761" s="263" t="s">
        <v>93</v>
      </c>
      <c r="F2761">
        <v>0</v>
      </c>
      <c r="G2761">
        <v>2</v>
      </c>
      <c r="H2761" s="263" t="s">
        <v>436</v>
      </c>
      <c r="I2761" s="264"/>
      <c r="J2761" s="263" t="s">
        <v>437</v>
      </c>
    </row>
    <row r="2762" spans="1:10" x14ac:dyDescent="0.15">
      <c r="A2762" s="263" t="s">
        <v>7266</v>
      </c>
      <c r="B2762" s="263" t="s">
        <v>7267</v>
      </c>
      <c r="C2762" s="263" t="s">
        <v>87</v>
      </c>
      <c r="D2762" s="263" t="s">
        <v>7268</v>
      </c>
      <c r="E2762" s="263" t="s">
        <v>93</v>
      </c>
      <c r="F2762">
        <v>0</v>
      </c>
      <c r="G2762">
        <v>2</v>
      </c>
      <c r="H2762" s="263" t="s">
        <v>436</v>
      </c>
      <c r="I2762" s="264"/>
      <c r="J2762" s="263" t="s">
        <v>437</v>
      </c>
    </row>
    <row r="2763" spans="1:10" x14ac:dyDescent="0.15">
      <c r="A2763" s="263" t="s">
        <v>7269</v>
      </c>
      <c r="B2763" s="263" t="s">
        <v>7270</v>
      </c>
      <c r="C2763" s="263" t="s">
        <v>87</v>
      </c>
      <c r="D2763" s="263" t="s">
        <v>7271</v>
      </c>
      <c r="E2763" s="263" t="s">
        <v>93</v>
      </c>
      <c r="F2763">
        <v>0</v>
      </c>
      <c r="G2763">
        <v>2</v>
      </c>
      <c r="H2763" s="263" t="s">
        <v>436</v>
      </c>
      <c r="I2763" s="264"/>
      <c r="J2763" s="263" t="s">
        <v>437</v>
      </c>
    </row>
    <row r="2764" spans="1:10" x14ac:dyDescent="0.15">
      <c r="A2764" s="263" t="s">
        <v>7272</v>
      </c>
      <c r="B2764" s="263" t="s">
        <v>10030</v>
      </c>
      <c r="C2764" s="263" t="s">
        <v>87</v>
      </c>
      <c r="D2764" s="263" t="s">
        <v>10031</v>
      </c>
      <c r="E2764" s="263" t="s">
        <v>93</v>
      </c>
      <c r="F2764">
        <v>0</v>
      </c>
      <c r="G2764">
        <v>2</v>
      </c>
      <c r="H2764" s="263" t="s">
        <v>436</v>
      </c>
      <c r="I2764" s="264"/>
      <c r="J2764" s="263" t="s">
        <v>437</v>
      </c>
    </row>
    <row r="2765" spans="1:10" x14ac:dyDescent="0.15">
      <c r="A2765" s="263" t="s">
        <v>7273</v>
      </c>
      <c r="B2765" s="263" t="s">
        <v>10032</v>
      </c>
      <c r="C2765" s="263" t="s">
        <v>87</v>
      </c>
      <c r="D2765" s="263" t="s">
        <v>10033</v>
      </c>
      <c r="E2765" s="263" t="s">
        <v>93</v>
      </c>
      <c r="F2765">
        <v>0</v>
      </c>
      <c r="G2765">
        <v>2</v>
      </c>
      <c r="H2765" s="263" t="s">
        <v>436</v>
      </c>
      <c r="I2765" s="264"/>
      <c r="J2765" s="263" t="s">
        <v>437</v>
      </c>
    </row>
    <row r="2766" spans="1:10" x14ac:dyDescent="0.15">
      <c r="A2766" s="263" t="s">
        <v>7274</v>
      </c>
      <c r="B2766" s="263" t="s">
        <v>10034</v>
      </c>
      <c r="C2766" s="263" t="s">
        <v>87</v>
      </c>
      <c r="D2766" s="263" t="s">
        <v>10035</v>
      </c>
      <c r="E2766" s="263" t="s">
        <v>93</v>
      </c>
      <c r="F2766">
        <v>0</v>
      </c>
      <c r="G2766">
        <v>2</v>
      </c>
      <c r="H2766" s="263" t="s">
        <v>436</v>
      </c>
      <c r="I2766" s="264"/>
      <c r="J2766" s="263" t="s">
        <v>437</v>
      </c>
    </row>
    <row r="2767" spans="1:10" x14ac:dyDescent="0.15">
      <c r="A2767" s="263" t="s">
        <v>7275</v>
      </c>
      <c r="B2767" s="263" t="s">
        <v>7278</v>
      </c>
      <c r="C2767" s="263" t="s">
        <v>87</v>
      </c>
      <c r="D2767" s="263" t="s">
        <v>10036</v>
      </c>
      <c r="E2767" s="263" t="s">
        <v>93</v>
      </c>
      <c r="F2767">
        <v>0</v>
      </c>
      <c r="G2767">
        <v>2</v>
      </c>
      <c r="H2767" s="263" t="s">
        <v>436</v>
      </c>
      <c r="I2767" s="264"/>
      <c r="J2767" s="263" t="s">
        <v>437</v>
      </c>
    </row>
    <row r="2768" spans="1:10" x14ac:dyDescent="0.15">
      <c r="A2768" s="263" t="s">
        <v>7276</v>
      </c>
      <c r="B2768" s="263" t="s">
        <v>10037</v>
      </c>
      <c r="C2768" s="263" t="s">
        <v>87</v>
      </c>
      <c r="D2768" s="263" t="s">
        <v>10038</v>
      </c>
      <c r="E2768" s="263" t="s">
        <v>93</v>
      </c>
      <c r="F2768">
        <v>0</v>
      </c>
      <c r="G2768">
        <v>2</v>
      </c>
      <c r="H2768" s="263" t="s">
        <v>436</v>
      </c>
      <c r="I2768" s="264"/>
      <c r="J2768" s="263" t="s">
        <v>437</v>
      </c>
    </row>
    <row r="2769" spans="1:10" x14ac:dyDescent="0.15">
      <c r="A2769" s="263" t="s">
        <v>7277</v>
      </c>
      <c r="B2769" s="263" t="s">
        <v>10039</v>
      </c>
      <c r="C2769" s="263" t="s">
        <v>87</v>
      </c>
      <c r="D2769" s="263" t="s">
        <v>10040</v>
      </c>
      <c r="E2769" s="263" t="s">
        <v>93</v>
      </c>
      <c r="F2769">
        <v>0</v>
      </c>
      <c r="G2769">
        <v>2</v>
      </c>
      <c r="H2769" s="263" t="s">
        <v>436</v>
      </c>
      <c r="I2769" s="264"/>
      <c r="J2769" s="263" t="s">
        <v>437</v>
      </c>
    </row>
    <row r="2770" spans="1:10" x14ac:dyDescent="0.15">
      <c r="A2770" s="263" t="s">
        <v>7279</v>
      </c>
      <c r="B2770" s="263" t="s">
        <v>10041</v>
      </c>
      <c r="C2770" s="263" t="s">
        <v>87</v>
      </c>
      <c r="D2770" s="263" t="s">
        <v>10042</v>
      </c>
      <c r="E2770" s="263" t="s">
        <v>93</v>
      </c>
      <c r="F2770">
        <v>0</v>
      </c>
      <c r="G2770">
        <v>2</v>
      </c>
      <c r="H2770" s="263" t="s">
        <v>436</v>
      </c>
      <c r="I2770" s="264"/>
      <c r="J2770" s="263" t="s">
        <v>437</v>
      </c>
    </row>
    <row r="2771" spans="1:10" x14ac:dyDescent="0.15">
      <c r="A2771" s="263" t="s">
        <v>7280</v>
      </c>
      <c r="B2771" s="263" t="s">
        <v>7281</v>
      </c>
      <c r="C2771" s="263" t="s">
        <v>87</v>
      </c>
      <c r="D2771" s="263" t="s">
        <v>7282</v>
      </c>
      <c r="E2771" s="263" t="s">
        <v>93</v>
      </c>
      <c r="F2771">
        <v>0</v>
      </c>
      <c r="G2771">
        <v>2</v>
      </c>
      <c r="H2771" s="263" t="s">
        <v>436</v>
      </c>
      <c r="I2771" s="264"/>
      <c r="J2771" s="263" t="s">
        <v>437</v>
      </c>
    </row>
    <row r="2772" spans="1:10" x14ac:dyDescent="0.15">
      <c r="A2772" s="263" t="s">
        <v>7283</v>
      </c>
      <c r="B2772" s="263" t="s">
        <v>7284</v>
      </c>
      <c r="C2772" s="263" t="s">
        <v>87</v>
      </c>
      <c r="D2772" s="263" t="s">
        <v>7285</v>
      </c>
      <c r="E2772" s="263" t="s">
        <v>93</v>
      </c>
      <c r="F2772">
        <v>0</v>
      </c>
      <c r="G2772">
        <v>2</v>
      </c>
      <c r="H2772" s="263" t="s">
        <v>436</v>
      </c>
      <c r="I2772" s="264"/>
      <c r="J2772" s="263" t="s">
        <v>437</v>
      </c>
    </row>
    <row r="2773" spans="1:10" x14ac:dyDescent="0.15">
      <c r="A2773" s="263" t="s">
        <v>7286</v>
      </c>
      <c r="B2773" s="263" t="s">
        <v>7287</v>
      </c>
      <c r="C2773" s="263" t="s">
        <v>87</v>
      </c>
      <c r="D2773" s="263" t="s">
        <v>7288</v>
      </c>
      <c r="E2773" s="263" t="s">
        <v>93</v>
      </c>
      <c r="F2773">
        <v>0</v>
      </c>
      <c r="G2773">
        <v>2</v>
      </c>
      <c r="H2773" s="263" t="s">
        <v>436</v>
      </c>
      <c r="I2773" s="264"/>
      <c r="J2773" s="263" t="s">
        <v>437</v>
      </c>
    </row>
    <row r="2774" spans="1:10" x14ac:dyDescent="0.15">
      <c r="A2774" s="263" t="s">
        <v>7289</v>
      </c>
      <c r="B2774" s="263" t="s">
        <v>10043</v>
      </c>
      <c r="C2774" s="263" t="s">
        <v>87</v>
      </c>
      <c r="D2774" s="263" t="s">
        <v>7290</v>
      </c>
      <c r="E2774" s="263" t="s">
        <v>93</v>
      </c>
      <c r="F2774">
        <v>0</v>
      </c>
      <c r="G2774">
        <v>2</v>
      </c>
      <c r="H2774" s="263" t="s">
        <v>436</v>
      </c>
      <c r="I2774" s="264"/>
      <c r="J2774" s="263" t="s">
        <v>437</v>
      </c>
    </row>
    <row r="2775" spans="1:10" x14ac:dyDescent="0.15">
      <c r="A2775" s="263" t="s">
        <v>7291</v>
      </c>
      <c r="B2775" s="263" t="s">
        <v>10044</v>
      </c>
      <c r="C2775" s="263" t="s">
        <v>87</v>
      </c>
      <c r="D2775" s="263" t="s">
        <v>7292</v>
      </c>
      <c r="E2775" s="263" t="s">
        <v>93</v>
      </c>
      <c r="F2775">
        <v>0</v>
      </c>
      <c r="G2775">
        <v>2</v>
      </c>
      <c r="H2775" s="263" t="s">
        <v>436</v>
      </c>
      <c r="I2775" s="264"/>
      <c r="J2775" s="263" t="s">
        <v>437</v>
      </c>
    </row>
    <row r="2776" spans="1:10" x14ac:dyDescent="0.15">
      <c r="A2776" s="263" t="s">
        <v>7293</v>
      </c>
      <c r="B2776" s="263" t="s">
        <v>10045</v>
      </c>
      <c r="C2776" s="263" t="s">
        <v>87</v>
      </c>
      <c r="D2776" s="263" t="s">
        <v>10046</v>
      </c>
      <c r="E2776" s="263" t="s">
        <v>93</v>
      </c>
      <c r="F2776">
        <v>0</v>
      </c>
      <c r="G2776">
        <v>2</v>
      </c>
      <c r="H2776" s="263" t="s">
        <v>436</v>
      </c>
      <c r="I2776" s="264"/>
      <c r="J2776" s="263" t="s">
        <v>437</v>
      </c>
    </row>
    <row r="2777" spans="1:10" x14ac:dyDescent="0.15">
      <c r="A2777" s="263" t="s">
        <v>7294</v>
      </c>
      <c r="B2777" s="263" t="s">
        <v>7295</v>
      </c>
      <c r="C2777" s="263" t="s">
        <v>87</v>
      </c>
      <c r="D2777" s="263" t="s">
        <v>7296</v>
      </c>
      <c r="E2777" s="263" t="s">
        <v>93</v>
      </c>
      <c r="F2777">
        <v>0</v>
      </c>
      <c r="G2777">
        <v>2</v>
      </c>
      <c r="H2777" s="263" t="s">
        <v>436</v>
      </c>
      <c r="I2777" s="264"/>
      <c r="J2777" s="263" t="s">
        <v>437</v>
      </c>
    </row>
    <row r="2778" spans="1:10" x14ac:dyDescent="0.15">
      <c r="A2778" s="263" t="s">
        <v>7297</v>
      </c>
      <c r="B2778" s="263" t="s">
        <v>7298</v>
      </c>
      <c r="C2778" s="263" t="s">
        <v>87</v>
      </c>
      <c r="D2778" s="263" t="s">
        <v>7299</v>
      </c>
      <c r="E2778" s="263" t="s">
        <v>93</v>
      </c>
      <c r="F2778">
        <v>0</v>
      </c>
      <c r="G2778">
        <v>2</v>
      </c>
      <c r="H2778" s="263" t="s">
        <v>436</v>
      </c>
      <c r="I2778" s="264"/>
      <c r="J2778" s="263" t="s">
        <v>437</v>
      </c>
    </row>
    <row r="2779" spans="1:10" x14ac:dyDescent="0.15">
      <c r="A2779" s="263" t="s">
        <v>7300</v>
      </c>
      <c r="B2779" s="263" t="s">
        <v>7301</v>
      </c>
      <c r="C2779" s="263" t="s">
        <v>87</v>
      </c>
      <c r="D2779" s="263" t="s">
        <v>7302</v>
      </c>
      <c r="E2779" s="263" t="s">
        <v>93</v>
      </c>
      <c r="F2779">
        <v>0</v>
      </c>
      <c r="G2779">
        <v>2</v>
      </c>
      <c r="H2779" s="263" t="s">
        <v>436</v>
      </c>
      <c r="I2779" s="264"/>
      <c r="J2779" s="263" t="s">
        <v>437</v>
      </c>
    </row>
    <row r="2780" spans="1:10" x14ac:dyDescent="0.15">
      <c r="A2780" s="263" t="s">
        <v>7303</v>
      </c>
      <c r="B2780" s="263" t="s">
        <v>10047</v>
      </c>
      <c r="C2780" s="263" t="s">
        <v>87</v>
      </c>
      <c r="D2780" s="263" t="s">
        <v>10048</v>
      </c>
      <c r="E2780" s="263" t="s">
        <v>93</v>
      </c>
      <c r="F2780">
        <v>0</v>
      </c>
      <c r="G2780">
        <v>2</v>
      </c>
      <c r="H2780" s="263" t="s">
        <v>436</v>
      </c>
      <c r="I2780" s="264"/>
      <c r="J2780" s="263" t="s">
        <v>437</v>
      </c>
    </row>
    <row r="2781" spans="1:10" x14ac:dyDescent="0.15">
      <c r="A2781" s="263" t="s">
        <v>7304</v>
      </c>
      <c r="B2781" s="263" t="s">
        <v>10049</v>
      </c>
      <c r="C2781" s="263" t="s">
        <v>87</v>
      </c>
      <c r="D2781" s="263" t="s">
        <v>10050</v>
      </c>
      <c r="E2781" s="263" t="s">
        <v>93</v>
      </c>
      <c r="F2781">
        <v>0</v>
      </c>
      <c r="G2781">
        <v>2</v>
      </c>
      <c r="H2781" s="263" t="s">
        <v>436</v>
      </c>
      <c r="I2781" s="264"/>
      <c r="J2781" s="263" t="s">
        <v>437</v>
      </c>
    </row>
    <row r="2782" spans="1:10" x14ac:dyDescent="0.15">
      <c r="A2782" s="263" t="s">
        <v>7305</v>
      </c>
      <c r="B2782" s="263" t="s">
        <v>10051</v>
      </c>
      <c r="C2782" s="263" t="s">
        <v>87</v>
      </c>
      <c r="D2782" s="263" t="s">
        <v>10052</v>
      </c>
      <c r="E2782" s="263" t="s">
        <v>93</v>
      </c>
      <c r="F2782">
        <v>0</v>
      </c>
      <c r="G2782">
        <v>2</v>
      </c>
      <c r="H2782" s="263" t="s">
        <v>436</v>
      </c>
      <c r="I2782" s="264"/>
      <c r="J2782" s="263" t="s">
        <v>437</v>
      </c>
    </row>
    <row r="2783" spans="1:10" x14ac:dyDescent="0.15">
      <c r="A2783" s="263" t="s">
        <v>7306</v>
      </c>
      <c r="B2783" s="263" t="s">
        <v>10053</v>
      </c>
      <c r="C2783" s="263" t="s">
        <v>87</v>
      </c>
      <c r="D2783" s="263" t="s">
        <v>10054</v>
      </c>
      <c r="E2783" s="263" t="s">
        <v>93</v>
      </c>
      <c r="F2783">
        <v>0</v>
      </c>
      <c r="G2783">
        <v>2</v>
      </c>
      <c r="H2783" s="263" t="s">
        <v>436</v>
      </c>
      <c r="I2783" s="264"/>
      <c r="J2783" s="263" t="s">
        <v>437</v>
      </c>
    </row>
    <row r="2784" spans="1:10" x14ac:dyDescent="0.15">
      <c r="A2784" s="263" t="s">
        <v>7307</v>
      </c>
      <c r="B2784" s="263" t="s">
        <v>7308</v>
      </c>
      <c r="C2784" s="263" t="s">
        <v>87</v>
      </c>
      <c r="D2784" s="263" t="s">
        <v>7309</v>
      </c>
      <c r="E2784" s="263" t="s">
        <v>93</v>
      </c>
      <c r="F2784">
        <v>0</v>
      </c>
      <c r="G2784">
        <v>2</v>
      </c>
      <c r="H2784" s="263" t="s">
        <v>436</v>
      </c>
      <c r="I2784" s="264"/>
      <c r="J2784" s="263" t="s">
        <v>437</v>
      </c>
    </row>
    <row r="2785" spans="1:10" x14ac:dyDescent="0.15">
      <c r="A2785" s="263" t="s">
        <v>7310</v>
      </c>
      <c r="B2785" s="263" t="s">
        <v>7311</v>
      </c>
      <c r="C2785" s="263" t="s">
        <v>87</v>
      </c>
      <c r="D2785" s="263" t="s">
        <v>7312</v>
      </c>
      <c r="E2785" s="263" t="s">
        <v>93</v>
      </c>
      <c r="F2785">
        <v>0</v>
      </c>
      <c r="G2785">
        <v>2</v>
      </c>
      <c r="H2785" s="263" t="s">
        <v>436</v>
      </c>
      <c r="I2785" s="264"/>
      <c r="J2785" s="263" t="s">
        <v>437</v>
      </c>
    </row>
    <row r="2786" spans="1:10" x14ac:dyDescent="0.15">
      <c r="A2786" s="263" t="s">
        <v>7313</v>
      </c>
      <c r="B2786" s="263" t="s">
        <v>7314</v>
      </c>
      <c r="C2786" s="263" t="s">
        <v>87</v>
      </c>
      <c r="D2786" s="263" t="s">
        <v>7315</v>
      </c>
      <c r="E2786" s="263" t="s">
        <v>93</v>
      </c>
      <c r="F2786">
        <v>0</v>
      </c>
      <c r="G2786">
        <v>2</v>
      </c>
      <c r="H2786" s="263" t="s">
        <v>436</v>
      </c>
      <c r="I2786" s="264"/>
      <c r="J2786" s="263" t="s">
        <v>437</v>
      </c>
    </row>
    <row r="2787" spans="1:10" x14ac:dyDescent="0.15">
      <c r="A2787" s="263" t="s">
        <v>7316</v>
      </c>
      <c r="B2787" s="263" t="s">
        <v>7317</v>
      </c>
      <c r="C2787" s="263" t="s">
        <v>87</v>
      </c>
      <c r="D2787" s="263" t="s">
        <v>7318</v>
      </c>
      <c r="E2787" s="263" t="s">
        <v>93</v>
      </c>
      <c r="F2787">
        <v>0</v>
      </c>
      <c r="G2787">
        <v>2</v>
      </c>
      <c r="H2787" s="263" t="s">
        <v>436</v>
      </c>
      <c r="I2787" s="264"/>
      <c r="J2787" s="263" t="s">
        <v>437</v>
      </c>
    </row>
    <row r="2788" spans="1:10" x14ac:dyDescent="0.15">
      <c r="A2788" s="263" t="s">
        <v>10055</v>
      </c>
      <c r="B2788" s="263" t="s">
        <v>10056</v>
      </c>
      <c r="C2788" s="263" t="s">
        <v>87</v>
      </c>
      <c r="D2788" s="263" t="s">
        <v>10057</v>
      </c>
      <c r="E2788" s="263" t="s">
        <v>93</v>
      </c>
      <c r="F2788">
        <v>0</v>
      </c>
      <c r="G2788">
        <v>2</v>
      </c>
      <c r="H2788" s="263" t="s">
        <v>436</v>
      </c>
      <c r="I2788" s="264"/>
      <c r="J2788" s="263" t="s">
        <v>437</v>
      </c>
    </row>
    <row r="2789" spans="1:10" x14ac:dyDescent="0.15">
      <c r="A2789" s="263" t="s">
        <v>10058</v>
      </c>
      <c r="B2789" s="263" t="s">
        <v>10059</v>
      </c>
      <c r="C2789" s="263" t="s">
        <v>87</v>
      </c>
      <c r="D2789" s="263" t="s">
        <v>10060</v>
      </c>
      <c r="E2789" s="263" t="s">
        <v>93</v>
      </c>
      <c r="F2789">
        <v>0</v>
      </c>
      <c r="G2789">
        <v>2</v>
      </c>
      <c r="H2789" s="263" t="s">
        <v>436</v>
      </c>
      <c r="I2789" s="264"/>
      <c r="J2789" s="263" t="s">
        <v>437</v>
      </c>
    </row>
    <row r="2790" spans="1:10" x14ac:dyDescent="0.15">
      <c r="A2790" s="263" t="s">
        <v>7319</v>
      </c>
      <c r="B2790" s="263" t="s">
        <v>7320</v>
      </c>
      <c r="C2790" s="263" t="s">
        <v>87</v>
      </c>
      <c r="D2790" s="263" t="s">
        <v>7321</v>
      </c>
      <c r="E2790" s="263" t="s">
        <v>93</v>
      </c>
      <c r="F2790">
        <v>0</v>
      </c>
      <c r="G2790">
        <v>2</v>
      </c>
      <c r="H2790" s="263" t="s">
        <v>436</v>
      </c>
      <c r="I2790" s="264"/>
      <c r="J2790" s="263" t="s">
        <v>437</v>
      </c>
    </row>
    <row r="2791" spans="1:10" x14ac:dyDescent="0.15">
      <c r="A2791" s="263" t="s">
        <v>7322</v>
      </c>
      <c r="B2791" s="263" t="s">
        <v>7317</v>
      </c>
      <c r="C2791" s="263" t="s">
        <v>94</v>
      </c>
      <c r="D2791" s="263" t="s">
        <v>7318</v>
      </c>
      <c r="E2791" s="263" t="s">
        <v>94</v>
      </c>
      <c r="F2791">
        <v>0</v>
      </c>
      <c r="G2791">
        <v>2</v>
      </c>
      <c r="H2791" s="263" t="s">
        <v>436</v>
      </c>
      <c r="I2791" s="264"/>
      <c r="J2791" s="263" t="s">
        <v>437</v>
      </c>
    </row>
    <row r="2792" spans="1:10" x14ac:dyDescent="0.15">
      <c r="A2792" s="263" t="s">
        <v>10061</v>
      </c>
      <c r="B2792" s="263" t="s">
        <v>10056</v>
      </c>
      <c r="C2792" s="263" t="s">
        <v>94</v>
      </c>
      <c r="D2792" s="263" t="s">
        <v>10057</v>
      </c>
      <c r="E2792" s="263" t="s">
        <v>94</v>
      </c>
      <c r="F2792">
        <v>0</v>
      </c>
      <c r="G2792">
        <v>2</v>
      </c>
      <c r="H2792" s="263" t="s">
        <v>436</v>
      </c>
      <c r="I2792" s="264"/>
      <c r="J2792" s="263" t="s">
        <v>437</v>
      </c>
    </row>
    <row r="2793" spans="1:10" x14ac:dyDescent="0.15">
      <c r="A2793" s="263" t="s">
        <v>10062</v>
      </c>
      <c r="B2793" s="263" t="s">
        <v>10059</v>
      </c>
      <c r="C2793" s="263" t="s">
        <v>94</v>
      </c>
      <c r="D2793" s="263" t="s">
        <v>10060</v>
      </c>
      <c r="E2793" s="263" t="s">
        <v>94</v>
      </c>
      <c r="F2793">
        <v>0</v>
      </c>
      <c r="G2793">
        <v>2</v>
      </c>
      <c r="H2793" s="263" t="s">
        <v>436</v>
      </c>
      <c r="I2793" s="264"/>
      <c r="J2793" s="263" t="s">
        <v>437</v>
      </c>
    </row>
    <row r="2794" spans="1:10" x14ac:dyDescent="0.15">
      <c r="A2794" s="263" t="s">
        <v>7323</v>
      </c>
      <c r="B2794" s="263" t="s">
        <v>7314</v>
      </c>
      <c r="C2794" s="263" t="s">
        <v>7324</v>
      </c>
      <c r="D2794" s="263" t="s">
        <v>7315</v>
      </c>
      <c r="E2794" s="263" t="s">
        <v>86</v>
      </c>
      <c r="F2794">
        <v>0</v>
      </c>
      <c r="G2794">
        <v>2</v>
      </c>
      <c r="H2794" s="263" t="s">
        <v>436</v>
      </c>
      <c r="I2794" s="264"/>
      <c r="J2794" s="263" t="s">
        <v>437</v>
      </c>
    </row>
    <row r="2795" spans="1:10" x14ac:dyDescent="0.15">
      <c r="A2795" s="263" t="s">
        <v>7325</v>
      </c>
      <c r="B2795" s="263" t="s">
        <v>10063</v>
      </c>
      <c r="C2795" s="263" t="s">
        <v>98</v>
      </c>
      <c r="D2795" s="263" t="s">
        <v>10064</v>
      </c>
      <c r="E2795" s="263" t="s">
        <v>110</v>
      </c>
      <c r="F2795">
        <v>0</v>
      </c>
      <c r="G2795">
        <v>2</v>
      </c>
      <c r="H2795" s="263" t="s">
        <v>436</v>
      </c>
      <c r="I2795" s="264"/>
      <c r="J2795" s="263" t="s">
        <v>437</v>
      </c>
    </row>
    <row r="2796" spans="1:10" x14ac:dyDescent="0.15">
      <c r="A2796" s="263" t="s">
        <v>7326</v>
      </c>
      <c r="B2796" s="263" t="s">
        <v>10065</v>
      </c>
      <c r="C2796" s="263" t="s">
        <v>98</v>
      </c>
      <c r="D2796" s="263" t="s">
        <v>10066</v>
      </c>
      <c r="E2796" s="263" t="s">
        <v>110</v>
      </c>
      <c r="F2796">
        <v>0</v>
      </c>
      <c r="G2796">
        <v>2</v>
      </c>
      <c r="H2796" s="263" t="s">
        <v>436</v>
      </c>
      <c r="I2796" s="264"/>
      <c r="J2796" s="263" t="s">
        <v>437</v>
      </c>
    </row>
    <row r="2797" spans="1:10" x14ac:dyDescent="0.15">
      <c r="A2797" s="263" t="s">
        <v>7327</v>
      </c>
      <c r="B2797" s="263" t="s">
        <v>10067</v>
      </c>
      <c r="C2797" s="263" t="s">
        <v>98</v>
      </c>
      <c r="D2797" s="263" t="s">
        <v>10068</v>
      </c>
      <c r="E2797" s="263" t="s">
        <v>110</v>
      </c>
      <c r="F2797">
        <v>0</v>
      </c>
      <c r="G2797">
        <v>2</v>
      </c>
      <c r="H2797" s="263" t="s">
        <v>436</v>
      </c>
      <c r="I2797" s="264"/>
      <c r="J2797" s="263" t="s">
        <v>437</v>
      </c>
    </row>
    <row r="2798" spans="1:10" x14ac:dyDescent="0.15">
      <c r="A2798" s="263" t="s">
        <v>7328</v>
      </c>
      <c r="B2798" s="263" t="s">
        <v>10069</v>
      </c>
      <c r="C2798" s="263" t="s">
        <v>98</v>
      </c>
      <c r="D2798" s="263" t="s">
        <v>10070</v>
      </c>
      <c r="E2798" s="263" t="s">
        <v>110</v>
      </c>
      <c r="F2798">
        <v>0</v>
      </c>
      <c r="G2798">
        <v>2</v>
      </c>
      <c r="H2798" s="263" t="s">
        <v>436</v>
      </c>
      <c r="I2798" s="264"/>
      <c r="J2798" s="263" t="s">
        <v>437</v>
      </c>
    </row>
    <row r="2799" spans="1:10" x14ac:dyDescent="0.15">
      <c r="A2799" s="263" t="s">
        <v>7329</v>
      </c>
      <c r="B2799" s="263" t="s">
        <v>10071</v>
      </c>
      <c r="C2799" s="263" t="s">
        <v>98</v>
      </c>
      <c r="D2799" s="263" t="s">
        <v>10072</v>
      </c>
      <c r="E2799" s="263" t="s">
        <v>110</v>
      </c>
      <c r="F2799">
        <v>0</v>
      </c>
      <c r="G2799">
        <v>2</v>
      </c>
      <c r="H2799" s="263" t="s">
        <v>436</v>
      </c>
      <c r="I2799" s="264"/>
      <c r="J2799" s="263" t="s">
        <v>437</v>
      </c>
    </row>
    <row r="2800" spans="1:10" x14ac:dyDescent="0.15">
      <c r="A2800" s="263" t="s">
        <v>7330</v>
      </c>
      <c r="B2800" s="263" t="s">
        <v>10073</v>
      </c>
      <c r="C2800" s="263" t="s">
        <v>98</v>
      </c>
      <c r="D2800" s="263" t="s">
        <v>10074</v>
      </c>
      <c r="E2800" s="263" t="s">
        <v>110</v>
      </c>
      <c r="F2800">
        <v>0</v>
      </c>
      <c r="G2800">
        <v>2</v>
      </c>
      <c r="H2800" s="263" t="s">
        <v>436</v>
      </c>
      <c r="I2800" s="264"/>
      <c r="J2800" s="263" t="s">
        <v>437</v>
      </c>
    </row>
    <row r="2801" spans="1:10" x14ac:dyDescent="0.15">
      <c r="A2801" s="263" t="s">
        <v>7331</v>
      </c>
      <c r="B2801" s="263" t="s">
        <v>10075</v>
      </c>
      <c r="C2801" s="263" t="s">
        <v>98</v>
      </c>
      <c r="D2801" s="263" t="s">
        <v>10076</v>
      </c>
      <c r="E2801" s="263" t="s">
        <v>110</v>
      </c>
      <c r="F2801">
        <v>0</v>
      </c>
      <c r="G2801">
        <v>2</v>
      </c>
      <c r="H2801" s="263" t="s">
        <v>436</v>
      </c>
      <c r="I2801" s="264"/>
      <c r="J2801" s="263" t="s">
        <v>437</v>
      </c>
    </row>
    <row r="2802" spans="1:10" x14ac:dyDescent="0.15">
      <c r="A2802" s="263" t="s">
        <v>7332</v>
      </c>
      <c r="B2802" s="263" t="s">
        <v>10063</v>
      </c>
      <c r="C2802" s="263" t="s">
        <v>85</v>
      </c>
      <c r="D2802" s="263" t="s">
        <v>10064</v>
      </c>
      <c r="E2802" s="263" t="s">
        <v>79</v>
      </c>
      <c r="F2802">
        <v>1</v>
      </c>
      <c r="G2802">
        <v>2</v>
      </c>
      <c r="H2802" s="263" t="s">
        <v>436</v>
      </c>
      <c r="I2802" s="264"/>
      <c r="J2802" s="263" t="s">
        <v>437</v>
      </c>
    </row>
    <row r="2803" spans="1:10" x14ac:dyDescent="0.15">
      <c r="A2803" s="263" t="s">
        <v>7333</v>
      </c>
      <c r="B2803" s="263" t="s">
        <v>10065</v>
      </c>
      <c r="C2803" s="263" t="s">
        <v>85</v>
      </c>
      <c r="D2803" s="263" t="s">
        <v>10066</v>
      </c>
      <c r="E2803" s="263" t="s">
        <v>79</v>
      </c>
      <c r="F2803">
        <v>1</v>
      </c>
      <c r="G2803">
        <v>2</v>
      </c>
      <c r="H2803" s="263" t="s">
        <v>436</v>
      </c>
      <c r="I2803" s="264"/>
      <c r="J2803" s="263" t="s">
        <v>437</v>
      </c>
    </row>
    <row r="2804" spans="1:10" x14ac:dyDescent="0.15">
      <c r="A2804" s="263" t="s">
        <v>7334</v>
      </c>
      <c r="B2804" s="263" t="s">
        <v>10067</v>
      </c>
      <c r="C2804" s="263" t="s">
        <v>85</v>
      </c>
      <c r="D2804" s="263" t="s">
        <v>10068</v>
      </c>
      <c r="E2804" s="263" t="s">
        <v>79</v>
      </c>
      <c r="F2804">
        <v>1</v>
      </c>
      <c r="G2804">
        <v>2</v>
      </c>
      <c r="H2804" s="263" t="s">
        <v>436</v>
      </c>
      <c r="I2804" s="264"/>
      <c r="J2804" s="263" t="s">
        <v>437</v>
      </c>
    </row>
    <row r="2805" spans="1:10" x14ac:dyDescent="0.15">
      <c r="A2805" s="263" t="s">
        <v>7335</v>
      </c>
      <c r="B2805" s="263" t="s">
        <v>10069</v>
      </c>
      <c r="C2805" s="263" t="s">
        <v>85</v>
      </c>
      <c r="D2805" s="263" t="s">
        <v>10070</v>
      </c>
      <c r="E2805" s="263" t="s">
        <v>79</v>
      </c>
      <c r="F2805">
        <v>1</v>
      </c>
      <c r="G2805">
        <v>2</v>
      </c>
      <c r="H2805" s="263" t="s">
        <v>436</v>
      </c>
      <c r="I2805" s="264"/>
      <c r="J2805" s="263" t="s">
        <v>437</v>
      </c>
    </row>
    <row r="2806" spans="1:10" x14ac:dyDescent="0.15">
      <c r="A2806" s="263" t="s">
        <v>7336</v>
      </c>
      <c r="B2806" s="263" t="s">
        <v>10071</v>
      </c>
      <c r="C2806" s="263" t="s">
        <v>85</v>
      </c>
      <c r="D2806" s="263" t="s">
        <v>10072</v>
      </c>
      <c r="E2806" s="263" t="s">
        <v>79</v>
      </c>
      <c r="F2806">
        <v>1</v>
      </c>
      <c r="G2806">
        <v>2</v>
      </c>
      <c r="H2806" s="263" t="s">
        <v>436</v>
      </c>
      <c r="I2806" s="264"/>
      <c r="J2806" s="263" t="s">
        <v>437</v>
      </c>
    </row>
    <row r="2807" spans="1:10" x14ac:dyDescent="0.15">
      <c r="A2807" s="263" t="s">
        <v>7337</v>
      </c>
      <c r="B2807" s="263" t="s">
        <v>10073</v>
      </c>
      <c r="C2807" s="263" t="s">
        <v>85</v>
      </c>
      <c r="D2807" s="263" t="s">
        <v>10074</v>
      </c>
      <c r="E2807" s="263" t="s">
        <v>79</v>
      </c>
      <c r="F2807">
        <v>1</v>
      </c>
      <c r="G2807">
        <v>2</v>
      </c>
      <c r="H2807" s="263" t="s">
        <v>436</v>
      </c>
      <c r="I2807" s="264"/>
      <c r="J2807" s="263" t="s">
        <v>437</v>
      </c>
    </row>
    <row r="2808" spans="1:10" x14ac:dyDescent="0.15">
      <c r="A2808" s="263" t="s">
        <v>7338</v>
      </c>
      <c r="B2808" s="263" t="s">
        <v>10075</v>
      </c>
      <c r="C2808" s="263" t="s">
        <v>85</v>
      </c>
      <c r="D2808" s="263" t="s">
        <v>10076</v>
      </c>
      <c r="E2808" s="263" t="s">
        <v>79</v>
      </c>
      <c r="F2808">
        <v>1</v>
      </c>
      <c r="G2808">
        <v>2</v>
      </c>
      <c r="H2808" s="263" t="s">
        <v>436</v>
      </c>
      <c r="I2808" s="264"/>
      <c r="J2808" s="263" t="s">
        <v>437</v>
      </c>
    </row>
    <row r="2809" spans="1:10" x14ac:dyDescent="0.15">
      <c r="A2809" s="263" t="s">
        <v>7339</v>
      </c>
      <c r="B2809" s="263" t="s">
        <v>10077</v>
      </c>
      <c r="C2809" s="263" t="s">
        <v>99</v>
      </c>
      <c r="D2809" s="263" t="s">
        <v>10078</v>
      </c>
      <c r="E2809" s="263" t="s">
        <v>84</v>
      </c>
      <c r="F2809">
        <v>0</v>
      </c>
      <c r="G2809">
        <v>2</v>
      </c>
      <c r="H2809" s="263" t="s">
        <v>436</v>
      </c>
      <c r="I2809" s="264"/>
      <c r="J2809" s="263" t="s">
        <v>437</v>
      </c>
    </row>
    <row r="2810" spans="1:10" x14ac:dyDescent="0.15">
      <c r="A2810" s="263" t="s">
        <v>7340</v>
      </c>
      <c r="B2810" s="263" t="s">
        <v>10077</v>
      </c>
      <c r="C2810" s="263" t="s">
        <v>105</v>
      </c>
      <c r="D2810" s="263" t="s">
        <v>10078</v>
      </c>
      <c r="E2810" s="263" t="s">
        <v>112</v>
      </c>
      <c r="F2810">
        <v>0</v>
      </c>
      <c r="G2810">
        <v>2</v>
      </c>
      <c r="H2810" s="263" t="s">
        <v>436</v>
      </c>
      <c r="I2810" s="264"/>
      <c r="J2810" s="263" t="s">
        <v>437</v>
      </c>
    </row>
    <row r="2811" spans="1:10" x14ac:dyDescent="0.15">
      <c r="A2811" s="263" t="s">
        <v>9131</v>
      </c>
      <c r="B2811" s="263" t="s">
        <v>7378</v>
      </c>
      <c r="C2811" s="263" t="s">
        <v>98</v>
      </c>
      <c r="D2811" s="263" t="s">
        <v>7379</v>
      </c>
      <c r="E2811" s="263" t="s">
        <v>110</v>
      </c>
      <c r="F2811">
        <v>0</v>
      </c>
      <c r="G2811">
        <v>2</v>
      </c>
      <c r="H2811" s="263" t="s">
        <v>436</v>
      </c>
      <c r="I2811" s="264"/>
      <c r="J2811" s="263" t="s">
        <v>437</v>
      </c>
    </row>
    <row r="2812" spans="1:10" x14ac:dyDescent="0.15">
      <c r="A2812" s="263" t="s">
        <v>7341</v>
      </c>
      <c r="B2812" s="263" t="s">
        <v>7342</v>
      </c>
      <c r="C2812" s="263" t="s">
        <v>98</v>
      </c>
      <c r="D2812" s="263" t="s">
        <v>7343</v>
      </c>
      <c r="E2812" s="263" t="s">
        <v>110</v>
      </c>
      <c r="F2812">
        <v>0</v>
      </c>
      <c r="G2812">
        <v>2</v>
      </c>
      <c r="H2812" s="263" t="s">
        <v>436</v>
      </c>
      <c r="I2812" s="264"/>
      <c r="J2812" s="263" t="s">
        <v>437</v>
      </c>
    </row>
    <row r="2813" spans="1:10" x14ac:dyDescent="0.15">
      <c r="A2813" s="263" t="s">
        <v>7344</v>
      </c>
      <c r="B2813" s="263" t="s">
        <v>7345</v>
      </c>
      <c r="C2813" s="263" t="s">
        <v>98</v>
      </c>
      <c r="D2813" s="263" t="s">
        <v>7346</v>
      </c>
      <c r="E2813" s="263" t="s">
        <v>110</v>
      </c>
      <c r="F2813">
        <v>0</v>
      </c>
      <c r="G2813">
        <v>2</v>
      </c>
      <c r="H2813" s="263" t="s">
        <v>436</v>
      </c>
      <c r="I2813" s="264"/>
      <c r="J2813" s="263" t="s">
        <v>437</v>
      </c>
    </row>
    <row r="2814" spans="1:10" x14ac:dyDescent="0.15">
      <c r="A2814" s="263" t="s">
        <v>7347</v>
      </c>
      <c r="B2814" s="263" t="s">
        <v>7348</v>
      </c>
      <c r="C2814" s="263" t="s">
        <v>98</v>
      </c>
      <c r="D2814" s="263" t="s">
        <v>7349</v>
      </c>
      <c r="E2814" s="263" t="s">
        <v>110</v>
      </c>
      <c r="F2814">
        <v>0</v>
      </c>
      <c r="G2814">
        <v>2</v>
      </c>
      <c r="H2814" s="263" t="s">
        <v>436</v>
      </c>
      <c r="I2814" s="264"/>
      <c r="J2814" s="263" t="s">
        <v>437</v>
      </c>
    </row>
    <row r="2815" spans="1:10" x14ac:dyDescent="0.15">
      <c r="A2815" s="263" t="s">
        <v>7350</v>
      </c>
      <c r="B2815" s="263" t="s">
        <v>7351</v>
      </c>
      <c r="C2815" s="263" t="s">
        <v>98</v>
      </c>
      <c r="D2815" s="263" t="s">
        <v>7352</v>
      </c>
      <c r="E2815" s="263" t="s">
        <v>110</v>
      </c>
      <c r="F2815">
        <v>0</v>
      </c>
      <c r="G2815">
        <v>2</v>
      </c>
      <c r="H2815" s="263" t="s">
        <v>436</v>
      </c>
      <c r="I2815" s="264"/>
      <c r="J2815" s="263" t="s">
        <v>437</v>
      </c>
    </row>
    <row r="2816" spans="1:10" x14ac:dyDescent="0.15">
      <c r="A2816" s="263" t="s">
        <v>7353</v>
      </c>
      <c r="B2816" s="263" t="s">
        <v>7354</v>
      </c>
      <c r="C2816" s="263" t="s">
        <v>98</v>
      </c>
      <c r="D2816" s="263" t="s">
        <v>7355</v>
      </c>
      <c r="E2816" s="263" t="s">
        <v>110</v>
      </c>
      <c r="F2816">
        <v>0</v>
      </c>
      <c r="G2816">
        <v>2</v>
      </c>
      <c r="H2816" s="263" t="s">
        <v>436</v>
      </c>
      <c r="I2816" s="264"/>
      <c r="J2816" s="263" t="s">
        <v>437</v>
      </c>
    </row>
    <row r="2817" spans="1:10" x14ac:dyDescent="0.15">
      <c r="A2817" s="263" t="s">
        <v>7356</v>
      </c>
      <c r="B2817" s="263" t="s">
        <v>7357</v>
      </c>
      <c r="C2817" s="263" t="s">
        <v>98</v>
      </c>
      <c r="D2817" s="263" t="s">
        <v>7358</v>
      </c>
      <c r="E2817" s="263" t="s">
        <v>110</v>
      </c>
      <c r="F2817">
        <v>0</v>
      </c>
      <c r="G2817">
        <v>2</v>
      </c>
      <c r="H2817" s="263" t="s">
        <v>436</v>
      </c>
      <c r="I2817" s="264"/>
      <c r="J2817" s="263" t="s">
        <v>437</v>
      </c>
    </row>
    <row r="2818" spans="1:10" x14ac:dyDescent="0.15">
      <c r="A2818" s="263" t="s">
        <v>7359</v>
      </c>
      <c r="B2818" s="263" t="s">
        <v>7360</v>
      </c>
      <c r="C2818" s="263" t="s">
        <v>98</v>
      </c>
      <c r="D2818" s="263" t="s">
        <v>7361</v>
      </c>
      <c r="E2818" s="263" t="s">
        <v>110</v>
      </c>
      <c r="F2818">
        <v>0</v>
      </c>
      <c r="G2818">
        <v>2</v>
      </c>
      <c r="H2818" s="263" t="s">
        <v>436</v>
      </c>
      <c r="I2818" s="264"/>
      <c r="J2818" s="263" t="s">
        <v>437</v>
      </c>
    </row>
    <row r="2819" spans="1:10" x14ac:dyDescent="0.15">
      <c r="A2819" s="263" t="s">
        <v>7362</v>
      </c>
      <c r="B2819" s="263" t="s">
        <v>7363</v>
      </c>
      <c r="C2819" s="263" t="s">
        <v>98</v>
      </c>
      <c r="D2819" s="263" t="s">
        <v>7364</v>
      </c>
      <c r="E2819" s="263" t="s">
        <v>110</v>
      </c>
      <c r="F2819">
        <v>0</v>
      </c>
      <c r="G2819">
        <v>2</v>
      </c>
      <c r="H2819" s="263" t="s">
        <v>436</v>
      </c>
      <c r="I2819" s="264"/>
      <c r="J2819" s="263" t="s">
        <v>437</v>
      </c>
    </row>
    <row r="2820" spans="1:10" x14ac:dyDescent="0.15">
      <c r="A2820" s="263" t="s">
        <v>7365</v>
      </c>
      <c r="B2820" s="263" t="s">
        <v>7366</v>
      </c>
      <c r="C2820" s="263" t="s">
        <v>98</v>
      </c>
      <c r="D2820" s="263" t="s">
        <v>7367</v>
      </c>
      <c r="E2820" s="263" t="s">
        <v>110</v>
      </c>
      <c r="F2820">
        <v>0</v>
      </c>
      <c r="G2820">
        <v>2</v>
      </c>
      <c r="H2820" s="263" t="s">
        <v>436</v>
      </c>
      <c r="I2820" s="264"/>
      <c r="J2820" s="263" t="s">
        <v>437</v>
      </c>
    </row>
    <row r="2821" spans="1:10" x14ac:dyDescent="0.15">
      <c r="A2821" s="263" t="s">
        <v>7368</v>
      </c>
      <c r="B2821" s="263" t="s">
        <v>7342</v>
      </c>
      <c r="C2821" s="263" t="s">
        <v>85</v>
      </c>
      <c r="D2821" s="263" t="s">
        <v>7343</v>
      </c>
      <c r="E2821" s="263" t="s">
        <v>79</v>
      </c>
      <c r="F2821">
        <v>1</v>
      </c>
      <c r="G2821">
        <v>2</v>
      </c>
      <c r="H2821" s="263" t="s">
        <v>436</v>
      </c>
      <c r="I2821" s="264"/>
      <c r="J2821" s="263" t="s">
        <v>437</v>
      </c>
    </row>
    <row r="2822" spans="1:10" x14ac:dyDescent="0.15">
      <c r="A2822" s="263" t="s">
        <v>7369</v>
      </c>
      <c r="B2822" s="263" t="s">
        <v>7345</v>
      </c>
      <c r="C2822" s="263" t="s">
        <v>85</v>
      </c>
      <c r="D2822" s="263" t="s">
        <v>7346</v>
      </c>
      <c r="E2822" s="263" t="s">
        <v>79</v>
      </c>
      <c r="F2822">
        <v>1</v>
      </c>
      <c r="G2822">
        <v>2</v>
      </c>
      <c r="H2822" s="263" t="s">
        <v>436</v>
      </c>
      <c r="I2822" s="264"/>
      <c r="J2822" s="263" t="s">
        <v>437</v>
      </c>
    </row>
    <row r="2823" spans="1:10" x14ac:dyDescent="0.15">
      <c r="A2823" s="263" t="s">
        <v>7370</v>
      </c>
      <c r="B2823" s="263" t="s">
        <v>7348</v>
      </c>
      <c r="C2823" s="263" t="s">
        <v>85</v>
      </c>
      <c r="D2823" s="263" t="s">
        <v>7349</v>
      </c>
      <c r="E2823" s="263" t="s">
        <v>79</v>
      </c>
      <c r="F2823">
        <v>1</v>
      </c>
      <c r="G2823">
        <v>2</v>
      </c>
      <c r="H2823" s="263" t="s">
        <v>436</v>
      </c>
      <c r="I2823" s="264"/>
      <c r="J2823" s="263" t="s">
        <v>437</v>
      </c>
    </row>
    <row r="2824" spans="1:10" x14ac:dyDescent="0.15">
      <c r="A2824" s="263" t="s">
        <v>7371</v>
      </c>
      <c r="B2824" s="263" t="s">
        <v>7351</v>
      </c>
      <c r="C2824" s="263" t="s">
        <v>85</v>
      </c>
      <c r="D2824" s="263" t="s">
        <v>7352</v>
      </c>
      <c r="E2824" s="263" t="s">
        <v>79</v>
      </c>
      <c r="F2824">
        <v>1</v>
      </c>
      <c r="G2824">
        <v>2</v>
      </c>
      <c r="H2824" s="263" t="s">
        <v>436</v>
      </c>
      <c r="I2824" s="264"/>
      <c r="J2824" s="263" t="s">
        <v>437</v>
      </c>
    </row>
    <row r="2825" spans="1:10" x14ac:dyDescent="0.15">
      <c r="A2825" s="263" t="s">
        <v>7372</v>
      </c>
      <c r="B2825" s="263" t="s">
        <v>7354</v>
      </c>
      <c r="C2825" s="263" t="s">
        <v>85</v>
      </c>
      <c r="D2825" s="263" t="s">
        <v>7355</v>
      </c>
      <c r="E2825" s="263" t="s">
        <v>79</v>
      </c>
      <c r="F2825">
        <v>1</v>
      </c>
      <c r="G2825">
        <v>2</v>
      </c>
      <c r="H2825" s="263" t="s">
        <v>436</v>
      </c>
      <c r="I2825" s="264"/>
      <c r="J2825" s="263" t="s">
        <v>437</v>
      </c>
    </row>
    <row r="2826" spans="1:10" x14ac:dyDescent="0.15">
      <c r="A2826" s="263" t="s">
        <v>7373</v>
      </c>
      <c r="B2826" s="263" t="s">
        <v>7357</v>
      </c>
      <c r="C2826" s="263" t="s">
        <v>85</v>
      </c>
      <c r="D2826" s="263" t="s">
        <v>7358</v>
      </c>
      <c r="E2826" s="263" t="s">
        <v>79</v>
      </c>
      <c r="F2826">
        <v>1</v>
      </c>
      <c r="G2826">
        <v>2</v>
      </c>
      <c r="H2826" s="263" t="s">
        <v>436</v>
      </c>
      <c r="I2826" s="264"/>
      <c r="J2826" s="263" t="s">
        <v>437</v>
      </c>
    </row>
    <row r="2827" spans="1:10" x14ac:dyDescent="0.15">
      <c r="A2827" s="263" t="s">
        <v>7374</v>
      </c>
      <c r="B2827" s="263" t="s">
        <v>7360</v>
      </c>
      <c r="C2827" s="263" t="s">
        <v>85</v>
      </c>
      <c r="D2827" s="263" t="s">
        <v>7361</v>
      </c>
      <c r="E2827" s="263" t="s">
        <v>79</v>
      </c>
      <c r="F2827">
        <v>1</v>
      </c>
      <c r="G2827">
        <v>2</v>
      </c>
      <c r="H2827" s="263" t="s">
        <v>436</v>
      </c>
      <c r="I2827" s="264"/>
      <c r="J2827" s="263" t="s">
        <v>437</v>
      </c>
    </row>
    <row r="2828" spans="1:10" x14ac:dyDescent="0.15">
      <c r="A2828" s="263" t="s">
        <v>7375</v>
      </c>
      <c r="B2828" s="263" t="s">
        <v>7363</v>
      </c>
      <c r="C2828" s="263" t="s">
        <v>85</v>
      </c>
      <c r="D2828" s="263" t="s">
        <v>7364</v>
      </c>
      <c r="E2828" s="263" t="s">
        <v>79</v>
      </c>
      <c r="F2828">
        <v>1</v>
      </c>
      <c r="G2828">
        <v>2</v>
      </c>
      <c r="H2828" s="263" t="s">
        <v>436</v>
      </c>
      <c r="I2828" s="264"/>
      <c r="J2828" s="263" t="s">
        <v>437</v>
      </c>
    </row>
    <row r="2829" spans="1:10" x14ac:dyDescent="0.15">
      <c r="A2829" s="263" t="s">
        <v>7376</v>
      </c>
      <c r="B2829" s="263" t="s">
        <v>7366</v>
      </c>
      <c r="C2829" s="263" t="s">
        <v>85</v>
      </c>
      <c r="D2829" s="263" t="s">
        <v>7367</v>
      </c>
      <c r="E2829" s="263" t="s">
        <v>79</v>
      </c>
      <c r="F2829">
        <v>1</v>
      </c>
      <c r="G2829">
        <v>2</v>
      </c>
      <c r="H2829" s="263" t="s">
        <v>436</v>
      </c>
      <c r="I2829" s="264"/>
      <c r="J2829" s="263" t="s">
        <v>437</v>
      </c>
    </row>
    <row r="2830" spans="1:10" x14ac:dyDescent="0.15">
      <c r="A2830" s="263" t="s">
        <v>7377</v>
      </c>
      <c r="B2830" s="263" t="s">
        <v>7378</v>
      </c>
      <c r="C2830" s="263" t="s">
        <v>99</v>
      </c>
      <c r="D2830" s="263" t="s">
        <v>7379</v>
      </c>
      <c r="E2830" s="263" t="s">
        <v>84</v>
      </c>
      <c r="F2830">
        <v>0</v>
      </c>
      <c r="G2830">
        <v>2</v>
      </c>
      <c r="H2830" s="263" t="s">
        <v>436</v>
      </c>
      <c r="I2830" s="264"/>
      <c r="J2830" s="263" t="s">
        <v>437</v>
      </c>
    </row>
    <row r="2831" spans="1:10" x14ac:dyDescent="0.15">
      <c r="A2831" s="263" t="s">
        <v>7380</v>
      </c>
      <c r="B2831" s="263" t="s">
        <v>7378</v>
      </c>
      <c r="C2831" s="263" t="s">
        <v>105</v>
      </c>
      <c r="D2831" s="263" t="s">
        <v>7379</v>
      </c>
      <c r="E2831" s="263" t="s">
        <v>112</v>
      </c>
      <c r="F2831">
        <v>0</v>
      </c>
      <c r="G2831">
        <v>2</v>
      </c>
      <c r="H2831" s="263" t="s">
        <v>436</v>
      </c>
      <c r="I2831" s="264"/>
      <c r="J2831" s="263" t="s">
        <v>437</v>
      </c>
    </row>
    <row r="2832" spans="1:10" x14ac:dyDescent="0.15">
      <c r="A2832" s="263" t="s">
        <v>7381</v>
      </c>
      <c r="B2832" s="263" t="s">
        <v>7382</v>
      </c>
      <c r="C2832" s="263" t="s">
        <v>99</v>
      </c>
      <c r="D2832" s="263" t="s">
        <v>7383</v>
      </c>
      <c r="E2832" s="263" t="s">
        <v>84</v>
      </c>
      <c r="F2832">
        <v>0</v>
      </c>
      <c r="G2832">
        <v>2</v>
      </c>
      <c r="H2832" s="263" t="s">
        <v>436</v>
      </c>
      <c r="I2832" s="264"/>
      <c r="J2832" s="263" t="s">
        <v>437</v>
      </c>
    </row>
    <row r="2833" spans="1:10" x14ac:dyDescent="0.15">
      <c r="A2833" s="263" t="s">
        <v>7384</v>
      </c>
      <c r="B2833" s="263" t="s">
        <v>7382</v>
      </c>
      <c r="C2833" s="263" t="s">
        <v>98</v>
      </c>
      <c r="D2833" s="263" t="s">
        <v>7383</v>
      </c>
      <c r="E2833" s="263" t="s">
        <v>110</v>
      </c>
      <c r="F2833">
        <v>0</v>
      </c>
      <c r="G2833">
        <v>2</v>
      </c>
      <c r="H2833" s="263" t="s">
        <v>436</v>
      </c>
      <c r="I2833" s="264"/>
      <c r="J2833" s="263" t="s">
        <v>437</v>
      </c>
    </row>
    <row r="2834" spans="1:10" x14ac:dyDescent="0.15">
      <c r="A2834" s="263" t="s">
        <v>7385</v>
      </c>
      <c r="B2834" s="263" t="s">
        <v>10079</v>
      </c>
      <c r="C2834" s="263" t="s">
        <v>98</v>
      </c>
      <c r="D2834" s="263" t="s">
        <v>10080</v>
      </c>
      <c r="E2834" s="263" t="s">
        <v>110</v>
      </c>
      <c r="F2834">
        <v>0</v>
      </c>
      <c r="G2834">
        <v>2</v>
      </c>
      <c r="H2834" s="263" t="s">
        <v>436</v>
      </c>
      <c r="I2834" s="264"/>
      <c r="J2834" s="263" t="s">
        <v>437</v>
      </c>
    </row>
    <row r="2835" spans="1:10" x14ac:dyDescent="0.15">
      <c r="A2835" s="263" t="s">
        <v>7386</v>
      </c>
      <c r="B2835" s="263" t="s">
        <v>7387</v>
      </c>
      <c r="C2835" s="263" t="s">
        <v>99</v>
      </c>
      <c r="D2835" s="263" t="s">
        <v>7388</v>
      </c>
      <c r="E2835" s="263" t="s">
        <v>84</v>
      </c>
      <c r="F2835">
        <v>0</v>
      </c>
      <c r="G2835">
        <v>2</v>
      </c>
      <c r="H2835" s="263" t="s">
        <v>436</v>
      </c>
      <c r="I2835" s="264"/>
      <c r="J2835" s="263" t="s">
        <v>437</v>
      </c>
    </row>
    <row r="2836" spans="1:10" x14ac:dyDescent="0.15">
      <c r="A2836" s="263" t="s">
        <v>7389</v>
      </c>
      <c r="B2836" s="263" t="s">
        <v>7390</v>
      </c>
      <c r="C2836" s="263" t="s">
        <v>85</v>
      </c>
      <c r="D2836" s="263" t="s">
        <v>7391</v>
      </c>
      <c r="E2836" s="263" t="s">
        <v>79</v>
      </c>
      <c r="F2836">
        <v>1</v>
      </c>
      <c r="G2836">
        <v>2</v>
      </c>
      <c r="H2836" s="263" t="s">
        <v>436</v>
      </c>
      <c r="I2836" s="264"/>
      <c r="J2836" s="263" t="s">
        <v>437</v>
      </c>
    </row>
    <row r="2837" spans="1:10" x14ac:dyDescent="0.15">
      <c r="A2837" s="263" t="s">
        <v>7392</v>
      </c>
      <c r="B2837" s="263" t="s">
        <v>7390</v>
      </c>
      <c r="C2837" s="263" t="s">
        <v>98</v>
      </c>
      <c r="D2837" s="263" t="s">
        <v>7391</v>
      </c>
      <c r="E2837" s="263" t="s">
        <v>110</v>
      </c>
      <c r="F2837">
        <v>0</v>
      </c>
      <c r="G2837">
        <v>2</v>
      </c>
      <c r="H2837" s="263" t="s">
        <v>436</v>
      </c>
      <c r="I2837" s="264"/>
      <c r="J2837" s="263" t="s">
        <v>437</v>
      </c>
    </row>
    <row r="2838" spans="1:10" x14ac:dyDescent="0.15">
      <c r="A2838" s="263" t="s">
        <v>7393</v>
      </c>
      <c r="B2838" s="263" t="s">
        <v>7394</v>
      </c>
      <c r="C2838" s="263" t="s">
        <v>85</v>
      </c>
      <c r="D2838" s="263" t="s">
        <v>7395</v>
      </c>
      <c r="E2838" s="263" t="s">
        <v>79</v>
      </c>
      <c r="F2838">
        <v>1</v>
      </c>
      <c r="G2838">
        <v>2</v>
      </c>
      <c r="H2838" s="263" t="s">
        <v>436</v>
      </c>
      <c r="I2838" s="264"/>
      <c r="J2838" s="263" t="s">
        <v>437</v>
      </c>
    </row>
    <row r="2839" spans="1:10" x14ac:dyDescent="0.15">
      <c r="A2839" s="263" t="s">
        <v>7396</v>
      </c>
      <c r="B2839" s="263" t="s">
        <v>7397</v>
      </c>
      <c r="C2839" s="263" t="s">
        <v>85</v>
      </c>
      <c r="D2839" s="263" t="s">
        <v>7398</v>
      </c>
      <c r="E2839" s="263" t="s">
        <v>79</v>
      </c>
      <c r="F2839">
        <v>1</v>
      </c>
      <c r="G2839">
        <v>2</v>
      </c>
      <c r="H2839" s="263" t="s">
        <v>436</v>
      </c>
      <c r="I2839" s="264"/>
      <c r="J2839" s="263" t="s">
        <v>437</v>
      </c>
    </row>
    <row r="2840" spans="1:10" x14ac:dyDescent="0.15">
      <c r="A2840" s="263" t="s">
        <v>7399</v>
      </c>
      <c r="B2840" s="263" t="s">
        <v>7394</v>
      </c>
      <c r="C2840" s="263" t="s">
        <v>98</v>
      </c>
      <c r="D2840" s="263" t="s">
        <v>7395</v>
      </c>
      <c r="E2840" s="263" t="s">
        <v>110</v>
      </c>
      <c r="F2840">
        <v>0</v>
      </c>
      <c r="G2840">
        <v>2</v>
      </c>
      <c r="H2840" s="263" t="s">
        <v>436</v>
      </c>
      <c r="I2840" s="264"/>
      <c r="J2840" s="263" t="s">
        <v>437</v>
      </c>
    </row>
    <row r="2841" spans="1:10" x14ac:dyDescent="0.15">
      <c r="A2841" s="263" t="s">
        <v>7400</v>
      </c>
      <c r="B2841" s="263" t="s">
        <v>7397</v>
      </c>
      <c r="C2841" s="263" t="s">
        <v>98</v>
      </c>
      <c r="D2841" s="263" t="s">
        <v>7398</v>
      </c>
      <c r="E2841" s="263" t="s">
        <v>110</v>
      </c>
      <c r="F2841">
        <v>0</v>
      </c>
      <c r="G2841">
        <v>2</v>
      </c>
      <c r="H2841" s="263" t="s">
        <v>436</v>
      </c>
      <c r="I2841" s="264"/>
      <c r="J2841" s="263" t="s">
        <v>437</v>
      </c>
    </row>
    <row r="2842" spans="1:10" x14ac:dyDescent="0.15">
      <c r="A2842" s="263" t="s">
        <v>7401</v>
      </c>
      <c r="B2842" s="263" t="s">
        <v>7402</v>
      </c>
      <c r="C2842" s="263" t="s">
        <v>85</v>
      </c>
      <c r="D2842" s="263" t="s">
        <v>7403</v>
      </c>
      <c r="E2842" s="263" t="s">
        <v>79</v>
      </c>
      <c r="F2842">
        <v>1</v>
      </c>
      <c r="G2842">
        <v>2</v>
      </c>
      <c r="H2842" s="263" t="s">
        <v>436</v>
      </c>
      <c r="I2842" s="264"/>
      <c r="J2842" s="263" t="s">
        <v>437</v>
      </c>
    </row>
    <row r="2843" spans="1:10" x14ac:dyDescent="0.15">
      <c r="A2843" s="263" t="s">
        <v>7404</v>
      </c>
      <c r="B2843" s="263" t="s">
        <v>7405</v>
      </c>
      <c r="C2843" s="263" t="s">
        <v>85</v>
      </c>
      <c r="D2843" s="263" t="s">
        <v>7406</v>
      </c>
      <c r="E2843" s="263" t="s">
        <v>79</v>
      </c>
      <c r="F2843">
        <v>1</v>
      </c>
      <c r="G2843">
        <v>2</v>
      </c>
      <c r="H2843" s="263" t="s">
        <v>436</v>
      </c>
      <c r="I2843" s="264"/>
      <c r="J2843" s="263" t="s">
        <v>437</v>
      </c>
    </row>
    <row r="2844" spans="1:10" x14ac:dyDescent="0.15">
      <c r="A2844" s="263" t="s">
        <v>7407</v>
      </c>
      <c r="B2844" s="263" t="s">
        <v>7408</v>
      </c>
      <c r="C2844" s="263" t="s">
        <v>85</v>
      </c>
      <c r="D2844" s="263" t="s">
        <v>7409</v>
      </c>
      <c r="E2844" s="263" t="s">
        <v>79</v>
      </c>
      <c r="F2844">
        <v>1</v>
      </c>
      <c r="G2844">
        <v>2</v>
      </c>
      <c r="H2844" s="263" t="s">
        <v>436</v>
      </c>
      <c r="I2844" s="264"/>
      <c r="J2844" s="263" t="s">
        <v>437</v>
      </c>
    </row>
    <row r="2845" spans="1:10" x14ac:dyDescent="0.15">
      <c r="A2845" s="263" t="s">
        <v>7410</v>
      </c>
      <c r="B2845" s="263" t="s">
        <v>7411</v>
      </c>
      <c r="C2845" s="263" t="s">
        <v>85</v>
      </c>
      <c r="D2845" s="263" t="s">
        <v>7412</v>
      </c>
      <c r="E2845" s="263" t="s">
        <v>79</v>
      </c>
      <c r="F2845">
        <v>1</v>
      </c>
      <c r="G2845">
        <v>2</v>
      </c>
      <c r="H2845" s="263" t="s">
        <v>436</v>
      </c>
      <c r="I2845" s="264"/>
      <c r="J2845" s="263" t="s">
        <v>437</v>
      </c>
    </row>
    <row r="2846" spans="1:10" x14ac:dyDescent="0.15">
      <c r="A2846" s="263" t="s">
        <v>7413</v>
      </c>
      <c r="B2846" s="263" t="s">
        <v>7402</v>
      </c>
      <c r="C2846" s="263" t="s">
        <v>98</v>
      </c>
      <c r="D2846" s="263" t="s">
        <v>7403</v>
      </c>
      <c r="E2846" s="263" t="s">
        <v>110</v>
      </c>
      <c r="F2846">
        <v>0</v>
      </c>
      <c r="G2846">
        <v>2</v>
      </c>
      <c r="H2846" s="263" t="s">
        <v>436</v>
      </c>
      <c r="I2846" s="264"/>
      <c r="J2846" s="263" t="s">
        <v>437</v>
      </c>
    </row>
    <row r="2847" spans="1:10" x14ac:dyDescent="0.15">
      <c r="A2847" s="263" t="s">
        <v>7414</v>
      </c>
      <c r="B2847" s="263" t="s">
        <v>7405</v>
      </c>
      <c r="C2847" s="263" t="s">
        <v>98</v>
      </c>
      <c r="D2847" s="263" t="s">
        <v>7406</v>
      </c>
      <c r="E2847" s="263" t="s">
        <v>110</v>
      </c>
      <c r="F2847">
        <v>0</v>
      </c>
      <c r="G2847">
        <v>2</v>
      </c>
      <c r="H2847" s="263" t="s">
        <v>436</v>
      </c>
      <c r="I2847" s="264"/>
      <c r="J2847" s="263" t="s">
        <v>437</v>
      </c>
    </row>
    <row r="2848" spans="1:10" x14ac:dyDescent="0.15">
      <c r="A2848" s="263" t="s">
        <v>7415</v>
      </c>
      <c r="B2848" s="263" t="s">
        <v>7408</v>
      </c>
      <c r="C2848" s="263" t="s">
        <v>98</v>
      </c>
      <c r="D2848" s="263" t="s">
        <v>7409</v>
      </c>
      <c r="E2848" s="263" t="s">
        <v>110</v>
      </c>
      <c r="F2848">
        <v>0</v>
      </c>
      <c r="G2848">
        <v>2</v>
      </c>
      <c r="H2848" s="263" t="s">
        <v>436</v>
      </c>
      <c r="I2848" s="264"/>
      <c r="J2848" s="263" t="s">
        <v>437</v>
      </c>
    </row>
    <row r="2849" spans="1:10" x14ac:dyDescent="0.15">
      <c r="A2849" s="263" t="s">
        <v>7416</v>
      </c>
      <c r="B2849" s="263" t="s">
        <v>7411</v>
      </c>
      <c r="C2849" s="263" t="s">
        <v>98</v>
      </c>
      <c r="D2849" s="263" t="s">
        <v>7412</v>
      </c>
      <c r="E2849" s="263" t="s">
        <v>110</v>
      </c>
      <c r="F2849">
        <v>0</v>
      </c>
      <c r="G2849">
        <v>2</v>
      </c>
      <c r="H2849" s="263" t="s">
        <v>436</v>
      </c>
      <c r="I2849" s="264"/>
      <c r="J2849" s="263" t="s">
        <v>437</v>
      </c>
    </row>
    <row r="2850" spans="1:10" x14ac:dyDescent="0.15">
      <c r="A2850" s="263" t="s">
        <v>7417</v>
      </c>
      <c r="B2850" s="263" t="s">
        <v>7418</v>
      </c>
      <c r="C2850" s="263" t="s">
        <v>85</v>
      </c>
      <c r="D2850" s="263" t="s">
        <v>7419</v>
      </c>
      <c r="E2850" s="263" t="s">
        <v>79</v>
      </c>
      <c r="F2850">
        <v>1</v>
      </c>
      <c r="G2850">
        <v>2</v>
      </c>
      <c r="H2850" s="263" t="s">
        <v>436</v>
      </c>
      <c r="I2850" s="264"/>
      <c r="J2850" s="263" t="s">
        <v>437</v>
      </c>
    </row>
    <row r="2851" spans="1:10" x14ac:dyDescent="0.15">
      <c r="A2851" s="263" t="s">
        <v>7420</v>
      </c>
      <c r="B2851" s="263" t="s">
        <v>7418</v>
      </c>
      <c r="C2851" s="263" t="s">
        <v>105</v>
      </c>
      <c r="D2851" s="263" t="s">
        <v>7419</v>
      </c>
      <c r="E2851" s="263" t="s">
        <v>112</v>
      </c>
      <c r="F2851">
        <v>0</v>
      </c>
      <c r="G2851">
        <v>2</v>
      </c>
      <c r="H2851" s="263" t="s">
        <v>436</v>
      </c>
      <c r="I2851" s="264"/>
      <c r="J2851" s="263" t="s">
        <v>437</v>
      </c>
    </row>
    <row r="2852" spans="1:10" x14ac:dyDescent="0.15">
      <c r="A2852" s="263" t="s">
        <v>7421</v>
      </c>
      <c r="B2852" s="263" t="s">
        <v>7422</v>
      </c>
      <c r="C2852" s="263" t="s">
        <v>99</v>
      </c>
      <c r="D2852" s="263" t="s">
        <v>7423</v>
      </c>
      <c r="E2852" s="263" t="s">
        <v>102</v>
      </c>
      <c r="F2852">
        <v>0</v>
      </c>
      <c r="G2852">
        <v>2</v>
      </c>
      <c r="H2852" s="263" t="s">
        <v>436</v>
      </c>
      <c r="I2852" s="264"/>
      <c r="J2852" s="263" t="s">
        <v>437</v>
      </c>
    </row>
    <row r="2853" spans="1:10" x14ac:dyDescent="0.15">
      <c r="A2853" s="263" t="s">
        <v>7424</v>
      </c>
      <c r="B2853" s="263" t="s">
        <v>7425</v>
      </c>
      <c r="C2853" s="263" t="s">
        <v>7426</v>
      </c>
      <c r="D2853" s="263" t="s">
        <v>7427</v>
      </c>
      <c r="E2853" s="263" t="s">
        <v>91</v>
      </c>
      <c r="F2853">
        <v>0</v>
      </c>
      <c r="G2853">
        <v>2</v>
      </c>
      <c r="H2853" s="263" t="s">
        <v>436</v>
      </c>
      <c r="I2853" s="264"/>
      <c r="J2853" s="263" t="s">
        <v>437</v>
      </c>
    </row>
    <row r="2854" spans="1:10" x14ac:dyDescent="0.15">
      <c r="A2854" s="263" t="s">
        <v>7428</v>
      </c>
      <c r="B2854" s="263" t="s">
        <v>7429</v>
      </c>
      <c r="C2854" s="263" t="s">
        <v>89</v>
      </c>
      <c r="D2854" s="263" t="s">
        <v>7430</v>
      </c>
      <c r="E2854" s="263" t="s">
        <v>95</v>
      </c>
      <c r="F2854">
        <v>0</v>
      </c>
      <c r="G2854">
        <v>2</v>
      </c>
      <c r="H2854" s="263" t="s">
        <v>436</v>
      </c>
      <c r="I2854" s="264"/>
      <c r="J2854" s="263" t="s">
        <v>437</v>
      </c>
    </row>
    <row r="2855" spans="1:10" x14ac:dyDescent="0.15">
      <c r="A2855" s="263" t="s">
        <v>7431</v>
      </c>
      <c r="B2855" s="263" t="s">
        <v>7432</v>
      </c>
      <c r="C2855" s="263" t="s">
        <v>85</v>
      </c>
      <c r="D2855" s="263" t="s">
        <v>7433</v>
      </c>
      <c r="E2855" s="263" t="s">
        <v>79</v>
      </c>
      <c r="F2855">
        <v>1</v>
      </c>
      <c r="G2855">
        <v>2</v>
      </c>
      <c r="H2855" s="263" t="s">
        <v>436</v>
      </c>
      <c r="I2855" s="264"/>
      <c r="J2855" s="263" t="s">
        <v>437</v>
      </c>
    </row>
    <row r="2856" spans="1:10" x14ac:dyDescent="0.15">
      <c r="A2856" s="263" t="s">
        <v>10081</v>
      </c>
      <c r="B2856" s="263" t="s">
        <v>7446</v>
      </c>
      <c r="C2856" s="263" t="s">
        <v>81</v>
      </c>
      <c r="D2856" s="263" t="s">
        <v>7447</v>
      </c>
      <c r="E2856" s="263" t="s">
        <v>88</v>
      </c>
      <c r="F2856">
        <v>0</v>
      </c>
      <c r="G2856">
        <v>2</v>
      </c>
      <c r="H2856" s="263" t="s">
        <v>436</v>
      </c>
      <c r="I2856" s="264"/>
      <c r="J2856" s="263" t="s">
        <v>437</v>
      </c>
    </row>
    <row r="2857" spans="1:10" x14ac:dyDescent="0.15">
      <c r="A2857" s="263" t="s">
        <v>7434</v>
      </c>
      <c r="B2857" s="263" t="s">
        <v>10082</v>
      </c>
      <c r="C2857" s="263" t="s">
        <v>81</v>
      </c>
      <c r="D2857" s="263" t="s">
        <v>10083</v>
      </c>
      <c r="E2857" s="263" t="s">
        <v>88</v>
      </c>
      <c r="F2857">
        <v>0</v>
      </c>
      <c r="G2857">
        <v>2</v>
      </c>
      <c r="H2857" s="263" t="s">
        <v>436</v>
      </c>
      <c r="I2857" s="264"/>
      <c r="J2857" s="263" t="s">
        <v>437</v>
      </c>
    </row>
    <row r="2858" spans="1:10" x14ac:dyDescent="0.15">
      <c r="A2858" s="263" t="s">
        <v>10084</v>
      </c>
      <c r="B2858" s="263" t="s">
        <v>10085</v>
      </c>
      <c r="C2858" s="263" t="s">
        <v>81</v>
      </c>
      <c r="D2858" s="263" t="s">
        <v>10086</v>
      </c>
      <c r="E2858" s="263" t="s">
        <v>88</v>
      </c>
      <c r="F2858">
        <v>0</v>
      </c>
      <c r="G2858">
        <v>2</v>
      </c>
      <c r="H2858" s="263" t="s">
        <v>436</v>
      </c>
      <c r="I2858" s="264"/>
      <c r="J2858" s="263" t="s">
        <v>437</v>
      </c>
    </row>
    <row r="2859" spans="1:10" x14ac:dyDescent="0.15">
      <c r="A2859" s="263" t="s">
        <v>10087</v>
      </c>
      <c r="B2859" s="263" t="s">
        <v>7436</v>
      </c>
      <c r="C2859" s="263" t="s">
        <v>81</v>
      </c>
      <c r="D2859" s="263" t="s">
        <v>7437</v>
      </c>
      <c r="E2859" s="263" t="s">
        <v>88</v>
      </c>
      <c r="F2859">
        <v>0</v>
      </c>
      <c r="G2859">
        <v>2</v>
      </c>
      <c r="H2859" s="263" t="s">
        <v>436</v>
      </c>
      <c r="I2859" s="264"/>
      <c r="J2859" s="263" t="s">
        <v>437</v>
      </c>
    </row>
    <row r="2860" spans="1:10" x14ac:dyDescent="0.15">
      <c r="A2860" s="263" t="s">
        <v>10088</v>
      </c>
      <c r="B2860" s="263" t="s">
        <v>7438</v>
      </c>
      <c r="C2860" s="263" t="s">
        <v>81</v>
      </c>
      <c r="D2860" s="263" t="s">
        <v>7439</v>
      </c>
      <c r="E2860" s="263" t="s">
        <v>88</v>
      </c>
      <c r="F2860">
        <v>0</v>
      </c>
      <c r="G2860">
        <v>2</v>
      </c>
      <c r="H2860" s="263" t="s">
        <v>436</v>
      </c>
      <c r="I2860" s="264"/>
      <c r="J2860" s="263" t="s">
        <v>437</v>
      </c>
    </row>
    <row r="2861" spans="1:10" x14ac:dyDescent="0.15">
      <c r="A2861" s="263" t="s">
        <v>10089</v>
      </c>
      <c r="B2861" s="263" t="s">
        <v>7440</v>
      </c>
      <c r="C2861" s="263" t="s">
        <v>81</v>
      </c>
      <c r="D2861" s="263" t="s">
        <v>7441</v>
      </c>
      <c r="E2861" s="263" t="s">
        <v>88</v>
      </c>
      <c r="F2861">
        <v>0</v>
      </c>
      <c r="G2861">
        <v>2</v>
      </c>
      <c r="H2861" s="263" t="s">
        <v>436</v>
      </c>
      <c r="I2861" s="264"/>
      <c r="J2861" s="263" t="s">
        <v>437</v>
      </c>
    </row>
    <row r="2862" spans="1:10" x14ac:dyDescent="0.15">
      <c r="A2862" s="263" t="s">
        <v>10090</v>
      </c>
      <c r="B2862" s="263" t="s">
        <v>7442</v>
      </c>
      <c r="C2862" s="263" t="s">
        <v>81</v>
      </c>
      <c r="D2862" s="263" t="s">
        <v>7443</v>
      </c>
      <c r="E2862" s="263" t="s">
        <v>88</v>
      </c>
      <c r="F2862">
        <v>0</v>
      </c>
      <c r="G2862">
        <v>2</v>
      </c>
      <c r="H2862" s="263" t="s">
        <v>436</v>
      </c>
      <c r="I2862" s="264"/>
      <c r="J2862" s="263" t="s">
        <v>437</v>
      </c>
    </row>
    <row r="2863" spans="1:10" x14ac:dyDescent="0.15">
      <c r="A2863" s="263" t="s">
        <v>10091</v>
      </c>
      <c r="B2863" s="263" t="s">
        <v>7444</v>
      </c>
      <c r="C2863" s="263" t="s">
        <v>81</v>
      </c>
      <c r="D2863" s="263" t="s">
        <v>7445</v>
      </c>
      <c r="E2863" s="263" t="s">
        <v>88</v>
      </c>
      <c r="F2863">
        <v>0</v>
      </c>
      <c r="G2863">
        <v>2</v>
      </c>
      <c r="H2863" s="263" t="s">
        <v>436</v>
      </c>
      <c r="I2863" s="264"/>
      <c r="J2863" s="263" t="s">
        <v>437</v>
      </c>
    </row>
    <row r="2864" spans="1:10" x14ac:dyDescent="0.15">
      <c r="A2864" s="263" t="s">
        <v>10092</v>
      </c>
      <c r="B2864" s="263" t="s">
        <v>7446</v>
      </c>
      <c r="C2864" s="263" t="s">
        <v>85</v>
      </c>
      <c r="D2864" s="263" t="s">
        <v>7447</v>
      </c>
      <c r="E2864" s="263" t="s">
        <v>79</v>
      </c>
      <c r="F2864">
        <v>1</v>
      </c>
      <c r="G2864">
        <v>2</v>
      </c>
      <c r="H2864" s="263" t="s">
        <v>436</v>
      </c>
      <c r="I2864" s="264"/>
      <c r="J2864" s="263" t="s">
        <v>437</v>
      </c>
    </row>
    <row r="2865" spans="1:10" x14ac:dyDescent="0.15">
      <c r="A2865" s="263" t="s">
        <v>10093</v>
      </c>
      <c r="B2865" s="263" t="s">
        <v>7446</v>
      </c>
      <c r="C2865" s="263" t="s">
        <v>94</v>
      </c>
      <c r="D2865" s="263" t="s">
        <v>7447</v>
      </c>
      <c r="E2865" s="263" t="s">
        <v>94</v>
      </c>
      <c r="F2865">
        <v>0</v>
      </c>
      <c r="G2865">
        <v>2</v>
      </c>
      <c r="H2865" s="263" t="s">
        <v>436</v>
      </c>
      <c r="I2865" s="264"/>
      <c r="J2865" s="263" t="s">
        <v>437</v>
      </c>
    </row>
    <row r="2866" spans="1:10" x14ac:dyDescent="0.15">
      <c r="A2866" s="263" t="s">
        <v>10094</v>
      </c>
      <c r="B2866" s="263" t="s">
        <v>7448</v>
      </c>
      <c r="C2866" s="263" t="s">
        <v>81</v>
      </c>
      <c r="D2866" s="263" t="s">
        <v>7449</v>
      </c>
      <c r="E2866" s="263" t="s">
        <v>88</v>
      </c>
      <c r="F2866">
        <v>0</v>
      </c>
      <c r="G2866">
        <v>2</v>
      </c>
      <c r="H2866" s="263" t="s">
        <v>436</v>
      </c>
      <c r="I2866" s="264"/>
      <c r="J2866" s="263" t="s">
        <v>437</v>
      </c>
    </row>
    <row r="2867" spans="1:10" x14ac:dyDescent="0.15">
      <c r="A2867" s="263" t="s">
        <v>10095</v>
      </c>
      <c r="B2867" s="263" t="s">
        <v>7450</v>
      </c>
      <c r="C2867" s="263" t="s">
        <v>81</v>
      </c>
      <c r="D2867" s="263" t="s">
        <v>7451</v>
      </c>
      <c r="E2867" s="263" t="s">
        <v>88</v>
      </c>
      <c r="F2867">
        <v>0</v>
      </c>
      <c r="G2867">
        <v>2</v>
      </c>
      <c r="H2867" s="263" t="s">
        <v>436</v>
      </c>
      <c r="I2867" s="264"/>
      <c r="J2867" s="263" t="s">
        <v>437</v>
      </c>
    </row>
    <row r="2868" spans="1:10" x14ac:dyDescent="0.15">
      <c r="A2868" s="263" t="s">
        <v>10096</v>
      </c>
      <c r="B2868" s="263" t="s">
        <v>7452</v>
      </c>
      <c r="C2868" s="263" t="s">
        <v>81</v>
      </c>
      <c r="D2868" s="263" t="s">
        <v>7453</v>
      </c>
      <c r="E2868" s="263" t="s">
        <v>88</v>
      </c>
      <c r="F2868">
        <v>0</v>
      </c>
      <c r="G2868">
        <v>2</v>
      </c>
      <c r="H2868" s="263" t="s">
        <v>436</v>
      </c>
      <c r="I2868" s="264"/>
      <c r="J2868" s="263" t="s">
        <v>437</v>
      </c>
    </row>
    <row r="2869" spans="1:10" x14ac:dyDescent="0.15">
      <c r="A2869" s="263" t="s">
        <v>10097</v>
      </c>
      <c r="B2869" s="263" t="s">
        <v>7454</v>
      </c>
      <c r="C2869" s="263" t="s">
        <v>81</v>
      </c>
      <c r="D2869" s="263" t="s">
        <v>7455</v>
      </c>
      <c r="E2869" s="263" t="s">
        <v>88</v>
      </c>
      <c r="F2869">
        <v>0</v>
      </c>
      <c r="G2869">
        <v>2</v>
      </c>
      <c r="H2869" s="263" t="s">
        <v>436</v>
      </c>
      <c r="I2869" s="264"/>
      <c r="J2869" s="263" t="s">
        <v>437</v>
      </c>
    </row>
    <row r="2870" spans="1:10" x14ac:dyDescent="0.15">
      <c r="A2870" s="263" t="s">
        <v>10098</v>
      </c>
      <c r="B2870" s="263" t="s">
        <v>7456</v>
      </c>
      <c r="C2870" s="263" t="s">
        <v>81</v>
      </c>
      <c r="D2870" s="263" t="s">
        <v>7457</v>
      </c>
      <c r="E2870" s="263" t="s">
        <v>88</v>
      </c>
      <c r="F2870">
        <v>0</v>
      </c>
      <c r="G2870">
        <v>2</v>
      </c>
      <c r="H2870" s="263" t="s">
        <v>436</v>
      </c>
      <c r="I2870" s="264"/>
      <c r="J2870" s="263" t="s">
        <v>437</v>
      </c>
    </row>
    <row r="2871" spans="1:10" x14ac:dyDescent="0.15">
      <c r="A2871" s="263" t="s">
        <v>10099</v>
      </c>
      <c r="B2871" s="263" t="s">
        <v>7458</v>
      </c>
      <c r="C2871" s="263" t="s">
        <v>81</v>
      </c>
      <c r="D2871" s="263" t="s">
        <v>7459</v>
      </c>
      <c r="E2871" s="263" t="s">
        <v>88</v>
      </c>
      <c r="F2871">
        <v>0</v>
      </c>
      <c r="G2871">
        <v>2</v>
      </c>
      <c r="H2871" s="263" t="s">
        <v>436</v>
      </c>
      <c r="I2871" s="264"/>
      <c r="J2871" s="263" t="s">
        <v>437</v>
      </c>
    </row>
    <row r="2872" spans="1:10" x14ac:dyDescent="0.15">
      <c r="A2872" s="263" t="s">
        <v>10100</v>
      </c>
      <c r="B2872" s="263" t="s">
        <v>7460</v>
      </c>
      <c r="C2872" s="263" t="s">
        <v>81</v>
      </c>
      <c r="D2872" s="263" t="s">
        <v>7461</v>
      </c>
      <c r="E2872" s="263" t="s">
        <v>88</v>
      </c>
      <c r="F2872">
        <v>0</v>
      </c>
      <c r="G2872">
        <v>2</v>
      </c>
      <c r="H2872" s="263" t="s">
        <v>436</v>
      </c>
      <c r="I2872" s="264"/>
      <c r="J2872" s="263" t="s">
        <v>437</v>
      </c>
    </row>
    <row r="2873" spans="1:10" x14ac:dyDescent="0.15">
      <c r="A2873" s="263" t="s">
        <v>10101</v>
      </c>
      <c r="B2873" s="263" t="s">
        <v>7462</v>
      </c>
      <c r="C2873" s="263" t="s">
        <v>81</v>
      </c>
      <c r="D2873" s="263" t="s">
        <v>7463</v>
      </c>
      <c r="E2873" s="263" t="s">
        <v>88</v>
      </c>
      <c r="F2873">
        <v>0</v>
      </c>
      <c r="G2873">
        <v>2</v>
      </c>
      <c r="H2873" s="263" t="s">
        <v>436</v>
      </c>
      <c r="I2873" s="264"/>
      <c r="J2873" s="263" t="s">
        <v>437</v>
      </c>
    </row>
    <row r="2874" spans="1:10" x14ac:dyDescent="0.15">
      <c r="A2874" s="263" t="s">
        <v>10102</v>
      </c>
      <c r="B2874" s="263" t="s">
        <v>7464</v>
      </c>
      <c r="C2874" s="263" t="s">
        <v>81</v>
      </c>
      <c r="D2874" s="263" t="s">
        <v>7465</v>
      </c>
      <c r="E2874" s="263" t="s">
        <v>88</v>
      </c>
      <c r="F2874">
        <v>0</v>
      </c>
      <c r="G2874">
        <v>2</v>
      </c>
      <c r="H2874" s="263" t="s">
        <v>436</v>
      </c>
      <c r="I2874" s="264"/>
      <c r="J2874" s="263" t="s">
        <v>437</v>
      </c>
    </row>
    <row r="2875" spans="1:10" x14ac:dyDescent="0.15">
      <c r="A2875" s="263" t="s">
        <v>10103</v>
      </c>
      <c r="B2875" s="263" t="s">
        <v>7466</v>
      </c>
      <c r="C2875" s="263" t="s">
        <v>96</v>
      </c>
      <c r="D2875" s="263" t="s">
        <v>7467</v>
      </c>
      <c r="E2875" s="263" t="s">
        <v>97</v>
      </c>
      <c r="F2875">
        <v>0</v>
      </c>
      <c r="G2875">
        <v>2</v>
      </c>
      <c r="H2875" s="263" t="s">
        <v>436</v>
      </c>
      <c r="I2875" s="264"/>
      <c r="J2875" s="263" t="s">
        <v>437</v>
      </c>
    </row>
    <row r="2876" spans="1:10" x14ac:dyDescent="0.15">
      <c r="A2876" s="263" t="s">
        <v>7435</v>
      </c>
      <c r="B2876" s="263" t="s">
        <v>7468</v>
      </c>
      <c r="C2876" s="263" t="s">
        <v>96</v>
      </c>
      <c r="D2876" s="263" t="s">
        <v>7469</v>
      </c>
      <c r="E2876" s="263" t="s">
        <v>97</v>
      </c>
      <c r="F2876">
        <v>0</v>
      </c>
      <c r="G2876">
        <v>2</v>
      </c>
      <c r="H2876" s="263" t="s">
        <v>436</v>
      </c>
      <c r="I2876" s="264"/>
      <c r="J2876" s="263" t="s">
        <v>437</v>
      </c>
    </row>
    <row r="2877" spans="1:10" x14ac:dyDescent="0.15">
      <c r="A2877" s="263" t="s">
        <v>10104</v>
      </c>
      <c r="B2877" s="263" t="s">
        <v>7470</v>
      </c>
      <c r="C2877" s="263" t="s">
        <v>81</v>
      </c>
      <c r="D2877" s="263" t="s">
        <v>7471</v>
      </c>
      <c r="E2877" s="263" t="s">
        <v>88</v>
      </c>
      <c r="F2877">
        <v>0</v>
      </c>
      <c r="G2877">
        <v>2</v>
      </c>
      <c r="H2877" s="263" t="s">
        <v>436</v>
      </c>
      <c r="I2877" s="264"/>
      <c r="J2877" s="263" t="s">
        <v>437</v>
      </c>
    </row>
    <row r="2878" spans="1:10" x14ac:dyDescent="0.15">
      <c r="A2878" s="263" t="s">
        <v>7472</v>
      </c>
      <c r="B2878" s="263" t="s">
        <v>7473</v>
      </c>
      <c r="C2878" s="263" t="s">
        <v>98</v>
      </c>
      <c r="D2878" s="263" t="s">
        <v>7474</v>
      </c>
      <c r="E2878" s="263" t="s">
        <v>110</v>
      </c>
      <c r="F2878">
        <v>0</v>
      </c>
      <c r="G2878">
        <v>2</v>
      </c>
      <c r="H2878" s="263" t="s">
        <v>436</v>
      </c>
      <c r="I2878" s="264"/>
      <c r="J2878" s="263" t="s">
        <v>437</v>
      </c>
    </row>
    <row r="2879" spans="1:10" x14ac:dyDescent="0.15">
      <c r="A2879" s="263" t="s">
        <v>7475</v>
      </c>
      <c r="B2879" s="263" t="s">
        <v>7476</v>
      </c>
      <c r="C2879" s="263" t="s">
        <v>98</v>
      </c>
      <c r="D2879" s="263" t="s">
        <v>7477</v>
      </c>
      <c r="E2879" s="263" t="s">
        <v>110</v>
      </c>
      <c r="F2879">
        <v>0</v>
      </c>
      <c r="G2879">
        <v>2</v>
      </c>
      <c r="H2879" s="263" t="s">
        <v>436</v>
      </c>
      <c r="I2879" s="264"/>
      <c r="J2879" s="263" t="s">
        <v>437</v>
      </c>
    </row>
    <row r="2880" spans="1:10" x14ac:dyDescent="0.15">
      <c r="A2880" s="263" t="s">
        <v>7478</v>
      </c>
      <c r="B2880" s="263" t="s">
        <v>7479</v>
      </c>
      <c r="C2880" s="263" t="s">
        <v>98</v>
      </c>
      <c r="D2880" s="263" t="s">
        <v>7480</v>
      </c>
      <c r="E2880" s="263" t="s">
        <v>110</v>
      </c>
      <c r="F2880">
        <v>0</v>
      </c>
      <c r="G2880">
        <v>2</v>
      </c>
      <c r="H2880" s="263" t="s">
        <v>436</v>
      </c>
      <c r="I2880" s="264"/>
      <c r="J2880" s="263" t="s">
        <v>437</v>
      </c>
    </row>
    <row r="2881" spans="1:10" x14ac:dyDescent="0.15">
      <c r="A2881" s="263" t="s">
        <v>7481</v>
      </c>
      <c r="B2881" s="263" t="s">
        <v>7482</v>
      </c>
      <c r="C2881" s="263" t="s">
        <v>98</v>
      </c>
      <c r="D2881" s="263" t="s">
        <v>7483</v>
      </c>
      <c r="E2881" s="263" t="s">
        <v>110</v>
      </c>
      <c r="F2881">
        <v>0</v>
      </c>
      <c r="G2881">
        <v>2</v>
      </c>
      <c r="H2881" s="263" t="s">
        <v>436</v>
      </c>
      <c r="I2881" s="264"/>
      <c r="J2881" s="263" t="s">
        <v>437</v>
      </c>
    </row>
    <row r="2882" spans="1:10" x14ac:dyDescent="0.15">
      <c r="A2882" s="263" t="s">
        <v>10105</v>
      </c>
      <c r="B2882" s="263" t="s">
        <v>10106</v>
      </c>
      <c r="C2882" s="263" t="s">
        <v>94</v>
      </c>
      <c r="D2882" s="263" t="s">
        <v>10107</v>
      </c>
      <c r="E2882" s="263" t="s">
        <v>94</v>
      </c>
      <c r="F2882">
        <v>0</v>
      </c>
      <c r="G2882">
        <v>2</v>
      </c>
      <c r="H2882" s="263" t="s">
        <v>436</v>
      </c>
      <c r="I2882" s="264"/>
      <c r="J2882" s="263" t="s">
        <v>437</v>
      </c>
    </row>
    <row r="2883" spans="1:10" x14ac:dyDescent="0.15">
      <c r="A2883" s="263" t="s">
        <v>10108</v>
      </c>
      <c r="B2883" s="263" t="s">
        <v>10109</v>
      </c>
      <c r="C2883" s="263" t="s">
        <v>94</v>
      </c>
      <c r="D2883" s="263" t="s">
        <v>10110</v>
      </c>
      <c r="E2883" s="263" t="s">
        <v>94</v>
      </c>
      <c r="F2883">
        <v>0</v>
      </c>
      <c r="G2883">
        <v>2</v>
      </c>
      <c r="H2883" s="263" t="s">
        <v>436</v>
      </c>
      <c r="I2883" s="264"/>
      <c r="J2883" s="263" t="s">
        <v>437</v>
      </c>
    </row>
    <row r="2884" spans="1:10" x14ac:dyDescent="0.15">
      <c r="A2884" s="263" t="s">
        <v>10111</v>
      </c>
      <c r="B2884" s="263" t="s">
        <v>10112</v>
      </c>
      <c r="C2884" s="263" t="s">
        <v>96</v>
      </c>
      <c r="D2884" s="263" t="s">
        <v>10113</v>
      </c>
      <c r="E2884" s="263" t="s">
        <v>97</v>
      </c>
      <c r="F2884">
        <v>0</v>
      </c>
      <c r="G2884">
        <v>2</v>
      </c>
      <c r="H2884" s="263" t="s">
        <v>436</v>
      </c>
      <c r="I2884" s="264"/>
      <c r="J2884" s="263" t="s">
        <v>437</v>
      </c>
    </row>
    <row r="2885" spans="1:10" x14ac:dyDescent="0.15">
      <c r="A2885" s="263" t="s">
        <v>7484</v>
      </c>
      <c r="B2885" s="263" t="s">
        <v>7485</v>
      </c>
      <c r="C2885" s="263" t="s">
        <v>98</v>
      </c>
      <c r="D2885" s="263" t="s">
        <v>7486</v>
      </c>
      <c r="E2885" s="263" t="s">
        <v>110</v>
      </c>
      <c r="F2885">
        <v>0</v>
      </c>
      <c r="G2885">
        <v>2</v>
      </c>
      <c r="H2885" s="263" t="s">
        <v>436</v>
      </c>
      <c r="I2885" s="264"/>
      <c r="J2885" s="263" t="s">
        <v>437</v>
      </c>
    </row>
    <row r="2886" spans="1:10" x14ac:dyDescent="0.15">
      <c r="A2886" s="263" t="s">
        <v>7487</v>
      </c>
      <c r="B2886" s="263" t="s">
        <v>7488</v>
      </c>
      <c r="C2886" s="263" t="s">
        <v>98</v>
      </c>
      <c r="D2886" s="263" t="s">
        <v>7489</v>
      </c>
      <c r="E2886" s="263" t="s">
        <v>110</v>
      </c>
      <c r="F2886">
        <v>0</v>
      </c>
      <c r="G2886">
        <v>2</v>
      </c>
      <c r="H2886" s="263" t="s">
        <v>436</v>
      </c>
      <c r="I2886" s="264"/>
      <c r="J2886" s="263" t="s">
        <v>437</v>
      </c>
    </row>
    <row r="2887" spans="1:10" x14ac:dyDescent="0.15">
      <c r="A2887" s="263" t="s">
        <v>7490</v>
      </c>
      <c r="B2887" s="263" t="s">
        <v>7491</v>
      </c>
      <c r="C2887" s="263" t="s">
        <v>98</v>
      </c>
      <c r="D2887" s="263" t="s">
        <v>7492</v>
      </c>
      <c r="E2887" s="263" t="s">
        <v>110</v>
      </c>
      <c r="F2887">
        <v>0</v>
      </c>
      <c r="G2887">
        <v>2</v>
      </c>
      <c r="H2887" s="263" t="s">
        <v>436</v>
      </c>
      <c r="I2887" s="264"/>
      <c r="J2887" s="263" t="s">
        <v>437</v>
      </c>
    </row>
    <row r="2888" spans="1:10" x14ac:dyDescent="0.15">
      <c r="A2888" s="263" t="s">
        <v>7493</v>
      </c>
      <c r="B2888" s="263" t="s">
        <v>7494</v>
      </c>
      <c r="C2888" s="263" t="s">
        <v>98</v>
      </c>
      <c r="D2888" s="263" t="s">
        <v>7495</v>
      </c>
      <c r="E2888" s="263" t="s">
        <v>110</v>
      </c>
      <c r="F2888">
        <v>0</v>
      </c>
      <c r="G2888">
        <v>2</v>
      </c>
      <c r="H2888" s="263" t="s">
        <v>436</v>
      </c>
      <c r="I2888" s="264"/>
      <c r="J2888" s="263" t="s">
        <v>437</v>
      </c>
    </row>
    <row r="2889" spans="1:10" x14ac:dyDescent="0.15">
      <c r="A2889" s="263" t="s">
        <v>7496</v>
      </c>
      <c r="B2889" s="263" t="s">
        <v>7497</v>
      </c>
      <c r="C2889" s="263" t="s">
        <v>98</v>
      </c>
      <c r="D2889" s="263" t="s">
        <v>7498</v>
      </c>
      <c r="E2889" s="263" t="s">
        <v>110</v>
      </c>
      <c r="F2889">
        <v>0</v>
      </c>
      <c r="G2889">
        <v>2</v>
      </c>
      <c r="H2889" s="263" t="s">
        <v>436</v>
      </c>
      <c r="I2889" s="264"/>
      <c r="J2889" s="263" t="s">
        <v>437</v>
      </c>
    </row>
    <row r="2890" spans="1:10" x14ac:dyDescent="0.15">
      <c r="A2890" s="263" t="s">
        <v>7499</v>
      </c>
      <c r="B2890" s="263" t="s">
        <v>7500</v>
      </c>
      <c r="C2890" s="263" t="s">
        <v>98</v>
      </c>
      <c r="D2890" s="263" t="s">
        <v>7501</v>
      </c>
      <c r="E2890" s="263" t="s">
        <v>110</v>
      </c>
      <c r="F2890">
        <v>0</v>
      </c>
      <c r="G2890">
        <v>2</v>
      </c>
      <c r="H2890" s="263" t="s">
        <v>436</v>
      </c>
      <c r="I2890" s="264"/>
      <c r="J2890" s="263" t="s">
        <v>437</v>
      </c>
    </row>
    <row r="2891" spans="1:10" x14ac:dyDescent="0.15">
      <c r="A2891" s="263" t="s">
        <v>7502</v>
      </c>
      <c r="B2891" s="263" t="s">
        <v>7503</v>
      </c>
      <c r="C2891" s="263" t="s">
        <v>98</v>
      </c>
      <c r="D2891" s="263" t="s">
        <v>7504</v>
      </c>
      <c r="E2891" s="263" t="s">
        <v>110</v>
      </c>
      <c r="F2891">
        <v>0</v>
      </c>
      <c r="G2891">
        <v>2</v>
      </c>
      <c r="H2891" s="263" t="s">
        <v>436</v>
      </c>
      <c r="I2891" s="264"/>
      <c r="J2891" s="263" t="s">
        <v>437</v>
      </c>
    </row>
    <row r="2892" spans="1:10" x14ac:dyDescent="0.15">
      <c r="A2892" s="263" t="s">
        <v>7505</v>
      </c>
      <c r="B2892" s="263" t="s">
        <v>7506</v>
      </c>
      <c r="C2892" s="263" t="s">
        <v>98</v>
      </c>
      <c r="D2892" s="263" t="s">
        <v>7507</v>
      </c>
      <c r="E2892" s="263" t="s">
        <v>110</v>
      </c>
      <c r="F2892">
        <v>0</v>
      </c>
      <c r="G2892">
        <v>2</v>
      </c>
      <c r="H2892" s="263" t="s">
        <v>436</v>
      </c>
      <c r="I2892" s="264"/>
      <c r="J2892" s="263" t="s">
        <v>437</v>
      </c>
    </row>
    <row r="2893" spans="1:10" x14ac:dyDescent="0.15">
      <c r="A2893" s="263" t="s">
        <v>7508</v>
      </c>
      <c r="B2893" s="263" t="s">
        <v>7509</v>
      </c>
      <c r="C2893" s="263" t="s">
        <v>98</v>
      </c>
      <c r="D2893" s="263" t="s">
        <v>7510</v>
      </c>
      <c r="E2893" s="263" t="s">
        <v>110</v>
      </c>
      <c r="F2893">
        <v>0</v>
      </c>
      <c r="G2893">
        <v>2</v>
      </c>
      <c r="H2893" s="263" t="s">
        <v>436</v>
      </c>
      <c r="I2893" s="264"/>
      <c r="J2893" s="263" t="s">
        <v>437</v>
      </c>
    </row>
    <row r="2894" spans="1:10" x14ac:dyDescent="0.15">
      <c r="A2894" s="263" t="s">
        <v>7511</v>
      </c>
      <c r="B2894" s="263" t="s">
        <v>7512</v>
      </c>
      <c r="C2894" s="263" t="s">
        <v>98</v>
      </c>
      <c r="D2894" s="263" t="s">
        <v>7513</v>
      </c>
      <c r="E2894" s="263" t="s">
        <v>110</v>
      </c>
      <c r="F2894">
        <v>0</v>
      </c>
      <c r="G2894">
        <v>2</v>
      </c>
      <c r="H2894" s="263" t="s">
        <v>436</v>
      </c>
      <c r="I2894" s="264"/>
      <c r="J2894" s="263" t="s">
        <v>437</v>
      </c>
    </row>
    <row r="2895" spans="1:10" x14ac:dyDescent="0.15">
      <c r="A2895" s="263" t="s">
        <v>7514</v>
      </c>
      <c r="B2895" s="263" t="s">
        <v>7515</v>
      </c>
      <c r="C2895" s="263" t="s">
        <v>98</v>
      </c>
      <c r="D2895" s="263" t="s">
        <v>7516</v>
      </c>
      <c r="E2895" s="263" t="s">
        <v>110</v>
      </c>
      <c r="F2895">
        <v>0</v>
      </c>
      <c r="G2895">
        <v>2</v>
      </c>
      <c r="H2895" s="263" t="s">
        <v>436</v>
      </c>
      <c r="I2895" s="264"/>
      <c r="J2895" s="263" t="s">
        <v>437</v>
      </c>
    </row>
    <row r="2896" spans="1:10" x14ac:dyDescent="0.15">
      <c r="A2896" s="263" t="s">
        <v>10114</v>
      </c>
      <c r="B2896" s="263" t="s">
        <v>10115</v>
      </c>
      <c r="C2896" s="263" t="s">
        <v>98</v>
      </c>
      <c r="D2896" s="263" t="s">
        <v>10116</v>
      </c>
      <c r="E2896" s="263" t="s">
        <v>110</v>
      </c>
      <c r="F2896">
        <v>0</v>
      </c>
      <c r="G2896">
        <v>2</v>
      </c>
      <c r="H2896" s="263" t="s">
        <v>436</v>
      </c>
      <c r="I2896" s="264"/>
      <c r="J2896" s="263" t="s">
        <v>437</v>
      </c>
    </row>
    <row r="2897" spans="1:10" x14ac:dyDescent="0.15">
      <c r="A2897" s="263" t="s">
        <v>7517</v>
      </c>
      <c r="B2897" s="263" t="s">
        <v>10117</v>
      </c>
      <c r="C2897" s="263" t="s">
        <v>98</v>
      </c>
      <c r="D2897" s="263" t="s">
        <v>10118</v>
      </c>
      <c r="E2897" s="263" t="s">
        <v>110</v>
      </c>
      <c r="F2897">
        <v>0</v>
      </c>
      <c r="G2897">
        <v>2</v>
      </c>
      <c r="H2897" s="263" t="s">
        <v>436</v>
      </c>
      <c r="I2897" s="264"/>
      <c r="J2897" s="263" t="s">
        <v>437</v>
      </c>
    </row>
    <row r="2898" spans="1:10" x14ac:dyDescent="0.15">
      <c r="A2898" s="263" t="s">
        <v>7518</v>
      </c>
      <c r="B2898" s="263" t="s">
        <v>7519</v>
      </c>
      <c r="C2898" s="263" t="s">
        <v>98</v>
      </c>
      <c r="D2898" s="263" t="s">
        <v>7520</v>
      </c>
      <c r="E2898" s="263" t="s">
        <v>110</v>
      </c>
      <c r="F2898">
        <v>0</v>
      </c>
      <c r="G2898">
        <v>2</v>
      </c>
      <c r="H2898" s="263" t="s">
        <v>436</v>
      </c>
      <c r="I2898" s="264"/>
      <c r="J2898" s="263" t="s">
        <v>437</v>
      </c>
    </row>
    <row r="2899" spans="1:10" x14ac:dyDescent="0.15">
      <c r="A2899" s="263" t="s">
        <v>7521</v>
      </c>
      <c r="B2899" s="263" t="s">
        <v>7522</v>
      </c>
      <c r="C2899" s="263" t="s">
        <v>98</v>
      </c>
      <c r="D2899" s="263" t="s">
        <v>7523</v>
      </c>
      <c r="E2899" s="263" t="s">
        <v>110</v>
      </c>
      <c r="F2899">
        <v>0</v>
      </c>
      <c r="G2899">
        <v>2</v>
      </c>
      <c r="H2899" s="263" t="s">
        <v>436</v>
      </c>
      <c r="I2899" s="264"/>
      <c r="J2899" s="263" t="s">
        <v>437</v>
      </c>
    </row>
    <row r="2900" spans="1:10" x14ac:dyDescent="0.15">
      <c r="A2900" s="263" t="s">
        <v>7524</v>
      </c>
      <c r="B2900" s="263" t="s">
        <v>7525</v>
      </c>
      <c r="C2900" s="263" t="s">
        <v>98</v>
      </c>
      <c r="D2900" s="263" t="s">
        <v>7526</v>
      </c>
      <c r="E2900" s="263" t="s">
        <v>110</v>
      </c>
      <c r="F2900">
        <v>0</v>
      </c>
      <c r="G2900">
        <v>2</v>
      </c>
      <c r="H2900" s="263" t="s">
        <v>436</v>
      </c>
      <c r="I2900" s="264"/>
      <c r="J2900" s="263" t="s">
        <v>437</v>
      </c>
    </row>
    <row r="2901" spans="1:10" x14ac:dyDescent="0.15">
      <c r="A2901" s="263" t="s">
        <v>7527</v>
      </c>
      <c r="B2901" s="263" t="s">
        <v>7528</v>
      </c>
      <c r="C2901" s="263" t="s">
        <v>98</v>
      </c>
      <c r="D2901" s="263" t="s">
        <v>7529</v>
      </c>
      <c r="E2901" s="263" t="s">
        <v>110</v>
      </c>
      <c r="F2901">
        <v>0</v>
      </c>
      <c r="G2901">
        <v>2</v>
      </c>
      <c r="H2901" s="263" t="s">
        <v>436</v>
      </c>
      <c r="I2901" s="264"/>
      <c r="J2901" s="263" t="s">
        <v>437</v>
      </c>
    </row>
    <row r="2902" spans="1:10" x14ac:dyDescent="0.15">
      <c r="A2902" s="263" t="s">
        <v>10119</v>
      </c>
      <c r="B2902" s="263" t="s">
        <v>10120</v>
      </c>
      <c r="C2902" s="263" t="s">
        <v>98</v>
      </c>
      <c r="D2902" s="263" t="s">
        <v>10121</v>
      </c>
      <c r="E2902" s="263" t="s">
        <v>110</v>
      </c>
      <c r="F2902">
        <v>0</v>
      </c>
      <c r="G2902">
        <v>2</v>
      </c>
      <c r="H2902" s="263" t="s">
        <v>436</v>
      </c>
      <c r="I2902" s="264"/>
      <c r="J2902" s="263" t="s">
        <v>437</v>
      </c>
    </row>
    <row r="2903" spans="1:10" x14ac:dyDescent="0.15">
      <c r="A2903" s="263" t="s">
        <v>10122</v>
      </c>
      <c r="B2903" s="263" t="s">
        <v>10123</v>
      </c>
      <c r="C2903" s="263" t="s">
        <v>98</v>
      </c>
      <c r="D2903" s="263" t="s">
        <v>10124</v>
      </c>
      <c r="E2903" s="263" t="s">
        <v>110</v>
      </c>
      <c r="F2903">
        <v>0</v>
      </c>
      <c r="G2903">
        <v>2</v>
      </c>
      <c r="H2903" s="263" t="s">
        <v>436</v>
      </c>
      <c r="I2903" s="264"/>
      <c r="J2903" s="263" t="s">
        <v>437</v>
      </c>
    </row>
    <row r="2904" spans="1:10" x14ac:dyDescent="0.15">
      <c r="A2904" s="263" t="s">
        <v>7530</v>
      </c>
      <c r="B2904" s="263" t="s">
        <v>7485</v>
      </c>
      <c r="C2904" s="263" t="s">
        <v>85</v>
      </c>
      <c r="D2904" s="263" t="s">
        <v>7486</v>
      </c>
      <c r="E2904" s="263" t="s">
        <v>79</v>
      </c>
      <c r="F2904">
        <v>1</v>
      </c>
      <c r="G2904">
        <v>2</v>
      </c>
      <c r="H2904" s="263" t="s">
        <v>436</v>
      </c>
      <c r="I2904" s="264"/>
      <c r="J2904" s="263" t="s">
        <v>437</v>
      </c>
    </row>
    <row r="2905" spans="1:10" x14ac:dyDescent="0.15">
      <c r="A2905" s="263" t="s">
        <v>7531</v>
      </c>
      <c r="B2905" s="263" t="s">
        <v>7488</v>
      </c>
      <c r="C2905" s="263" t="s">
        <v>85</v>
      </c>
      <c r="D2905" s="263" t="s">
        <v>7489</v>
      </c>
      <c r="E2905" s="263" t="s">
        <v>79</v>
      </c>
      <c r="F2905">
        <v>1</v>
      </c>
      <c r="G2905">
        <v>2</v>
      </c>
      <c r="H2905" s="263" t="s">
        <v>436</v>
      </c>
      <c r="I2905" s="264"/>
      <c r="J2905" s="263" t="s">
        <v>437</v>
      </c>
    </row>
    <row r="2906" spans="1:10" x14ac:dyDescent="0.15">
      <c r="A2906" s="263" t="s">
        <v>7532</v>
      </c>
      <c r="B2906" s="263" t="s">
        <v>7491</v>
      </c>
      <c r="C2906" s="263" t="s">
        <v>85</v>
      </c>
      <c r="D2906" s="263" t="s">
        <v>7492</v>
      </c>
      <c r="E2906" s="263" t="s">
        <v>79</v>
      </c>
      <c r="F2906">
        <v>1</v>
      </c>
      <c r="G2906">
        <v>2</v>
      </c>
      <c r="H2906" s="263" t="s">
        <v>436</v>
      </c>
      <c r="I2906" s="264"/>
      <c r="J2906" s="263" t="s">
        <v>437</v>
      </c>
    </row>
    <row r="2907" spans="1:10" x14ac:dyDescent="0.15">
      <c r="A2907" s="263" t="s">
        <v>7533</v>
      </c>
      <c r="B2907" s="263" t="s">
        <v>7494</v>
      </c>
      <c r="C2907" s="263" t="s">
        <v>85</v>
      </c>
      <c r="D2907" s="263" t="s">
        <v>7495</v>
      </c>
      <c r="E2907" s="263" t="s">
        <v>79</v>
      </c>
      <c r="F2907">
        <v>1</v>
      </c>
      <c r="G2907">
        <v>2</v>
      </c>
      <c r="H2907" s="263" t="s">
        <v>436</v>
      </c>
      <c r="I2907" s="264"/>
      <c r="J2907" s="263" t="s">
        <v>437</v>
      </c>
    </row>
    <row r="2908" spans="1:10" x14ac:dyDescent="0.15">
      <c r="A2908" s="263" t="s">
        <v>7534</v>
      </c>
      <c r="B2908" s="263" t="s">
        <v>7497</v>
      </c>
      <c r="C2908" s="263" t="s">
        <v>85</v>
      </c>
      <c r="D2908" s="263" t="s">
        <v>7498</v>
      </c>
      <c r="E2908" s="263" t="s">
        <v>79</v>
      </c>
      <c r="F2908">
        <v>1</v>
      </c>
      <c r="G2908">
        <v>2</v>
      </c>
      <c r="H2908" s="263" t="s">
        <v>436</v>
      </c>
      <c r="I2908" s="264"/>
      <c r="J2908" s="263" t="s">
        <v>437</v>
      </c>
    </row>
    <row r="2909" spans="1:10" x14ac:dyDescent="0.15">
      <c r="A2909" s="263" t="s">
        <v>7535</v>
      </c>
      <c r="B2909" s="263" t="s">
        <v>7500</v>
      </c>
      <c r="C2909" s="263" t="s">
        <v>85</v>
      </c>
      <c r="D2909" s="263" t="s">
        <v>7501</v>
      </c>
      <c r="E2909" s="263" t="s">
        <v>79</v>
      </c>
      <c r="F2909">
        <v>1</v>
      </c>
      <c r="G2909">
        <v>2</v>
      </c>
      <c r="H2909" s="263" t="s">
        <v>436</v>
      </c>
      <c r="I2909" s="264"/>
      <c r="J2909" s="263" t="s">
        <v>437</v>
      </c>
    </row>
    <row r="2910" spans="1:10" x14ac:dyDescent="0.15">
      <c r="A2910" s="263" t="s">
        <v>7536</v>
      </c>
      <c r="B2910" s="263" t="s">
        <v>7503</v>
      </c>
      <c r="C2910" s="263" t="s">
        <v>85</v>
      </c>
      <c r="D2910" s="263" t="s">
        <v>7504</v>
      </c>
      <c r="E2910" s="263" t="s">
        <v>79</v>
      </c>
      <c r="F2910">
        <v>1</v>
      </c>
      <c r="G2910">
        <v>2</v>
      </c>
      <c r="H2910" s="263" t="s">
        <v>436</v>
      </c>
      <c r="I2910" s="264"/>
      <c r="J2910" s="263" t="s">
        <v>437</v>
      </c>
    </row>
    <row r="2911" spans="1:10" x14ac:dyDescent="0.15">
      <c r="A2911" s="263" t="s">
        <v>7537</v>
      </c>
      <c r="B2911" s="263" t="s">
        <v>7506</v>
      </c>
      <c r="C2911" s="263" t="s">
        <v>85</v>
      </c>
      <c r="D2911" s="263" t="s">
        <v>7507</v>
      </c>
      <c r="E2911" s="263" t="s">
        <v>79</v>
      </c>
      <c r="F2911">
        <v>1</v>
      </c>
      <c r="G2911">
        <v>2</v>
      </c>
      <c r="H2911" s="263" t="s">
        <v>436</v>
      </c>
      <c r="I2911" s="264"/>
      <c r="J2911" s="263" t="s">
        <v>437</v>
      </c>
    </row>
    <row r="2912" spans="1:10" x14ac:dyDescent="0.15">
      <c r="A2912" s="263" t="s">
        <v>7538</v>
      </c>
      <c r="B2912" s="263" t="s">
        <v>7509</v>
      </c>
      <c r="C2912" s="263" t="s">
        <v>85</v>
      </c>
      <c r="D2912" s="263" t="s">
        <v>7510</v>
      </c>
      <c r="E2912" s="263" t="s">
        <v>79</v>
      </c>
      <c r="F2912">
        <v>1</v>
      </c>
      <c r="G2912">
        <v>2</v>
      </c>
      <c r="H2912" s="263" t="s">
        <v>436</v>
      </c>
      <c r="I2912" s="264"/>
      <c r="J2912" s="263" t="s">
        <v>437</v>
      </c>
    </row>
    <row r="2913" spans="1:10" x14ac:dyDescent="0.15">
      <c r="A2913" s="263" t="s">
        <v>7539</v>
      </c>
      <c r="B2913" s="263" t="s">
        <v>7512</v>
      </c>
      <c r="C2913" s="263" t="s">
        <v>85</v>
      </c>
      <c r="D2913" s="263" t="s">
        <v>7513</v>
      </c>
      <c r="E2913" s="263" t="s">
        <v>79</v>
      </c>
      <c r="F2913">
        <v>1</v>
      </c>
      <c r="G2913">
        <v>2</v>
      </c>
      <c r="H2913" s="263" t="s">
        <v>436</v>
      </c>
      <c r="I2913" s="264"/>
      <c r="J2913" s="263" t="s">
        <v>437</v>
      </c>
    </row>
    <row r="2914" spans="1:10" x14ac:dyDescent="0.15">
      <c r="A2914" s="263" t="s">
        <v>7540</v>
      </c>
      <c r="B2914" s="263" t="s">
        <v>7515</v>
      </c>
      <c r="C2914" s="263" t="s">
        <v>85</v>
      </c>
      <c r="D2914" s="263" t="s">
        <v>7516</v>
      </c>
      <c r="E2914" s="263" t="s">
        <v>79</v>
      </c>
      <c r="F2914">
        <v>1</v>
      </c>
      <c r="G2914">
        <v>2</v>
      </c>
      <c r="H2914" s="263" t="s">
        <v>436</v>
      </c>
      <c r="I2914" s="264"/>
      <c r="J2914" s="263" t="s">
        <v>437</v>
      </c>
    </row>
    <row r="2915" spans="1:10" x14ac:dyDescent="0.15">
      <c r="A2915" s="263" t="s">
        <v>10125</v>
      </c>
      <c r="B2915" s="263" t="s">
        <v>10115</v>
      </c>
      <c r="C2915" s="263" t="s">
        <v>85</v>
      </c>
      <c r="D2915" s="263" t="s">
        <v>10116</v>
      </c>
      <c r="E2915" s="263" t="s">
        <v>79</v>
      </c>
      <c r="F2915">
        <v>1</v>
      </c>
      <c r="G2915">
        <v>2</v>
      </c>
      <c r="H2915" s="263" t="s">
        <v>436</v>
      </c>
      <c r="I2915" s="264"/>
      <c r="J2915" s="263" t="s">
        <v>437</v>
      </c>
    </row>
    <row r="2916" spans="1:10" x14ac:dyDescent="0.15">
      <c r="A2916" s="263" t="s">
        <v>7541</v>
      </c>
      <c r="B2916" s="263" t="s">
        <v>10117</v>
      </c>
      <c r="C2916" s="263" t="s">
        <v>85</v>
      </c>
      <c r="D2916" s="263" t="s">
        <v>10118</v>
      </c>
      <c r="E2916" s="263" t="s">
        <v>79</v>
      </c>
      <c r="F2916">
        <v>1</v>
      </c>
      <c r="G2916">
        <v>2</v>
      </c>
      <c r="H2916" s="263" t="s">
        <v>436</v>
      </c>
      <c r="I2916" s="264"/>
      <c r="J2916" s="263" t="s">
        <v>437</v>
      </c>
    </row>
    <row r="2917" spans="1:10" x14ac:dyDescent="0.15">
      <c r="A2917" s="263" t="s">
        <v>7542</v>
      </c>
      <c r="B2917" s="263" t="s">
        <v>7519</v>
      </c>
      <c r="C2917" s="263" t="s">
        <v>85</v>
      </c>
      <c r="D2917" s="263" t="s">
        <v>7520</v>
      </c>
      <c r="E2917" s="263" t="s">
        <v>79</v>
      </c>
      <c r="F2917">
        <v>1</v>
      </c>
      <c r="G2917">
        <v>2</v>
      </c>
      <c r="H2917" s="263" t="s">
        <v>436</v>
      </c>
      <c r="I2917" s="264"/>
      <c r="J2917" s="263" t="s">
        <v>437</v>
      </c>
    </row>
    <row r="2918" spans="1:10" x14ac:dyDescent="0.15">
      <c r="A2918" s="263" t="s">
        <v>7543</v>
      </c>
      <c r="B2918" s="263" t="s">
        <v>7522</v>
      </c>
      <c r="C2918" s="263" t="s">
        <v>85</v>
      </c>
      <c r="D2918" s="263" t="s">
        <v>7523</v>
      </c>
      <c r="E2918" s="263" t="s">
        <v>79</v>
      </c>
      <c r="F2918">
        <v>1</v>
      </c>
      <c r="G2918">
        <v>2</v>
      </c>
      <c r="H2918" s="263" t="s">
        <v>436</v>
      </c>
      <c r="I2918" s="264"/>
      <c r="J2918" s="263" t="s">
        <v>437</v>
      </c>
    </row>
    <row r="2919" spans="1:10" x14ac:dyDescent="0.15">
      <c r="A2919" s="263" t="s">
        <v>7544</v>
      </c>
      <c r="B2919" s="263" t="s">
        <v>7525</v>
      </c>
      <c r="C2919" s="263" t="s">
        <v>85</v>
      </c>
      <c r="D2919" s="263" t="s">
        <v>7526</v>
      </c>
      <c r="E2919" s="263" t="s">
        <v>79</v>
      </c>
      <c r="F2919">
        <v>1</v>
      </c>
      <c r="G2919">
        <v>2</v>
      </c>
      <c r="H2919" s="263" t="s">
        <v>436</v>
      </c>
      <c r="I2919" s="264"/>
      <c r="J2919" s="263" t="s">
        <v>437</v>
      </c>
    </row>
    <row r="2920" spans="1:10" x14ac:dyDescent="0.15">
      <c r="A2920" s="263" t="s">
        <v>10126</v>
      </c>
      <c r="B2920" s="263" t="s">
        <v>7528</v>
      </c>
      <c r="C2920" s="263" t="s">
        <v>85</v>
      </c>
      <c r="D2920" s="263" t="s">
        <v>7529</v>
      </c>
      <c r="E2920" s="263" t="s">
        <v>79</v>
      </c>
      <c r="F2920">
        <v>1</v>
      </c>
      <c r="G2920">
        <v>2</v>
      </c>
      <c r="H2920" s="263" t="s">
        <v>436</v>
      </c>
      <c r="I2920" s="264"/>
      <c r="J2920" s="263" t="s">
        <v>437</v>
      </c>
    </row>
    <row r="2921" spans="1:10" x14ac:dyDescent="0.15">
      <c r="A2921" s="263" t="s">
        <v>10127</v>
      </c>
      <c r="B2921" s="263" t="s">
        <v>10120</v>
      </c>
      <c r="C2921" s="263" t="s">
        <v>85</v>
      </c>
      <c r="D2921" s="263" t="s">
        <v>10121</v>
      </c>
      <c r="E2921" s="263" t="s">
        <v>79</v>
      </c>
      <c r="F2921">
        <v>1</v>
      </c>
      <c r="G2921">
        <v>2</v>
      </c>
      <c r="H2921" s="263" t="s">
        <v>436</v>
      </c>
      <c r="I2921" s="264">
        <v>45496</v>
      </c>
      <c r="J2921" s="263" t="s">
        <v>10128</v>
      </c>
    </row>
    <row r="2922" spans="1:10" x14ac:dyDescent="0.15">
      <c r="A2922" s="263" t="s">
        <v>10129</v>
      </c>
      <c r="B2922" s="263" t="s">
        <v>10123</v>
      </c>
      <c r="C2922" s="263" t="s">
        <v>85</v>
      </c>
      <c r="D2922" s="263" t="s">
        <v>10124</v>
      </c>
      <c r="E2922" s="263" t="s">
        <v>79</v>
      </c>
      <c r="F2922">
        <v>1</v>
      </c>
      <c r="G2922">
        <v>2</v>
      </c>
      <c r="H2922" s="263" t="s">
        <v>436</v>
      </c>
      <c r="I2922" s="264"/>
      <c r="J2922" s="263" t="s">
        <v>437</v>
      </c>
    </row>
    <row r="2923" spans="1:10" x14ac:dyDescent="0.15">
      <c r="A2923" s="263" t="s">
        <v>7545</v>
      </c>
      <c r="B2923" s="263" t="s">
        <v>7546</v>
      </c>
      <c r="C2923" s="263" t="s">
        <v>98</v>
      </c>
      <c r="D2923" s="263" t="s">
        <v>7547</v>
      </c>
      <c r="E2923" s="263" t="s">
        <v>110</v>
      </c>
      <c r="F2923">
        <v>0</v>
      </c>
      <c r="G2923">
        <v>2</v>
      </c>
      <c r="H2923" s="263" t="s">
        <v>436</v>
      </c>
      <c r="I2923" s="264"/>
      <c r="J2923" s="263" t="s">
        <v>437</v>
      </c>
    </row>
    <row r="2924" spans="1:10" x14ac:dyDescent="0.15">
      <c r="A2924" s="263" t="s">
        <v>9132</v>
      </c>
      <c r="B2924" s="263" t="s">
        <v>9133</v>
      </c>
      <c r="C2924" s="263" t="s">
        <v>99</v>
      </c>
      <c r="D2924" s="263" t="s">
        <v>9134</v>
      </c>
      <c r="E2924" s="263" t="s">
        <v>84</v>
      </c>
      <c r="F2924">
        <v>0</v>
      </c>
      <c r="G2924">
        <v>2</v>
      </c>
      <c r="H2924" s="263" t="s">
        <v>436</v>
      </c>
      <c r="I2924" s="264"/>
      <c r="J2924" s="263" t="s">
        <v>437</v>
      </c>
    </row>
    <row r="2925" spans="1:10" x14ac:dyDescent="0.15">
      <c r="A2925" s="263" t="s">
        <v>10130</v>
      </c>
      <c r="B2925" s="263" t="s">
        <v>8727</v>
      </c>
      <c r="C2925" s="263" t="s">
        <v>94</v>
      </c>
      <c r="D2925" s="263" t="s">
        <v>8728</v>
      </c>
      <c r="E2925" s="263" t="s">
        <v>94</v>
      </c>
      <c r="F2925">
        <v>0</v>
      </c>
      <c r="G2925">
        <v>2</v>
      </c>
      <c r="H2925" s="263" t="s">
        <v>436</v>
      </c>
      <c r="I2925" s="264"/>
      <c r="J2925" s="263" t="s">
        <v>437</v>
      </c>
    </row>
    <row r="2926" spans="1:10" x14ac:dyDescent="0.15">
      <c r="A2926" s="263" t="s">
        <v>10131</v>
      </c>
      <c r="B2926" s="263" t="s">
        <v>8727</v>
      </c>
      <c r="C2926" s="263" t="s">
        <v>81</v>
      </c>
      <c r="D2926" s="263" t="s">
        <v>8728</v>
      </c>
      <c r="E2926" s="263" t="s">
        <v>88</v>
      </c>
      <c r="F2926">
        <v>0</v>
      </c>
      <c r="G2926">
        <v>2</v>
      </c>
      <c r="H2926" s="263" t="s">
        <v>436</v>
      </c>
      <c r="I2926" s="264"/>
      <c r="J2926" s="263" t="s">
        <v>437</v>
      </c>
    </row>
    <row r="2927" spans="1:10" x14ac:dyDescent="0.15">
      <c r="A2927" s="263" t="s">
        <v>10132</v>
      </c>
      <c r="B2927" s="263" t="s">
        <v>9165</v>
      </c>
      <c r="C2927" s="263" t="s">
        <v>78</v>
      </c>
      <c r="D2927" s="263" t="s">
        <v>9166</v>
      </c>
      <c r="E2927" s="263" t="s">
        <v>78</v>
      </c>
      <c r="F2927">
        <v>0</v>
      </c>
      <c r="G2927">
        <v>2</v>
      </c>
      <c r="H2927" s="263" t="s">
        <v>436</v>
      </c>
      <c r="I2927" s="264"/>
      <c r="J2927" s="263" t="s">
        <v>437</v>
      </c>
    </row>
    <row r="2928" spans="1:10" x14ac:dyDescent="0.15">
      <c r="A2928" s="263" t="s">
        <v>7548</v>
      </c>
      <c r="B2928" s="263" t="s">
        <v>7549</v>
      </c>
      <c r="C2928" s="263" t="s">
        <v>81</v>
      </c>
      <c r="D2928" s="263" t="s">
        <v>7550</v>
      </c>
      <c r="E2928" s="263" t="s">
        <v>88</v>
      </c>
      <c r="F2928">
        <v>0</v>
      </c>
      <c r="G2928">
        <v>2</v>
      </c>
      <c r="H2928" s="263" t="s">
        <v>436</v>
      </c>
      <c r="I2928" s="264"/>
      <c r="J2928" s="263" t="s">
        <v>437</v>
      </c>
    </row>
    <row r="2929" spans="1:10" x14ac:dyDescent="0.15">
      <c r="A2929" s="263" t="s">
        <v>7551</v>
      </c>
      <c r="B2929" s="263" t="s">
        <v>10133</v>
      </c>
      <c r="C2929" s="263" t="s">
        <v>81</v>
      </c>
      <c r="D2929" s="263" t="s">
        <v>10134</v>
      </c>
      <c r="E2929" s="263" t="s">
        <v>88</v>
      </c>
      <c r="F2929">
        <v>0</v>
      </c>
      <c r="G2929">
        <v>2</v>
      </c>
      <c r="H2929" s="263" t="s">
        <v>436</v>
      </c>
      <c r="I2929" s="264"/>
      <c r="J2929" s="263" t="s">
        <v>437</v>
      </c>
    </row>
    <row r="2930" spans="1:10" x14ac:dyDescent="0.15">
      <c r="A2930" s="263" t="s">
        <v>7552</v>
      </c>
      <c r="B2930" s="263" t="s">
        <v>7549</v>
      </c>
      <c r="C2930" s="263" t="s">
        <v>98</v>
      </c>
      <c r="D2930" s="263" t="s">
        <v>7550</v>
      </c>
      <c r="E2930" s="263" t="s">
        <v>109</v>
      </c>
      <c r="F2930">
        <v>0</v>
      </c>
      <c r="G2930">
        <v>2</v>
      </c>
      <c r="H2930" s="263" t="s">
        <v>436</v>
      </c>
      <c r="I2930" s="264"/>
      <c r="J2930" s="263" t="s">
        <v>437</v>
      </c>
    </row>
    <row r="2931" spans="1:10" x14ac:dyDescent="0.15">
      <c r="A2931" s="263" t="s">
        <v>7553</v>
      </c>
      <c r="B2931" s="263" t="s">
        <v>10133</v>
      </c>
      <c r="C2931" s="263" t="s">
        <v>98</v>
      </c>
      <c r="D2931" s="263" t="s">
        <v>10134</v>
      </c>
      <c r="E2931" s="263" t="s">
        <v>109</v>
      </c>
      <c r="F2931">
        <v>0</v>
      </c>
      <c r="G2931">
        <v>2</v>
      </c>
      <c r="H2931" s="263" t="s">
        <v>436</v>
      </c>
      <c r="I2931" s="264"/>
      <c r="J2931" s="263" t="s">
        <v>437</v>
      </c>
    </row>
    <row r="2932" spans="1:10" x14ac:dyDescent="0.15">
      <c r="A2932" s="263" t="s">
        <v>7554</v>
      </c>
      <c r="B2932" s="263" t="s">
        <v>7555</v>
      </c>
      <c r="C2932" s="263" t="s">
        <v>81</v>
      </c>
      <c r="D2932" s="263" t="s">
        <v>7556</v>
      </c>
      <c r="E2932" s="263" t="s">
        <v>88</v>
      </c>
      <c r="F2932">
        <v>0</v>
      </c>
      <c r="G2932">
        <v>2</v>
      </c>
      <c r="H2932" s="263" t="s">
        <v>436</v>
      </c>
      <c r="I2932" s="264"/>
      <c r="J2932" s="263" t="s">
        <v>437</v>
      </c>
    </row>
    <row r="2933" spans="1:10" x14ac:dyDescent="0.15">
      <c r="A2933" s="263" t="s">
        <v>7557</v>
      </c>
      <c r="B2933" s="263" t="s">
        <v>7558</v>
      </c>
      <c r="C2933" s="263" t="s">
        <v>81</v>
      </c>
      <c r="D2933" s="263" t="s">
        <v>7559</v>
      </c>
      <c r="E2933" s="263" t="s">
        <v>88</v>
      </c>
      <c r="F2933">
        <v>0</v>
      </c>
      <c r="G2933">
        <v>2</v>
      </c>
      <c r="H2933" s="263" t="s">
        <v>436</v>
      </c>
      <c r="I2933" s="264"/>
      <c r="J2933" s="263" t="s">
        <v>437</v>
      </c>
    </row>
    <row r="2934" spans="1:10" x14ac:dyDescent="0.15">
      <c r="A2934" s="263" t="s">
        <v>7560</v>
      </c>
      <c r="B2934" s="263" t="s">
        <v>7561</v>
      </c>
      <c r="C2934" s="263" t="s">
        <v>81</v>
      </c>
      <c r="D2934" s="263" t="s">
        <v>7562</v>
      </c>
      <c r="E2934" s="263" t="s">
        <v>88</v>
      </c>
      <c r="F2934">
        <v>0</v>
      </c>
      <c r="G2934">
        <v>2</v>
      </c>
      <c r="H2934" s="263" t="s">
        <v>436</v>
      </c>
      <c r="I2934" s="264"/>
      <c r="J2934" s="263" t="s">
        <v>437</v>
      </c>
    </row>
    <row r="2935" spans="1:10" x14ac:dyDescent="0.15">
      <c r="A2935" s="263" t="s">
        <v>7563</v>
      </c>
      <c r="B2935" s="263" t="s">
        <v>7564</v>
      </c>
      <c r="C2935" s="263" t="s">
        <v>81</v>
      </c>
      <c r="D2935" s="263" t="s">
        <v>7565</v>
      </c>
      <c r="E2935" s="263" t="s">
        <v>88</v>
      </c>
      <c r="F2935">
        <v>0</v>
      </c>
      <c r="G2935">
        <v>2</v>
      </c>
      <c r="H2935" s="263" t="s">
        <v>436</v>
      </c>
      <c r="I2935" s="264"/>
      <c r="J2935" s="263" t="s">
        <v>437</v>
      </c>
    </row>
    <row r="2936" spans="1:10" x14ac:dyDescent="0.15">
      <c r="A2936" s="263" t="s">
        <v>7566</v>
      </c>
      <c r="B2936" s="263" t="s">
        <v>7567</v>
      </c>
      <c r="C2936" s="263" t="s">
        <v>81</v>
      </c>
      <c r="D2936" s="263" t="s">
        <v>7568</v>
      </c>
      <c r="E2936" s="263" t="s">
        <v>88</v>
      </c>
      <c r="F2936">
        <v>0</v>
      </c>
      <c r="G2936">
        <v>2</v>
      </c>
      <c r="H2936" s="263" t="s">
        <v>436</v>
      </c>
      <c r="I2936" s="264"/>
      <c r="J2936" s="263" t="s">
        <v>437</v>
      </c>
    </row>
    <row r="2937" spans="1:10" x14ac:dyDescent="0.15">
      <c r="A2937" s="263" t="s">
        <v>7569</v>
      </c>
      <c r="B2937" s="263" t="s">
        <v>7570</v>
      </c>
      <c r="C2937" s="263" t="s">
        <v>81</v>
      </c>
      <c r="D2937" s="263" t="s">
        <v>7571</v>
      </c>
      <c r="E2937" s="263" t="s">
        <v>88</v>
      </c>
      <c r="F2937">
        <v>0</v>
      </c>
      <c r="G2937">
        <v>2</v>
      </c>
      <c r="H2937" s="263" t="s">
        <v>436</v>
      </c>
      <c r="I2937" s="264"/>
      <c r="J2937" s="263" t="s">
        <v>437</v>
      </c>
    </row>
    <row r="2938" spans="1:10" x14ac:dyDescent="0.15">
      <c r="A2938" s="263" t="s">
        <v>7572</v>
      </c>
      <c r="B2938" s="263" t="s">
        <v>7573</v>
      </c>
      <c r="C2938" s="263" t="s">
        <v>81</v>
      </c>
      <c r="D2938" s="263" t="s">
        <v>7574</v>
      </c>
      <c r="E2938" s="263" t="s">
        <v>88</v>
      </c>
      <c r="F2938">
        <v>0</v>
      </c>
      <c r="G2938">
        <v>2</v>
      </c>
      <c r="H2938" s="263" t="s">
        <v>436</v>
      </c>
      <c r="I2938" s="264"/>
      <c r="J2938" s="263" t="s">
        <v>437</v>
      </c>
    </row>
    <row r="2939" spans="1:10" x14ac:dyDescent="0.15">
      <c r="A2939" s="263" t="s">
        <v>7575</v>
      </c>
      <c r="B2939" s="263" t="s">
        <v>7576</v>
      </c>
      <c r="C2939" s="263" t="s">
        <v>81</v>
      </c>
      <c r="D2939" s="263" t="s">
        <v>7577</v>
      </c>
      <c r="E2939" s="263" t="s">
        <v>88</v>
      </c>
      <c r="F2939">
        <v>0</v>
      </c>
      <c r="G2939">
        <v>2</v>
      </c>
      <c r="H2939" s="263" t="s">
        <v>436</v>
      </c>
      <c r="I2939" s="264"/>
      <c r="J2939" s="263" t="s">
        <v>437</v>
      </c>
    </row>
    <row r="2940" spans="1:10" x14ac:dyDescent="0.15">
      <c r="A2940" s="263" t="s">
        <v>7578</v>
      </c>
      <c r="B2940" s="263" t="s">
        <v>7579</v>
      </c>
      <c r="C2940" s="263" t="s">
        <v>81</v>
      </c>
      <c r="D2940" s="263" t="s">
        <v>7580</v>
      </c>
      <c r="E2940" s="263" t="s">
        <v>88</v>
      </c>
      <c r="F2940">
        <v>0</v>
      </c>
      <c r="G2940">
        <v>2</v>
      </c>
      <c r="H2940" s="263" t="s">
        <v>436</v>
      </c>
      <c r="I2940" s="264"/>
      <c r="J2940" s="263" t="s">
        <v>437</v>
      </c>
    </row>
    <row r="2941" spans="1:10" x14ac:dyDescent="0.15">
      <c r="A2941" s="263" t="s">
        <v>7581</v>
      </c>
      <c r="B2941" s="263" t="s">
        <v>7582</v>
      </c>
      <c r="C2941" s="263" t="s">
        <v>98</v>
      </c>
      <c r="D2941" s="263" t="s">
        <v>7583</v>
      </c>
      <c r="E2941" s="263" t="s">
        <v>109</v>
      </c>
      <c r="F2941">
        <v>0</v>
      </c>
      <c r="G2941">
        <v>2</v>
      </c>
      <c r="H2941" s="263" t="s">
        <v>436</v>
      </c>
      <c r="I2941" s="264"/>
      <c r="J2941" s="263" t="s">
        <v>437</v>
      </c>
    </row>
    <row r="2942" spans="1:10" x14ac:dyDescent="0.15">
      <c r="A2942" s="263" t="s">
        <v>7584</v>
      </c>
      <c r="B2942" s="263" t="s">
        <v>7585</v>
      </c>
      <c r="C2942" s="263" t="s">
        <v>98</v>
      </c>
      <c r="D2942" s="263" t="s">
        <v>7586</v>
      </c>
      <c r="E2942" s="263" t="s">
        <v>109</v>
      </c>
      <c r="F2942">
        <v>0</v>
      </c>
      <c r="G2942">
        <v>2</v>
      </c>
      <c r="H2942" s="263" t="s">
        <v>436</v>
      </c>
      <c r="I2942" s="264"/>
      <c r="J2942" s="263" t="s">
        <v>437</v>
      </c>
    </row>
    <row r="2943" spans="1:10" x14ac:dyDescent="0.15">
      <c r="A2943" s="263" t="s">
        <v>7587</v>
      </c>
      <c r="B2943" s="263" t="s">
        <v>7588</v>
      </c>
      <c r="C2943" s="263" t="s">
        <v>98</v>
      </c>
      <c r="D2943" s="263" t="s">
        <v>7589</v>
      </c>
      <c r="E2943" s="263" t="s">
        <v>109</v>
      </c>
      <c r="F2943">
        <v>0</v>
      </c>
      <c r="G2943">
        <v>2</v>
      </c>
      <c r="H2943" s="263" t="s">
        <v>436</v>
      </c>
      <c r="I2943" s="264"/>
      <c r="J2943" s="263" t="s">
        <v>437</v>
      </c>
    </row>
    <row r="2944" spans="1:10" x14ac:dyDescent="0.15">
      <c r="A2944" s="263" t="s">
        <v>7590</v>
      </c>
      <c r="B2944" s="263" t="s">
        <v>7591</v>
      </c>
      <c r="C2944" s="263" t="s">
        <v>98</v>
      </c>
      <c r="D2944" s="263" t="s">
        <v>7592</v>
      </c>
      <c r="E2944" s="263" t="s">
        <v>109</v>
      </c>
      <c r="F2944">
        <v>0</v>
      </c>
      <c r="G2944">
        <v>2</v>
      </c>
      <c r="H2944" s="263" t="s">
        <v>436</v>
      </c>
      <c r="I2944" s="264"/>
      <c r="J2944" s="263" t="s">
        <v>437</v>
      </c>
    </row>
    <row r="2945" spans="1:10" x14ac:dyDescent="0.15">
      <c r="A2945" s="263" t="s">
        <v>7593</v>
      </c>
      <c r="B2945" s="263" t="s">
        <v>7594</v>
      </c>
      <c r="C2945" s="263" t="s">
        <v>98</v>
      </c>
      <c r="D2945" s="263" t="s">
        <v>7595</v>
      </c>
      <c r="E2945" s="263" t="s">
        <v>109</v>
      </c>
      <c r="F2945">
        <v>0</v>
      </c>
      <c r="G2945">
        <v>2</v>
      </c>
      <c r="H2945" s="263" t="s">
        <v>436</v>
      </c>
      <c r="I2945" s="264"/>
      <c r="J2945" s="263" t="s">
        <v>437</v>
      </c>
    </row>
    <row r="2946" spans="1:10" x14ac:dyDescent="0.15">
      <c r="A2946" s="263" t="s">
        <v>7596</v>
      </c>
      <c r="B2946" s="263" t="s">
        <v>7597</v>
      </c>
      <c r="C2946" s="263" t="s">
        <v>98</v>
      </c>
      <c r="D2946" s="263" t="s">
        <v>7598</v>
      </c>
      <c r="E2946" s="263" t="s">
        <v>109</v>
      </c>
      <c r="F2946">
        <v>0</v>
      </c>
      <c r="G2946">
        <v>2</v>
      </c>
      <c r="H2946" s="263" t="s">
        <v>436</v>
      </c>
      <c r="I2946" s="264"/>
      <c r="J2946" s="263" t="s">
        <v>437</v>
      </c>
    </row>
    <row r="2947" spans="1:10" x14ac:dyDescent="0.15">
      <c r="A2947" s="263" t="s">
        <v>7599</v>
      </c>
      <c r="B2947" s="263" t="s">
        <v>7600</v>
      </c>
      <c r="C2947" s="263" t="s">
        <v>98</v>
      </c>
      <c r="D2947" s="263" t="s">
        <v>7601</v>
      </c>
      <c r="E2947" s="263" t="s">
        <v>109</v>
      </c>
      <c r="F2947">
        <v>0</v>
      </c>
      <c r="G2947">
        <v>2</v>
      </c>
      <c r="H2947" s="263" t="s">
        <v>436</v>
      </c>
      <c r="I2947" s="264"/>
      <c r="J2947" s="263" t="s">
        <v>437</v>
      </c>
    </row>
    <row r="2948" spans="1:10" x14ac:dyDescent="0.15">
      <c r="A2948" s="263" t="s">
        <v>7602</v>
      </c>
      <c r="B2948" s="263" t="s">
        <v>7603</v>
      </c>
      <c r="C2948" s="263" t="s">
        <v>98</v>
      </c>
      <c r="D2948" s="263" t="s">
        <v>7604</v>
      </c>
      <c r="E2948" s="263" t="s">
        <v>109</v>
      </c>
      <c r="F2948">
        <v>0</v>
      </c>
      <c r="G2948">
        <v>2</v>
      </c>
      <c r="H2948" s="263" t="s">
        <v>436</v>
      </c>
      <c r="I2948" s="264"/>
      <c r="J2948" s="263" t="s">
        <v>437</v>
      </c>
    </row>
    <row r="2949" spans="1:10" x14ac:dyDescent="0.15">
      <c r="A2949" s="263" t="s">
        <v>7605</v>
      </c>
      <c r="B2949" s="263" t="s">
        <v>7606</v>
      </c>
      <c r="C2949" s="263" t="s">
        <v>98</v>
      </c>
      <c r="D2949" s="263" t="s">
        <v>7607</v>
      </c>
      <c r="E2949" s="263" t="s">
        <v>109</v>
      </c>
      <c r="F2949">
        <v>0</v>
      </c>
      <c r="G2949">
        <v>2</v>
      </c>
      <c r="H2949" s="263" t="s">
        <v>436</v>
      </c>
      <c r="I2949" s="264"/>
      <c r="J2949" s="263" t="s">
        <v>437</v>
      </c>
    </row>
    <row r="2950" spans="1:10" x14ac:dyDescent="0.15">
      <c r="A2950" s="263" t="s">
        <v>7608</v>
      </c>
      <c r="B2950" s="263" t="s">
        <v>7609</v>
      </c>
      <c r="C2950" s="263" t="s">
        <v>96</v>
      </c>
      <c r="D2950" s="263" t="s">
        <v>7610</v>
      </c>
      <c r="E2950" s="263" t="s">
        <v>97</v>
      </c>
      <c r="F2950">
        <v>0</v>
      </c>
      <c r="G2950">
        <v>2</v>
      </c>
      <c r="H2950" s="263" t="s">
        <v>436</v>
      </c>
      <c r="I2950" s="264"/>
      <c r="J2950" s="263" t="s">
        <v>437</v>
      </c>
    </row>
    <row r="2951" spans="1:10" x14ac:dyDescent="0.15">
      <c r="A2951" s="263" t="s">
        <v>7611</v>
      </c>
      <c r="B2951" s="263" t="s">
        <v>7612</v>
      </c>
      <c r="C2951" s="263" t="s">
        <v>96</v>
      </c>
      <c r="D2951" s="263" t="s">
        <v>7613</v>
      </c>
      <c r="E2951" s="263" t="s">
        <v>97</v>
      </c>
      <c r="F2951">
        <v>0</v>
      </c>
      <c r="G2951">
        <v>2</v>
      </c>
      <c r="H2951" s="263" t="s">
        <v>436</v>
      </c>
      <c r="I2951" s="264"/>
      <c r="J2951" s="263" t="s">
        <v>437</v>
      </c>
    </row>
    <row r="2952" spans="1:10" x14ac:dyDescent="0.15">
      <c r="A2952" s="263" t="s">
        <v>7614</v>
      </c>
      <c r="B2952" s="263" t="s">
        <v>7615</v>
      </c>
      <c r="C2952" s="263" t="s">
        <v>96</v>
      </c>
      <c r="D2952" s="263" t="s">
        <v>7616</v>
      </c>
      <c r="E2952" s="263" t="s">
        <v>97</v>
      </c>
      <c r="F2952">
        <v>0</v>
      </c>
      <c r="G2952">
        <v>2</v>
      </c>
      <c r="H2952" s="263" t="s">
        <v>436</v>
      </c>
      <c r="I2952" s="264"/>
      <c r="J2952" s="263" t="s">
        <v>437</v>
      </c>
    </row>
    <row r="2953" spans="1:10" x14ac:dyDescent="0.15">
      <c r="A2953" s="263" t="s">
        <v>7617</v>
      </c>
      <c r="B2953" s="263" t="s">
        <v>7618</v>
      </c>
      <c r="C2953" s="263" t="s">
        <v>96</v>
      </c>
      <c r="D2953" s="263" t="s">
        <v>7619</v>
      </c>
      <c r="E2953" s="263" t="s">
        <v>97</v>
      </c>
      <c r="F2953">
        <v>0</v>
      </c>
      <c r="G2953">
        <v>2</v>
      </c>
      <c r="H2953" s="263" t="s">
        <v>436</v>
      </c>
      <c r="I2953" s="264"/>
      <c r="J2953" s="263" t="s">
        <v>437</v>
      </c>
    </row>
    <row r="2954" spans="1:10" x14ac:dyDescent="0.15">
      <c r="A2954" s="263" t="s">
        <v>7620</v>
      </c>
      <c r="B2954" s="263" t="s">
        <v>7621</v>
      </c>
      <c r="C2954" s="263" t="s">
        <v>96</v>
      </c>
      <c r="D2954" s="263" t="s">
        <v>7622</v>
      </c>
      <c r="E2954" s="263" t="s">
        <v>97</v>
      </c>
      <c r="F2954">
        <v>0</v>
      </c>
      <c r="G2954">
        <v>2</v>
      </c>
      <c r="H2954" s="263" t="s">
        <v>436</v>
      </c>
      <c r="I2954" s="264"/>
      <c r="J2954" s="263" t="s">
        <v>437</v>
      </c>
    </row>
    <row r="2955" spans="1:10" x14ac:dyDescent="0.15">
      <c r="A2955" s="263" t="s">
        <v>7623</v>
      </c>
      <c r="B2955" s="263" t="s">
        <v>7624</v>
      </c>
      <c r="C2955" s="263" t="s">
        <v>96</v>
      </c>
      <c r="D2955" s="263" t="s">
        <v>7625</v>
      </c>
      <c r="E2955" s="263" t="s">
        <v>97</v>
      </c>
      <c r="F2955">
        <v>0</v>
      </c>
      <c r="G2955">
        <v>2</v>
      </c>
      <c r="H2955" s="263" t="s">
        <v>436</v>
      </c>
      <c r="I2955" s="264"/>
      <c r="J2955" s="263" t="s">
        <v>437</v>
      </c>
    </row>
    <row r="2956" spans="1:10" x14ac:dyDescent="0.15">
      <c r="A2956" s="263" t="s">
        <v>7626</v>
      </c>
      <c r="B2956" s="263" t="s">
        <v>7627</v>
      </c>
      <c r="C2956" s="263" t="s">
        <v>96</v>
      </c>
      <c r="D2956" s="263" t="s">
        <v>7628</v>
      </c>
      <c r="E2956" s="263" t="s">
        <v>97</v>
      </c>
      <c r="F2956">
        <v>0</v>
      </c>
      <c r="G2956">
        <v>2</v>
      </c>
      <c r="H2956" s="263" t="s">
        <v>436</v>
      </c>
      <c r="I2956" s="264"/>
      <c r="J2956" s="263" t="s">
        <v>437</v>
      </c>
    </row>
    <row r="2957" spans="1:10" x14ac:dyDescent="0.15">
      <c r="A2957" s="263" t="s">
        <v>7629</v>
      </c>
      <c r="B2957" s="263" t="s">
        <v>7630</v>
      </c>
      <c r="C2957" s="263" t="s">
        <v>96</v>
      </c>
      <c r="D2957" s="263" t="s">
        <v>7631</v>
      </c>
      <c r="E2957" s="263" t="s">
        <v>97</v>
      </c>
      <c r="F2957">
        <v>0</v>
      </c>
      <c r="G2957">
        <v>2</v>
      </c>
      <c r="H2957" s="263" t="s">
        <v>436</v>
      </c>
      <c r="I2957" s="264"/>
      <c r="J2957" s="263" t="s">
        <v>437</v>
      </c>
    </row>
    <row r="2958" spans="1:10" x14ac:dyDescent="0.15">
      <c r="A2958" s="263" t="s">
        <v>7632</v>
      </c>
      <c r="B2958" s="263" t="s">
        <v>7633</v>
      </c>
      <c r="C2958" s="263" t="s">
        <v>96</v>
      </c>
      <c r="D2958" s="263" t="s">
        <v>7634</v>
      </c>
      <c r="E2958" s="263" t="s">
        <v>97</v>
      </c>
      <c r="F2958">
        <v>0</v>
      </c>
      <c r="G2958">
        <v>2</v>
      </c>
      <c r="H2958" s="263" t="s">
        <v>436</v>
      </c>
      <c r="I2958" s="264"/>
      <c r="J2958" s="263" t="s">
        <v>437</v>
      </c>
    </row>
    <row r="2959" spans="1:10" x14ac:dyDescent="0.15">
      <c r="A2959" s="263" t="s">
        <v>7635</v>
      </c>
      <c r="B2959" s="263" t="s">
        <v>7636</v>
      </c>
      <c r="C2959" s="263" t="s">
        <v>96</v>
      </c>
      <c r="D2959" s="263" t="s">
        <v>7637</v>
      </c>
      <c r="E2959" s="263" t="s">
        <v>97</v>
      </c>
      <c r="F2959">
        <v>0</v>
      </c>
      <c r="G2959">
        <v>2</v>
      </c>
      <c r="H2959" s="263" t="s">
        <v>436</v>
      </c>
      <c r="I2959" s="264"/>
      <c r="J2959" s="263" t="s">
        <v>437</v>
      </c>
    </row>
    <row r="2960" spans="1:10" x14ac:dyDescent="0.15">
      <c r="A2960" s="263" t="s">
        <v>7638</v>
      </c>
      <c r="B2960" s="263" t="s">
        <v>7639</v>
      </c>
      <c r="C2960" s="263" t="s">
        <v>96</v>
      </c>
      <c r="D2960" s="263" t="s">
        <v>7640</v>
      </c>
      <c r="E2960" s="263" t="s">
        <v>97</v>
      </c>
      <c r="F2960">
        <v>0</v>
      </c>
      <c r="G2960">
        <v>2</v>
      </c>
      <c r="H2960" s="263" t="s">
        <v>436</v>
      </c>
      <c r="I2960" s="264"/>
      <c r="J2960" s="263" t="s">
        <v>437</v>
      </c>
    </row>
    <row r="2961" spans="1:10" x14ac:dyDescent="0.15">
      <c r="A2961" s="263" t="s">
        <v>7641</v>
      </c>
      <c r="B2961" s="263" t="s">
        <v>7642</v>
      </c>
      <c r="C2961" s="263" t="s">
        <v>96</v>
      </c>
      <c r="D2961" s="263" t="s">
        <v>7643</v>
      </c>
      <c r="E2961" s="263" t="s">
        <v>97</v>
      </c>
      <c r="F2961">
        <v>0</v>
      </c>
      <c r="G2961">
        <v>2</v>
      </c>
      <c r="H2961" s="263" t="s">
        <v>436</v>
      </c>
      <c r="I2961" s="264"/>
      <c r="J2961" s="263" t="s">
        <v>437</v>
      </c>
    </row>
    <row r="2962" spans="1:10" x14ac:dyDescent="0.15">
      <c r="A2962" s="263" t="s">
        <v>7644</v>
      </c>
      <c r="B2962" s="263" t="s">
        <v>7645</v>
      </c>
      <c r="C2962" s="263" t="s">
        <v>96</v>
      </c>
      <c r="D2962" s="263" t="s">
        <v>7646</v>
      </c>
      <c r="E2962" s="263" t="s">
        <v>97</v>
      </c>
      <c r="F2962">
        <v>0</v>
      </c>
      <c r="G2962">
        <v>2</v>
      </c>
      <c r="H2962" s="263" t="s">
        <v>436</v>
      </c>
      <c r="I2962" s="264"/>
      <c r="J2962" s="263" t="s">
        <v>437</v>
      </c>
    </row>
    <row r="2963" spans="1:10" x14ac:dyDescent="0.15">
      <c r="A2963" s="263" t="s">
        <v>7647</v>
      </c>
      <c r="B2963" s="263" t="s">
        <v>7648</v>
      </c>
      <c r="C2963" s="263" t="s">
        <v>96</v>
      </c>
      <c r="D2963" s="263" t="s">
        <v>7649</v>
      </c>
      <c r="E2963" s="263" t="s">
        <v>97</v>
      </c>
      <c r="F2963">
        <v>0</v>
      </c>
      <c r="G2963">
        <v>2</v>
      </c>
      <c r="H2963" s="263" t="s">
        <v>436</v>
      </c>
      <c r="I2963" s="264"/>
      <c r="J2963" s="263" t="s">
        <v>437</v>
      </c>
    </row>
    <row r="2964" spans="1:10" x14ac:dyDescent="0.15">
      <c r="A2964" s="263" t="s">
        <v>7650</v>
      </c>
      <c r="B2964" s="263" t="s">
        <v>7651</v>
      </c>
      <c r="C2964" s="263" t="s">
        <v>96</v>
      </c>
      <c r="D2964" s="263" t="s">
        <v>7652</v>
      </c>
      <c r="E2964" s="263" t="s">
        <v>97</v>
      </c>
      <c r="F2964">
        <v>0</v>
      </c>
      <c r="G2964">
        <v>2</v>
      </c>
      <c r="H2964" s="263" t="s">
        <v>436</v>
      </c>
      <c r="I2964" s="264"/>
      <c r="J2964" s="263" t="s">
        <v>437</v>
      </c>
    </row>
    <row r="2965" spans="1:10" x14ac:dyDescent="0.15">
      <c r="A2965" s="263" t="s">
        <v>7653</v>
      </c>
      <c r="B2965" s="263" t="s">
        <v>7654</v>
      </c>
      <c r="C2965" s="263" t="s">
        <v>96</v>
      </c>
      <c r="D2965" s="263" t="s">
        <v>7655</v>
      </c>
      <c r="E2965" s="263" t="s">
        <v>97</v>
      </c>
      <c r="F2965">
        <v>0</v>
      </c>
      <c r="G2965">
        <v>2</v>
      </c>
      <c r="H2965" s="263" t="s">
        <v>436</v>
      </c>
      <c r="I2965" s="264"/>
      <c r="J2965" s="263" t="s">
        <v>437</v>
      </c>
    </row>
    <row r="2966" spans="1:10" x14ac:dyDescent="0.15">
      <c r="A2966" s="263" t="s">
        <v>9135</v>
      </c>
      <c r="B2966" s="263" t="s">
        <v>9136</v>
      </c>
      <c r="C2966" s="263" t="s">
        <v>96</v>
      </c>
      <c r="D2966" s="263" t="s">
        <v>9137</v>
      </c>
      <c r="E2966" s="263" t="s">
        <v>97</v>
      </c>
      <c r="F2966">
        <v>0</v>
      </c>
      <c r="G2966">
        <v>2</v>
      </c>
      <c r="H2966" s="263" t="s">
        <v>436</v>
      </c>
      <c r="I2966" s="264"/>
      <c r="J2966" s="263" t="s">
        <v>437</v>
      </c>
    </row>
    <row r="2967" spans="1:10" x14ac:dyDescent="0.15">
      <c r="A2967" s="263" t="s">
        <v>7656</v>
      </c>
      <c r="B2967" s="263" t="s">
        <v>7657</v>
      </c>
      <c r="C2967" s="263" t="s">
        <v>96</v>
      </c>
      <c r="D2967" s="263" t="s">
        <v>7658</v>
      </c>
      <c r="E2967" s="263" t="s">
        <v>97</v>
      </c>
      <c r="F2967">
        <v>0</v>
      </c>
      <c r="G2967">
        <v>2</v>
      </c>
      <c r="H2967" s="263" t="s">
        <v>436</v>
      </c>
      <c r="I2967" s="264"/>
      <c r="J2967" s="263" t="s">
        <v>437</v>
      </c>
    </row>
    <row r="2968" spans="1:10" x14ac:dyDescent="0.15">
      <c r="A2968" s="263" t="s">
        <v>7659</v>
      </c>
      <c r="B2968" s="263" t="s">
        <v>7660</v>
      </c>
      <c r="C2968" s="263" t="s">
        <v>96</v>
      </c>
      <c r="D2968" s="263" t="s">
        <v>7661</v>
      </c>
      <c r="E2968" s="263" t="s">
        <v>97</v>
      </c>
      <c r="F2968">
        <v>0</v>
      </c>
      <c r="G2968">
        <v>2</v>
      </c>
      <c r="H2968" s="263" t="s">
        <v>436</v>
      </c>
      <c r="I2968" s="264"/>
      <c r="J2968" s="263" t="s">
        <v>437</v>
      </c>
    </row>
    <row r="2969" spans="1:10" x14ac:dyDescent="0.15">
      <c r="A2969" s="263" t="s">
        <v>7662</v>
      </c>
      <c r="B2969" s="263" t="s">
        <v>7663</v>
      </c>
      <c r="C2969" s="263" t="s">
        <v>96</v>
      </c>
      <c r="D2969" s="263" t="s">
        <v>7664</v>
      </c>
      <c r="E2969" s="263" t="s">
        <v>97</v>
      </c>
      <c r="F2969">
        <v>0</v>
      </c>
      <c r="G2969">
        <v>2</v>
      </c>
      <c r="H2969" s="263" t="s">
        <v>436</v>
      </c>
      <c r="I2969" s="264"/>
      <c r="J2969" s="263" t="s">
        <v>437</v>
      </c>
    </row>
    <row r="2970" spans="1:10" x14ac:dyDescent="0.15">
      <c r="A2970" s="263" t="s">
        <v>7665</v>
      </c>
      <c r="B2970" s="263" t="s">
        <v>7666</v>
      </c>
      <c r="C2970" s="263" t="s">
        <v>96</v>
      </c>
      <c r="D2970" s="263" t="s">
        <v>7667</v>
      </c>
      <c r="E2970" s="263" t="s">
        <v>97</v>
      </c>
      <c r="F2970">
        <v>0</v>
      </c>
      <c r="G2970">
        <v>2</v>
      </c>
      <c r="H2970" s="263" t="s">
        <v>436</v>
      </c>
      <c r="I2970" s="264"/>
      <c r="J2970" s="263" t="s">
        <v>437</v>
      </c>
    </row>
    <row r="2971" spans="1:10" x14ac:dyDescent="0.15">
      <c r="A2971" s="263" t="s">
        <v>7668</v>
      </c>
      <c r="B2971" s="263" t="s">
        <v>7669</v>
      </c>
      <c r="C2971" s="263" t="s">
        <v>81</v>
      </c>
      <c r="D2971" s="263" t="s">
        <v>7670</v>
      </c>
      <c r="E2971" s="263" t="s">
        <v>88</v>
      </c>
      <c r="F2971">
        <v>0</v>
      </c>
      <c r="G2971">
        <v>2</v>
      </c>
      <c r="H2971" s="263" t="s">
        <v>436</v>
      </c>
      <c r="I2971" s="264"/>
      <c r="J2971" s="263" t="s">
        <v>437</v>
      </c>
    </row>
    <row r="2972" spans="1:10" x14ac:dyDescent="0.15">
      <c r="A2972" s="263" t="s">
        <v>7671</v>
      </c>
      <c r="B2972" s="263" t="s">
        <v>7672</v>
      </c>
      <c r="C2972" s="263" t="s">
        <v>81</v>
      </c>
      <c r="D2972" s="263" t="s">
        <v>7673</v>
      </c>
      <c r="E2972" s="263" t="s">
        <v>88</v>
      </c>
      <c r="F2972">
        <v>0</v>
      </c>
      <c r="G2972">
        <v>2</v>
      </c>
      <c r="H2972" s="263" t="s">
        <v>436</v>
      </c>
      <c r="I2972" s="264"/>
      <c r="J2972" s="263" t="s">
        <v>437</v>
      </c>
    </row>
    <row r="2973" spans="1:10" x14ac:dyDescent="0.15">
      <c r="A2973" s="263" t="s">
        <v>7674</v>
      </c>
      <c r="B2973" s="263" t="s">
        <v>7675</v>
      </c>
      <c r="C2973" s="263" t="s">
        <v>81</v>
      </c>
      <c r="D2973" s="263" t="s">
        <v>7676</v>
      </c>
      <c r="E2973" s="263" t="s">
        <v>88</v>
      </c>
      <c r="F2973">
        <v>0</v>
      </c>
      <c r="G2973">
        <v>2</v>
      </c>
      <c r="H2973" s="263" t="s">
        <v>436</v>
      </c>
      <c r="I2973" s="264"/>
      <c r="J2973" s="263" t="s">
        <v>437</v>
      </c>
    </row>
    <row r="2974" spans="1:10" x14ac:dyDescent="0.15">
      <c r="A2974" s="263" t="s">
        <v>7677</v>
      </c>
      <c r="B2974" s="263" t="s">
        <v>7678</v>
      </c>
      <c r="C2974" s="263" t="s">
        <v>81</v>
      </c>
      <c r="D2974" s="263" t="s">
        <v>7679</v>
      </c>
      <c r="E2974" s="263" t="s">
        <v>88</v>
      </c>
      <c r="F2974">
        <v>0</v>
      </c>
      <c r="G2974">
        <v>2</v>
      </c>
      <c r="H2974" s="263" t="s">
        <v>436</v>
      </c>
      <c r="I2974" s="264"/>
      <c r="J2974" s="263" t="s">
        <v>437</v>
      </c>
    </row>
    <row r="2975" spans="1:10" x14ac:dyDescent="0.15">
      <c r="A2975" s="263" t="s">
        <v>7680</v>
      </c>
      <c r="B2975" s="263" t="s">
        <v>7681</v>
      </c>
      <c r="C2975" s="263" t="s">
        <v>81</v>
      </c>
      <c r="D2975" s="263" t="s">
        <v>7682</v>
      </c>
      <c r="E2975" s="263" t="s">
        <v>88</v>
      </c>
      <c r="F2975">
        <v>0</v>
      </c>
      <c r="G2975">
        <v>2</v>
      </c>
      <c r="H2975" s="263" t="s">
        <v>436</v>
      </c>
      <c r="I2975" s="264"/>
      <c r="J2975" s="263" t="s">
        <v>437</v>
      </c>
    </row>
    <row r="2976" spans="1:10" x14ac:dyDescent="0.15">
      <c r="A2976" s="263" t="s">
        <v>7683</v>
      </c>
      <c r="B2976" s="263" t="s">
        <v>7684</v>
      </c>
      <c r="C2976" s="263" t="s">
        <v>81</v>
      </c>
      <c r="D2976" s="263" t="s">
        <v>7685</v>
      </c>
      <c r="E2976" s="263" t="s">
        <v>88</v>
      </c>
      <c r="F2976">
        <v>0</v>
      </c>
      <c r="G2976">
        <v>2</v>
      </c>
      <c r="H2976" s="263" t="s">
        <v>436</v>
      </c>
      <c r="I2976" s="264"/>
      <c r="J2976" s="263" t="s">
        <v>437</v>
      </c>
    </row>
    <row r="2977" spans="1:10" x14ac:dyDescent="0.15">
      <c r="A2977" s="263" t="s">
        <v>7686</v>
      </c>
      <c r="B2977" s="263" t="s">
        <v>7687</v>
      </c>
      <c r="C2977" s="263" t="s">
        <v>81</v>
      </c>
      <c r="D2977" s="263" t="s">
        <v>7688</v>
      </c>
      <c r="E2977" s="263" t="s">
        <v>88</v>
      </c>
      <c r="F2977">
        <v>0</v>
      </c>
      <c r="G2977">
        <v>2</v>
      </c>
      <c r="H2977" s="263" t="s">
        <v>436</v>
      </c>
      <c r="I2977" s="264"/>
      <c r="J2977" s="263" t="s">
        <v>437</v>
      </c>
    </row>
    <row r="2978" spans="1:10" x14ac:dyDescent="0.15">
      <c r="A2978" s="263" t="s">
        <v>7689</v>
      </c>
      <c r="B2978" s="263" t="s">
        <v>7690</v>
      </c>
      <c r="C2978" s="263" t="s">
        <v>81</v>
      </c>
      <c r="D2978" s="263" t="s">
        <v>7691</v>
      </c>
      <c r="E2978" s="263" t="s">
        <v>88</v>
      </c>
      <c r="F2978">
        <v>0</v>
      </c>
      <c r="G2978">
        <v>2</v>
      </c>
      <c r="H2978" s="263" t="s">
        <v>436</v>
      </c>
      <c r="I2978" s="264"/>
      <c r="J2978" s="263" t="s">
        <v>437</v>
      </c>
    </row>
    <row r="2979" spans="1:10" x14ac:dyDescent="0.15">
      <c r="A2979" s="263" t="s">
        <v>7692</v>
      </c>
      <c r="B2979" s="263" t="s">
        <v>7693</v>
      </c>
      <c r="C2979" s="263" t="s">
        <v>81</v>
      </c>
      <c r="D2979" s="263" t="s">
        <v>7694</v>
      </c>
      <c r="E2979" s="263" t="s">
        <v>88</v>
      </c>
      <c r="F2979">
        <v>0</v>
      </c>
      <c r="G2979">
        <v>2</v>
      </c>
      <c r="H2979" s="263" t="s">
        <v>436</v>
      </c>
      <c r="I2979" s="264"/>
      <c r="J2979" s="263" t="s">
        <v>437</v>
      </c>
    </row>
    <row r="2980" spans="1:10" x14ac:dyDescent="0.15">
      <c r="A2980" s="263" t="s">
        <v>7695</v>
      </c>
      <c r="B2980" s="263" t="s">
        <v>7696</v>
      </c>
      <c r="C2980" s="263" t="s">
        <v>81</v>
      </c>
      <c r="D2980" s="263" t="s">
        <v>7697</v>
      </c>
      <c r="E2980" s="263" t="s">
        <v>88</v>
      </c>
      <c r="F2980">
        <v>0</v>
      </c>
      <c r="G2980">
        <v>2</v>
      </c>
      <c r="H2980" s="263" t="s">
        <v>436</v>
      </c>
      <c r="I2980" s="264"/>
      <c r="J2980" s="263" t="s">
        <v>437</v>
      </c>
    </row>
    <row r="2981" spans="1:10" x14ac:dyDescent="0.15">
      <c r="A2981" s="263" t="s">
        <v>7698</v>
      </c>
      <c r="B2981" s="263" t="s">
        <v>7699</v>
      </c>
      <c r="C2981" s="263" t="s">
        <v>81</v>
      </c>
      <c r="D2981" s="263" t="s">
        <v>7700</v>
      </c>
      <c r="E2981" s="263" t="s">
        <v>88</v>
      </c>
      <c r="F2981">
        <v>0</v>
      </c>
      <c r="G2981">
        <v>2</v>
      </c>
      <c r="H2981" s="263" t="s">
        <v>436</v>
      </c>
      <c r="I2981" s="264"/>
      <c r="J2981" s="263" t="s">
        <v>437</v>
      </c>
    </row>
    <row r="2982" spans="1:10" x14ac:dyDescent="0.15">
      <c r="A2982" s="263" t="s">
        <v>7701</v>
      </c>
      <c r="B2982" s="263" t="s">
        <v>7702</v>
      </c>
      <c r="C2982" s="263" t="s">
        <v>81</v>
      </c>
      <c r="D2982" s="263" t="s">
        <v>7703</v>
      </c>
      <c r="E2982" s="263" t="s">
        <v>88</v>
      </c>
      <c r="F2982">
        <v>0</v>
      </c>
      <c r="G2982">
        <v>2</v>
      </c>
      <c r="H2982" s="263" t="s">
        <v>436</v>
      </c>
      <c r="I2982" s="264"/>
      <c r="J2982" s="263" t="s">
        <v>437</v>
      </c>
    </row>
    <row r="2983" spans="1:10" x14ac:dyDescent="0.15">
      <c r="A2983" s="263" t="s">
        <v>7704</v>
      </c>
      <c r="B2983" s="263" t="s">
        <v>7705</v>
      </c>
      <c r="C2983" s="263" t="s">
        <v>81</v>
      </c>
      <c r="D2983" s="263" t="s">
        <v>7706</v>
      </c>
      <c r="E2983" s="263" t="s">
        <v>88</v>
      </c>
      <c r="F2983">
        <v>0</v>
      </c>
      <c r="G2983">
        <v>2</v>
      </c>
      <c r="H2983" s="263" t="s">
        <v>436</v>
      </c>
      <c r="I2983" s="264"/>
      <c r="J2983" s="263" t="s">
        <v>437</v>
      </c>
    </row>
    <row r="2984" spans="1:10" x14ac:dyDescent="0.15">
      <c r="A2984" s="263" t="s">
        <v>7707</v>
      </c>
      <c r="B2984" s="263" t="s">
        <v>7708</v>
      </c>
      <c r="C2984" s="263" t="s">
        <v>81</v>
      </c>
      <c r="D2984" s="263" t="s">
        <v>7709</v>
      </c>
      <c r="E2984" s="263" t="s">
        <v>88</v>
      </c>
      <c r="F2984">
        <v>0</v>
      </c>
      <c r="G2984">
        <v>2</v>
      </c>
      <c r="H2984" s="263" t="s">
        <v>436</v>
      </c>
      <c r="I2984" s="264"/>
      <c r="J2984" s="263" t="s">
        <v>437</v>
      </c>
    </row>
    <row r="2985" spans="1:10" x14ac:dyDescent="0.15">
      <c r="A2985" s="263" t="s">
        <v>7710</v>
      </c>
      <c r="B2985" s="263" t="s">
        <v>7711</v>
      </c>
      <c r="C2985" s="263" t="s">
        <v>81</v>
      </c>
      <c r="D2985" s="263" t="s">
        <v>7712</v>
      </c>
      <c r="E2985" s="263" t="s">
        <v>88</v>
      </c>
      <c r="F2985">
        <v>0</v>
      </c>
      <c r="G2985">
        <v>2</v>
      </c>
      <c r="H2985" s="263" t="s">
        <v>436</v>
      </c>
      <c r="I2985" s="264"/>
      <c r="J2985" s="263" t="s">
        <v>437</v>
      </c>
    </row>
    <row r="2986" spans="1:10" x14ac:dyDescent="0.15">
      <c r="A2986" s="263" t="s">
        <v>7713</v>
      </c>
      <c r="B2986" s="263" t="s">
        <v>7714</v>
      </c>
      <c r="C2986" s="263" t="s">
        <v>81</v>
      </c>
      <c r="D2986" s="263" t="s">
        <v>7715</v>
      </c>
      <c r="E2986" s="263" t="s">
        <v>88</v>
      </c>
      <c r="F2986">
        <v>0</v>
      </c>
      <c r="G2986">
        <v>2</v>
      </c>
      <c r="H2986" s="263" t="s">
        <v>436</v>
      </c>
      <c r="I2986" s="264"/>
      <c r="J2986" s="263" t="s">
        <v>437</v>
      </c>
    </row>
    <row r="2987" spans="1:10" x14ac:dyDescent="0.15">
      <c r="A2987" s="263" t="s">
        <v>7716</v>
      </c>
      <c r="B2987" s="263" t="s">
        <v>7717</v>
      </c>
      <c r="C2987" s="263" t="s">
        <v>81</v>
      </c>
      <c r="D2987" s="263" t="s">
        <v>7718</v>
      </c>
      <c r="E2987" s="263" t="s">
        <v>88</v>
      </c>
      <c r="F2987">
        <v>0</v>
      </c>
      <c r="G2987">
        <v>2</v>
      </c>
      <c r="H2987" s="263" t="s">
        <v>436</v>
      </c>
      <c r="I2987" s="264"/>
      <c r="J2987" s="263" t="s">
        <v>437</v>
      </c>
    </row>
    <row r="2988" spans="1:10" x14ac:dyDescent="0.15">
      <c r="A2988" s="263" t="s">
        <v>7719</v>
      </c>
      <c r="B2988" s="263" t="s">
        <v>7720</v>
      </c>
      <c r="C2988" s="263" t="s">
        <v>81</v>
      </c>
      <c r="D2988" s="263" t="s">
        <v>7721</v>
      </c>
      <c r="E2988" s="263" t="s">
        <v>88</v>
      </c>
      <c r="F2988">
        <v>0</v>
      </c>
      <c r="G2988">
        <v>2</v>
      </c>
      <c r="H2988" s="263" t="s">
        <v>436</v>
      </c>
      <c r="I2988" s="264"/>
      <c r="J2988" s="263" t="s">
        <v>437</v>
      </c>
    </row>
    <row r="2989" spans="1:10" x14ac:dyDescent="0.15">
      <c r="A2989" s="263" t="s">
        <v>7722</v>
      </c>
      <c r="B2989" s="263" t="s">
        <v>7723</v>
      </c>
      <c r="C2989" s="263" t="s">
        <v>81</v>
      </c>
      <c r="D2989" s="263" t="s">
        <v>7724</v>
      </c>
      <c r="E2989" s="263" t="s">
        <v>88</v>
      </c>
      <c r="F2989">
        <v>0</v>
      </c>
      <c r="G2989">
        <v>2</v>
      </c>
      <c r="H2989" s="263" t="s">
        <v>436</v>
      </c>
      <c r="I2989" s="264"/>
      <c r="J2989" s="263" t="s">
        <v>437</v>
      </c>
    </row>
    <row r="2990" spans="1:10" x14ac:dyDescent="0.15">
      <c r="A2990" s="263" t="s">
        <v>7725</v>
      </c>
      <c r="B2990" s="263" t="s">
        <v>7726</v>
      </c>
      <c r="C2990" s="263" t="s">
        <v>81</v>
      </c>
      <c r="D2990" s="263" t="s">
        <v>7727</v>
      </c>
      <c r="E2990" s="263" t="s">
        <v>88</v>
      </c>
      <c r="F2990">
        <v>0</v>
      </c>
      <c r="G2990">
        <v>2</v>
      </c>
      <c r="H2990" s="263" t="s">
        <v>436</v>
      </c>
      <c r="I2990" s="264"/>
      <c r="J2990" s="263" t="s">
        <v>437</v>
      </c>
    </row>
    <row r="2991" spans="1:10" x14ac:dyDescent="0.15">
      <c r="A2991" s="263" t="s">
        <v>7728</v>
      </c>
      <c r="B2991" s="263" t="s">
        <v>7729</v>
      </c>
      <c r="C2991" s="263" t="s">
        <v>81</v>
      </c>
      <c r="D2991" s="263" t="s">
        <v>7730</v>
      </c>
      <c r="E2991" s="263" t="s">
        <v>88</v>
      </c>
      <c r="F2991">
        <v>0</v>
      </c>
      <c r="G2991">
        <v>2</v>
      </c>
      <c r="H2991" s="263" t="s">
        <v>436</v>
      </c>
      <c r="I2991" s="264"/>
      <c r="J2991" s="263" t="s">
        <v>437</v>
      </c>
    </row>
    <row r="2992" spans="1:10" x14ac:dyDescent="0.15">
      <c r="A2992" s="263" t="s">
        <v>7731</v>
      </c>
      <c r="B2992" s="263" t="s">
        <v>7732</v>
      </c>
      <c r="C2992" s="263" t="s">
        <v>81</v>
      </c>
      <c r="D2992" s="263" t="s">
        <v>7733</v>
      </c>
      <c r="E2992" s="263" t="s">
        <v>88</v>
      </c>
      <c r="F2992">
        <v>0</v>
      </c>
      <c r="G2992">
        <v>2</v>
      </c>
      <c r="H2992" s="263" t="s">
        <v>436</v>
      </c>
      <c r="I2992" s="264"/>
      <c r="J2992" s="263" t="s">
        <v>437</v>
      </c>
    </row>
    <row r="2993" spans="1:10" x14ac:dyDescent="0.15">
      <c r="A2993" s="263" t="s">
        <v>7734</v>
      </c>
      <c r="B2993" s="263" t="s">
        <v>7735</v>
      </c>
      <c r="C2993" s="263" t="s">
        <v>81</v>
      </c>
      <c r="D2993" s="263" t="s">
        <v>7736</v>
      </c>
      <c r="E2993" s="263" t="s">
        <v>88</v>
      </c>
      <c r="F2993">
        <v>0</v>
      </c>
      <c r="G2993">
        <v>2</v>
      </c>
      <c r="H2993" s="263" t="s">
        <v>436</v>
      </c>
      <c r="I2993" s="264"/>
      <c r="J2993" s="263" t="s">
        <v>437</v>
      </c>
    </row>
    <row r="2994" spans="1:10" x14ac:dyDescent="0.15">
      <c r="A2994" s="263" t="s">
        <v>7737</v>
      </c>
      <c r="B2994" s="263" t="s">
        <v>7738</v>
      </c>
      <c r="C2994" s="263" t="s">
        <v>81</v>
      </c>
      <c r="D2994" s="263" t="s">
        <v>7739</v>
      </c>
      <c r="E2994" s="263" t="s">
        <v>88</v>
      </c>
      <c r="F2994">
        <v>0</v>
      </c>
      <c r="G2994">
        <v>2</v>
      </c>
      <c r="H2994" s="263" t="s">
        <v>436</v>
      </c>
      <c r="I2994" s="264"/>
      <c r="J2994" s="263" t="s">
        <v>437</v>
      </c>
    </row>
    <row r="2995" spans="1:10" x14ac:dyDescent="0.15">
      <c r="A2995" s="263" t="s">
        <v>7740</v>
      </c>
      <c r="B2995" s="263" t="s">
        <v>7741</v>
      </c>
      <c r="C2995" s="263" t="s">
        <v>81</v>
      </c>
      <c r="D2995" s="263" t="s">
        <v>7742</v>
      </c>
      <c r="E2995" s="263" t="s">
        <v>88</v>
      </c>
      <c r="F2995">
        <v>0</v>
      </c>
      <c r="G2995">
        <v>2</v>
      </c>
      <c r="H2995" s="263" t="s">
        <v>436</v>
      </c>
      <c r="I2995" s="264"/>
      <c r="J2995" s="263" t="s">
        <v>437</v>
      </c>
    </row>
    <row r="2996" spans="1:10" x14ac:dyDescent="0.15">
      <c r="A2996" s="263" t="s">
        <v>7743</v>
      </c>
      <c r="B2996" s="263" t="s">
        <v>7744</v>
      </c>
      <c r="C2996" s="263" t="s">
        <v>81</v>
      </c>
      <c r="D2996" s="263" t="s">
        <v>7745</v>
      </c>
      <c r="E2996" s="263" t="s">
        <v>88</v>
      </c>
      <c r="F2996">
        <v>0</v>
      </c>
      <c r="G2996">
        <v>2</v>
      </c>
      <c r="H2996" s="263" t="s">
        <v>436</v>
      </c>
      <c r="I2996" s="264"/>
      <c r="J2996" s="263" t="s">
        <v>437</v>
      </c>
    </row>
    <row r="2997" spans="1:10" x14ac:dyDescent="0.15">
      <c r="A2997" s="263" t="s">
        <v>7746</v>
      </c>
      <c r="B2997" s="263" t="s">
        <v>7747</v>
      </c>
      <c r="C2997" s="263" t="s">
        <v>81</v>
      </c>
      <c r="D2997" s="263" t="s">
        <v>7748</v>
      </c>
      <c r="E2997" s="263" t="s">
        <v>88</v>
      </c>
      <c r="F2997">
        <v>0</v>
      </c>
      <c r="G2997">
        <v>2</v>
      </c>
      <c r="H2997" s="263" t="s">
        <v>436</v>
      </c>
      <c r="I2997" s="264"/>
      <c r="J2997" s="263" t="s">
        <v>437</v>
      </c>
    </row>
    <row r="2998" spans="1:10" x14ac:dyDescent="0.15">
      <c r="A2998" s="263" t="s">
        <v>7749</v>
      </c>
      <c r="B2998" s="263" t="s">
        <v>7750</v>
      </c>
      <c r="C2998" s="263" t="s">
        <v>81</v>
      </c>
      <c r="D2998" s="263" t="s">
        <v>7751</v>
      </c>
      <c r="E2998" s="263" t="s">
        <v>88</v>
      </c>
      <c r="F2998">
        <v>0</v>
      </c>
      <c r="G2998">
        <v>2</v>
      </c>
      <c r="H2998" s="263" t="s">
        <v>436</v>
      </c>
      <c r="I2998" s="264"/>
      <c r="J2998" s="263" t="s">
        <v>437</v>
      </c>
    </row>
    <row r="2999" spans="1:10" x14ac:dyDescent="0.15">
      <c r="A2999" s="263" t="s">
        <v>7752</v>
      </c>
      <c r="B2999" s="263" t="s">
        <v>7753</v>
      </c>
      <c r="C2999" s="263" t="s">
        <v>81</v>
      </c>
      <c r="D2999" s="263" t="s">
        <v>7754</v>
      </c>
      <c r="E2999" s="263" t="s">
        <v>88</v>
      </c>
      <c r="F2999">
        <v>0</v>
      </c>
      <c r="G2999">
        <v>2</v>
      </c>
      <c r="H2999" s="263" t="s">
        <v>436</v>
      </c>
      <c r="I2999" s="264"/>
      <c r="J2999" s="263" t="s">
        <v>437</v>
      </c>
    </row>
    <row r="3000" spans="1:10" x14ac:dyDescent="0.15">
      <c r="A3000" s="263" t="s">
        <v>7755</v>
      </c>
      <c r="B3000" s="263" t="s">
        <v>7756</v>
      </c>
      <c r="C3000" s="263" t="s">
        <v>81</v>
      </c>
      <c r="D3000" s="263" t="s">
        <v>7757</v>
      </c>
      <c r="E3000" s="263" t="s">
        <v>88</v>
      </c>
      <c r="F3000">
        <v>0</v>
      </c>
      <c r="G3000">
        <v>2</v>
      </c>
      <c r="H3000" s="263" t="s">
        <v>436</v>
      </c>
      <c r="I3000" s="264"/>
      <c r="J3000" s="263" t="s">
        <v>437</v>
      </c>
    </row>
    <row r="3001" spans="1:10" x14ac:dyDescent="0.15">
      <c r="A3001" s="263" t="s">
        <v>7758</v>
      </c>
      <c r="B3001" s="263" t="s">
        <v>7759</v>
      </c>
      <c r="C3001" s="263" t="s">
        <v>81</v>
      </c>
      <c r="D3001" s="263" t="s">
        <v>7760</v>
      </c>
      <c r="E3001" s="263" t="s">
        <v>88</v>
      </c>
      <c r="F3001">
        <v>0</v>
      </c>
      <c r="G3001">
        <v>2</v>
      </c>
      <c r="H3001" s="263" t="s">
        <v>436</v>
      </c>
      <c r="I3001" s="264"/>
      <c r="J3001" s="263" t="s">
        <v>437</v>
      </c>
    </row>
    <row r="3002" spans="1:10" x14ac:dyDescent="0.15">
      <c r="A3002" s="263" t="s">
        <v>7761</v>
      </c>
      <c r="B3002" s="263" t="s">
        <v>7762</v>
      </c>
      <c r="C3002" s="263" t="s">
        <v>81</v>
      </c>
      <c r="D3002" s="263" t="s">
        <v>7763</v>
      </c>
      <c r="E3002" s="263" t="s">
        <v>88</v>
      </c>
      <c r="F3002">
        <v>0</v>
      </c>
      <c r="G3002">
        <v>2</v>
      </c>
      <c r="H3002" s="263" t="s">
        <v>436</v>
      </c>
      <c r="I3002" s="264"/>
      <c r="J3002" s="263" t="s">
        <v>437</v>
      </c>
    </row>
    <row r="3003" spans="1:10" x14ac:dyDescent="0.15">
      <c r="A3003" s="263" t="s">
        <v>7764</v>
      </c>
      <c r="B3003" s="263" t="s">
        <v>7765</v>
      </c>
      <c r="C3003" s="263" t="s">
        <v>81</v>
      </c>
      <c r="D3003" s="263" t="s">
        <v>7766</v>
      </c>
      <c r="E3003" s="263" t="s">
        <v>88</v>
      </c>
      <c r="F3003">
        <v>0</v>
      </c>
      <c r="G3003">
        <v>2</v>
      </c>
      <c r="H3003" s="263" t="s">
        <v>436</v>
      </c>
      <c r="I3003" s="264"/>
      <c r="J3003" s="263" t="s">
        <v>437</v>
      </c>
    </row>
    <row r="3004" spans="1:10" x14ac:dyDescent="0.15">
      <c r="A3004" s="263" t="s">
        <v>7767</v>
      </c>
      <c r="B3004" s="263" t="s">
        <v>7768</v>
      </c>
      <c r="C3004" s="263" t="s">
        <v>81</v>
      </c>
      <c r="D3004" s="263" t="s">
        <v>7769</v>
      </c>
      <c r="E3004" s="263" t="s">
        <v>88</v>
      </c>
      <c r="F3004">
        <v>0</v>
      </c>
      <c r="G3004">
        <v>2</v>
      </c>
      <c r="H3004" s="263" t="s">
        <v>436</v>
      </c>
      <c r="I3004" s="264"/>
      <c r="J3004" s="263" t="s">
        <v>437</v>
      </c>
    </row>
    <row r="3005" spans="1:10" x14ac:dyDescent="0.15">
      <c r="A3005" s="263" t="s">
        <v>7770</v>
      </c>
      <c r="B3005" s="263" t="s">
        <v>7771</v>
      </c>
      <c r="C3005" s="263" t="s">
        <v>81</v>
      </c>
      <c r="D3005" s="263" t="s">
        <v>7772</v>
      </c>
      <c r="E3005" s="263" t="s">
        <v>88</v>
      </c>
      <c r="F3005">
        <v>0</v>
      </c>
      <c r="G3005">
        <v>2</v>
      </c>
      <c r="H3005" s="263" t="s">
        <v>436</v>
      </c>
      <c r="I3005" s="264"/>
      <c r="J3005" s="263" t="s">
        <v>437</v>
      </c>
    </row>
    <row r="3006" spans="1:10" x14ac:dyDescent="0.15">
      <c r="A3006" s="263" t="s">
        <v>7773</v>
      </c>
      <c r="B3006" s="263" t="s">
        <v>7774</v>
      </c>
      <c r="C3006" s="263" t="s">
        <v>81</v>
      </c>
      <c r="D3006" s="263" t="s">
        <v>7775</v>
      </c>
      <c r="E3006" s="263" t="s">
        <v>88</v>
      </c>
      <c r="F3006">
        <v>0</v>
      </c>
      <c r="G3006">
        <v>2</v>
      </c>
      <c r="H3006" s="263" t="s">
        <v>436</v>
      </c>
      <c r="I3006" s="264"/>
      <c r="J3006" s="263" t="s">
        <v>437</v>
      </c>
    </row>
    <row r="3007" spans="1:10" x14ac:dyDescent="0.15">
      <c r="A3007" s="263" t="s">
        <v>7776</v>
      </c>
      <c r="B3007" s="263" t="s">
        <v>7777</v>
      </c>
      <c r="C3007" s="263" t="s">
        <v>81</v>
      </c>
      <c r="D3007" s="263" t="s">
        <v>7778</v>
      </c>
      <c r="E3007" s="263" t="s">
        <v>88</v>
      </c>
      <c r="F3007">
        <v>0</v>
      </c>
      <c r="G3007">
        <v>2</v>
      </c>
      <c r="H3007" s="263" t="s">
        <v>436</v>
      </c>
      <c r="I3007" s="264"/>
      <c r="J3007" s="263" t="s">
        <v>437</v>
      </c>
    </row>
    <row r="3008" spans="1:10" x14ac:dyDescent="0.15">
      <c r="A3008" s="263" t="s">
        <v>7779</v>
      </c>
      <c r="B3008" s="263" t="s">
        <v>7780</v>
      </c>
      <c r="C3008" s="263" t="s">
        <v>81</v>
      </c>
      <c r="D3008" s="263" t="s">
        <v>7781</v>
      </c>
      <c r="E3008" s="263" t="s">
        <v>88</v>
      </c>
      <c r="F3008">
        <v>0</v>
      </c>
      <c r="G3008">
        <v>2</v>
      </c>
      <c r="H3008" s="263" t="s">
        <v>436</v>
      </c>
      <c r="I3008" s="264"/>
      <c r="J3008" s="263" t="s">
        <v>437</v>
      </c>
    </row>
    <row r="3009" spans="1:10" x14ac:dyDescent="0.15">
      <c r="A3009" s="263" t="s">
        <v>7782</v>
      </c>
      <c r="B3009" s="263" t="s">
        <v>7783</v>
      </c>
      <c r="C3009" s="263" t="s">
        <v>81</v>
      </c>
      <c r="D3009" s="263" t="s">
        <v>7784</v>
      </c>
      <c r="E3009" s="263" t="s">
        <v>88</v>
      </c>
      <c r="F3009">
        <v>0</v>
      </c>
      <c r="G3009">
        <v>2</v>
      </c>
      <c r="H3009" s="263" t="s">
        <v>436</v>
      </c>
      <c r="I3009" s="264"/>
      <c r="J3009" s="263" t="s">
        <v>437</v>
      </c>
    </row>
    <row r="3010" spans="1:10" x14ac:dyDescent="0.15">
      <c r="A3010" s="263" t="s">
        <v>7785</v>
      </c>
      <c r="B3010" s="263" t="s">
        <v>7786</v>
      </c>
      <c r="C3010" s="263" t="s">
        <v>81</v>
      </c>
      <c r="D3010" s="263" t="s">
        <v>7787</v>
      </c>
      <c r="E3010" s="263" t="s">
        <v>88</v>
      </c>
      <c r="F3010">
        <v>0</v>
      </c>
      <c r="G3010">
        <v>2</v>
      </c>
      <c r="H3010" s="263" t="s">
        <v>436</v>
      </c>
      <c r="I3010" s="264"/>
      <c r="J3010" s="263" t="s">
        <v>437</v>
      </c>
    </row>
    <row r="3011" spans="1:10" x14ac:dyDescent="0.15">
      <c r="A3011" s="263" t="s">
        <v>7788</v>
      </c>
      <c r="B3011" s="263" t="s">
        <v>7789</v>
      </c>
      <c r="C3011" s="263" t="s">
        <v>81</v>
      </c>
      <c r="D3011" s="263" t="s">
        <v>7790</v>
      </c>
      <c r="E3011" s="263" t="s">
        <v>88</v>
      </c>
      <c r="F3011">
        <v>0</v>
      </c>
      <c r="G3011">
        <v>2</v>
      </c>
      <c r="H3011" s="263" t="s">
        <v>436</v>
      </c>
      <c r="I3011" s="264"/>
      <c r="J3011" s="263" t="s">
        <v>437</v>
      </c>
    </row>
    <row r="3012" spans="1:10" x14ac:dyDescent="0.15">
      <c r="A3012" s="263" t="s">
        <v>7791</v>
      </c>
      <c r="B3012" s="263" t="s">
        <v>7792</v>
      </c>
      <c r="C3012" s="263" t="s">
        <v>81</v>
      </c>
      <c r="D3012" s="263" t="s">
        <v>7793</v>
      </c>
      <c r="E3012" s="263" t="s">
        <v>88</v>
      </c>
      <c r="F3012">
        <v>0</v>
      </c>
      <c r="G3012">
        <v>2</v>
      </c>
      <c r="H3012" s="263" t="s">
        <v>436</v>
      </c>
      <c r="I3012" s="264"/>
      <c r="J3012" s="263" t="s">
        <v>437</v>
      </c>
    </row>
    <row r="3013" spans="1:10" x14ac:dyDescent="0.15">
      <c r="A3013" s="263" t="s">
        <v>7794</v>
      </c>
      <c r="B3013" s="263" t="s">
        <v>7795</v>
      </c>
      <c r="C3013" s="263" t="s">
        <v>81</v>
      </c>
      <c r="D3013" s="263" t="s">
        <v>7796</v>
      </c>
      <c r="E3013" s="263" t="s">
        <v>88</v>
      </c>
      <c r="F3013">
        <v>0</v>
      </c>
      <c r="G3013">
        <v>2</v>
      </c>
      <c r="H3013" s="263" t="s">
        <v>436</v>
      </c>
      <c r="I3013" s="264"/>
      <c r="J3013" s="263" t="s">
        <v>437</v>
      </c>
    </row>
    <row r="3014" spans="1:10" x14ac:dyDescent="0.15">
      <c r="A3014" s="263" t="s">
        <v>7797</v>
      </c>
      <c r="B3014" s="263" t="s">
        <v>7798</v>
      </c>
      <c r="C3014" s="263" t="s">
        <v>96</v>
      </c>
      <c r="D3014" s="263" t="s">
        <v>7799</v>
      </c>
      <c r="E3014" s="263" t="s">
        <v>97</v>
      </c>
      <c r="F3014">
        <v>0</v>
      </c>
      <c r="G3014">
        <v>2</v>
      </c>
      <c r="H3014" s="263" t="s">
        <v>436</v>
      </c>
      <c r="I3014" s="264"/>
      <c r="J3014" s="263" t="s">
        <v>437</v>
      </c>
    </row>
    <row r="3015" spans="1:10" x14ac:dyDescent="0.15">
      <c r="A3015" s="263" t="s">
        <v>7800</v>
      </c>
      <c r="B3015" s="263" t="s">
        <v>7798</v>
      </c>
      <c r="C3015" s="263" t="s">
        <v>81</v>
      </c>
      <c r="D3015" s="263" t="s">
        <v>7799</v>
      </c>
      <c r="E3015" s="263" t="s">
        <v>88</v>
      </c>
      <c r="F3015">
        <v>0</v>
      </c>
      <c r="G3015">
        <v>2</v>
      </c>
      <c r="H3015" s="263" t="s">
        <v>436</v>
      </c>
      <c r="I3015" s="264"/>
      <c r="J3015" s="263" t="s">
        <v>437</v>
      </c>
    </row>
    <row r="3016" spans="1:10" x14ac:dyDescent="0.15">
      <c r="A3016" s="263" t="s">
        <v>7801</v>
      </c>
      <c r="B3016" s="263" t="s">
        <v>7802</v>
      </c>
      <c r="C3016" s="263" t="s">
        <v>96</v>
      </c>
      <c r="D3016" s="263" t="s">
        <v>7803</v>
      </c>
      <c r="E3016" s="263" t="s">
        <v>97</v>
      </c>
      <c r="F3016">
        <v>0</v>
      </c>
      <c r="G3016">
        <v>2</v>
      </c>
      <c r="H3016" s="263" t="s">
        <v>436</v>
      </c>
      <c r="I3016" s="264"/>
      <c r="J3016" s="263" t="s">
        <v>437</v>
      </c>
    </row>
    <row r="3017" spans="1:10" x14ac:dyDescent="0.15">
      <c r="A3017" s="263" t="s">
        <v>7804</v>
      </c>
      <c r="B3017" s="263" t="s">
        <v>7802</v>
      </c>
      <c r="C3017" s="263" t="s">
        <v>90</v>
      </c>
      <c r="D3017" s="263" t="s">
        <v>7803</v>
      </c>
      <c r="E3017" s="263" t="s">
        <v>104</v>
      </c>
      <c r="F3017">
        <v>1</v>
      </c>
      <c r="G3017">
        <v>2</v>
      </c>
      <c r="H3017" s="263" t="s">
        <v>436</v>
      </c>
      <c r="I3017" s="264"/>
      <c r="J3017" s="263" t="s">
        <v>437</v>
      </c>
    </row>
    <row r="3018" spans="1:10" x14ac:dyDescent="0.15">
      <c r="A3018" s="263" t="s">
        <v>10135</v>
      </c>
      <c r="B3018" s="263" t="s">
        <v>10136</v>
      </c>
      <c r="C3018" s="263" t="s">
        <v>98</v>
      </c>
      <c r="D3018" s="263" t="s">
        <v>10137</v>
      </c>
      <c r="E3018" s="263" t="s">
        <v>110</v>
      </c>
      <c r="F3018">
        <v>0</v>
      </c>
      <c r="G3018">
        <v>2</v>
      </c>
      <c r="H3018" s="263" t="s">
        <v>436</v>
      </c>
      <c r="I3018" s="264"/>
      <c r="J3018" s="263" t="s">
        <v>437</v>
      </c>
    </row>
    <row r="3019" spans="1:10" x14ac:dyDescent="0.15">
      <c r="A3019" s="263" t="s">
        <v>7805</v>
      </c>
      <c r="B3019" s="263" t="s">
        <v>10138</v>
      </c>
      <c r="C3019" s="263" t="s">
        <v>81</v>
      </c>
      <c r="D3019" s="263" t="s">
        <v>10139</v>
      </c>
      <c r="E3019" s="263" t="s">
        <v>88</v>
      </c>
      <c r="F3019">
        <v>0</v>
      </c>
      <c r="G3019">
        <v>2</v>
      </c>
      <c r="H3019" s="263" t="s">
        <v>436</v>
      </c>
      <c r="I3019" s="264"/>
      <c r="J3019" s="263" t="s">
        <v>437</v>
      </c>
    </row>
    <row r="3020" spans="1:10" x14ac:dyDescent="0.15">
      <c r="A3020" s="263" t="s">
        <v>7806</v>
      </c>
      <c r="B3020" s="263" t="s">
        <v>7807</v>
      </c>
      <c r="C3020" s="263" t="s">
        <v>81</v>
      </c>
      <c r="D3020" s="263" t="s">
        <v>7808</v>
      </c>
      <c r="E3020" s="263" t="s">
        <v>88</v>
      </c>
      <c r="F3020">
        <v>0</v>
      </c>
      <c r="G3020">
        <v>2</v>
      </c>
      <c r="H3020" s="263" t="s">
        <v>436</v>
      </c>
      <c r="I3020" s="264"/>
      <c r="J3020" s="263" t="s">
        <v>437</v>
      </c>
    </row>
    <row r="3021" spans="1:10" x14ac:dyDescent="0.15">
      <c r="A3021" s="263" t="s">
        <v>7809</v>
      </c>
      <c r="B3021" s="263" t="s">
        <v>7810</v>
      </c>
      <c r="C3021" s="263" t="s">
        <v>81</v>
      </c>
      <c r="D3021" s="263" t="s">
        <v>7811</v>
      </c>
      <c r="E3021" s="263" t="s">
        <v>88</v>
      </c>
      <c r="F3021">
        <v>0</v>
      </c>
      <c r="G3021">
        <v>2</v>
      </c>
      <c r="H3021" s="263" t="s">
        <v>436</v>
      </c>
      <c r="I3021" s="264"/>
      <c r="J3021" s="263" t="s">
        <v>437</v>
      </c>
    </row>
    <row r="3022" spans="1:10" x14ac:dyDescent="0.15">
      <c r="A3022" s="263" t="s">
        <v>7812</v>
      </c>
      <c r="B3022" s="263" t="s">
        <v>10138</v>
      </c>
      <c r="C3022" s="263" t="s">
        <v>98</v>
      </c>
      <c r="D3022" s="263" t="s">
        <v>10139</v>
      </c>
      <c r="E3022" s="263" t="s">
        <v>110</v>
      </c>
      <c r="F3022">
        <v>0</v>
      </c>
      <c r="G3022">
        <v>2</v>
      </c>
      <c r="H3022" s="263" t="s">
        <v>436</v>
      </c>
      <c r="I3022" s="264"/>
      <c r="J3022" s="263" t="s">
        <v>437</v>
      </c>
    </row>
    <row r="3023" spans="1:10" x14ac:dyDescent="0.15">
      <c r="A3023" s="263" t="s">
        <v>10140</v>
      </c>
      <c r="B3023" s="263" t="s">
        <v>7813</v>
      </c>
      <c r="C3023" s="263" t="s">
        <v>81</v>
      </c>
      <c r="D3023" s="263" t="s">
        <v>7814</v>
      </c>
      <c r="E3023" s="263" t="s">
        <v>88</v>
      </c>
      <c r="F3023">
        <v>0</v>
      </c>
      <c r="G3023">
        <v>2</v>
      </c>
      <c r="H3023" s="263" t="s">
        <v>436</v>
      </c>
      <c r="I3023" s="264"/>
      <c r="J3023" s="263" t="s">
        <v>437</v>
      </c>
    </row>
    <row r="3024" spans="1:10" x14ac:dyDescent="0.15">
      <c r="A3024" s="263" t="s">
        <v>7815</v>
      </c>
      <c r="B3024" s="263" t="s">
        <v>7816</v>
      </c>
      <c r="C3024" s="263" t="s">
        <v>81</v>
      </c>
      <c r="D3024" s="263" t="s">
        <v>7817</v>
      </c>
      <c r="E3024" s="263" t="s">
        <v>88</v>
      </c>
      <c r="F3024">
        <v>0</v>
      </c>
      <c r="G3024">
        <v>2</v>
      </c>
      <c r="H3024" s="263" t="s">
        <v>436</v>
      </c>
      <c r="I3024" s="264"/>
      <c r="J3024" s="263" t="s">
        <v>437</v>
      </c>
    </row>
    <row r="3025" spans="1:10" x14ac:dyDescent="0.15">
      <c r="A3025" s="263" t="s">
        <v>7818</v>
      </c>
      <c r="B3025" s="263" t="s">
        <v>7819</v>
      </c>
      <c r="C3025" s="263" t="s">
        <v>81</v>
      </c>
      <c r="D3025" s="263" t="s">
        <v>7820</v>
      </c>
      <c r="E3025" s="263" t="s">
        <v>88</v>
      </c>
      <c r="F3025">
        <v>0</v>
      </c>
      <c r="G3025">
        <v>2</v>
      </c>
      <c r="H3025" s="263" t="s">
        <v>436</v>
      </c>
      <c r="I3025" s="264"/>
      <c r="J3025" s="263" t="s">
        <v>437</v>
      </c>
    </row>
    <row r="3026" spans="1:10" x14ac:dyDescent="0.15">
      <c r="A3026" s="263" t="s">
        <v>7821</v>
      </c>
      <c r="B3026" s="263" t="s">
        <v>7822</v>
      </c>
      <c r="C3026" s="263" t="s">
        <v>96</v>
      </c>
      <c r="D3026" s="263" t="s">
        <v>7823</v>
      </c>
      <c r="E3026" s="263" t="s">
        <v>97</v>
      </c>
      <c r="F3026">
        <v>0</v>
      </c>
      <c r="G3026">
        <v>2</v>
      </c>
      <c r="H3026" s="263" t="s">
        <v>436</v>
      </c>
      <c r="I3026" s="264"/>
      <c r="J3026" s="263" t="s">
        <v>437</v>
      </c>
    </row>
    <row r="3027" spans="1:10" x14ac:dyDescent="0.15">
      <c r="A3027" s="263" t="s">
        <v>7824</v>
      </c>
      <c r="B3027" s="263" t="s">
        <v>7822</v>
      </c>
      <c r="C3027" s="263" t="s">
        <v>90</v>
      </c>
      <c r="D3027" s="263" t="s">
        <v>7823</v>
      </c>
      <c r="E3027" s="263" t="s">
        <v>104</v>
      </c>
      <c r="F3027">
        <v>1</v>
      </c>
      <c r="G3027">
        <v>2</v>
      </c>
      <c r="H3027" s="263" t="s">
        <v>436</v>
      </c>
      <c r="I3027" s="264"/>
      <c r="J3027" s="263" t="s">
        <v>437</v>
      </c>
    </row>
    <row r="3028" spans="1:10" x14ac:dyDescent="0.15">
      <c r="A3028" s="263" t="s">
        <v>10141</v>
      </c>
      <c r="B3028" s="263" t="s">
        <v>10142</v>
      </c>
      <c r="C3028" s="263" t="s">
        <v>10143</v>
      </c>
      <c r="D3028" s="263" t="s">
        <v>10144</v>
      </c>
      <c r="E3028" s="263" t="s">
        <v>110</v>
      </c>
      <c r="F3028">
        <v>0</v>
      </c>
      <c r="G3028">
        <v>2</v>
      </c>
      <c r="H3028" s="263" t="s">
        <v>436</v>
      </c>
      <c r="I3028" s="264"/>
      <c r="J3028" s="263" t="s">
        <v>437</v>
      </c>
    </row>
    <row r="3029" spans="1:10" x14ac:dyDescent="0.15">
      <c r="A3029" s="263" t="s">
        <v>7825</v>
      </c>
      <c r="B3029" s="263" t="s">
        <v>7826</v>
      </c>
      <c r="C3029" s="263" t="s">
        <v>81</v>
      </c>
      <c r="D3029" s="263" t="s">
        <v>7827</v>
      </c>
      <c r="E3029" s="263" t="s">
        <v>88</v>
      </c>
      <c r="F3029">
        <v>0</v>
      </c>
      <c r="G3029">
        <v>2</v>
      </c>
      <c r="H3029" s="263" t="s">
        <v>436</v>
      </c>
      <c r="I3029" s="264"/>
      <c r="J3029" s="263" t="s">
        <v>437</v>
      </c>
    </row>
    <row r="3030" spans="1:10" x14ac:dyDescent="0.15">
      <c r="A3030" s="263" t="s">
        <v>10145</v>
      </c>
      <c r="B3030" s="263" t="s">
        <v>10146</v>
      </c>
      <c r="C3030" s="263" t="s">
        <v>81</v>
      </c>
      <c r="D3030" s="263" t="s">
        <v>10147</v>
      </c>
      <c r="E3030" s="263" t="s">
        <v>88</v>
      </c>
      <c r="F3030">
        <v>0</v>
      </c>
      <c r="G3030">
        <v>2</v>
      </c>
      <c r="H3030" s="263" t="s">
        <v>436</v>
      </c>
      <c r="I3030" s="264"/>
      <c r="J3030" s="263" t="s">
        <v>437</v>
      </c>
    </row>
    <row r="3031" spans="1:10" x14ac:dyDescent="0.15">
      <c r="A3031" s="263" t="s">
        <v>9138</v>
      </c>
      <c r="B3031" s="263" t="s">
        <v>9139</v>
      </c>
      <c r="C3031" s="263" t="s">
        <v>96</v>
      </c>
      <c r="D3031" s="263" t="s">
        <v>9140</v>
      </c>
      <c r="E3031" s="263" t="s">
        <v>97</v>
      </c>
      <c r="F3031">
        <v>0</v>
      </c>
      <c r="G3031">
        <v>2</v>
      </c>
      <c r="H3031" s="263" t="s">
        <v>436</v>
      </c>
      <c r="I3031" s="264">
        <v>45532</v>
      </c>
      <c r="J3031" s="263" t="s">
        <v>437</v>
      </c>
    </row>
    <row r="3032" spans="1:10" x14ac:dyDescent="0.15">
      <c r="A3032" s="263" t="s">
        <v>7828</v>
      </c>
      <c r="B3032" s="263" t="s">
        <v>7829</v>
      </c>
      <c r="C3032" s="263" t="s">
        <v>96</v>
      </c>
      <c r="D3032" s="263" t="s">
        <v>7830</v>
      </c>
      <c r="E3032" s="263" t="s">
        <v>97</v>
      </c>
      <c r="F3032">
        <v>0</v>
      </c>
      <c r="G3032">
        <v>2</v>
      </c>
      <c r="H3032" s="263" t="s">
        <v>436</v>
      </c>
      <c r="I3032" s="264"/>
      <c r="J3032" s="263" t="s">
        <v>437</v>
      </c>
    </row>
    <row r="3033" spans="1:10" x14ac:dyDescent="0.15">
      <c r="A3033" s="263" t="s">
        <v>7831</v>
      </c>
      <c r="B3033" s="263" t="s">
        <v>7832</v>
      </c>
      <c r="C3033" s="263" t="s">
        <v>96</v>
      </c>
      <c r="D3033" s="263" t="s">
        <v>7833</v>
      </c>
      <c r="E3033" s="263" t="s">
        <v>97</v>
      </c>
      <c r="F3033">
        <v>0</v>
      </c>
      <c r="G3033">
        <v>2</v>
      </c>
      <c r="H3033" s="263" t="s">
        <v>436</v>
      </c>
      <c r="I3033" s="264"/>
      <c r="J3033" s="263" t="s">
        <v>437</v>
      </c>
    </row>
    <row r="3034" spans="1:10" x14ac:dyDescent="0.15">
      <c r="A3034" s="263" t="s">
        <v>7834</v>
      </c>
      <c r="B3034" s="263" t="s">
        <v>7835</v>
      </c>
      <c r="C3034" s="263" t="s">
        <v>96</v>
      </c>
      <c r="D3034" s="263" t="s">
        <v>7836</v>
      </c>
      <c r="E3034" s="263" t="s">
        <v>97</v>
      </c>
      <c r="F3034">
        <v>0</v>
      </c>
      <c r="G3034">
        <v>2</v>
      </c>
      <c r="H3034" s="263" t="s">
        <v>436</v>
      </c>
      <c r="I3034" s="264"/>
      <c r="J3034" s="263" t="s">
        <v>437</v>
      </c>
    </row>
    <row r="3035" spans="1:10" x14ac:dyDescent="0.15">
      <c r="A3035" s="263" t="s">
        <v>7837</v>
      </c>
      <c r="B3035" s="263" t="s">
        <v>7838</v>
      </c>
      <c r="C3035" s="263" t="s">
        <v>96</v>
      </c>
      <c r="D3035" s="263" t="s">
        <v>7839</v>
      </c>
      <c r="E3035" s="263" t="s">
        <v>97</v>
      </c>
      <c r="F3035">
        <v>0</v>
      </c>
      <c r="G3035">
        <v>2</v>
      </c>
      <c r="H3035" s="263" t="s">
        <v>436</v>
      </c>
      <c r="I3035" s="264"/>
      <c r="J3035" s="263" t="s">
        <v>437</v>
      </c>
    </row>
    <row r="3036" spans="1:10" x14ac:dyDescent="0.15">
      <c r="A3036" s="263" t="s">
        <v>7840</v>
      </c>
      <c r="B3036" s="263" t="s">
        <v>7841</v>
      </c>
      <c r="C3036" s="263" t="s">
        <v>96</v>
      </c>
      <c r="D3036" s="263" t="s">
        <v>7842</v>
      </c>
      <c r="E3036" s="263" t="s">
        <v>97</v>
      </c>
      <c r="F3036">
        <v>0</v>
      </c>
      <c r="G3036">
        <v>2</v>
      </c>
      <c r="H3036" s="263" t="s">
        <v>436</v>
      </c>
      <c r="I3036" s="264"/>
      <c r="J3036" s="263" t="s">
        <v>437</v>
      </c>
    </row>
    <row r="3037" spans="1:10" x14ac:dyDescent="0.15">
      <c r="A3037" s="263" t="s">
        <v>7843</v>
      </c>
      <c r="B3037" s="263" t="s">
        <v>7844</v>
      </c>
      <c r="C3037" s="263" t="s">
        <v>96</v>
      </c>
      <c r="D3037" s="263" t="s">
        <v>7845</v>
      </c>
      <c r="E3037" s="263" t="s">
        <v>97</v>
      </c>
      <c r="F3037">
        <v>0</v>
      </c>
      <c r="G3037">
        <v>2</v>
      </c>
      <c r="H3037" s="263" t="s">
        <v>436</v>
      </c>
      <c r="I3037" s="264"/>
      <c r="J3037" s="263" t="s">
        <v>437</v>
      </c>
    </row>
    <row r="3038" spans="1:10" x14ac:dyDescent="0.15">
      <c r="A3038" s="263" t="s">
        <v>7846</v>
      </c>
      <c r="B3038" s="263" t="s">
        <v>7847</v>
      </c>
      <c r="C3038" s="263" t="s">
        <v>96</v>
      </c>
      <c r="D3038" s="263" t="s">
        <v>7848</v>
      </c>
      <c r="E3038" s="263" t="s">
        <v>97</v>
      </c>
      <c r="F3038">
        <v>0</v>
      </c>
      <c r="G3038">
        <v>2</v>
      </c>
      <c r="H3038" s="263" t="s">
        <v>436</v>
      </c>
      <c r="I3038" s="264"/>
      <c r="J3038" s="263" t="s">
        <v>437</v>
      </c>
    </row>
    <row r="3039" spans="1:10" x14ac:dyDescent="0.15">
      <c r="A3039" s="263" t="s">
        <v>7849</v>
      </c>
      <c r="B3039" s="263" t="s">
        <v>7850</v>
      </c>
      <c r="C3039" s="263" t="s">
        <v>96</v>
      </c>
      <c r="D3039" s="263" t="s">
        <v>7851</v>
      </c>
      <c r="E3039" s="263" t="s">
        <v>97</v>
      </c>
      <c r="F3039">
        <v>0</v>
      </c>
      <c r="G3039">
        <v>2</v>
      </c>
      <c r="H3039" s="263" t="s">
        <v>436</v>
      </c>
      <c r="I3039" s="264"/>
      <c r="J3039" s="263" t="s">
        <v>437</v>
      </c>
    </row>
    <row r="3040" spans="1:10" x14ac:dyDescent="0.15">
      <c r="A3040" s="263" t="s">
        <v>7852</v>
      </c>
      <c r="B3040" s="263" t="s">
        <v>7853</v>
      </c>
      <c r="C3040" s="263" t="s">
        <v>96</v>
      </c>
      <c r="D3040" s="263" t="s">
        <v>7854</v>
      </c>
      <c r="E3040" s="263" t="s">
        <v>97</v>
      </c>
      <c r="F3040">
        <v>0</v>
      </c>
      <c r="G3040">
        <v>2</v>
      </c>
      <c r="H3040" s="263" t="s">
        <v>436</v>
      </c>
      <c r="I3040" s="264"/>
      <c r="J3040" s="263" t="s">
        <v>437</v>
      </c>
    </row>
    <row r="3041" spans="1:10" x14ac:dyDescent="0.15">
      <c r="A3041" s="263" t="s">
        <v>7855</v>
      </c>
      <c r="B3041" s="263" t="s">
        <v>7856</v>
      </c>
      <c r="C3041" s="263" t="s">
        <v>96</v>
      </c>
      <c r="D3041" s="263" t="s">
        <v>7857</v>
      </c>
      <c r="E3041" s="263" t="s">
        <v>97</v>
      </c>
      <c r="F3041">
        <v>0</v>
      </c>
      <c r="G3041">
        <v>2</v>
      </c>
      <c r="H3041" s="263" t="s">
        <v>436</v>
      </c>
      <c r="I3041" s="264"/>
      <c r="J3041" s="263" t="s">
        <v>437</v>
      </c>
    </row>
    <row r="3042" spans="1:10" x14ac:dyDescent="0.15">
      <c r="A3042" s="263" t="s">
        <v>7858</v>
      </c>
      <c r="B3042" s="263" t="s">
        <v>7859</v>
      </c>
      <c r="C3042" s="263" t="s">
        <v>96</v>
      </c>
      <c r="D3042" s="263" t="s">
        <v>7860</v>
      </c>
      <c r="E3042" s="263" t="s">
        <v>97</v>
      </c>
      <c r="F3042">
        <v>0</v>
      </c>
      <c r="G3042">
        <v>2</v>
      </c>
      <c r="H3042" s="263" t="s">
        <v>436</v>
      </c>
      <c r="I3042" s="264"/>
      <c r="J3042" s="263" t="s">
        <v>437</v>
      </c>
    </row>
    <row r="3043" spans="1:10" x14ac:dyDescent="0.15">
      <c r="A3043" s="263" t="s">
        <v>7861</v>
      </c>
      <c r="B3043" s="263" t="s">
        <v>7862</v>
      </c>
      <c r="C3043" s="263" t="s">
        <v>96</v>
      </c>
      <c r="D3043" s="263" t="s">
        <v>7863</v>
      </c>
      <c r="E3043" s="263" t="s">
        <v>97</v>
      </c>
      <c r="F3043">
        <v>0</v>
      </c>
      <c r="G3043">
        <v>2</v>
      </c>
      <c r="H3043" s="263" t="s">
        <v>436</v>
      </c>
      <c r="I3043" s="264"/>
      <c r="J3043" s="263" t="s">
        <v>437</v>
      </c>
    </row>
    <row r="3044" spans="1:10" x14ac:dyDescent="0.15">
      <c r="A3044" s="263" t="s">
        <v>7864</v>
      </c>
      <c r="B3044" s="263" t="s">
        <v>7865</v>
      </c>
      <c r="C3044" s="263" t="s">
        <v>96</v>
      </c>
      <c r="D3044" s="263" t="s">
        <v>7866</v>
      </c>
      <c r="E3044" s="263" t="s">
        <v>97</v>
      </c>
      <c r="F3044">
        <v>0</v>
      </c>
      <c r="G3044">
        <v>2</v>
      </c>
      <c r="H3044" s="263" t="s">
        <v>436</v>
      </c>
      <c r="I3044" s="264"/>
      <c r="J3044" s="263" t="s">
        <v>437</v>
      </c>
    </row>
    <row r="3045" spans="1:10" x14ac:dyDescent="0.15">
      <c r="A3045" s="263" t="s">
        <v>9141</v>
      </c>
      <c r="B3045" s="263" t="s">
        <v>9142</v>
      </c>
      <c r="C3045" s="263" t="s">
        <v>96</v>
      </c>
      <c r="D3045" s="263" t="s">
        <v>9143</v>
      </c>
      <c r="E3045" s="263" t="s">
        <v>97</v>
      </c>
      <c r="F3045">
        <v>0</v>
      </c>
      <c r="G3045">
        <v>2</v>
      </c>
      <c r="H3045" s="263" t="s">
        <v>436</v>
      </c>
      <c r="I3045" s="264"/>
      <c r="J3045" s="263" t="s">
        <v>437</v>
      </c>
    </row>
    <row r="3046" spans="1:10" x14ac:dyDescent="0.15">
      <c r="A3046" s="263" t="s">
        <v>7867</v>
      </c>
      <c r="B3046" s="263" t="s">
        <v>7868</v>
      </c>
      <c r="C3046" s="263" t="s">
        <v>96</v>
      </c>
      <c r="D3046" s="263" t="s">
        <v>7869</v>
      </c>
      <c r="E3046" s="263" t="s">
        <v>97</v>
      </c>
      <c r="F3046">
        <v>0</v>
      </c>
      <c r="G3046">
        <v>2</v>
      </c>
      <c r="H3046" s="263" t="s">
        <v>436</v>
      </c>
      <c r="I3046" s="264"/>
      <c r="J3046" s="263" t="s">
        <v>437</v>
      </c>
    </row>
    <row r="3047" spans="1:10" x14ac:dyDescent="0.15">
      <c r="A3047" s="263" t="s">
        <v>7870</v>
      </c>
      <c r="B3047" s="263" t="s">
        <v>7871</v>
      </c>
      <c r="C3047" s="263" t="s">
        <v>96</v>
      </c>
      <c r="D3047" s="263" t="s">
        <v>7872</v>
      </c>
      <c r="E3047" s="263" t="s">
        <v>97</v>
      </c>
      <c r="F3047">
        <v>0</v>
      </c>
      <c r="G3047">
        <v>2</v>
      </c>
      <c r="H3047" s="263" t="s">
        <v>436</v>
      </c>
      <c r="I3047" s="264"/>
      <c r="J3047" s="263" t="s">
        <v>437</v>
      </c>
    </row>
    <row r="3048" spans="1:10" x14ac:dyDescent="0.15">
      <c r="A3048" s="263" t="s">
        <v>7873</v>
      </c>
      <c r="B3048" s="263" t="s">
        <v>7874</v>
      </c>
      <c r="C3048" s="263" t="s">
        <v>96</v>
      </c>
      <c r="D3048" s="263" t="s">
        <v>7875</v>
      </c>
      <c r="E3048" s="263" t="s">
        <v>97</v>
      </c>
      <c r="F3048">
        <v>0</v>
      </c>
      <c r="G3048">
        <v>2</v>
      </c>
      <c r="H3048" s="263" t="s">
        <v>436</v>
      </c>
      <c r="I3048" s="264"/>
      <c r="J3048" s="263" t="s">
        <v>437</v>
      </c>
    </row>
    <row r="3049" spans="1:10" x14ac:dyDescent="0.15">
      <c r="A3049" s="263" t="s">
        <v>7876</v>
      </c>
      <c r="B3049" s="263" t="s">
        <v>7877</v>
      </c>
      <c r="C3049" s="263" t="s">
        <v>96</v>
      </c>
      <c r="D3049" s="263" t="s">
        <v>7878</v>
      </c>
      <c r="E3049" s="263" t="s">
        <v>97</v>
      </c>
      <c r="F3049">
        <v>0</v>
      </c>
      <c r="G3049">
        <v>2</v>
      </c>
      <c r="H3049" s="263" t="s">
        <v>436</v>
      </c>
      <c r="I3049" s="264"/>
      <c r="J3049" s="263" t="s">
        <v>437</v>
      </c>
    </row>
    <row r="3050" spans="1:10" x14ac:dyDescent="0.15">
      <c r="A3050" s="263" t="s">
        <v>7879</v>
      </c>
      <c r="B3050" s="263" t="s">
        <v>7880</v>
      </c>
      <c r="C3050" s="263" t="s">
        <v>96</v>
      </c>
      <c r="D3050" s="263" t="s">
        <v>7881</v>
      </c>
      <c r="E3050" s="263" t="s">
        <v>97</v>
      </c>
      <c r="F3050">
        <v>0</v>
      </c>
      <c r="G3050">
        <v>2</v>
      </c>
      <c r="H3050" s="263" t="s">
        <v>436</v>
      </c>
      <c r="I3050" s="264"/>
      <c r="J3050" s="263" t="s">
        <v>437</v>
      </c>
    </row>
    <row r="3051" spans="1:10" x14ac:dyDescent="0.15">
      <c r="A3051" s="263" t="s">
        <v>7882</v>
      </c>
      <c r="B3051" s="263" t="s">
        <v>7829</v>
      </c>
      <c r="C3051" s="263" t="s">
        <v>90</v>
      </c>
      <c r="D3051" s="263" t="s">
        <v>7830</v>
      </c>
      <c r="E3051" s="263" t="s">
        <v>104</v>
      </c>
      <c r="F3051">
        <v>1</v>
      </c>
      <c r="G3051">
        <v>2</v>
      </c>
      <c r="H3051" s="263" t="s">
        <v>436</v>
      </c>
      <c r="I3051" s="264"/>
      <c r="J3051" s="263" t="s">
        <v>437</v>
      </c>
    </row>
    <row r="3052" spans="1:10" x14ac:dyDescent="0.15">
      <c r="A3052" s="263" t="s">
        <v>7883</v>
      </c>
      <c r="B3052" s="263" t="s">
        <v>7832</v>
      </c>
      <c r="C3052" s="263" t="s">
        <v>90</v>
      </c>
      <c r="D3052" s="263" t="s">
        <v>7833</v>
      </c>
      <c r="E3052" s="263" t="s">
        <v>104</v>
      </c>
      <c r="F3052">
        <v>1</v>
      </c>
      <c r="G3052">
        <v>2</v>
      </c>
      <c r="H3052" s="263" t="s">
        <v>436</v>
      </c>
      <c r="I3052" s="264"/>
      <c r="J3052" s="263" t="s">
        <v>437</v>
      </c>
    </row>
    <row r="3053" spans="1:10" x14ac:dyDescent="0.15">
      <c r="A3053" s="263" t="s">
        <v>7884</v>
      </c>
      <c r="B3053" s="263" t="s">
        <v>7835</v>
      </c>
      <c r="C3053" s="263" t="s">
        <v>90</v>
      </c>
      <c r="D3053" s="263" t="s">
        <v>7836</v>
      </c>
      <c r="E3053" s="263" t="s">
        <v>104</v>
      </c>
      <c r="F3053">
        <v>1</v>
      </c>
      <c r="G3053">
        <v>2</v>
      </c>
      <c r="H3053" s="263" t="s">
        <v>436</v>
      </c>
      <c r="I3053" s="264"/>
      <c r="J3053" s="263" t="s">
        <v>437</v>
      </c>
    </row>
    <row r="3054" spans="1:10" x14ac:dyDescent="0.15">
      <c r="A3054" s="263" t="s">
        <v>7885</v>
      </c>
      <c r="B3054" s="263" t="s">
        <v>7838</v>
      </c>
      <c r="C3054" s="263" t="s">
        <v>90</v>
      </c>
      <c r="D3054" s="263" t="s">
        <v>7839</v>
      </c>
      <c r="E3054" s="263" t="s">
        <v>104</v>
      </c>
      <c r="F3054">
        <v>1</v>
      </c>
      <c r="G3054">
        <v>2</v>
      </c>
      <c r="H3054" s="263" t="s">
        <v>436</v>
      </c>
      <c r="I3054" s="264"/>
      <c r="J3054" s="263" t="s">
        <v>437</v>
      </c>
    </row>
    <row r="3055" spans="1:10" x14ac:dyDescent="0.15">
      <c r="A3055" s="263" t="s">
        <v>7886</v>
      </c>
      <c r="B3055" s="263" t="s">
        <v>7841</v>
      </c>
      <c r="C3055" s="263" t="s">
        <v>90</v>
      </c>
      <c r="D3055" s="263" t="s">
        <v>7842</v>
      </c>
      <c r="E3055" s="263" t="s">
        <v>104</v>
      </c>
      <c r="F3055">
        <v>1</v>
      </c>
      <c r="G3055">
        <v>2</v>
      </c>
      <c r="H3055" s="263" t="s">
        <v>436</v>
      </c>
      <c r="I3055" s="264"/>
      <c r="J3055" s="263" t="s">
        <v>437</v>
      </c>
    </row>
    <row r="3056" spans="1:10" x14ac:dyDescent="0.15">
      <c r="A3056" s="263" t="s">
        <v>7887</v>
      </c>
      <c r="B3056" s="263" t="s">
        <v>7847</v>
      </c>
      <c r="C3056" s="263" t="s">
        <v>90</v>
      </c>
      <c r="D3056" s="263" t="s">
        <v>7848</v>
      </c>
      <c r="E3056" s="263" t="s">
        <v>104</v>
      </c>
      <c r="F3056">
        <v>1</v>
      </c>
      <c r="G3056">
        <v>2</v>
      </c>
      <c r="H3056" s="263" t="s">
        <v>436</v>
      </c>
      <c r="I3056" s="264"/>
      <c r="J3056" s="263" t="s">
        <v>437</v>
      </c>
    </row>
    <row r="3057" spans="1:10" x14ac:dyDescent="0.15">
      <c r="A3057" s="263" t="s">
        <v>7888</v>
      </c>
      <c r="B3057" s="263" t="s">
        <v>7850</v>
      </c>
      <c r="C3057" s="263" t="s">
        <v>90</v>
      </c>
      <c r="D3057" s="263" t="s">
        <v>7851</v>
      </c>
      <c r="E3057" s="263" t="s">
        <v>104</v>
      </c>
      <c r="F3057">
        <v>1</v>
      </c>
      <c r="G3057">
        <v>2</v>
      </c>
      <c r="H3057" s="263" t="s">
        <v>436</v>
      </c>
      <c r="I3057" s="264"/>
      <c r="J3057" s="263" t="s">
        <v>437</v>
      </c>
    </row>
    <row r="3058" spans="1:10" x14ac:dyDescent="0.15">
      <c r="A3058" s="263" t="s">
        <v>7889</v>
      </c>
      <c r="B3058" s="263" t="s">
        <v>7853</v>
      </c>
      <c r="C3058" s="263" t="s">
        <v>90</v>
      </c>
      <c r="D3058" s="263" t="s">
        <v>7854</v>
      </c>
      <c r="E3058" s="263" t="s">
        <v>104</v>
      </c>
      <c r="F3058">
        <v>1</v>
      </c>
      <c r="G3058">
        <v>2</v>
      </c>
      <c r="H3058" s="263" t="s">
        <v>436</v>
      </c>
      <c r="I3058" s="264"/>
      <c r="J3058" s="263" t="s">
        <v>437</v>
      </c>
    </row>
    <row r="3059" spans="1:10" x14ac:dyDescent="0.15">
      <c r="A3059" s="263" t="s">
        <v>7890</v>
      </c>
      <c r="B3059" s="263" t="s">
        <v>7856</v>
      </c>
      <c r="C3059" s="263" t="s">
        <v>90</v>
      </c>
      <c r="D3059" s="263" t="s">
        <v>7857</v>
      </c>
      <c r="E3059" s="263" t="s">
        <v>104</v>
      </c>
      <c r="F3059">
        <v>1</v>
      </c>
      <c r="G3059">
        <v>2</v>
      </c>
      <c r="H3059" s="263" t="s">
        <v>436</v>
      </c>
      <c r="I3059" s="264"/>
      <c r="J3059" s="263" t="s">
        <v>437</v>
      </c>
    </row>
    <row r="3060" spans="1:10" x14ac:dyDescent="0.15">
      <c r="A3060" s="263" t="s">
        <v>7891</v>
      </c>
      <c r="B3060" s="263" t="s">
        <v>7862</v>
      </c>
      <c r="C3060" s="263" t="s">
        <v>90</v>
      </c>
      <c r="D3060" s="263" t="s">
        <v>7863</v>
      </c>
      <c r="E3060" s="263" t="s">
        <v>104</v>
      </c>
      <c r="F3060">
        <v>1</v>
      </c>
      <c r="G3060">
        <v>2</v>
      </c>
      <c r="H3060" s="263" t="s">
        <v>436</v>
      </c>
      <c r="I3060" s="264"/>
      <c r="J3060" s="263" t="s">
        <v>437</v>
      </c>
    </row>
    <row r="3061" spans="1:10" x14ac:dyDescent="0.15">
      <c r="A3061" s="263" t="s">
        <v>7892</v>
      </c>
      <c r="B3061" s="263" t="s">
        <v>7865</v>
      </c>
      <c r="C3061" s="263" t="s">
        <v>90</v>
      </c>
      <c r="D3061" s="263" t="s">
        <v>7866</v>
      </c>
      <c r="E3061" s="263" t="s">
        <v>104</v>
      </c>
      <c r="F3061">
        <v>1</v>
      </c>
      <c r="G3061">
        <v>2</v>
      </c>
      <c r="H3061" s="263" t="s">
        <v>436</v>
      </c>
      <c r="I3061" s="264"/>
      <c r="J3061" s="263" t="s">
        <v>437</v>
      </c>
    </row>
    <row r="3062" spans="1:10" x14ac:dyDescent="0.15">
      <c r="A3062" s="263" t="s">
        <v>7893</v>
      </c>
      <c r="B3062" s="263" t="s">
        <v>7868</v>
      </c>
      <c r="C3062" s="263" t="s">
        <v>90</v>
      </c>
      <c r="D3062" s="263" t="s">
        <v>7869</v>
      </c>
      <c r="E3062" s="263" t="s">
        <v>104</v>
      </c>
      <c r="F3062">
        <v>1</v>
      </c>
      <c r="G3062">
        <v>2</v>
      </c>
      <c r="H3062" s="263" t="s">
        <v>436</v>
      </c>
      <c r="I3062" s="264"/>
      <c r="J3062" s="263" t="s">
        <v>437</v>
      </c>
    </row>
    <row r="3063" spans="1:10" x14ac:dyDescent="0.15">
      <c r="A3063" s="263" t="s">
        <v>7894</v>
      </c>
      <c r="B3063" s="263" t="s">
        <v>7871</v>
      </c>
      <c r="C3063" s="263" t="s">
        <v>90</v>
      </c>
      <c r="D3063" s="263" t="s">
        <v>7872</v>
      </c>
      <c r="E3063" s="263" t="s">
        <v>104</v>
      </c>
      <c r="F3063">
        <v>1</v>
      </c>
      <c r="G3063">
        <v>2</v>
      </c>
      <c r="H3063" s="263" t="s">
        <v>436</v>
      </c>
      <c r="I3063" s="264"/>
      <c r="J3063" s="263" t="s">
        <v>437</v>
      </c>
    </row>
    <row r="3064" spans="1:10" x14ac:dyDescent="0.15">
      <c r="A3064" s="263" t="s">
        <v>7895</v>
      </c>
      <c r="B3064" s="263" t="s">
        <v>7874</v>
      </c>
      <c r="C3064" s="263" t="s">
        <v>90</v>
      </c>
      <c r="D3064" s="263" t="s">
        <v>7875</v>
      </c>
      <c r="E3064" s="263" t="s">
        <v>104</v>
      </c>
      <c r="F3064">
        <v>1</v>
      </c>
      <c r="G3064">
        <v>2</v>
      </c>
      <c r="H3064" s="263" t="s">
        <v>436</v>
      </c>
      <c r="I3064" s="264"/>
      <c r="J3064" s="263" t="s">
        <v>437</v>
      </c>
    </row>
    <row r="3065" spans="1:10" x14ac:dyDescent="0.15">
      <c r="A3065" s="263" t="s">
        <v>7896</v>
      </c>
      <c r="B3065" s="263" t="s">
        <v>7877</v>
      </c>
      <c r="C3065" s="263" t="s">
        <v>90</v>
      </c>
      <c r="D3065" s="263" t="s">
        <v>7878</v>
      </c>
      <c r="E3065" s="263" t="s">
        <v>104</v>
      </c>
      <c r="F3065">
        <v>1</v>
      </c>
      <c r="G3065">
        <v>2</v>
      </c>
      <c r="H3065" s="263" t="s">
        <v>436</v>
      </c>
      <c r="I3065" s="264"/>
      <c r="J3065" s="263" t="s">
        <v>437</v>
      </c>
    </row>
    <row r="3066" spans="1:10" x14ac:dyDescent="0.15">
      <c r="A3066" s="263" t="s">
        <v>7897</v>
      </c>
      <c r="B3066" s="263" t="s">
        <v>7898</v>
      </c>
      <c r="C3066" s="263" t="s">
        <v>98</v>
      </c>
      <c r="D3066" s="263" t="s">
        <v>7899</v>
      </c>
      <c r="E3066" s="263" t="s">
        <v>109</v>
      </c>
      <c r="F3066">
        <v>0</v>
      </c>
      <c r="G3066">
        <v>2</v>
      </c>
      <c r="H3066" s="263" t="s">
        <v>436</v>
      </c>
      <c r="I3066" s="264"/>
      <c r="J3066" s="263" t="s">
        <v>437</v>
      </c>
    </row>
    <row r="3067" spans="1:10" x14ac:dyDescent="0.15">
      <c r="A3067" s="263" t="s">
        <v>7900</v>
      </c>
      <c r="B3067" s="263" t="s">
        <v>7901</v>
      </c>
      <c r="C3067" s="263" t="s">
        <v>98</v>
      </c>
      <c r="D3067" s="263" t="s">
        <v>7902</v>
      </c>
      <c r="E3067" s="263" t="s">
        <v>109</v>
      </c>
      <c r="F3067">
        <v>0</v>
      </c>
      <c r="G3067">
        <v>2</v>
      </c>
      <c r="H3067" s="263" t="s">
        <v>436</v>
      </c>
      <c r="I3067" s="264"/>
      <c r="J3067" s="263" t="s">
        <v>437</v>
      </c>
    </row>
    <row r="3068" spans="1:10" x14ac:dyDescent="0.15">
      <c r="A3068" s="263" t="s">
        <v>7903</v>
      </c>
      <c r="B3068" s="263" t="s">
        <v>7904</v>
      </c>
      <c r="C3068" s="263" t="s">
        <v>98</v>
      </c>
      <c r="D3068" s="263" t="s">
        <v>7905</v>
      </c>
      <c r="E3068" s="263" t="s">
        <v>109</v>
      </c>
      <c r="F3068">
        <v>0</v>
      </c>
      <c r="G3068">
        <v>2</v>
      </c>
      <c r="H3068" s="263" t="s">
        <v>436</v>
      </c>
      <c r="I3068" s="264"/>
      <c r="J3068" s="263" t="s">
        <v>437</v>
      </c>
    </row>
    <row r="3069" spans="1:10" x14ac:dyDescent="0.15">
      <c r="A3069" s="263" t="s">
        <v>7906</v>
      </c>
      <c r="B3069" s="263" t="s">
        <v>7907</v>
      </c>
      <c r="C3069" s="263" t="s">
        <v>98</v>
      </c>
      <c r="D3069" s="263" t="s">
        <v>7908</v>
      </c>
      <c r="E3069" s="263" t="s">
        <v>109</v>
      </c>
      <c r="F3069">
        <v>0</v>
      </c>
      <c r="G3069">
        <v>2</v>
      </c>
      <c r="H3069" s="263" t="s">
        <v>436</v>
      </c>
      <c r="I3069" s="264"/>
      <c r="J3069" s="263" t="s">
        <v>437</v>
      </c>
    </row>
    <row r="3070" spans="1:10" x14ac:dyDescent="0.15">
      <c r="A3070" s="263" t="s">
        <v>7909</v>
      </c>
      <c r="B3070" s="263" t="s">
        <v>7910</v>
      </c>
      <c r="C3070" s="263" t="s">
        <v>98</v>
      </c>
      <c r="D3070" s="263" t="s">
        <v>7911</v>
      </c>
      <c r="E3070" s="263" t="s">
        <v>109</v>
      </c>
      <c r="F3070">
        <v>0</v>
      </c>
      <c r="G3070">
        <v>2</v>
      </c>
      <c r="H3070" s="263" t="s">
        <v>436</v>
      </c>
      <c r="I3070" s="264"/>
      <c r="J3070" s="263" t="s">
        <v>437</v>
      </c>
    </row>
    <row r="3071" spans="1:10" x14ac:dyDescent="0.15">
      <c r="A3071" s="263" t="s">
        <v>7912</v>
      </c>
      <c r="B3071" s="263" t="s">
        <v>7913</v>
      </c>
      <c r="C3071" s="263" t="s">
        <v>98</v>
      </c>
      <c r="D3071" s="263" t="s">
        <v>7914</v>
      </c>
      <c r="E3071" s="263" t="s">
        <v>109</v>
      </c>
      <c r="F3071">
        <v>0</v>
      </c>
      <c r="G3071">
        <v>2</v>
      </c>
      <c r="H3071" s="263" t="s">
        <v>436</v>
      </c>
      <c r="I3071" s="264"/>
      <c r="J3071" s="263" t="s">
        <v>437</v>
      </c>
    </row>
    <row r="3072" spans="1:10" x14ac:dyDescent="0.15">
      <c r="A3072" s="263" t="s">
        <v>7915</v>
      </c>
      <c r="B3072" s="263" t="s">
        <v>7916</v>
      </c>
      <c r="C3072" s="263" t="s">
        <v>98</v>
      </c>
      <c r="D3072" s="263" t="s">
        <v>7917</v>
      </c>
      <c r="E3072" s="263" t="s">
        <v>109</v>
      </c>
      <c r="F3072">
        <v>0</v>
      </c>
      <c r="G3072">
        <v>2</v>
      </c>
      <c r="H3072" s="263" t="s">
        <v>436</v>
      </c>
      <c r="I3072" s="264"/>
      <c r="J3072" s="263" t="s">
        <v>437</v>
      </c>
    </row>
    <row r="3073" spans="1:10" x14ac:dyDescent="0.15">
      <c r="A3073" s="263" t="s">
        <v>7918</v>
      </c>
      <c r="B3073" s="263" t="s">
        <v>7919</v>
      </c>
      <c r="C3073" s="263" t="s">
        <v>98</v>
      </c>
      <c r="D3073" s="263" t="s">
        <v>7920</v>
      </c>
      <c r="E3073" s="263" t="s">
        <v>109</v>
      </c>
      <c r="F3073">
        <v>0</v>
      </c>
      <c r="G3073">
        <v>2</v>
      </c>
      <c r="H3073" s="263" t="s">
        <v>436</v>
      </c>
      <c r="I3073" s="264"/>
      <c r="J3073" s="263" t="s">
        <v>437</v>
      </c>
    </row>
    <row r="3074" spans="1:10" x14ac:dyDescent="0.15">
      <c r="A3074" s="263" t="s">
        <v>7921</v>
      </c>
      <c r="B3074" s="263" t="s">
        <v>7898</v>
      </c>
      <c r="C3074" s="263" t="s">
        <v>7426</v>
      </c>
      <c r="D3074" s="263" t="s">
        <v>7899</v>
      </c>
      <c r="E3074" s="263" t="s">
        <v>91</v>
      </c>
      <c r="F3074">
        <v>0</v>
      </c>
      <c r="G3074">
        <v>2</v>
      </c>
      <c r="H3074" s="263" t="s">
        <v>436</v>
      </c>
      <c r="I3074" s="264"/>
      <c r="J3074" s="263" t="s">
        <v>437</v>
      </c>
    </row>
    <row r="3075" spans="1:10" x14ac:dyDescent="0.15">
      <c r="A3075" s="263" t="s">
        <v>7922</v>
      </c>
      <c r="B3075" s="263" t="s">
        <v>7901</v>
      </c>
      <c r="C3075" s="263" t="s">
        <v>7426</v>
      </c>
      <c r="D3075" s="263" t="s">
        <v>7902</v>
      </c>
      <c r="E3075" s="263" t="s">
        <v>91</v>
      </c>
      <c r="F3075">
        <v>0</v>
      </c>
      <c r="G3075">
        <v>2</v>
      </c>
      <c r="H3075" s="263" t="s">
        <v>436</v>
      </c>
      <c r="I3075" s="264"/>
      <c r="J3075" s="263" t="s">
        <v>437</v>
      </c>
    </row>
    <row r="3076" spans="1:10" x14ac:dyDescent="0.15">
      <c r="A3076" s="263" t="s">
        <v>7923</v>
      </c>
      <c r="B3076" s="263" t="s">
        <v>7904</v>
      </c>
      <c r="C3076" s="263" t="s">
        <v>7426</v>
      </c>
      <c r="D3076" s="263" t="s">
        <v>7905</v>
      </c>
      <c r="E3076" s="263" t="s">
        <v>91</v>
      </c>
      <c r="F3076">
        <v>0</v>
      </c>
      <c r="G3076">
        <v>2</v>
      </c>
      <c r="H3076" s="263" t="s">
        <v>436</v>
      </c>
      <c r="I3076" s="264"/>
      <c r="J3076" s="263" t="s">
        <v>437</v>
      </c>
    </row>
    <row r="3077" spans="1:10" x14ac:dyDescent="0.15">
      <c r="A3077" s="263" t="s">
        <v>7924</v>
      </c>
      <c r="B3077" s="263" t="s">
        <v>7907</v>
      </c>
      <c r="C3077" s="263" t="s">
        <v>7426</v>
      </c>
      <c r="D3077" s="263" t="s">
        <v>7908</v>
      </c>
      <c r="E3077" s="263" t="s">
        <v>91</v>
      </c>
      <c r="F3077">
        <v>0</v>
      </c>
      <c r="G3077">
        <v>2</v>
      </c>
      <c r="H3077" s="263" t="s">
        <v>436</v>
      </c>
      <c r="I3077" s="264"/>
      <c r="J3077" s="263" t="s">
        <v>437</v>
      </c>
    </row>
    <row r="3078" spans="1:10" x14ac:dyDescent="0.15">
      <c r="A3078" s="263" t="s">
        <v>7925</v>
      </c>
      <c r="B3078" s="263" t="s">
        <v>7910</v>
      </c>
      <c r="C3078" s="263" t="s">
        <v>7426</v>
      </c>
      <c r="D3078" s="263" t="s">
        <v>7911</v>
      </c>
      <c r="E3078" s="263" t="s">
        <v>91</v>
      </c>
      <c r="F3078">
        <v>0</v>
      </c>
      <c r="G3078">
        <v>2</v>
      </c>
      <c r="H3078" s="263" t="s">
        <v>436</v>
      </c>
      <c r="I3078" s="264"/>
      <c r="J3078" s="263" t="s">
        <v>437</v>
      </c>
    </row>
    <row r="3079" spans="1:10" x14ac:dyDescent="0.15">
      <c r="A3079" s="263" t="s">
        <v>7926</v>
      </c>
      <c r="B3079" s="263" t="s">
        <v>7913</v>
      </c>
      <c r="C3079" s="263" t="s">
        <v>7426</v>
      </c>
      <c r="D3079" s="263" t="s">
        <v>7914</v>
      </c>
      <c r="E3079" s="263" t="s">
        <v>91</v>
      </c>
      <c r="F3079">
        <v>0</v>
      </c>
      <c r="G3079">
        <v>2</v>
      </c>
      <c r="H3079" s="263" t="s">
        <v>436</v>
      </c>
      <c r="I3079" s="264"/>
      <c r="J3079" s="263" t="s">
        <v>437</v>
      </c>
    </row>
    <row r="3080" spans="1:10" x14ac:dyDescent="0.15">
      <c r="A3080" s="263" t="s">
        <v>7927</v>
      </c>
      <c r="B3080" s="263" t="s">
        <v>7916</v>
      </c>
      <c r="C3080" s="263" t="s">
        <v>7426</v>
      </c>
      <c r="D3080" s="263" t="s">
        <v>7917</v>
      </c>
      <c r="E3080" s="263" t="s">
        <v>91</v>
      </c>
      <c r="F3080">
        <v>0</v>
      </c>
      <c r="G3080">
        <v>2</v>
      </c>
      <c r="H3080" s="263" t="s">
        <v>436</v>
      </c>
      <c r="I3080" s="264"/>
      <c r="J3080" s="263" t="s">
        <v>437</v>
      </c>
    </row>
    <row r="3081" spans="1:10" x14ac:dyDescent="0.15">
      <c r="A3081" s="263" t="s">
        <v>7928</v>
      </c>
      <c r="B3081" s="263" t="s">
        <v>7929</v>
      </c>
      <c r="C3081" s="263" t="s">
        <v>81</v>
      </c>
      <c r="D3081" s="263" t="s">
        <v>7930</v>
      </c>
      <c r="E3081" s="263" t="s">
        <v>88</v>
      </c>
      <c r="F3081">
        <v>0</v>
      </c>
      <c r="G3081">
        <v>2</v>
      </c>
      <c r="H3081" s="263" t="s">
        <v>436</v>
      </c>
      <c r="I3081" s="264"/>
      <c r="J3081" s="263" t="s">
        <v>437</v>
      </c>
    </row>
    <row r="3082" spans="1:10" x14ac:dyDescent="0.15">
      <c r="A3082" s="263" t="s">
        <v>7931</v>
      </c>
      <c r="B3082" s="263" t="s">
        <v>7932</v>
      </c>
      <c r="C3082" s="263" t="s">
        <v>81</v>
      </c>
      <c r="D3082" s="263" t="s">
        <v>7933</v>
      </c>
      <c r="E3082" s="263" t="s">
        <v>88</v>
      </c>
      <c r="F3082">
        <v>0</v>
      </c>
      <c r="G3082">
        <v>2</v>
      </c>
      <c r="H3082" s="263" t="s">
        <v>436</v>
      </c>
      <c r="I3082" s="264"/>
      <c r="J3082" s="263" t="s">
        <v>437</v>
      </c>
    </row>
    <row r="3083" spans="1:10" x14ac:dyDescent="0.15">
      <c r="A3083" s="263" t="s">
        <v>7934</v>
      </c>
      <c r="B3083" s="263" t="s">
        <v>7935</v>
      </c>
      <c r="C3083" s="263" t="s">
        <v>81</v>
      </c>
      <c r="D3083" s="263" t="s">
        <v>7936</v>
      </c>
      <c r="E3083" s="263" t="s">
        <v>88</v>
      </c>
      <c r="F3083">
        <v>0</v>
      </c>
      <c r="G3083">
        <v>2</v>
      </c>
      <c r="H3083" s="263" t="s">
        <v>436</v>
      </c>
      <c r="I3083" s="264"/>
      <c r="J3083" s="263" t="s">
        <v>437</v>
      </c>
    </row>
    <row r="3084" spans="1:10" x14ac:dyDescent="0.15">
      <c r="A3084" s="263" t="s">
        <v>7937</v>
      </c>
      <c r="B3084" s="263" t="s">
        <v>7938</v>
      </c>
      <c r="C3084" s="263" t="s">
        <v>81</v>
      </c>
      <c r="D3084" s="263" t="s">
        <v>7939</v>
      </c>
      <c r="E3084" s="263" t="s">
        <v>88</v>
      </c>
      <c r="F3084">
        <v>0</v>
      </c>
      <c r="G3084">
        <v>2</v>
      </c>
      <c r="H3084" s="263" t="s">
        <v>436</v>
      </c>
      <c r="I3084" s="264"/>
      <c r="J3084" s="263" t="s">
        <v>437</v>
      </c>
    </row>
    <row r="3085" spans="1:10" x14ac:dyDescent="0.15">
      <c r="A3085" s="263" t="s">
        <v>7940</v>
      </c>
      <c r="B3085" s="263" t="s">
        <v>7941</v>
      </c>
      <c r="C3085" s="263" t="s">
        <v>81</v>
      </c>
      <c r="D3085" s="263" t="s">
        <v>7942</v>
      </c>
      <c r="E3085" s="263" t="s">
        <v>88</v>
      </c>
      <c r="F3085">
        <v>0</v>
      </c>
      <c r="G3085">
        <v>2</v>
      </c>
      <c r="H3085" s="263" t="s">
        <v>436</v>
      </c>
      <c r="I3085" s="264"/>
      <c r="J3085" s="263" t="s">
        <v>437</v>
      </c>
    </row>
    <row r="3086" spans="1:10" x14ac:dyDescent="0.15">
      <c r="A3086" s="263" t="s">
        <v>7943</v>
      </c>
      <c r="B3086" s="263" t="s">
        <v>7944</v>
      </c>
      <c r="C3086" s="263" t="s">
        <v>81</v>
      </c>
      <c r="D3086" s="263" t="s">
        <v>7945</v>
      </c>
      <c r="E3086" s="263" t="s">
        <v>88</v>
      </c>
      <c r="F3086">
        <v>0</v>
      </c>
      <c r="G3086">
        <v>2</v>
      </c>
      <c r="H3086" s="263" t="s">
        <v>436</v>
      </c>
      <c r="I3086" s="264"/>
      <c r="J3086" s="263" t="s">
        <v>437</v>
      </c>
    </row>
    <row r="3087" spans="1:10" x14ac:dyDescent="0.15">
      <c r="A3087" s="263" t="s">
        <v>7946</v>
      </c>
      <c r="B3087" s="263" t="s">
        <v>7947</v>
      </c>
      <c r="C3087" s="263" t="s">
        <v>81</v>
      </c>
      <c r="D3087" s="263" t="s">
        <v>7948</v>
      </c>
      <c r="E3087" s="263" t="s">
        <v>88</v>
      </c>
      <c r="F3087">
        <v>0</v>
      </c>
      <c r="G3087">
        <v>2</v>
      </c>
      <c r="H3087" s="263" t="s">
        <v>436</v>
      </c>
      <c r="I3087" s="264"/>
      <c r="J3087" s="263" t="s">
        <v>437</v>
      </c>
    </row>
    <row r="3088" spans="1:10" x14ac:dyDescent="0.15">
      <c r="A3088" s="263" t="s">
        <v>7949</v>
      </c>
      <c r="B3088" s="263" t="s">
        <v>7950</v>
      </c>
      <c r="C3088" s="263" t="s">
        <v>81</v>
      </c>
      <c r="D3088" s="263" t="s">
        <v>7951</v>
      </c>
      <c r="E3088" s="263" t="s">
        <v>88</v>
      </c>
      <c r="F3088">
        <v>0</v>
      </c>
      <c r="G3088">
        <v>2</v>
      </c>
      <c r="H3088" s="263" t="s">
        <v>436</v>
      </c>
      <c r="I3088" s="264"/>
      <c r="J3088" s="263" t="s">
        <v>437</v>
      </c>
    </row>
    <row r="3089" spans="1:10" x14ac:dyDescent="0.15">
      <c r="A3089" s="263" t="s">
        <v>7952</v>
      </c>
      <c r="B3089" s="263" t="s">
        <v>7953</v>
      </c>
      <c r="C3089" s="263" t="s">
        <v>81</v>
      </c>
      <c r="D3089" s="263" t="s">
        <v>7954</v>
      </c>
      <c r="E3089" s="263" t="s">
        <v>88</v>
      </c>
      <c r="F3089">
        <v>0</v>
      </c>
      <c r="G3089">
        <v>2</v>
      </c>
      <c r="H3089" s="263" t="s">
        <v>436</v>
      </c>
      <c r="I3089" s="264"/>
      <c r="J3089" s="263" t="s">
        <v>437</v>
      </c>
    </row>
    <row r="3090" spans="1:10" x14ac:dyDescent="0.15">
      <c r="A3090" s="263" t="s">
        <v>7955</v>
      </c>
      <c r="B3090" s="263" t="s">
        <v>7956</v>
      </c>
      <c r="C3090" s="263" t="s">
        <v>81</v>
      </c>
      <c r="D3090" s="263" t="s">
        <v>7957</v>
      </c>
      <c r="E3090" s="263" t="s">
        <v>88</v>
      </c>
      <c r="F3090">
        <v>0</v>
      </c>
      <c r="G3090">
        <v>2</v>
      </c>
      <c r="H3090" s="263" t="s">
        <v>436</v>
      </c>
      <c r="I3090" s="264"/>
      <c r="J3090" s="263" t="s">
        <v>437</v>
      </c>
    </row>
    <row r="3091" spans="1:10" x14ac:dyDescent="0.15">
      <c r="A3091" s="263" t="s">
        <v>7958</v>
      </c>
      <c r="B3091" s="263" t="s">
        <v>7959</v>
      </c>
      <c r="C3091" s="263" t="s">
        <v>81</v>
      </c>
      <c r="D3091" s="263" t="s">
        <v>7960</v>
      </c>
      <c r="E3091" s="263" t="s">
        <v>88</v>
      </c>
      <c r="F3091">
        <v>0</v>
      </c>
      <c r="G3091">
        <v>2</v>
      </c>
      <c r="H3091" s="263" t="s">
        <v>436</v>
      </c>
      <c r="I3091" s="264"/>
      <c r="J3091" s="263" t="s">
        <v>437</v>
      </c>
    </row>
    <row r="3092" spans="1:10" x14ac:dyDescent="0.15">
      <c r="A3092" s="263" t="s">
        <v>7961</v>
      </c>
      <c r="B3092" s="263" t="s">
        <v>7962</v>
      </c>
      <c r="C3092" s="263" t="s">
        <v>81</v>
      </c>
      <c r="D3092" s="263" t="s">
        <v>7963</v>
      </c>
      <c r="E3092" s="263" t="s">
        <v>88</v>
      </c>
      <c r="F3092">
        <v>0</v>
      </c>
      <c r="G3092">
        <v>2</v>
      </c>
      <c r="H3092" s="263" t="s">
        <v>436</v>
      </c>
      <c r="I3092" s="264"/>
      <c r="J3092" s="263" t="s">
        <v>437</v>
      </c>
    </row>
    <row r="3093" spans="1:10" x14ac:dyDescent="0.15">
      <c r="A3093" s="263" t="s">
        <v>7964</v>
      </c>
      <c r="B3093" s="263" t="s">
        <v>7965</v>
      </c>
      <c r="C3093" s="263" t="s">
        <v>81</v>
      </c>
      <c r="D3093" s="263" t="s">
        <v>7966</v>
      </c>
      <c r="E3093" s="263" t="s">
        <v>88</v>
      </c>
      <c r="F3093">
        <v>0</v>
      </c>
      <c r="G3093">
        <v>2</v>
      </c>
      <c r="H3093" s="263" t="s">
        <v>436</v>
      </c>
      <c r="I3093" s="264"/>
      <c r="J3093" s="263" t="s">
        <v>437</v>
      </c>
    </row>
    <row r="3094" spans="1:10" x14ac:dyDescent="0.15">
      <c r="A3094" s="263" t="s">
        <v>7967</v>
      </c>
      <c r="B3094" s="263" t="s">
        <v>7968</v>
      </c>
      <c r="C3094" s="263" t="s">
        <v>81</v>
      </c>
      <c r="D3094" s="263" t="s">
        <v>7969</v>
      </c>
      <c r="E3094" s="263" t="s">
        <v>88</v>
      </c>
      <c r="F3094">
        <v>0</v>
      </c>
      <c r="G3094">
        <v>2</v>
      </c>
      <c r="H3094" s="263" t="s">
        <v>436</v>
      </c>
      <c r="I3094" s="264"/>
      <c r="J3094" s="263" t="s">
        <v>437</v>
      </c>
    </row>
    <row r="3095" spans="1:10" x14ac:dyDescent="0.15">
      <c r="A3095" s="263" t="s">
        <v>7970</v>
      </c>
      <c r="B3095" s="263" t="s">
        <v>7971</v>
      </c>
      <c r="C3095" s="263" t="s">
        <v>81</v>
      </c>
      <c r="D3095" s="263" t="s">
        <v>7972</v>
      </c>
      <c r="E3095" s="263" t="s">
        <v>88</v>
      </c>
      <c r="F3095">
        <v>0</v>
      </c>
      <c r="G3095">
        <v>2</v>
      </c>
      <c r="H3095" s="263" t="s">
        <v>436</v>
      </c>
      <c r="I3095" s="264"/>
      <c r="J3095" s="263" t="s">
        <v>437</v>
      </c>
    </row>
    <row r="3096" spans="1:10" x14ac:dyDescent="0.15">
      <c r="A3096" s="263" t="s">
        <v>7973</v>
      </c>
      <c r="B3096" s="263" t="s">
        <v>7974</v>
      </c>
      <c r="C3096" s="263" t="s">
        <v>81</v>
      </c>
      <c r="D3096" s="263" t="s">
        <v>7975</v>
      </c>
      <c r="E3096" s="263" t="s">
        <v>88</v>
      </c>
      <c r="F3096">
        <v>0</v>
      </c>
      <c r="G3096">
        <v>2</v>
      </c>
      <c r="H3096" s="263" t="s">
        <v>436</v>
      </c>
      <c r="I3096" s="264"/>
      <c r="J3096" s="263" t="s">
        <v>437</v>
      </c>
    </row>
    <row r="3097" spans="1:10" x14ac:dyDescent="0.15">
      <c r="A3097" s="263" t="s">
        <v>7976</v>
      </c>
      <c r="B3097" s="263" t="s">
        <v>7977</v>
      </c>
      <c r="C3097" s="263" t="s">
        <v>81</v>
      </c>
      <c r="D3097" s="263" t="s">
        <v>7978</v>
      </c>
      <c r="E3097" s="263" t="s">
        <v>88</v>
      </c>
      <c r="F3097">
        <v>0</v>
      </c>
      <c r="G3097">
        <v>2</v>
      </c>
      <c r="H3097" s="263" t="s">
        <v>436</v>
      </c>
      <c r="I3097" s="264"/>
      <c r="J3097" s="263" t="s">
        <v>437</v>
      </c>
    </row>
    <row r="3098" spans="1:10" x14ac:dyDescent="0.15">
      <c r="A3098" s="263" t="s">
        <v>7979</v>
      </c>
      <c r="B3098" s="263" t="s">
        <v>7980</v>
      </c>
      <c r="C3098" s="263" t="s">
        <v>81</v>
      </c>
      <c r="D3098" s="263" t="s">
        <v>7981</v>
      </c>
      <c r="E3098" s="263" t="s">
        <v>88</v>
      </c>
      <c r="F3098">
        <v>0</v>
      </c>
      <c r="G3098">
        <v>2</v>
      </c>
      <c r="H3098" s="263" t="s">
        <v>436</v>
      </c>
      <c r="I3098" s="264"/>
      <c r="J3098" s="263" t="s">
        <v>437</v>
      </c>
    </row>
    <row r="3099" spans="1:10" x14ac:dyDescent="0.15">
      <c r="A3099" s="263" t="s">
        <v>7982</v>
      </c>
      <c r="B3099" s="263" t="s">
        <v>7983</v>
      </c>
      <c r="C3099" s="263" t="s">
        <v>81</v>
      </c>
      <c r="D3099" s="263" t="s">
        <v>7984</v>
      </c>
      <c r="E3099" s="263" t="s">
        <v>88</v>
      </c>
      <c r="F3099">
        <v>0</v>
      </c>
      <c r="G3099">
        <v>2</v>
      </c>
      <c r="H3099" s="263" t="s">
        <v>436</v>
      </c>
      <c r="I3099" s="264"/>
      <c r="J3099" s="263" t="s">
        <v>437</v>
      </c>
    </row>
    <row r="3100" spans="1:10" x14ac:dyDescent="0.15">
      <c r="A3100" s="263" t="s">
        <v>7985</v>
      </c>
      <c r="B3100" s="263" t="s">
        <v>7986</v>
      </c>
      <c r="C3100" s="263" t="s">
        <v>81</v>
      </c>
      <c r="D3100" s="263" t="s">
        <v>7987</v>
      </c>
      <c r="E3100" s="263" t="s">
        <v>88</v>
      </c>
      <c r="F3100">
        <v>0</v>
      </c>
      <c r="G3100">
        <v>2</v>
      </c>
      <c r="H3100" s="263" t="s">
        <v>436</v>
      </c>
      <c r="I3100" s="264"/>
      <c r="J3100" s="263" t="s">
        <v>437</v>
      </c>
    </row>
    <row r="3101" spans="1:10" x14ac:dyDescent="0.15">
      <c r="A3101" s="263" t="s">
        <v>7988</v>
      </c>
      <c r="B3101" s="263" t="s">
        <v>7989</v>
      </c>
      <c r="C3101" s="263" t="s">
        <v>81</v>
      </c>
      <c r="D3101" s="263" t="s">
        <v>7990</v>
      </c>
      <c r="E3101" s="263" t="s">
        <v>88</v>
      </c>
      <c r="F3101">
        <v>0</v>
      </c>
      <c r="G3101">
        <v>2</v>
      </c>
      <c r="H3101" s="263" t="s">
        <v>436</v>
      </c>
      <c r="I3101" s="264"/>
      <c r="J3101" s="263" t="s">
        <v>437</v>
      </c>
    </row>
    <row r="3102" spans="1:10" x14ac:dyDescent="0.15">
      <c r="A3102" s="263" t="s">
        <v>7991</v>
      </c>
      <c r="B3102" s="263" t="s">
        <v>7992</v>
      </c>
      <c r="C3102" s="263" t="s">
        <v>81</v>
      </c>
      <c r="D3102" s="263" t="s">
        <v>7993</v>
      </c>
      <c r="E3102" s="263" t="s">
        <v>88</v>
      </c>
      <c r="F3102">
        <v>0</v>
      </c>
      <c r="G3102">
        <v>2</v>
      </c>
      <c r="H3102" s="263" t="s">
        <v>436</v>
      </c>
      <c r="I3102" s="264"/>
      <c r="J3102" s="263" t="s">
        <v>437</v>
      </c>
    </row>
    <row r="3103" spans="1:10" x14ac:dyDescent="0.15">
      <c r="A3103" s="263" t="s">
        <v>7994</v>
      </c>
      <c r="B3103" s="263" t="s">
        <v>7995</v>
      </c>
      <c r="C3103" s="263" t="s">
        <v>81</v>
      </c>
      <c r="D3103" s="263" t="s">
        <v>7996</v>
      </c>
      <c r="E3103" s="263" t="s">
        <v>88</v>
      </c>
      <c r="F3103">
        <v>0</v>
      </c>
      <c r="G3103">
        <v>2</v>
      </c>
      <c r="H3103" s="263" t="s">
        <v>436</v>
      </c>
      <c r="I3103" s="264"/>
      <c r="J3103" s="263" t="s">
        <v>437</v>
      </c>
    </row>
    <row r="3104" spans="1:10" x14ac:dyDescent="0.15">
      <c r="A3104" s="263" t="s">
        <v>7997</v>
      </c>
      <c r="B3104" s="263" t="s">
        <v>7998</v>
      </c>
      <c r="C3104" s="263" t="s">
        <v>81</v>
      </c>
      <c r="D3104" s="263" t="s">
        <v>7999</v>
      </c>
      <c r="E3104" s="263" t="s">
        <v>88</v>
      </c>
      <c r="F3104">
        <v>0</v>
      </c>
      <c r="G3104">
        <v>2</v>
      </c>
      <c r="H3104" s="263" t="s">
        <v>436</v>
      </c>
      <c r="I3104" s="264"/>
      <c r="J3104" s="263" t="s">
        <v>437</v>
      </c>
    </row>
    <row r="3105" spans="1:10" x14ac:dyDescent="0.15">
      <c r="A3105" s="263" t="s">
        <v>8000</v>
      </c>
      <c r="B3105" s="263" t="s">
        <v>8001</v>
      </c>
      <c r="C3105" s="263" t="s">
        <v>81</v>
      </c>
      <c r="D3105" s="263" t="s">
        <v>8002</v>
      </c>
      <c r="E3105" s="263" t="s">
        <v>88</v>
      </c>
      <c r="F3105">
        <v>0</v>
      </c>
      <c r="G3105">
        <v>2</v>
      </c>
      <c r="H3105" s="263" t="s">
        <v>436</v>
      </c>
      <c r="I3105" s="264"/>
      <c r="J3105" s="263" t="s">
        <v>437</v>
      </c>
    </row>
    <row r="3106" spans="1:10" x14ac:dyDescent="0.15">
      <c r="A3106" s="263" t="s">
        <v>8003</v>
      </c>
      <c r="B3106" s="263" t="s">
        <v>8004</v>
      </c>
      <c r="C3106" s="263" t="s">
        <v>81</v>
      </c>
      <c r="D3106" s="263" t="s">
        <v>8005</v>
      </c>
      <c r="E3106" s="263" t="s">
        <v>88</v>
      </c>
      <c r="F3106">
        <v>0</v>
      </c>
      <c r="G3106">
        <v>2</v>
      </c>
      <c r="H3106" s="263" t="s">
        <v>436</v>
      </c>
      <c r="I3106" s="264"/>
      <c r="J3106" s="263" t="s">
        <v>437</v>
      </c>
    </row>
    <row r="3107" spans="1:10" x14ac:dyDescent="0.15">
      <c r="A3107" s="263" t="s">
        <v>8006</v>
      </c>
      <c r="B3107" s="263" t="s">
        <v>8007</v>
      </c>
      <c r="C3107" s="263" t="s">
        <v>81</v>
      </c>
      <c r="D3107" s="263" t="s">
        <v>8008</v>
      </c>
      <c r="E3107" s="263" t="s">
        <v>88</v>
      </c>
      <c r="F3107">
        <v>0</v>
      </c>
      <c r="G3107">
        <v>2</v>
      </c>
      <c r="H3107" s="263" t="s">
        <v>436</v>
      </c>
      <c r="I3107" s="264"/>
      <c r="J3107" s="263" t="s">
        <v>437</v>
      </c>
    </row>
    <row r="3108" spans="1:10" x14ac:dyDescent="0.15">
      <c r="A3108" s="263" t="s">
        <v>8009</v>
      </c>
      <c r="B3108" s="263" t="s">
        <v>8010</v>
      </c>
      <c r="C3108" s="263" t="s">
        <v>81</v>
      </c>
      <c r="D3108" s="263" t="s">
        <v>8011</v>
      </c>
      <c r="E3108" s="263" t="s">
        <v>88</v>
      </c>
      <c r="F3108">
        <v>0</v>
      </c>
      <c r="G3108">
        <v>2</v>
      </c>
      <c r="H3108" s="263" t="s">
        <v>436</v>
      </c>
      <c r="I3108" s="264"/>
      <c r="J3108" s="263" t="s">
        <v>437</v>
      </c>
    </row>
    <row r="3109" spans="1:10" x14ac:dyDescent="0.15">
      <c r="A3109" s="263" t="s">
        <v>8012</v>
      </c>
      <c r="B3109" s="263" t="s">
        <v>8013</v>
      </c>
      <c r="C3109" s="263" t="s">
        <v>81</v>
      </c>
      <c r="D3109" s="263" t="s">
        <v>8014</v>
      </c>
      <c r="E3109" s="263" t="s">
        <v>88</v>
      </c>
      <c r="F3109">
        <v>0</v>
      </c>
      <c r="G3109">
        <v>2</v>
      </c>
      <c r="H3109" s="263" t="s">
        <v>436</v>
      </c>
      <c r="I3109" s="264"/>
      <c r="J3109" s="263" t="s">
        <v>437</v>
      </c>
    </row>
    <row r="3110" spans="1:10" x14ac:dyDescent="0.15">
      <c r="A3110" s="263" t="s">
        <v>8015</v>
      </c>
      <c r="B3110" s="263" t="s">
        <v>8016</v>
      </c>
      <c r="C3110" s="263" t="s">
        <v>81</v>
      </c>
      <c r="D3110" s="263" t="s">
        <v>8017</v>
      </c>
      <c r="E3110" s="263" t="s">
        <v>88</v>
      </c>
      <c r="F3110">
        <v>0</v>
      </c>
      <c r="G3110">
        <v>2</v>
      </c>
      <c r="H3110" s="263" t="s">
        <v>436</v>
      </c>
      <c r="I3110" s="264"/>
      <c r="J3110" s="263" t="s">
        <v>437</v>
      </c>
    </row>
    <row r="3111" spans="1:10" x14ac:dyDescent="0.15">
      <c r="A3111" s="263" t="s">
        <v>8018</v>
      </c>
      <c r="B3111" s="263" t="s">
        <v>8019</v>
      </c>
      <c r="C3111" s="263" t="s">
        <v>81</v>
      </c>
      <c r="D3111" s="263" t="s">
        <v>8020</v>
      </c>
      <c r="E3111" s="263" t="s">
        <v>88</v>
      </c>
      <c r="F3111">
        <v>0</v>
      </c>
      <c r="G3111">
        <v>2</v>
      </c>
      <c r="H3111" s="263" t="s">
        <v>436</v>
      </c>
      <c r="I3111" s="264"/>
      <c r="J3111" s="263" t="s">
        <v>437</v>
      </c>
    </row>
    <row r="3112" spans="1:10" x14ac:dyDescent="0.15">
      <c r="A3112" s="263" t="s">
        <v>8021</v>
      </c>
      <c r="B3112" s="263" t="s">
        <v>8022</v>
      </c>
      <c r="C3112" s="263" t="s">
        <v>81</v>
      </c>
      <c r="D3112" s="263" t="s">
        <v>8023</v>
      </c>
      <c r="E3112" s="263" t="s">
        <v>88</v>
      </c>
      <c r="F3112">
        <v>0</v>
      </c>
      <c r="G3112">
        <v>2</v>
      </c>
      <c r="H3112" s="263" t="s">
        <v>436</v>
      </c>
      <c r="I3112" s="264"/>
      <c r="J3112" s="263" t="s">
        <v>437</v>
      </c>
    </row>
    <row r="3113" spans="1:10" x14ac:dyDescent="0.15">
      <c r="A3113" s="263" t="s">
        <v>8024</v>
      </c>
      <c r="B3113" s="263" t="s">
        <v>8025</v>
      </c>
      <c r="C3113" s="263" t="s">
        <v>81</v>
      </c>
      <c r="D3113" s="263" t="s">
        <v>8026</v>
      </c>
      <c r="E3113" s="263" t="s">
        <v>88</v>
      </c>
      <c r="F3113">
        <v>0</v>
      </c>
      <c r="G3113">
        <v>2</v>
      </c>
      <c r="H3113" s="263" t="s">
        <v>436</v>
      </c>
      <c r="I3113" s="264"/>
      <c r="J3113" s="263" t="s">
        <v>437</v>
      </c>
    </row>
    <row r="3114" spans="1:10" x14ac:dyDescent="0.15">
      <c r="A3114" s="263" t="s">
        <v>8027</v>
      </c>
      <c r="B3114" s="263" t="s">
        <v>8028</v>
      </c>
      <c r="C3114" s="263" t="s">
        <v>81</v>
      </c>
      <c r="D3114" s="263" t="s">
        <v>8029</v>
      </c>
      <c r="E3114" s="263" t="s">
        <v>88</v>
      </c>
      <c r="F3114">
        <v>0</v>
      </c>
      <c r="G3114">
        <v>2</v>
      </c>
      <c r="H3114" s="263" t="s">
        <v>436</v>
      </c>
      <c r="I3114" s="264"/>
      <c r="J3114" s="263" t="s">
        <v>437</v>
      </c>
    </row>
    <row r="3115" spans="1:10" x14ac:dyDescent="0.15">
      <c r="A3115" s="263" t="s">
        <v>8030</v>
      </c>
      <c r="B3115" s="263" t="s">
        <v>7910</v>
      </c>
      <c r="C3115" s="263" t="s">
        <v>81</v>
      </c>
      <c r="D3115" s="263" t="s">
        <v>7911</v>
      </c>
      <c r="E3115" s="263" t="s">
        <v>88</v>
      </c>
      <c r="F3115">
        <v>0</v>
      </c>
      <c r="G3115">
        <v>2</v>
      </c>
      <c r="H3115" s="263" t="s">
        <v>436</v>
      </c>
      <c r="I3115" s="264"/>
      <c r="J3115" s="263" t="s">
        <v>437</v>
      </c>
    </row>
    <row r="3116" spans="1:10" x14ac:dyDescent="0.15">
      <c r="A3116" s="263" t="s">
        <v>8031</v>
      </c>
      <c r="B3116" s="263" t="s">
        <v>8032</v>
      </c>
      <c r="C3116" s="263" t="s">
        <v>81</v>
      </c>
      <c r="D3116" s="263" t="s">
        <v>8033</v>
      </c>
      <c r="E3116" s="263" t="s">
        <v>88</v>
      </c>
      <c r="F3116">
        <v>0</v>
      </c>
      <c r="G3116">
        <v>2</v>
      </c>
      <c r="H3116" s="263" t="s">
        <v>436</v>
      </c>
      <c r="I3116" s="264"/>
      <c r="J3116" s="263" t="s">
        <v>437</v>
      </c>
    </row>
    <row r="3117" spans="1:10" x14ac:dyDescent="0.15">
      <c r="A3117" s="263" t="s">
        <v>8034</v>
      </c>
      <c r="B3117" s="263" t="s">
        <v>8035</v>
      </c>
      <c r="C3117" s="263" t="s">
        <v>81</v>
      </c>
      <c r="D3117" s="263" t="s">
        <v>8036</v>
      </c>
      <c r="E3117" s="263" t="s">
        <v>88</v>
      </c>
      <c r="F3117">
        <v>0</v>
      </c>
      <c r="G3117">
        <v>2</v>
      </c>
      <c r="H3117" s="263" t="s">
        <v>436</v>
      </c>
      <c r="I3117" s="264"/>
      <c r="J3117" s="263" t="s">
        <v>437</v>
      </c>
    </row>
    <row r="3118" spans="1:10" x14ac:dyDescent="0.15">
      <c r="A3118" s="263" t="s">
        <v>8037</v>
      </c>
      <c r="B3118" s="263" t="s">
        <v>8038</v>
      </c>
      <c r="C3118" s="263" t="s">
        <v>81</v>
      </c>
      <c r="D3118" s="263" t="s">
        <v>8039</v>
      </c>
      <c r="E3118" s="263" t="s">
        <v>88</v>
      </c>
      <c r="F3118">
        <v>0</v>
      </c>
      <c r="G3118">
        <v>2</v>
      </c>
      <c r="H3118" s="263" t="s">
        <v>436</v>
      </c>
      <c r="I3118" s="264"/>
      <c r="J3118" s="263" t="s">
        <v>437</v>
      </c>
    </row>
    <row r="3119" spans="1:10" x14ac:dyDescent="0.15">
      <c r="A3119" s="263" t="s">
        <v>8040</v>
      </c>
      <c r="B3119" s="263" t="s">
        <v>8041</v>
      </c>
      <c r="C3119" s="263" t="s">
        <v>81</v>
      </c>
      <c r="D3119" s="263" t="s">
        <v>8042</v>
      </c>
      <c r="E3119" s="263" t="s">
        <v>88</v>
      </c>
      <c r="F3119">
        <v>0</v>
      </c>
      <c r="G3119">
        <v>2</v>
      </c>
      <c r="H3119" s="263" t="s">
        <v>436</v>
      </c>
      <c r="I3119" s="264"/>
      <c r="J3119" s="263" t="s">
        <v>437</v>
      </c>
    </row>
    <row r="3120" spans="1:10" x14ac:dyDescent="0.15">
      <c r="A3120" s="263" t="s">
        <v>8043</v>
      </c>
      <c r="B3120" s="263" t="s">
        <v>8044</v>
      </c>
      <c r="C3120" s="263" t="s">
        <v>81</v>
      </c>
      <c r="D3120" s="263" t="s">
        <v>8045</v>
      </c>
      <c r="E3120" s="263" t="s">
        <v>88</v>
      </c>
      <c r="F3120">
        <v>0</v>
      </c>
      <c r="G3120">
        <v>2</v>
      </c>
      <c r="H3120" s="263" t="s">
        <v>436</v>
      </c>
      <c r="I3120" s="264"/>
      <c r="J3120" s="263" t="s">
        <v>437</v>
      </c>
    </row>
    <row r="3121" spans="1:10" x14ac:dyDescent="0.15">
      <c r="A3121" s="263" t="s">
        <v>8046</v>
      </c>
      <c r="B3121" s="263" t="s">
        <v>8047</v>
      </c>
      <c r="C3121" s="263" t="s">
        <v>81</v>
      </c>
      <c r="D3121" s="263" t="s">
        <v>8048</v>
      </c>
      <c r="E3121" s="263" t="s">
        <v>88</v>
      </c>
      <c r="F3121">
        <v>0</v>
      </c>
      <c r="G3121">
        <v>2</v>
      </c>
      <c r="H3121" s="263" t="s">
        <v>436</v>
      </c>
      <c r="I3121" s="264"/>
      <c r="J3121" s="263" t="s">
        <v>437</v>
      </c>
    </row>
    <row r="3122" spans="1:10" x14ac:dyDescent="0.15">
      <c r="A3122" s="263" t="s">
        <v>8049</v>
      </c>
      <c r="B3122" s="263" t="s">
        <v>8050</v>
      </c>
      <c r="C3122" s="263" t="s">
        <v>81</v>
      </c>
      <c r="D3122" s="263" t="s">
        <v>8051</v>
      </c>
      <c r="E3122" s="263" t="s">
        <v>88</v>
      </c>
      <c r="F3122">
        <v>0</v>
      </c>
      <c r="G3122">
        <v>2</v>
      </c>
      <c r="H3122" s="263" t="s">
        <v>436</v>
      </c>
      <c r="I3122" s="264"/>
      <c r="J3122" s="263" t="s">
        <v>437</v>
      </c>
    </row>
    <row r="3123" spans="1:10" x14ac:dyDescent="0.15">
      <c r="A3123" s="263" t="s">
        <v>8052</v>
      </c>
      <c r="B3123" s="263" t="s">
        <v>8053</v>
      </c>
      <c r="C3123" s="263" t="s">
        <v>81</v>
      </c>
      <c r="D3123" s="263" t="s">
        <v>8054</v>
      </c>
      <c r="E3123" s="263" t="s">
        <v>88</v>
      </c>
      <c r="F3123">
        <v>0</v>
      </c>
      <c r="G3123">
        <v>2</v>
      </c>
      <c r="H3123" s="263" t="s">
        <v>436</v>
      </c>
      <c r="I3123" s="264"/>
      <c r="J3123" s="263" t="s">
        <v>437</v>
      </c>
    </row>
    <row r="3124" spans="1:10" x14ac:dyDescent="0.15">
      <c r="A3124" s="263" t="s">
        <v>8055</v>
      </c>
      <c r="B3124" s="263" t="s">
        <v>8056</v>
      </c>
      <c r="C3124" s="263" t="s">
        <v>81</v>
      </c>
      <c r="D3124" s="263" t="s">
        <v>8057</v>
      </c>
      <c r="E3124" s="263" t="s">
        <v>88</v>
      </c>
      <c r="F3124">
        <v>0</v>
      </c>
      <c r="G3124">
        <v>2</v>
      </c>
      <c r="H3124" s="263" t="s">
        <v>436</v>
      </c>
      <c r="I3124" s="264"/>
      <c r="J3124" s="263" t="s">
        <v>437</v>
      </c>
    </row>
    <row r="3125" spans="1:10" x14ac:dyDescent="0.15">
      <c r="A3125" s="263" t="s">
        <v>8058</v>
      </c>
      <c r="B3125" s="263" t="s">
        <v>8059</v>
      </c>
      <c r="C3125" s="263" t="s">
        <v>81</v>
      </c>
      <c r="D3125" s="263" t="s">
        <v>8060</v>
      </c>
      <c r="E3125" s="263" t="s">
        <v>88</v>
      </c>
      <c r="F3125">
        <v>0</v>
      </c>
      <c r="G3125">
        <v>2</v>
      </c>
      <c r="H3125" s="263" t="s">
        <v>436</v>
      </c>
      <c r="I3125" s="264"/>
      <c r="J3125" s="263" t="s">
        <v>437</v>
      </c>
    </row>
    <row r="3126" spans="1:10" x14ac:dyDescent="0.15">
      <c r="A3126" s="263" t="s">
        <v>8061</v>
      </c>
      <c r="B3126" s="263" t="s">
        <v>8062</v>
      </c>
      <c r="C3126" s="263" t="s">
        <v>81</v>
      </c>
      <c r="D3126" s="263" t="s">
        <v>8063</v>
      </c>
      <c r="E3126" s="263" t="s">
        <v>88</v>
      </c>
      <c r="F3126">
        <v>0</v>
      </c>
      <c r="G3126">
        <v>2</v>
      </c>
      <c r="H3126" s="263" t="s">
        <v>436</v>
      </c>
      <c r="I3126" s="264"/>
      <c r="J3126" s="263" t="s">
        <v>437</v>
      </c>
    </row>
    <row r="3127" spans="1:10" x14ac:dyDescent="0.15">
      <c r="A3127" s="263" t="s">
        <v>8064</v>
      </c>
      <c r="B3127" s="263" t="s">
        <v>8065</v>
      </c>
      <c r="C3127" s="263" t="s">
        <v>81</v>
      </c>
      <c r="D3127" s="263" t="s">
        <v>8066</v>
      </c>
      <c r="E3127" s="263" t="s">
        <v>88</v>
      </c>
      <c r="F3127">
        <v>0</v>
      </c>
      <c r="G3127">
        <v>2</v>
      </c>
      <c r="H3127" s="263" t="s">
        <v>436</v>
      </c>
      <c r="I3127" s="264"/>
      <c r="J3127" s="263" t="s">
        <v>437</v>
      </c>
    </row>
    <row r="3128" spans="1:10" x14ac:dyDescent="0.15">
      <c r="A3128" s="263" t="s">
        <v>8067</v>
      </c>
      <c r="B3128" s="263" t="s">
        <v>8068</v>
      </c>
      <c r="C3128" s="263" t="s">
        <v>81</v>
      </c>
      <c r="D3128" s="263" t="s">
        <v>8069</v>
      </c>
      <c r="E3128" s="263" t="s">
        <v>88</v>
      </c>
      <c r="F3128">
        <v>0</v>
      </c>
      <c r="G3128">
        <v>2</v>
      </c>
      <c r="H3128" s="263" t="s">
        <v>436</v>
      </c>
      <c r="I3128" s="264"/>
      <c r="J3128" s="263" t="s">
        <v>437</v>
      </c>
    </row>
    <row r="3129" spans="1:10" x14ac:dyDescent="0.15">
      <c r="A3129" s="263" t="s">
        <v>8070</v>
      </c>
      <c r="B3129" s="263" t="s">
        <v>8071</v>
      </c>
      <c r="C3129" s="263" t="s">
        <v>81</v>
      </c>
      <c r="D3129" s="263" t="s">
        <v>8072</v>
      </c>
      <c r="E3129" s="263" t="s">
        <v>88</v>
      </c>
      <c r="F3129">
        <v>0</v>
      </c>
      <c r="G3129">
        <v>2</v>
      </c>
      <c r="H3129" s="263" t="s">
        <v>436</v>
      </c>
      <c r="I3129" s="264"/>
      <c r="J3129" s="263" t="s">
        <v>437</v>
      </c>
    </row>
    <row r="3130" spans="1:10" x14ac:dyDescent="0.15">
      <c r="A3130" s="263" t="s">
        <v>8073</v>
      </c>
      <c r="B3130" s="263" t="s">
        <v>8074</v>
      </c>
      <c r="C3130" s="263" t="s">
        <v>81</v>
      </c>
      <c r="D3130" s="263" t="s">
        <v>8075</v>
      </c>
      <c r="E3130" s="263" t="s">
        <v>88</v>
      </c>
      <c r="F3130">
        <v>0</v>
      </c>
      <c r="G3130">
        <v>2</v>
      </c>
      <c r="H3130" s="263" t="s">
        <v>436</v>
      </c>
      <c r="I3130" s="264"/>
      <c r="J3130" s="263" t="s">
        <v>437</v>
      </c>
    </row>
    <row r="3131" spans="1:10" x14ac:dyDescent="0.15">
      <c r="A3131" s="263" t="s">
        <v>8076</v>
      </c>
      <c r="B3131" s="263" t="s">
        <v>8077</v>
      </c>
      <c r="C3131" s="263" t="s">
        <v>81</v>
      </c>
      <c r="D3131" s="263" t="s">
        <v>8078</v>
      </c>
      <c r="E3131" s="263" t="s">
        <v>88</v>
      </c>
      <c r="F3131">
        <v>0</v>
      </c>
      <c r="G3131">
        <v>2</v>
      </c>
      <c r="H3131" s="263" t="s">
        <v>436</v>
      </c>
      <c r="I3131" s="264"/>
      <c r="J3131" s="263" t="s">
        <v>437</v>
      </c>
    </row>
    <row r="3132" spans="1:10" x14ac:dyDescent="0.15">
      <c r="A3132" s="263" t="s">
        <v>8079</v>
      </c>
      <c r="B3132" s="263" t="s">
        <v>8080</v>
      </c>
      <c r="C3132" s="263" t="s">
        <v>81</v>
      </c>
      <c r="D3132" s="263" t="s">
        <v>8081</v>
      </c>
      <c r="E3132" s="263" t="s">
        <v>88</v>
      </c>
      <c r="F3132">
        <v>0</v>
      </c>
      <c r="G3132">
        <v>2</v>
      </c>
      <c r="H3132" s="263" t="s">
        <v>436</v>
      </c>
      <c r="I3132" s="264"/>
      <c r="J3132" s="263" t="s">
        <v>437</v>
      </c>
    </row>
    <row r="3133" spans="1:10" x14ac:dyDescent="0.15">
      <c r="A3133" s="263" t="s">
        <v>8082</v>
      </c>
      <c r="B3133" s="263" t="s">
        <v>8083</v>
      </c>
      <c r="C3133" s="263" t="s">
        <v>81</v>
      </c>
      <c r="D3133" s="263" t="s">
        <v>8084</v>
      </c>
      <c r="E3133" s="263" t="s">
        <v>88</v>
      </c>
      <c r="F3133">
        <v>0</v>
      </c>
      <c r="G3133">
        <v>2</v>
      </c>
      <c r="H3133" s="263" t="s">
        <v>436</v>
      </c>
      <c r="I3133" s="264"/>
      <c r="J3133" s="263" t="s">
        <v>437</v>
      </c>
    </row>
    <row r="3134" spans="1:10" x14ac:dyDescent="0.15">
      <c r="A3134" s="263" t="s">
        <v>8085</v>
      </c>
      <c r="B3134" s="263" t="s">
        <v>8086</v>
      </c>
      <c r="C3134" s="263" t="s">
        <v>81</v>
      </c>
      <c r="D3134" s="263" t="s">
        <v>8087</v>
      </c>
      <c r="E3134" s="263" t="s">
        <v>88</v>
      </c>
      <c r="F3134">
        <v>0</v>
      </c>
      <c r="G3134">
        <v>2</v>
      </c>
      <c r="H3134" s="263" t="s">
        <v>436</v>
      </c>
      <c r="I3134" s="264"/>
      <c r="J3134" s="263" t="s">
        <v>437</v>
      </c>
    </row>
    <row r="3135" spans="1:10" x14ac:dyDescent="0.15">
      <c r="A3135" s="263" t="s">
        <v>8088</v>
      </c>
      <c r="B3135" s="263" t="s">
        <v>8089</v>
      </c>
      <c r="C3135" s="263" t="s">
        <v>81</v>
      </c>
      <c r="D3135" s="263" t="s">
        <v>8090</v>
      </c>
      <c r="E3135" s="263" t="s">
        <v>88</v>
      </c>
      <c r="F3135">
        <v>0</v>
      </c>
      <c r="G3135">
        <v>2</v>
      </c>
      <c r="H3135" s="263" t="s">
        <v>436</v>
      </c>
      <c r="I3135" s="264"/>
      <c r="J3135" s="263" t="s">
        <v>437</v>
      </c>
    </row>
    <row r="3136" spans="1:10" x14ac:dyDescent="0.15">
      <c r="A3136" s="263" t="s">
        <v>8091</v>
      </c>
      <c r="B3136" s="263" t="s">
        <v>8092</v>
      </c>
      <c r="C3136" s="263" t="s">
        <v>81</v>
      </c>
      <c r="D3136" s="263" t="s">
        <v>8093</v>
      </c>
      <c r="E3136" s="263" t="s">
        <v>88</v>
      </c>
      <c r="F3136">
        <v>0</v>
      </c>
      <c r="G3136">
        <v>2</v>
      </c>
      <c r="H3136" s="263" t="s">
        <v>436</v>
      </c>
      <c r="I3136" s="264"/>
      <c r="J3136" s="263" t="s">
        <v>437</v>
      </c>
    </row>
    <row r="3137" spans="1:10" x14ac:dyDescent="0.15">
      <c r="A3137" s="263" t="s">
        <v>8094</v>
      </c>
      <c r="B3137" s="263" t="s">
        <v>8095</v>
      </c>
      <c r="C3137" s="263" t="s">
        <v>81</v>
      </c>
      <c r="D3137" s="263" t="s">
        <v>8096</v>
      </c>
      <c r="E3137" s="263" t="s">
        <v>88</v>
      </c>
      <c r="F3137">
        <v>0</v>
      </c>
      <c r="G3137">
        <v>2</v>
      </c>
      <c r="H3137" s="263" t="s">
        <v>436</v>
      </c>
      <c r="I3137" s="264"/>
      <c r="J3137" s="263" t="s">
        <v>437</v>
      </c>
    </row>
    <row r="3138" spans="1:10" x14ac:dyDescent="0.15">
      <c r="A3138" s="263" t="s">
        <v>8097</v>
      </c>
      <c r="B3138" s="263" t="s">
        <v>8098</v>
      </c>
      <c r="C3138" s="263" t="s">
        <v>81</v>
      </c>
      <c r="D3138" s="263" t="s">
        <v>8099</v>
      </c>
      <c r="E3138" s="263" t="s">
        <v>88</v>
      </c>
      <c r="F3138">
        <v>0</v>
      </c>
      <c r="G3138">
        <v>2</v>
      </c>
      <c r="H3138" s="263" t="s">
        <v>436</v>
      </c>
      <c r="I3138" s="264"/>
      <c r="J3138" s="263" t="s">
        <v>437</v>
      </c>
    </row>
    <row r="3139" spans="1:10" x14ac:dyDescent="0.15">
      <c r="A3139" s="263" t="s">
        <v>8100</v>
      </c>
      <c r="B3139" s="263" t="s">
        <v>8101</v>
      </c>
      <c r="C3139" s="263" t="s">
        <v>81</v>
      </c>
      <c r="D3139" s="263" t="s">
        <v>8102</v>
      </c>
      <c r="E3139" s="263" t="s">
        <v>88</v>
      </c>
      <c r="F3139">
        <v>0</v>
      </c>
      <c r="G3139">
        <v>2</v>
      </c>
      <c r="H3139" s="263" t="s">
        <v>436</v>
      </c>
      <c r="I3139" s="264"/>
      <c r="J3139" s="263" t="s">
        <v>437</v>
      </c>
    </row>
    <row r="3140" spans="1:10" x14ac:dyDescent="0.15">
      <c r="A3140" s="263" t="s">
        <v>8103</v>
      </c>
      <c r="B3140" s="263" t="s">
        <v>8104</v>
      </c>
      <c r="C3140" s="263" t="s">
        <v>81</v>
      </c>
      <c r="D3140" s="263" t="s">
        <v>8105</v>
      </c>
      <c r="E3140" s="263" t="s">
        <v>88</v>
      </c>
      <c r="F3140">
        <v>0</v>
      </c>
      <c r="G3140">
        <v>2</v>
      </c>
      <c r="H3140" s="263" t="s">
        <v>436</v>
      </c>
      <c r="I3140" s="264"/>
      <c r="J3140" s="263" t="s">
        <v>437</v>
      </c>
    </row>
    <row r="3141" spans="1:10" x14ac:dyDescent="0.15">
      <c r="A3141" s="263" t="s">
        <v>8106</v>
      </c>
      <c r="B3141" s="263" t="s">
        <v>8107</v>
      </c>
      <c r="C3141" s="263" t="s">
        <v>81</v>
      </c>
      <c r="D3141" s="263" t="s">
        <v>8108</v>
      </c>
      <c r="E3141" s="263" t="s">
        <v>88</v>
      </c>
      <c r="F3141">
        <v>0</v>
      </c>
      <c r="G3141">
        <v>2</v>
      </c>
      <c r="H3141" s="263" t="s">
        <v>436</v>
      </c>
      <c r="I3141" s="264"/>
      <c r="J3141" s="263" t="s">
        <v>437</v>
      </c>
    </row>
    <row r="3142" spans="1:10" x14ac:dyDescent="0.15">
      <c r="A3142" s="263" t="s">
        <v>8109</v>
      </c>
      <c r="B3142" s="263" t="s">
        <v>8110</v>
      </c>
      <c r="C3142" s="263" t="s">
        <v>81</v>
      </c>
      <c r="D3142" s="263" t="s">
        <v>8111</v>
      </c>
      <c r="E3142" s="263" t="s">
        <v>88</v>
      </c>
      <c r="F3142">
        <v>0</v>
      </c>
      <c r="G3142">
        <v>2</v>
      </c>
      <c r="H3142" s="263" t="s">
        <v>436</v>
      </c>
      <c r="I3142" s="264"/>
      <c r="J3142" s="263" t="s">
        <v>437</v>
      </c>
    </row>
    <row r="3143" spans="1:10" x14ac:dyDescent="0.15">
      <c r="A3143" s="263" t="s">
        <v>8112</v>
      </c>
      <c r="B3143" s="263" t="s">
        <v>8113</v>
      </c>
      <c r="C3143" s="263" t="s">
        <v>81</v>
      </c>
      <c r="D3143" s="263" t="s">
        <v>8114</v>
      </c>
      <c r="E3143" s="263" t="s">
        <v>88</v>
      </c>
      <c r="F3143">
        <v>0</v>
      </c>
      <c r="G3143">
        <v>2</v>
      </c>
      <c r="H3143" s="263" t="s">
        <v>436</v>
      </c>
      <c r="I3143" s="264"/>
      <c r="J3143" s="263" t="s">
        <v>437</v>
      </c>
    </row>
    <row r="3144" spans="1:10" x14ac:dyDescent="0.15">
      <c r="A3144" s="263" t="s">
        <v>8115</v>
      </c>
      <c r="B3144" s="263" t="s">
        <v>8116</v>
      </c>
      <c r="C3144" s="263" t="s">
        <v>81</v>
      </c>
      <c r="D3144" s="263" t="s">
        <v>8117</v>
      </c>
      <c r="E3144" s="263" t="s">
        <v>88</v>
      </c>
      <c r="F3144">
        <v>0</v>
      </c>
      <c r="G3144">
        <v>2</v>
      </c>
      <c r="H3144" s="263" t="s">
        <v>436</v>
      </c>
      <c r="I3144" s="264"/>
      <c r="J3144" s="263" t="s">
        <v>437</v>
      </c>
    </row>
    <row r="3145" spans="1:10" x14ac:dyDescent="0.15">
      <c r="A3145" s="263" t="s">
        <v>8118</v>
      </c>
      <c r="B3145" s="263" t="s">
        <v>8119</v>
      </c>
      <c r="C3145" s="263" t="s">
        <v>81</v>
      </c>
      <c r="D3145" s="263" t="s">
        <v>8120</v>
      </c>
      <c r="E3145" s="263" t="s">
        <v>88</v>
      </c>
      <c r="F3145">
        <v>0</v>
      </c>
      <c r="G3145">
        <v>2</v>
      </c>
      <c r="H3145" s="263" t="s">
        <v>436</v>
      </c>
      <c r="I3145" s="264"/>
      <c r="J3145" s="263" t="s">
        <v>437</v>
      </c>
    </row>
    <row r="3146" spans="1:10" x14ac:dyDescent="0.15">
      <c r="A3146" s="263" t="s">
        <v>8121</v>
      </c>
      <c r="B3146" s="263" t="s">
        <v>8122</v>
      </c>
      <c r="C3146" s="263" t="s">
        <v>81</v>
      </c>
      <c r="D3146" s="263" t="s">
        <v>8123</v>
      </c>
      <c r="E3146" s="263" t="s">
        <v>88</v>
      </c>
      <c r="F3146">
        <v>0</v>
      </c>
      <c r="G3146">
        <v>2</v>
      </c>
      <c r="H3146" s="263" t="s">
        <v>436</v>
      </c>
      <c r="I3146" s="264"/>
      <c r="J3146" s="263" t="s">
        <v>437</v>
      </c>
    </row>
    <row r="3147" spans="1:10" x14ac:dyDescent="0.15">
      <c r="A3147" s="263" t="s">
        <v>8124</v>
      </c>
      <c r="B3147" s="263" t="s">
        <v>8125</v>
      </c>
      <c r="C3147" s="263" t="s">
        <v>81</v>
      </c>
      <c r="D3147" s="263" t="s">
        <v>8126</v>
      </c>
      <c r="E3147" s="263" t="s">
        <v>88</v>
      </c>
      <c r="F3147">
        <v>0</v>
      </c>
      <c r="G3147">
        <v>2</v>
      </c>
      <c r="H3147" s="263" t="s">
        <v>436</v>
      </c>
      <c r="I3147" s="264"/>
      <c r="J3147" s="263" t="s">
        <v>437</v>
      </c>
    </row>
    <row r="3148" spans="1:10" x14ac:dyDescent="0.15">
      <c r="A3148" s="263" t="s">
        <v>8127</v>
      </c>
      <c r="B3148" s="263" t="s">
        <v>8128</v>
      </c>
      <c r="C3148" s="263" t="s">
        <v>81</v>
      </c>
      <c r="D3148" s="263" t="s">
        <v>8129</v>
      </c>
      <c r="E3148" s="263" t="s">
        <v>88</v>
      </c>
      <c r="F3148">
        <v>0</v>
      </c>
      <c r="G3148">
        <v>2</v>
      </c>
      <c r="H3148" s="263" t="s">
        <v>436</v>
      </c>
      <c r="I3148" s="264"/>
      <c r="J3148" s="263" t="s">
        <v>437</v>
      </c>
    </row>
    <row r="3149" spans="1:10" x14ac:dyDescent="0.15">
      <c r="A3149" s="263" t="s">
        <v>8130</v>
      </c>
      <c r="B3149" s="263" t="s">
        <v>8131</v>
      </c>
      <c r="C3149" s="263" t="s">
        <v>96</v>
      </c>
      <c r="D3149" s="263" t="s">
        <v>8132</v>
      </c>
      <c r="E3149" s="263" t="s">
        <v>97</v>
      </c>
      <c r="F3149">
        <v>0</v>
      </c>
      <c r="G3149">
        <v>2</v>
      </c>
      <c r="H3149" s="263" t="s">
        <v>436</v>
      </c>
      <c r="I3149" s="264"/>
      <c r="J3149" s="263" t="s">
        <v>437</v>
      </c>
    </row>
    <row r="3150" spans="1:10" x14ac:dyDescent="0.15">
      <c r="A3150" s="263" t="s">
        <v>8133</v>
      </c>
      <c r="B3150" s="263" t="s">
        <v>8134</v>
      </c>
      <c r="C3150" s="263" t="s">
        <v>96</v>
      </c>
      <c r="D3150" s="263" t="s">
        <v>8135</v>
      </c>
      <c r="E3150" s="263" t="s">
        <v>97</v>
      </c>
      <c r="F3150">
        <v>0</v>
      </c>
      <c r="G3150">
        <v>2</v>
      </c>
      <c r="H3150" s="263" t="s">
        <v>436</v>
      </c>
      <c r="I3150" s="264"/>
      <c r="J3150" s="263" t="s">
        <v>437</v>
      </c>
    </row>
    <row r="3151" spans="1:10" x14ac:dyDescent="0.15">
      <c r="A3151" s="263" t="s">
        <v>8136</v>
      </c>
      <c r="B3151" s="263" t="s">
        <v>8137</v>
      </c>
      <c r="C3151" s="263" t="s">
        <v>96</v>
      </c>
      <c r="D3151" s="263" t="s">
        <v>8138</v>
      </c>
      <c r="E3151" s="263" t="s">
        <v>97</v>
      </c>
      <c r="F3151">
        <v>0</v>
      </c>
      <c r="G3151">
        <v>2</v>
      </c>
      <c r="H3151" s="263" t="s">
        <v>436</v>
      </c>
      <c r="I3151" s="264"/>
      <c r="J3151" s="263" t="s">
        <v>437</v>
      </c>
    </row>
    <row r="3152" spans="1:10" x14ac:dyDescent="0.15">
      <c r="A3152" s="263" t="s">
        <v>8139</v>
      </c>
      <c r="B3152" s="263" t="s">
        <v>8140</v>
      </c>
      <c r="C3152" s="263" t="s">
        <v>96</v>
      </c>
      <c r="D3152" s="263" t="s">
        <v>8141</v>
      </c>
      <c r="E3152" s="263" t="s">
        <v>97</v>
      </c>
      <c r="F3152">
        <v>0</v>
      </c>
      <c r="G3152">
        <v>2</v>
      </c>
      <c r="H3152" s="263" t="s">
        <v>436</v>
      </c>
      <c r="I3152" s="264"/>
      <c r="J3152" s="263" t="s">
        <v>437</v>
      </c>
    </row>
    <row r="3153" spans="1:10" x14ac:dyDescent="0.15">
      <c r="A3153" s="263" t="s">
        <v>8142</v>
      </c>
      <c r="B3153" s="263" t="s">
        <v>8143</v>
      </c>
      <c r="C3153" s="263" t="s">
        <v>90</v>
      </c>
      <c r="D3153" s="263" t="s">
        <v>8144</v>
      </c>
      <c r="E3153" s="263" t="s">
        <v>104</v>
      </c>
      <c r="F3153">
        <v>1</v>
      </c>
      <c r="G3153">
        <v>2</v>
      </c>
      <c r="H3153" s="263" t="s">
        <v>436</v>
      </c>
      <c r="I3153" s="264"/>
      <c r="J3153" s="263" t="s">
        <v>437</v>
      </c>
    </row>
    <row r="3154" spans="1:10" x14ac:dyDescent="0.15">
      <c r="A3154" s="263" t="s">
        <v>8145</v>
      </c>
      <c r="B3154" s="263" t="s">
        <v>8146</v>
      </c>
      <c r="C3154" s="263" t="s">
        <v>90</v>
      </c>
      <c r="D3154" s="263" t="s">
        <v>8147</v>
      </c>
      <c r="E3154" s="263" t="s">
        <v>104</v>
      </c>
      <c r="F3154">
        <v>1</v>
      </c>
      <c r="G3154">
        <v>2</v>
      </c>
      <c r="H3154" s="263" t="s">
        <v>436</v>
      </c>
      <c r="I3154" s="264"/>
      <c r="J3154" s="263" t="s">
        <v>437</v>
      </c>
    </row>
    <row r="3155" spans="1:10" x14ac:dyDescent="0.15">
      <c r="A3155" s="263" t="s">
        <v>8148</v>
      </c>
      <c r="B3155" s="263" t="s">
        <v>8149</v>
      </c>
      <c r="C3155" s="263" t="s">
        <v>8150</v>
      </c>
      <c r="D3155" s="263" t="s">
        <v>8151</v>
      </c>
      <c r="E3155" s="263" t="s">
        <v>88</v>
      </c>
      <c r="F3155">
        <v>0</v>
      </c>
      <c r="G3155">
        <v>2</v>
      </c>
      <c r="H3155" s="263" t="s">
        <v>436</v>
      </c>
      <c r="I3155" s="264"/>
      <c r="J3155" s="263" t="s">
        <v>437</v>
      </c>
    </row>
    <row r="3156" spans="1:10" x14ac:dyDescent="0.15">
      <c r="A3156" s="263" t="s">
        <v>8152</v>
      </c>
      <c r="B3156" s="263" t="s">
        <v>8104</v>
      </c>
      <c r="C3156" s="263" t="s">
        <v>90</v>
      </c>
      <c r="D3156" s="263" t="s">
        <v>8105</v>
      </c>
      <c r="E3156" s="263" t="s">
        <v>104</v>
      </c>
      <c r="F3156">
        <v>1</v>
      </c>
      <c r="G3156">
        <v>2</v>
      </c>
      <c r="H3156" s="263" t="s">
        <v>436</v>
      </c>
      <c r="I3156" s="264"/>
      <c r="J3156" s="263" t="s">
        <v>437</v>
      </c>
    </row>
    <row r="3157" spans="1:10" x14ac:dyDescent="0.15">
      <c r="A3157" s="263" t="s">
        <v>8153</v>
      </c>
      <c r="B3157" s="263" t="s">
        <v>8154</v>
      </c>
      <c r="C3157" s="263" t="s">
        <v>94</v>
      </c>
      <c r="D3157" s="263" t="s">
        <v>8155</v>
      </c>
      <c r="E3157" s="263" t="s">
        <v>94</v>
      </c>
      <c r="F3157">
        <v>0</v>
      </c>
      <c r="G3157">
        <v>2</v>
      </c>
      <c r="H3157" s="263" t="s">
        <v>436</v>
      </c>
      <c r="I3157" s="264"/>
      <c r="J3157" s="263" t="s">
        <v>437</v>
      </c>
    </row>
    <row r="3158" spans="1:10" x14ac:dyDescent="0.15">
      <c r="A3158" s="263" t="s">
        <v>8156</v>
      </c>
      <c r="B3158" s="263" t="s">
        <v>8157</v>
      </c>
      <c r="C3158" s="263" t="s">
        <v>94</v>
      </c>
      <c r="D3158" s="263" t="s">
        <v>8158</v>
      </c>
      <c r="E3158" s="263" t="s">
        <v>94</v>
      </c>
      <c r="F3158">
        <v>0</v>
      </c>
      <c r="G3158">
        <v>2</v>
      </c>
      <c r="H3158" s="263" t="s">
        <v>436</v>
      </c>
      <c r="I3158" s="264"/>
      <c r="J3158" s="263" t="s">
        <v>437</v>
      </c>
    </row>
    <row r="3159" spans="1:10" x14ac:dyDescent="0.15">
      <c r="A3159" s="263" t="s">
        <v>8159</v>
      </c>
      <c r="B3159" s="263" t="s">
        <v>8160</v>
      </c>
      <c r="C3159" s="263" t="s">
        <v>94</v>
      </c>
      <c r="D3159" s="263" t="s">
        <v>8161</v>
      </c>
      <c r="E3159" s="263" t="s">
        <v>94</v>
      </c>
      <c r="F3159">
        <v>0</v>
      </c>
      <c r="G3159">
        <v>2</v>
      </c>
      <c r="H3159" s="263" t="s">
        <v>436</v>
      </c>
      <c r="I3159" s="264"/>
      <c r="J3159" s="263" t="s">
        <v>437</v>
      </c>
    </row>
    <row r="3160" spans="1:10" x14ac:dyDescent="0.15">
      <c r="A3160" s="263" t="s">
        <v>8162</v>
      </c>
      <c r="B3160" s="263" t="s">
        <v>8163</v>
      </c>
      <c r="C3160" s="263" t="s">
        <v>94</v>
      </c>
      <c r="D3160" s="263" t="s">
        <v>8164</v>
      </c>
      <c r="E3160" s="263" t="s">
        <v>94</v>
      </c>
      <c r="F3160">
        <v>0</v>
      </c>
      <c r="G3160">
        <v>2</v>
      </c>
      <c r="H3160" s="263" t="s">
        <v>436</v>
      </c>
      <c r="I3160" s="264"/>
      <c r="J3160" s="263" t="s">
        <v>437</v>
      </c>
    </row>
    <row r="3161" spans="1:10" x14ac:dyDescent="0.15">
      <c r="A3161" s="263" t="s">
        <v>8165</v>
      </c>
      <c r="B3161" s="263" t="s">
        <v>8166</v>
      </c>
      <c r="C3161" s="263" t="s">
        <v>94</v>
      </c>
      <c r="D3161" s="263" t="s">
        <v>8167</v>
      </c>
      <c r="E3161" s="263" t="s">
        <v>94</v>
      </c>
      <c r="F3161">
        <v>0</v>
      </c>
      <c r="G3161">
        <v>2</v>
      </c>
      <c r="H3161" s="263" t="s">
        <v>436</v>
      </c>
      <c r="I3161" s="264"/>
      <c r="J3161" s="263" t="s">
        <v>437</v>
      </c>
    </row>
    <row r="3162" spans="1:10" x14ac:dyDescent="0.15">
      <c r="A3162" s="263" t="s">
        <v>8168</v>
      </c>
      <c r="B3162" s="263" t="s">
        <v>8169</v>
      </c>
      <c r="C3162" s="263" t="s">
        <v>94</v>
      </c>
      <c r="D3162" s="263" t="s">
        <v>8170</v>
      </c>
      <c r="E3162" s="263" t="s">
        <v>94</v>
      </c>
      <c r="F3162">
        <v>0</v>
      </c>
      <c r="G3162">
        <v>2</v>
      </c>
      <c r="H3162" s="263" t="s">
        <v>436</v>
      </c>
      <c r="I3162" s="264"/>
      <c r="J3162" s="263" t="s">
        <v>437</v>
      </c>
    </row>
    <row r="3163" spans="1:10" x14ac:dyDescent="0.15">
      <c r="A3163" s="263" t="s">
        <v>8171</v>
      </c>
      <c r="B3163" s="263" t="s">
        <v>8172</v>
      </c>
      <c r="C3163" s="263" t="s">
        <v>81</v>
      </c>
      <c r="D3163" s="263" t="s">
        <v>8173</v>
      </c>
      <c r="E3163" s="263" t="s">
        <v>88</v>
      </c>
      <c r="F3163">
        <v>0</v>
      </c>
      <c r="G3163">
        <v>2</v>
      </c>
      <c r="H3163" s="263" t="s">
        <v>436</v>
      </c>
      <c r="I3163" s="264"/>
      <c r="J3163" s="263" t="s">
        <v>437</v>
      </c>
    </row>
    <row r="3164" spans="1:10" x14ac:dyDescent="0.15">
      <c r="A3164" s="263" t="s">
        <v>8174</v>
      </c>
      <c r="B3164" s="263" t="s">
        <v>8175</v>
      </c>
      <c r="C3164" s="263" t="s">
        <v>81</v>
      </c>
      <c r="D3164" s="263" t="s">
        <v>8176</v>
      </c>
      <c r="E3164" s="263" t="s">
        <v>88</v>
      </c>
      <c r="F3164">
        <v>0</v>
      </c>
      <c r="G3164">
        <v>2</v>
      </c>
      <c r="H3164" s="263" t="s">
        <v>436</v>
      </c>
      <c r="I3164" s="264"/>
      <c r="J3164" s="263" t="s">
        <v>437</v>
      </c>
    </row>
    <row r="3165" spans="1:10" x14ac:dyDescent="0.15">
      <c r="A3165" s="263" t="s">
        <v>8177</v>
      </c>
      <c r="B3165" s="263" t="s">
        <v>8178</v>
      </c>
      <c r="C3165" s="263" t="s">
        <v>81</v>
      </c>
      <c r="D3165" s="263" t="s">
        <v>8179</v>
      </c>
      <c r="E3165" s="263" t="s">
        <v>88</v>
      </c>
      <c r="F3165">
        <v>0</v>
      </c>
      <c r="G3165">
        <v>2</v>
      </c>
      <c r="H3165" s="263" t="s">
        <v>436</v>
      </c>
      <c r="I3165" s="264"/>
      <c r="J3165" s="263" t="s">
        <v>437</v>
      </c>
    </row>
    <row r="3166" spans="1:10" x14ac:dyDescent="0.15">
      <c r="A3166" s="263" t="s">
        <v>8180</v>
      </c>
      <c r="B3166" s="263" t="s">
        <v>8181</v>
      </c>
      <c r="C3166" s="263" t="s">
        <v>81</v>
      </c>
      <c r="D3166" s="263" t="s">
        <v>8182</v>
      </c>
      <c r="E3166" s="263" t="s">
        <v>88</v>
      </c>
      <c r="F3166">
        <v>0</v>
      </c>
      <c r="G3166">
        <v>2</v>
      </c>
      <c r="H3166" s="263" t="s">
        <v>436</v>
      </c>
      <c r="I3166" s="264"/>
      <c r="J3166" s="263" t="s">
        <v>437</v>
      </c>
    </row>
    <row r="3167" spans="1:10" x14ac:dyDescent="0.15">
      <c r="A3167" s="263" t="s">
        <v>8183</v>
      </c>
      <c r="B3167" s="263" t="s">
        <v>8184</v>
      </c>
      <c r="C3167" s="263" t="s">
        <v>81</v>
      </c>
      <c r="D3167" s="263" t="s">
        <v>8185</v>
      </c>
      <c r="E3167" s="263" t="s">
        <v>88</v>
      </c>
      <c r="F3167">
        <v>0</v>
      </c>
      <c r="G3167">
        <v>2</v>
      </c>
      <c r="H3167" s="263" t="s">
        <v>436</v>
      </c>
      <c r="I3167" s="264"/>
      <c r="J3167" s="263" t="s">
        <v>437</v>
      </c>
    </row>
    <row r="3168" spans="1:10" x14ac:dyDescent="0.15">
      <c r="A3168" s="263" t="s">
        <v>8186</v>
      </c>
      <c r="B3168" s="263" t="s">
        <v>8187</v>
      </c>
      <c r="C3168" s="263" t="s">
        <v>81</v>
      </c>
      <c r="D3168" s="263" t="s">
        <v>8188</v>
      </c>
      <c r="E3168" s="263" t="s">
        <v>88</v>
      </c>
      <c r="F3168">
        <v>0</v>
      </c>
      <c r="G3168">
        <v>2</v>
      </c>
      <c r="H3168" s="263" t="s">
        <v>436</v>
      </c>
      <c r="I3168" s="264"/>
      <c r="J3168" s="263" t="s">
        <v>437</v>
      </c>
    </row>
    <row r="3169" spans="1:10" x14ac:dyDescent="0.15">
      <c r="A3169" s="263" t="s">
        <v>8189</v>
      </c>
      <c r="B3169" s="263" t="s">
        <v>8190</v>
      </c>
      <c r="C3169" s="263" t="s">
        <v>81</v>
      </c>
      <c r="D3169" s="263" t="s">
        <v>8191</v>
      </c>
      <c r="E3169" s="263" t="s">
        <v>88</v>
      </c>
      <c r="F3169">
        <v>0</v>
      </c>
      <c r="G3169">
        <v>2</v>
      </c>
      <c r="H3169" s="263" t="s">
        <v>436</v>
      </c>
      <c r="I3169" s="264"/>
      <c r="J3169" s="263" t="s">
        <v>437</v>
      </c>
    </row>
    <row r="3170" spans="1:10" x14ac:dyDescent="0.15">
      <c r="A3170" s="263" t="s">
        <v>8192</v>
      </c>
      <c r="B3170" s="263" t="s">
        <v>8193</v>
      </c>
      <c r="C3170" s="263" t="s">
        <v>81</v>
      </c>
      <c r="D3170" s="263" t="s">
        <v>8194</v>
      </c>
      <c r="E3170" s="263" t="s">
        <v>88</v>
      </c>
      <c r="F3170">
        <v>0</v>
      </c>
      <c r="G3170">
        <v>2</v>
      </c>
      <c r="H3170" s="263" t="s">
        <v>436</v>
      </c>
      <c r="I3170" s="264"/>
      <c r="J3170" s="263" t="s">
        <v>437</v>
      </c>
    </row>
    <row r="3171" spans="1:10" x14ac:dyDescent="0.15">
      <c r="A3171" s="263" t="s">
        <v>8195</v>
      </c>
      <c r="B3171" s="263" t="s">
        <v>8196</v>
      </c>
      <c r="C3171" s="263" t="s">
        <v>81</v>
      </c>
      <c r="D3171" s="263" t="s">
        <v>8197</v>
      </c>
      <c r="E3171" s="263" t="s">
        <v>88</v>
      </c>
      <c r="F3171">
        <v>0</v>
      </c>
      <c r="G3171">
        <v>2</v>
      </c>
      <c r="H3171" s="263" t="s">
        <v>436</v>
      </c>
      <c r="I3171" s="264"/>
      <c r="J3171" s="263" t="s">
        <v>437</v>
      </c>
    </row>
    <row r="3172" spans="1:10" x14ac:dyDescent="0.15">
      <c r="A3172" s="263" t="s">
        <v>8198</v>
      </c>
      <c r="B3172" s="263" t="s">
        <v>8199</v>
      </c>
      <c r="C3172" s="263" t="s">
        <v>81</v>
      </c>
      <c r="D3172" s="263" t="s">
        <v>8200</v>
      </c>
      <c r="E3172" s="263" t="s">
        <v>88</v>
      </c>
      <c r="F3172">
        <v>0</v>
      </c>
      <c r="G3172">
        <v>2</v>
      </c>
      <c r="H3172" s="263" t="s">
        <v>436</v>
      </c>
      <c r="I3172" s="264"/>
      <c r="J3172" s="263" t="s">
        <v>437</v>
      </c>
    </row>
    <row r="3173" spans="1:10" x14ac:dyDescent="0.15">
      <c r="A3173" s="263" t="s">
        <v>8201</v>
      </c>
      <c r="B3173" s="263" t="s">
        <v>8202</v>
      </c>
      <c r="C3173" s="263" t="s">
        <v>81</v>
      </c>
      <c r="D3173" s="263" t="s">
        <v>8203</v>
      </c>
      <c r="E3173" s="263" t="s">
        <v>88</v>
      </c>
      <c r="F3173">
        <v>0</v>
      </c>
      <c r="G3173">
        <v>2</v>
      </c>
      <c r="H3173" s="263" t="s">
        <v>436</v>
      </c>
      <c r="I3173" s="264"/>
      <c r="J3173" s="263" t="s">
        <v>437</v>
      </c>
    </row>
    <row r="3174" spans="1:10" x14ac:dyDescent="0.15">
      <c r="A3174" s="263" t="s">
        <v>8204</v>
      </c>
      <c r="B3174" s="263" t="s">
        <v>8205</v>
      </c>
      <c r="C3174" s="263" t="s">
        <v>81</v>
      </c>
      <c r="D3174" s="263" t="s">
        <v>8206</v>
      </c>
      <c r="E3174" s="263" t="s">
        <v>88</v>
      </c>
      <c r="F3174">
        <v>0</v>
      </c>
      <c r="G3174">
        <v>2</v>
      </c>
      <c r="H3174" s="263" t="s">
        <v>436</v>
      </c>
      <c r="I3174" s="264"/>
      <c r="J3174" s="263" t="s">
        <v>437</v>
      </c>
    </row>
    <row r="3175" spans="1:10" x14ac:dyDescent="0.15">
      <c r="A3175" s="263" t="s">
        <v>8207</v>
      </c>
      <c r="B3175" s="263" t="s">
        <v>8208</v>
      </c>
      <c r="C3175" s="263" t="s">
        <v>81</v>
      </c>
      <c r="D3175" s="263" t="s">
        <v>8209</v>
      </c>
      <c r="E3175" s="263" t="s">
        <v>88</v>
      </c>
      <c r="F3175">
        <v>0</v>
      </c>
      <c r="G3175">
        <v>2</v>
      </c>
      <c r="H3175" s="263" t="s">
        <v>436</v>
      </c>
      <c r="I3175" s="264"/>
      <c r="J3175" s="263" t="s">
        <v>437</v>
      </c>
    </row>
    <row r="3176" spans="1:10" x14ac:dyDescent="0.15">
      <c r="A3176" s="263" t="s">
        <v>8210</v>
      </c>
      <c r="B3176" s="263" t="s">
        <v>8211</v>
      </c>
      <c r="C3176" s="263" t="s">
        <v>81</v>
      </c>
      <c r="D3176" s="263" t="s">
        <v>8212</v>
      </c>
      <c r="E3176" s="263" t="s">
        <v>88</v>
      </c>
      <c r="F3176">
        <v>0</v>
      </c>
      <c r="G3176">
        <v>2</v>
      </c>
      <c r="H3176" s="263" t="s">
        <v>436</v>
      </c>
      <c r="I3176" s="264"/>
      <c r="J3176" s="263" t="s">
        <v>437</v>
      </c>
    </row>
    <row r="3177" spans="1:10" x14ac:dyDescent="0.15">
      <c r="A3177" s="263" t="s">
        <v>8213</v>
      </c>
      <c r="B3177" s="263" t="s">
        <v>8214</v>
      </c>
      <c r="C3177" s="263" t="s">
        <v>81</v>
      </c>
      <c r="D3177" s="263" t="s">
        <v>8215</v>
      </c>
      <c r="E3177" s="263" t="s">
        <v>88</v>
      </c>
      <c r="F3177">
        <v>0</v>
      </c>
      <c r="G3177">
        <v>2</v>
      </c>
      <c r="H3177" s="263" t="s">
        <v>436</v>
      </c>
      <c r="I3177" s="264"/>
      <c r="J3177" s="263" t="s">
        <v>437</v>
      </c>
    </row>
    <row r="3178" spans="1:10" x14ac:dyDescent="0.15">
      <c r="A3178" s="263" t="s">
        <v>8216</v>
      </c>
      <c r="B3178" s="263" t="s">
        <v>8217</v>
      </c>
      <c r="C3178" s="263" t="s">
        <v>81</v>
      </c>
      <c r="D3178" s="263" t="s">
        <v>8218</v>
      </c>
      <c r="E3178" s="263" t="s">
        <v>88</v>
      </c>
      <c r="F3178">
        <v>0</v>
      </c>
      <c r="G3178">
        <v>2</v>
      </c>
      <c r="H3178" s="263" t="s">
        <v>436</v>
      </c>
      <c r="I3178" s="264"/>
      <c r="J3178" s="263" t="s">
        <v>437</v>
      </c>
    </row>
    <row r="3179" spans="1:10" x14ac:dyDescent="0.15">
      <c r="A3179" s="263" t="s">
        <v>8219</v>
      </c>
      <c r="B3179" s="263" t="s">
        <v>8220</v>
      </c>
      <c r="C3179" s="263" t="s">
        <v>81</v>
      </c>
      <c r="D3179" s="263" t="s">
        <v>8221</v>
      </c>
      <c r="E3179" s="263" t="s">
        <v>88</v>
      </c>
      <c r="F3179">
        <v>0</v>
      </c>
      <c r="G3179">
        <v>2</v>
      </c>
      <c r="H3179" s="263" t="s">
        <v>436</v>
      </c>
      <c r="I3179" s="264"/>
      <c r="J3179" s="263" t="s">
        <v>437</v>
      </c>
    </row>
    <row r="3180" spans="1:10" x14ac:dyDescent="0.15">
      <c r="A3180" s="263" t="s">
        <v>8222</v>
      </c>
      <c r="B3180" s="263" t="s">
        <v>8223</v>
      </c>
      <c r="C3180" s="263" t="s">
        <v>81</v>
      </c>
      <c r="D3180" s="263" t="s">
        <v>8224</v>
      </c>
      <c r="E3180" s="263" t="s">
        <v>88</v>
      </c>
      <c r="F3180">
        <v>0</v>
      </c>
      <c r="G3180">
        <v>2</v>
      </c>
      <c r="H3180" s="263" t="s">
        <v>436</v>
      </c>
      <c r="I3180" s="264"/>
      <c r="J3180" s="263" t="s">
        <v>437</v>
      </c>
    </row>
    <row r="3181" spans="1:10" x14ac:dyDescent="0.15">
      <c r="A3181" s="263" t="s">
        <v>8225</v>
      </c>
      <c r="B3181" s="263" t="s">
        <v>8226</v>
      </c>
      <c r="C3181" s="263" t="s">
        <v>81</v>
      </c>
      <c r="D3181" s="263" t="s">
        <v>8227</v>
      </c>
      <c r="E3181" s="263" t="s">
        <v>88</v>
      </c>
      <c r="F3181">
        <v>0</v>
      </c>
      <c r="G3181">
        <v>2</v>
      </c>
      <c r="H3181" s="263" t="s">
        <v>436</v>
      </c>
      <c r="I3181" s="264"/>
      <c r="J3181" s="263" t="s">
        <v>437</v>
      </c>
    </row>
    <row r="3182" spans="1:10" x14ac:dyDescent="0.15">
      <c r="A3182" s="263" t="s">
        <v>8228</v>
      </c>
      <c r="B3182" s="263" t="s">
        <v>8229</v>
      </c>
      <c r="C3182" s="263" t="s">
        <v>81</v>
      </c>
      <c r="D3182" s="263" t="s">
        <v>8230</v>
      </c>
      <c r="E3182" s="263" t="s">
        <v>88</v>
      </c>
      <c r="F3182">
        <v>0</v>
      </c>
      <c r="G3182">
        <v>2</v>
      </c>
      <c r="H3182" s="263" t="s">
        <v>436</v>
      </c>
      <c r="I3182" s="264"/>
      <c r="J3182" s="263" t="s">
        <v>437</v>
      </c>
    </row>
    <row r="3183" spans="1:10" x14ac:dyDescent="0.15">
      <c r="A3183" s="263" t="s">
        <v>8231</v>
      </c>
      <c r="B3183" s="263" t="s">
        <v>8232</v>
      </c>
      <c r="C3183" s="263" t="s">
        <v>81</v>
      </c>
      <c r="D3183" s="263" t="s">
        <v>8233</v>
      </c>
      <c r="E3183" s="263" t="s">
        <v>88</v>
      </c>
      <c r="F3183">
        <v>0</v>
      </c>
      <c r="G3183">
        <v>2</v>
      </c>
      <c r="H3183" s="263" t="s">
        <v>436</v>
      </c>
      <c r="I3183" s="264"/>
      <c r="J3183" s="263" t="s">
        <v>437</v>
      </c>
    </row>
    <row r="3184" spans="1:10" x14ac:dyDescent="0.15">
      <c r="A3184" s="263" t="s">
        <v>8234</v>
      </c>
      <c r="B3184" s="263" t="s">
        <v>8235</v>
      </c>
      <c r="C3184" s="263" t="s">
        <v>81</v>
      </c>
      <c r="D3184" s="263" t="s">
        <v>8236</v>
      </c>
      <c r="E3184" s="263" t="s">
        <v>88</v>
      </c>
      <c r="F3184">
        <v>0</v>
      </c>
      <c r="G3184">
        <v>2</v>
      </c>
      <c r="H3184" s="263" t="s">
        <v>436</v>
      </c>
      <c r="I3184" s="264"/>
      <c r="J3184" s="263" t="s">
        <v>437</v>
      </c>
    </row>
    <row r="3185" spans="1:10" x14ac:dyDescent="0.15">
      <c r="A3185" s="263" t="s">
        <v>9144</v>
      </c>
      <c r="B3185" s="263" t="s">
        <v>9145</v>
      </c>
      <c r="C3185" s="263" t="s">
        <v>81</v>
      </c>
      <c r="D3185" s="263" t="s">
        <v>9146</v>
      </c>
      <c r="E3185" s="263" t="s">
        <v>88</v>
      </c>
      <c r="F3185">
        <v>0</v>
      </c>
      <c r="G3185">
        <v>2</v>
      </c>
      <c r="H3185" s="263" t="s">
        <v>436</v>
      </c>
      <c r="I3185" s="264"/>
      <c r="J3185" s="263" t="s">
        <v>437</v>
      </c>
    </row>
    <row r="3186" spans="1:10" x14ac:dyDescent="0.15">
      <c r="A3186" s="263" t="s">
        <v>8237</v>
      </c>
      <c r="B3186" s="263" t="s">
        <v>8238</v>
      </c>
      <c r="C3186" s="263" t="s">
        <v>81</v>
      </c>
      <c r="D3186" s="263" t="s">
        <v>8239</v>
      </c>
      <c r="E3186" s="263" t="s">
        <v>88</v>
      </c>
      <c r="F3186">
        <v>0</v>
      </c>
      <c r="G3186">
        <v>2</v>
      </c>
      <c r="H3186" s="263" t="s">
        <v>436</v>
      </c>
      <c r="I3186" s="264"/>
      <c r="J3186" s="263" t="s">
        <v>437</v>
      </c>
    </row>
    <row r="3187" spans="1:10" x14ac:dyDescent="0.15">
      <c r="A3187" s="263" t="s">
        <v>8240</v>
      </c>
      <c r="B3187" s="263" t="s">
        <v>8241</v>
      </c>
      <c r="C3187" s="263" t="s">
        <v>81</v>
      </c>
      <c r="D3187" s="263" t="s">
        <v>8242</v>
      </c>
      <c r="E3187" s="263" t="s">
        <v>88</v>
      </c>
      <c r="F3187">
        <v>0</v>
      </c>
      <c r="G3187">
        <v>2</v>
      </c>
      <c r="H3187" s="263" t="s">
        <v>436</v>
      </c>
      <c r="I3187" s="264"/>
      <c r="J3187" s="263" t="s">
        <v>437</v>
      </c>
    </row>
    <row r="3188" spans="1:10" x14ac:dyDescent="0.15">
      <c r="A3188" s="263" t="s">
        <v>8243</v>
      </c>
      <c r="B3188" s="263" t="s">
        <v>8244</v>
      </c>
      <c r="C3188" s="263" t="s">
        <v>81</v>
      </c>
      <c r="D3188" s="263" t="s">
        <v>8245</v>
      </c>
      <c r="E3188" s="263" t="s">
        <v>88</v>
      </c>
      <c r="F3188">
        <v>0</v>
      </c>
      <c r="G3188">
        <v>2</v>
      </c>
      <c r="H3188" s="263" t="s">
        <v>436</v>
      </c>
      <c r="I3188" s="264"/>
      <c r="J3188" s="263" t="s">
        <v>437</v>
      </c>
    </row>
    <row r="3189" spans="1:10" x14ac:dyDescent="0.15">
      <c r="A3189" s="263" t="s">
        <v>8246</v>
      </c>
      <c r="B3189" s="263" t="s">
        <v>8247</v>
      </c>
      <c r="C3189" s="263" t="s">
        <v>81</v>
      </c>
      <c r="D3189" s="263" t="s">
        <v>8248</v>
      </c>
      <c r="E3189" s="263" t="s">
        <v>88</v>
      </c>
      <c r="F3189">
        <v>0</v>
      </c>
      <c r="G3189">
        <v>2</v>
      </c>
      <c r="H3189" s="263" t="s">
        <v>436</v>
      </c>
      <c r="I3189" s="264"/>
      <c r="J3189" s="263" t="s">
        <v>437</v>
      </c>
    </row>
    <row r="3190" spans="1:10" x14ac:dyDescent="0.15">
      <c r="A3190" s="263" t="s">
        <v>8249</v>
      </c>
      <c r="B3190" s="263" t="s">
        <v>8250</v>
      </c>
      <c r="C3190" s="263" t="s">
        <v>81</v>
      </c>
      <c r="D3190" s="263" t="s">
        <v>8251</v>
      </c>
      <c r="E3190" s="263" t="s">
        <v>88</v>
      </c>
      <c r="F3190">
        <v>0</v>
      </c>
      <c r="G3190">
        <v>2</v>
      </c>
      <c r="H3190" s="263" t="s">
        <v>436</v>
      </c>
      <c r="I3190" s="264"/>
      <c r="J3190" s="263" t="s">
        <v>437</v>
      </c>
    </row>
    <row r="3191" spans="1:10" x14ac:dyDescent="0.15">
      <c r="A3191" s="263" t="s">
        <v>8252</v>
      </c>
      <c r="B3191" s="263" t="s">
        <v>8253</v>
      </c>
      <c r="C3191" s="263" t="s">
        <v>81</v>
      </c>
      <c r="D3191" s="263" t="s">
        <v>8254</v>
      </c>
      <c r="E3191" s="263" t="s">
        <v>88</v>
      </c>
      <c r="F3191">
        <v>0</v>
      </c>
      <c r="G3191">
        <v>2</v>
      </c>
      <c r="H3191" s="263" t="s">
        <v>436</v>
      </c>
      <c r="I3191" s="264"/>
      <c r="J3191" s="263" t="s">
        <v>437</v>
      </c>
    </row>
    <row r="3192" spans="1:10" x14ac:dyDescent="0.15">
      <c r="A3192" s="263" t="s">
        <v>8255</v>
      </c>
      <c r="B3192" s="263" t="s">
        <v>8160</v>
      </c>
      <c r="C3192" s="263" t="s">
        <v>81</v>
      </c>
      <c r="D3192" s="263" t="s">
        <v>8161</v>
      </c>
      <c r="E3192" s="263" t="s">
        <v>88</v>
      </c>
      <c r="F3192">
        <v>0</v>
      </c>
      <c r="G3192">
        <v>2</v>
      </c>
      <c r="H3192" s="263" t="s">
        <v>436</v>
      </c>
      <c r="I3192" s="264"/>
      <c r="J3192" s="263" t="s">
        <v>437</v>
      </c>
    </row>
    <row r="3193" spans="1:10" x14ac:dyDescent="0.15">
      <c r="A3193" s="263" t="s">
        <v>8256</v>
      </c>
      <c r="B3193" s="263" t="s">
        <v>8257</v>
      </c>
      <c r="C3193" s="263" t="s">
        <v>81</v>
      </c>
      <c r="D3193" s="263" t="s">
        <v>8258</v>
      </c>
      <c r="E3193" s="263" t="s">
        <v>88</v>
      </c>
      <c r="F3193">
        <v>0</v>
      </c>
      <c r="G3193">
        <v>2</v>
      </c>
      <c r="H3193" s="263" t="s">
        <v>436</v>
      </c>
      <c r="I3193" s="264"/>
      <c r="J3193" s="263" t="s">
        <v>437</v>
      </c>
    </row>
    <row r="3194" spans="1:10" x14ac:dyDescent="0.15">
      <c r="A3194" s="263" t="s">
        <v>8259</v>
      </c>
      <c r="B3194" s="263" t="s">
        <v>8260</v>
      </c>
      <c r="C3194" s="263" t="s">
        <v>81</v>
      </c>
      <c r="D3194" s="263" t="s">
        <v>8261</v>
      </c>
      <c r="E3194" s="263" t="s">
        <v>88</v>
      </c>
      <c r="F3194">
        <v>0</v>
      </c>
      <c r="G3194">
        <v>2</v>
      </c>
      <c r="H3194" s="263" t="s">
        <v>436</v>
      </c>
      <c r="I3194" s="264"/>
      <c r="J3194" s="263" t="s">
        <v>437</v>
      </c>
    </row>
    <row r="3195" spans="1:10" x14ac:dyDescent="0.15">
      <c r="A3195" s="263" t="s">
        <v>8262</v>
      </c>
      <c r="B3195" s="263" t="s">
        <v>8263</v>
      </c>
      <c r="C3195" s="263" t="s">
        <v>81</v>
      </c>
      <c r="D3195" s="263" t="s">
        <v>8264</v>
      </c>
      <c r="E3195" s="263" t="s">
        <v>88</v>
      </c>
      <c r="F3195">
        <v>0</v>
      </c>
      <c r="G3195">
        <v>2</v>
      </c>
      <c r="H3195" s="263" t="s">
        <v>436</v>
      </c>
      <c r="I3195" s="264"/>
      <c r="J3195" s="263" t="s">
        <v>437</v>
      </c>
    </row>
    <row r="3196" spans="1:10" x14ac:dyDescent="0.15">
      <c r="A3196" s="263" t="s">
        <v>8265</v>
      </c>
      <c r="B3196" s="263" t="s">
        <v>8266</v>
      </c>
      <c r="C3196" s="263" t="s">
        <v>81</v>
      </c>
      <c r="D3196" s="263" t="s">
        <v>8267</v>
      </c>
      <c r="E3196" s="263" t="s">
        <v>88</v>
      </c>
      <c r="F3196">
        <v>0</v>
      </c>
      <c r="G3196">
        <v>2</v>
      </c>
      <c r="H3196" s="263" t="s">
        <v>436</v>
      </c>
      <c r="I3196" s="264"/>
      <c r="J3196" s="263" t="s">
        <v>437</v>
      </c>
    </row>
    <row r="3197" spans="1:10" x14ac:dyDescent="0.15">
      <c r="A3197" s="263" t="s">
        <v>8268</v>
      </c>
      <c r="B3197" s="263" t="s">
        <v>8269</v>
      </c>
      <c r="C3197" s="263" t="s">
        <v>81</v>
      </c>
      <c r="D3197" s="263" t="s">
        <v>8270</v>
      </c>
      <c r="E3197" s="263" t="s">
        <v>88</v>
      </c>
      <c r="F3197">
        <v>0</v>
      </c>
      <c r="G3197">
        <v>2</v>
      </c>
      <c r="H3197" s="263" t="s">
        <v>436</v>
      </c>
      <c r="I3197" s="264"/>
      <c r="J3197" s="263" t="s">
        <v>437</v>
      </c>
    </row>
    <row r="3198" spans="1:10" x14ac:dyDescent="0.15">
      <c r="A3198" s="263" t="s">
        <v>8271</v>
      </c>
      <c r="B3198" s="263" t="s">
        <v>8272</v>
      </c>
      <c r="C3198" s="263" t="s">
        <v>81</v>
      </c>
      <c r="D3198" s="263" t="s">
        <v>8273</v>
      </c>
      <c r="E3198" s="263" t="s">
        <v>88</v>
      </c>
      <c r="F3198">
        <v>0</v>
      </c>
      <c r="G3198">
        <v>2</v>
      </c>
      <c r="H3198" s="263" t="s">
        <v>436</v>
      </c>
      <c r="I3198" s="264"/>
      <c r="J3198" s="263" t="s">
        <v>437</v>
      </c>
    </row>
    <row r="3199" spans="1:10" x14ac:dyDescent="0.15">
      <c r="A3199" s="263" t="s">
        <v>8274</v>
      </c>
      <c r="B3199" s="263" t="s">
        <v>8275</v>
      </c>
      <c r="C3199" s="263" t="s">
        <v>81</v>
      </c>
      <c r="D3199" s="263" t="s">
        <v>8276</v>
      </c>
      <c r="E3199" s="263" t="s">
        <v>88</v>
      </c>
      <c r="F3199">
        <v>0</v>
      </c>
      <c r="G3199">
        <v>2</v>
      </c>
      <c r="H3199" s="263" t="s">
        <v>436</v>
      </c>
      <c r="I3199" s="264"/>
      <c r="J3199" s="263" t="s">
        <v>437</v>
      </c>
    </row>
    <row r="3200" spans="1:10" x14ac:dyDescent="0.15">
      <c r="A3200" s="263" t="s">
        <v>8277</v>
      </c>
      <c r="B3200" s="263" t="s">
        <v>8181</v>
      </c>
      <c r="C3200" s="263" t="s">
        <v>96</v>
      </c>
      <c r="D3200" s="263" t="s">
        <v>8182</v>
      </c>
      <c r="E3200" s="263" t="s">
        <v>97</v>
      </c>
      <c r="F3200">
        <v>0</v>
      </c>
      <c r="G3200">
        <v>2</v>
      </c>
      <c r="H3200" s="263" t="s">
        <v>436</v>
      </c>
      <c r="I3200" s="264"/>
      <c r="J3200" s="263" t="s">
        <v>437</v>
      </c>
    </row>
    <row r="3201" spans="1:10" x14ac:dyDescent="0.15">
      <c r="A3201" s="263" t="s">
        <v>8278</v>
      </c>
      <c r="B3201" s="263" t="s">
        <v>8184</v>
      </c>
      <c r="C3201" s="263" t="s">
        <v>96</v>
      </c>
      <c r="D3201" s="263" t="s">
        <v>8185</v>
      </c>
      <c r="E3201" s="263" t="s">
        <v>97</v>
      </c>
      <c r="F3201">
        <v>0</v>
      </c>
      <c r="G3201">
        <v>2</v>
      </c>
      <c r="H3201" s="263" t="s">
        <v>436</v>
      </c>
      <c r="I3201" s="264"/>
      <c r="J3201" s="263" t="s">
        <v>437</v>
      </c>
    </row>
    <row r="3202" spans="1:10" x14ac:dyDescent="0.15">
      <c r="A3202" s="263" t="s">
        <v>8279</v>
      </c>
      <c r="B3202" s="263" t="s">
        <v>8187</v>
      </c>
      <c r="C3202" s="263" t="s">
        <v>96</v>
      </c>
      <c r="D3202" s="263" t="s">
        <v>8188</v>
      </c>
      <c r="E3202" s="263" t="s">
        <v>97</v>
      </c>
      <c r="F3202">
        <v>0</v>
      </c>
      <c r="G3202">
        <v>2</v>
      </c>
      <c r="H3202" s="263" t="s">
        <v>436</v>
      </c>
      <c r="I3202" s="264"/>
      <c r="J3202" s="263" t="s">
        <v>437</v>
      </c>
    </row>
    <row r="3203" spans="1:10" x14ac:dyDescent="0.15">
      <c r="A3203" s="263" t="s">
        <v>8280</v>
      </c>
      <c r="B3203" s="263" t="s">
        <v>8281</v>
      </c>
      <c r="C3203" s="263" t="s">
        <v>96</v>
      </c>
      <c r="D3203" s="263" t="s">
        <v>8282</v>
      </c>
      <c r="E3203" s="263" t="s">
        <v>97</v>
      </c>
      <c r="F3203">
        <v>0</v>
      </c>
      <c r="G3203">
        <v>2</v>
      </c>
      <c r="H3203" s="263" t="s">
        <v>436</v>
      </c>
      <c r="I3203" s="264"/>
      <c r="J3203" s="263" t="s">
        <v>437</v>
      </c>
    </row>
    <row r="3204" spans="1:10" x14ac:dyDescent="0.15">
      <c r="A3204" s="263" t="s">
        <v>8283</v>
      </c>
      <c r="B3204" s="263" t="s">
        <v>10148</v>
      </c>
      <c r="C3204" s="263" t="s">
        <v>96</v>
      </c>
      <c r="D3204" s="263" t="s">
        <v>10149</v>
      </c>
      <c r="E3204" s="263" t="s">
        <v>97</v>
      </c>
      <c r="F3204">
        <v>0</v>
      </c>
      <c r="G3204">
        <v>2</v>
      </c>
      <c r="H3204" s="263" t="s">
        <v>436</v>
      </c>
      <c r="I3204" s="264"/>
      <c r="J3204" s="263" t="s">
        <v>437</v>
      </c>
    </row>
    <row r="3205" spans="1:10" x14ac:dyDescent="0.15">
      <c r="A3205" s="263" t="s">
        <v>8284</v>
      </c>
      <c r="B3205" s="263" t="s">
        <v>8285</v>
      </c>
      <c r="C3205" s="263" t="s">
        <v>96</v>
      </c>
      <c r="D3205" s="263" t="s">
        <v>8286</v>
      </c>
      <c r="E3205" s="263" t="s">
        <v>97</v>
      </c>
      <c r="F3205">
        <v>0</v>
      </c>
      <c r="G3205">
        <v>2</v>
      </c>
      <c r="H3205" s="263" t="s">
        <v>436</v>
      </c>
      <c r="I3205" s="264"/>
      <c r="J3205" s="263" t="s">
        <v>437</v>
      </c>
    </row>
    <row r="3206" spans="1:10" x14ac:dyDescent="0.15">
      <c r="A3206" s="263" t="s">
        <v>8287</v>
      </c>
      <c r="B3206" s="263" t="s">
        <v>10150</v>
      </c>
      <c r="C3206" s="263" t="s">
        <v>96</v>
      </c>
      <c r="D3206" s="263" t="s">
        <v>10151</v>
      </c>
      <c r="E3206" s="263" t="s">
        <v>97</v>
      </c>
      <c r="F3206">
        <v>0</v>
      </c>
      <c r="G3206">
        <v>2</v>
      </c>
      <c r="H3206" s="263" t="s">
        <v>436</v>
      </c>
      <c r="I3206" s="264"/>
      <c r="J3206" s="263" t="s">
        <v>437</v>
      </c>
    </row>
    <row r="3207" spans="1:10" x14ac:dyDescent="0.15">
      <c r="A3207" s="263" t="s">
        <v>8288</v>
      </c>
      <c r="B3207" s="263" t="s">
        <v>8289</v>
      </c>
      <c r="C3207" s="263" t="s">
        <v>96</v>
      </c>
      <c r="D3207" s="263" t="s">
        <v>8290</v>
      </c>
      <c r="E3207" s="263" t="s">
        <v>97</v>
      </c>
      <c r="F3207">
        <v>0</v>
      </c>
      <c r="G3207">
        <v>2</v>
      </c>
      <c r="H3207" s="263" t="s">
        <v>436</v>
      </c>
      <c r="I3207" s="264"/>
      <c r="J3207" s="263" t="s">
        <v>437</v>
      </c>
    </row>
    <row r="3208" spans="1:10" x14ac:dyDescent="0.15">
      <c r="A3208" s="263" t="s">
        <v>8291</v>
      </c>
      <c r="B3208" s="263" t="s">
        <v>8292</v>
      </c>
      <c r="C3208" s="263" t="s">
        <v>96</v>
      </c>
      <c r="D3208" s="263" t="s">
        <v>8293</v>
      </c>
      <c r="E3208" s="263" t="s">
        <v>97</v>
      </c>
      <c r="F3208">
        <v>0</v>
      </c>
      <c r="G3208">
        <v>2</v>
      </c>
      <c r="H3208" s="263" t="s">
        <v>436</v>
      </c>
      <c r="I3208" s="264"/>
      <c r="J3208" s="263" t="s">
        <v>437</v>
      </c>
    </row>
    <row r="3209" spans="1:10" x14ac:dyDescent="0.15">
      <c r="A3209" s="263" t="s">
        <v>8294</v>
      </c>
      <c r="B3209" s="263" t="s">
        <v>8295</v>
      </c>
      <c r="C3209" s="263" t="s">
        <v>96</v>
      </c>
      <c r="D3209" s="263" t="s">
        <v>8296</v>
      </c>
      <c r="E3209" s="263" t="s">
        <v>97</v>
      </c>
      <c r="F3209">
        <v>0</v>
      </c>
      <c r="G3209">
        <v>2</v>
      </c>
      <c r="H3209" s="263" t="s">
        <v>436</v>
      </c>
      <c r="I3209" s="264"/>
      <c r="J3209" s="263" t="s">
        <v>437</v>
      </c>
    </row>
    <row r="3210" spans="1:10" x14ac:dyDescent="0.15">
      <c r="A3210" s="263" t="s">
        <v>8297</v>
      </c>
      <c r="B3210" s="263" t="s">
        <v>8298</v>
      </c>
      <c r="C3210" s="263" t="s">
        <v>96</v>
      </c>
      <c r="D3210" s="263" t="s">
        <v>8299</v>
      </c>
      <c r="E3210" s="263" t="s">
        <v>97</v>
      </c>
      <c r="F3210">
        <v>0</v>
      </c>
      <c r="G3210">
        <v>2</v>
      </c>
      <c r="H3210" s="263" t="s">
        <v>436</v>
      </c>
      <c r="I3210" s="264"/>
      <c r="J3210" s="263" t="s">
        <v>437</v>
      </c>
    </row>
    <row r="3211" spans="1:10" x14ac:dyDescent="0.15">
      <c r="A3211" s="263" t="s">
        <v>8300</v>
      </c>
      <c r="B3211" s="263" t="s">
        <v>8301</v>
      </c>
      <c r="C3211" s="263" t="s">
        <v>96</v>
      </c>
      <c r="D3211" s="263" t="s">
        <v>8302</v>
      </c>
      <c r="E3211" s="263" t="s">
        <v>97</v>
      </c>
      <c r="F3211">
        <v>0</v>
      </c>
      <c r="G3211">
        <v>2</v>
      </c>
      <c r="H3211" s="263" t="s">
        <v>436</v>
      </c>
      <c r="I3211" s="264"/>
      <c r="J3211" s="263" t="s">
        <v>437</v>
      </c>
    </row>
    <row r="3212" spans="1:10" x14ac:dyDescent="0.15">
      <c r="A3212" s="263" t="s">
        <v>8303</v>
      </c>
      <c r="B3212" s="263" t="s">
        <v>8275</v>
      </c>
      <c r="C3212" s="263" t="s">
        <v>98</v>
      </c>
      <c r="D3212" s="263" t="s">
        <v>8276</v>
      </c>
      <c r="E3212" s="263" t="s">
        <v>109</v>
      </c>
      <c r="F3212">
        <v>0</v>
      </c>
      <c r="G3212">
        <v>2</v>
      </c>
      <c r="H3212" s="263" t="s">
        <v>436</v>
      </c>
      <c r="I3212" s="264"/>
      <c r="J3212" s="263" t="s">
        <v>437</v>
      </c>
    </row>
    <row r="3213" spans="1:10" x14ac:dyDescent="0.15">
      <c r="A3213" s="263" t="s">
        <v>8304</v>
      </c>
      <c r="B3213" s="263" t="s">
        <v>8305</v>
      </c>
      <c r="C3213" s="263" t="s">
        <v>98</v>
      </c>
      <c r="D3213" s="263" t="s">
        <v>8306</v>
      </c>
      <c r="E3213" s="263" t="s">
        <v>109</v>
      </c>
      <c r="F3213">
        <v>0</v>
      </c>
      <c r="G3213">
        <v>2</v>
      </c>
      <c r="H3213" s="263" t="s">
        <v>436</v>
      </c>
      <c r="I3213" s="264"/>
      <c r="J3213" s="263" t="s">
        <v>437</v>
      </c>
    </row>
    <row r="3214" spans="1:10" x14ac:dyDescent="0.15">
      <c r="A3214" s="263" t="s">
        <v>8307</v>
      </c>
      <c r="B3214" s="263" t="s">
        <v>8308</v>
      </c>
      <c r="C3214" s="263" t="s">
        <v>98</v>
      </c>
      <c r="D3214" s="263" t="s">
        <v>8309</v>
      </c>
      <c r="E3214" s="263" t="s">
        <v>109</v>
      </c>
      <c r="F3214">
        <v>0</v>
      </c>
      <c r="G3214">
        <v>2</v>
      </c>
      <c r="H3214" s="263" t="s">
        <v>436</v>
      </c>
      <c r="I3214" s="264"/>
      <c r="J3214" s="263" t="s">
        <v>437</v>
      </c>
    </row>
    <row r="3215" spans="1:10" x14ac:dyDescent="0.15">
      <c r="A3215" s="263" t="s">
        <v>8310</v>
      </c>
      <c r="B3215" s="263" t="s">
        <v>8292</v>
      </c>
      <c r="C3215" s="263" t="s">
        <v>90</v>
      </c>
      <c r="D3215" s="263" t="s">
        <v>8293</v>
      </c>
      <c r="E3215" s="263" t="s">
        <v>104</v>
      </c>
      <c r="F3215">
        <v>1</v>
      </c>
      <c r="G3215">
        <v>2</v>
      </c>
      <c r="H3215" s="263" t="s">
        <v>436</v>
      </c>
      <c r="I3215" s="264"/>
      <c r="J3215" s="263" t="s">
        <v>437</v>
      </c>
    </row>
    <row r="3216" spans="1:10" x14ac:dyDescent="0.15">
      <c r="A3216" s="263" t="s">
        <v>8311</v>
      </c>
      <c r="B3216" s="263" t="s">
        <v>8312</v>
      </c>
      <c r="C3216" s="263" t="s">
        <v>90</v>
      </c>
      <c r="D3216" s="263" t="s">
        <v>8313</v>
      </c>
      <c r="E3216" s="263" t="s">
        <v>104</v>
      </c>
      <c r="F3216">
        <v>1</v>
      </c>
      <c r="G3216">
        <v>2</v>
      </c>
      <c r="H3216" s="263" t="s">
        <v>436</v>
      </c>
      <c r="I3216" s="264"/>
      <c r="J3216" s="263" t="s">
        <v>437</v>
      </c>
    </row>
    <row r="3217" spans="1:10" x14ac:dyDescent="0.15">
      <c r="A3217" s="263" t="s">
        <v>8314</v>
      </c>
      <c r="B3217" s="263" t="s">
        <v>8315</v>
      </c>
      <c r="C3217" s="263" t="s">
        <v>87</v>
      </c>
      <c r="D3217" s="263" t="s">
        <v>8316</v>
      </c>
      <c r="E3217" s="263" t="s">
        <v>93</v>
      </c>
      <c r="F3217">
        <v>0</v>
      </c>
      <c r="G3217">
        <v>2</v>
      </c>
      <c r="H3217" s="263" t="s">
        <v>436</v>
      </c>
      <c r="I3217" s="264"/>
      <c r="J3217" s="263" t="s">
        <v>437</v>
      </c>
    </row>
    <row r="3218" spans="1:10" x14ac:dyDescent="0.15">
      <c r="A3218" s="263" t="s">
        <v>8317</v>
      </c>
      <c r="B3218" s="263" t="s">
        <v>8318</v>
      </c>
      <c r="C3218" s="263" t="s">
        <v>87</v>
      </c>
      <c r="D3218" s="263" t="s">
        <v>8319</v>
      </c>
      <c r="E3218" s="263" t="s">
        <v>93</v>
      </c>
      <c r="F3218">
        <v>0</v>
      </c>
      <c r="G3218">
        <v>2</v>
      </c>
      <c r="H3218" s="263" t="s">
        <v>436</v>
      </c>
      <c r="I3218" s="264"/>
      <c r="J3218" s="263" t="s">
        <v>437</v>
      </c>
    </row>
    <row r="3219" spans="1:10" x14ac:dyDescent="0.15">
      <c r="A3219" s="263" t="s">
        <v>8320</v>
      </c>
      <c r="B3219" s="263" t="s">
        <v>8321</v>
      </c>
      <c r="C3219" s="263" t="s">
        <v>87</v>
      </c>
      <c r="D3219" s="263" t="s">
        <v>8322</v>
      </c>
      <c r="E3219" s="263" t="s">
        <v>93</v>
      </c>
      <c r="F3219">
        <v>0</v>
      </c>
      <c r="G3219">
        <v>2</v>
      </c>
      <c r="H3219" s="263" t="s">
        <v>436</v>
      </c>
      <c r="I3219" s="264"/>
      <c r="J3219" s="263" t="s">
        <v>437</v>
      </c>
    </row>
    <row r="3220" spans="1:10" x14ac:dyDescent="0.15">
      <c r="A3220" s="263" t="s">
        <v>8323</v>
      </c>
      <c r="B3220" s="263" t="s">
        <v>8157</v>
      </c>
      <c r="C3220" s="263" t="s">
        <v>87</v>
      </c>
      <c r="D3220" s="263" t="s">
        <v>8158</v>
      </c>
      <c r="E3220" s="263" t="s">
        <v>93</v>
      </c>
      <c r="F3220">
        <v>0</v>
      </c>
      <c r="G3220">
        <v>2</v>
      </c>
      <c r="H3220" s="263" t="s">
        <v>436</v>
      </c>
      <c r="I3220" s="264"/>
      <c r="J3220" s="263" t="s">
        <v>437</v>
      </c>
    </row>
    <row r="3221" spans="1:10" x14ac:dyDescent="0.15">
      <c r="A3221" s="263" t="s">
        <v>8324</v>
      </c>
      <c r="B3221" s="263" t="s">
        <v>8235</v>
      </c>
      <c r="C3221" s="263" t="s">
        <v>87</v>
      </c>
      <c r="D3221" s="263" t="s">
        <v>8236</v>
      </c>
      <c r="E3221" s="263" t="s">
        <v>93</v>
      </c>
      <c r="F3221">
        <v>0</v>
      </c>
      <c r="G3221">
        <v>2</v>
      </c>
      <c r="H3221" s="263" t="s">
        <v>436</v>
      </c>
      <c r="I3221" s="264"/>
      <c r="J3221" s="263" t="s">
        <v>437</v>
      </c>
    </row>
    <row r="3222" spans="1:10" x14ac:dyDescent="0.15">
      <c r="A3222" s="263" t="s">
        <v>8325</v>
      </c>
      <c r="B3222" s="263" t="s">
        <v>8326</v>
      </c>
      <c r="C3222" s="263" t="s">
        <v>80</v>
      </c>
      <c r="D3222" s="263" t="s">
        <v>8327</v>
      </c>
      <c r="E3222" s="263" t="s">
        <v>86</v>
      </c>
      <c r="F3222">
        <v>0</v>
      </c>
      <c r="G3222">
        <v>2</v>
      </c>
      <c r="H3222" s="263" t="s">
        <v>436</v>
      </c>
      <c r="I3222" s="264"/>
      <c r="J3222" s="263" t="s">
        <v>437</v>
      </c>
    </row>
    <row r="3223" spans="1:10" x14ac:dyDescent="0.15">
      <c r="A3223" s="263" t="s">
        <v>8328</v>
      </c>
      <c r="B3223" s="263" t="s">
        <v>8329</v>
      </c>
      <c r="C3223" s="263" t="s">
        <v>80</v>
      </c>
      <c r="D3223" s="263" t="s">
        <v>8330</v>
      </c>
      <c r="E3223" s="263" t="s">
        <v>86</v>
      </c>
      <c r="F3223">
        <v>0</v>
      </c>
      <c r="G3223">
        <v>2</v>
      </c>
      <c r="H3223" s="263" t="s">
        <v>436</v>
      </c>
      <c r="I3223" s="264"/>
      <c r="J3223" s="263" t="s">
        <v>437</v>
      </c>
    </row>
    <row r="3224" spans="1:10" x14ac:dyDescent="0.15">
      <c r="A3224" s="263" t="s">
        <v>8331</v>
      </c>
      <c r="B3224" s="263" t="s">
        <v>8332</v>
      </c>
      <c r="C3224" s="263" t="s">
        <v>80</v>
      </c>
      <c r="D3224" s="263" t="s">
        <v>8333</v>
      </c>
      <c r="E3224" s="263" t="s">
        <v>86</v>
      </c>
      <c r="F3224">
        <v>0</v>
      </c>
      <c r="G3224">
        <v>2</v>
      </c>
      <c r="H3224" s="263" t="s">
        <v>436</v>
      </c>
      <c r="I3224" s="264"/>
      <c r="J3224" s="263" t="s">
        <v>437</v>
      </c>
    </row>
    <row r="3225" spans="1:10" x14ac:dyDescent="0.15">
      <c r="A3225" s="263" t="s">
        <v>8334</v>
      </c>
      <c r="B3225" s="263" t="s">
        <v>8315</v>
      </c>
      <c r="C3225" s="263" t="s">
        <v>80</v>
      </c>
      <c r="D3225" s="263" t="s">
        <v>8316</v>
      </c>
      <c r="E3225" s="263" t="s">
        <v>86</v>
      </c>
      <c r="F3225">
        <v>0</v>
      </c>
      <c r="G3225">
        <v>2</v>
      </c>
      <c r="H3225" s="263" t="s">
        <v>436</v>
      </c>
      <c r="I3225" s="264"/>
      <c r="J3225" s="263" t="s">
        <v>437</v>
      </c>
    </row>
    <row r="3226" spans="1:10" x14ac:dyDescent="0.15">
      <c r="A3226" s="263" t="s">
        <v>8335</v>
      </c>
      <c r="B3226" s="263" t="s">
        <v>8318</v>
      </c>
      <c r="C3226" s="263" t="s">
        <v>80</v>
      </c>
      <c r="D3226" s="263" t="s">
        <v>8319</v>
      </c>
      <c r="E3226" s="263" t="s">
        <v>86</v>
      </c>
      <c r="F3226">
        <v>0</v>
      </c>
      <c r="G3226">
        <v>2</v>
      </c>
      <c r="H3226" s="263" t="s">
        <v>436</v>
      </c>
      <c r="I3226" s="264"/>
      <c r="J3226" s="263" t="s">
        <v>437</v>
      </c>
    </row>
    <row r="3227" spans="1:10" x14ac:dyDescent="0.15">
      <c r="A3227" s="263" t="s">
        <v>8336</v>
      </c>
      <c r="B3227" s="263" t="s">
        <v>8321</v>
      </c>
      <c r="C3227" s="263" t="s">
        <v>80</v>
      </c>
      <c r="D3227" s="263" t="s">
        <v>8322</v>
      </c>
      <c r="E3227" s="263" t="s">
        <v>86</v>
      </c>
      <c r="F3227">
        <v>0</v>
      </c>
      <c r="G3227">
        <v>2</v>
      </c>
      <c r="H3227" s="263" t="s">
        <v>436</v>
      </c>
      <c r="I3227" s="264"/>
      <c r="J3227" s="263" t="s">
        <v>437</v>
      </c>
    </row>
    <row r="3228" spans="1:10" x14ac:dyDescent="0.15">
      <c r="A3228" s="263" t="s">
        <v>8337</v>
      </c>
      <c r="B3228" s="263" t="s">
        <v>8157</v>
      </c>
      <c r="C3228" s="263" t="s">
        <v>80</v>
      </c>
      <c r="D3228" s="263" t="s">
        <v>8158</v>
      </c>
      <c r="E3228" s="263" t="s">
        <v>86</v>
      </c>
      <c r="F3228">
        <v>0</v>
      </c>
      <c r="G3228">
        <v>2</v>
      </c>
      <c r="H3228" s="263" t="s">
        <v>436</v>
      </c>
      <c r="I3228" s="264"/>
      <c r="J3228" s="263" t="s">
        <v>437</v>
      </c>
    </row>
    <row r="3229" spans="1:10" x14ac:dyDescent="0.15">
      <c r="A3229" s="263" t="s">
        <v>8338</v>
      </c>
      <c r="B3229" s="263" t="s">
        <v>8235</v>
      </c>
      <c r="C3229" s="263" t="s">
        <v>80</v>
      </c>
      <c r="D3229" s="263" t="s">
        <v>8236</v>
      </c>
      <c r="E3229" s="263" t="s">
        <v>86</v>
      </c>
      <c r="F3229">
        <v>0</v>
      </c>
      <c r="G3229">
        <v>2</v>
      </c>
      <c r="H3229" s="263" t="s">
        <v>436</v>
      </c>
      <c r="I3229" s="264"/>
      <c r="J3229" s="263" t="s">
        <v>437</v>
      </c>
    </row>
    <row r="3230" spans="1:10" x14ac:dyDescent="0.15">
      <c r="A3230" s="263" t="s">
        <v>8339</v>
      </c>
      <c r="B3230" s="263" t="s">
        <v>8340</v>
      </c>
      <c r="C3230" s="263" t="s">
        <v>105</v>
      </c>
      <c r="D3230" s="263" t="s">
        <v>8341</v>
      </c>
      <c r="E3230" s="263" t="s">
        <v>112</v>
      </c>
      <c r="F3230">
        <v>0</v>
      </c>
      <c r="G3230">
        <v>2</v>
      </c>
      <c r="H3230" s="263" t="s">
        <v>436</v>
      </c>
      <c r="I3230" s="264"/>
      <c r="J3230" s="263" t="s">
        <v>437</v>
      </c>
    </row>
    <row r="3231" spans="1:10" x14ac:dyDescent="0.15">
      <c r="A3231" s="263" t="s">
        <v>8342</v>
      </c>
      <c r="B3231" s="263" t="s">
        <v>8318</v>
      </c>
      <c r="C3231" s="263" t="s">
        <v>8343</v>
      </c>
      <c r="D3231" s="263" t="s">
        <v>8319</v>
      </c>
      <c r="E3231" s="263" t="s">
        <v>83</v>
      </c>
      <c r="F3231">
        <v>0</v>
      </c>
      <c r="G3231">
        <v>2</v>
      </c>
      <c r="H3231" s="263" t="s">
        <v>436</v>
      </c>
      <c r="I3231" s="264"/>
      <c r="J3231" s="263" t="s">
        <v>437</v>
      </c>
    </row>
    <row r="3232" spans="1:10" x14ac:dyDescent="0.15">
      <c r="A3232" s="263" t="s">
        <v>8344</v>
      </c>
      <c r="B3232" s="263" t="s">
        <v>8157</v>
      </c>
      <c r="C3232" s="263" t="s">
        <v>107</v>
      </c>
      <c r="D3232" s="263" t="s">
        <v>8158</v>
      </c>
      <c r="E3232" s="263" t="s">
        <v>113</v>
      </c>
      <c r="F3232">
        <v>0</v>
      </c>
      <c r="G3232">
        <v>2</v>
      </c>
      <c r="H3232" s="263" t="s">
        <v>436</v>
      </c>
      <c r="I3232" s="264"/>
      <c r="J3232" s="263" t="s">
        <v>437</v>
      </c>
    </row>
    <row r="3233" spans="1:10" x14ac:dyDescent="0.15">
      <c r="A3233" s="263" t="s">
        <v>8345</v>
      </c>
      <c r="B3233" s="263" t="s">
        <v>8346</v>
      </c>
      <c r="C3233" s="263" t="s">
        <v>78</v>
      </c>
      <c r="D3233" s="263" t="s">
        <v>8347</v>
      </c>
      <c r="E3233" s="263" t="s">
        <v>78</v>
      </c>
      <c r="F3233">
        <v>0</v>
      </c>
      <c r="G3233">
        <v>2</v>
      </c>
      <c r="H3233" s="263" t="s">
        <v>436</v>
      </c>
      <c r="I3233" s="264"/>
      <c r="J3233" s="263" t="s">
        <v>437</v>
      </c>
    </row>
    <row r="3234" spans="1:10" x14ac:dyDescent="0.15">
      <c r="A3234" s="263" t="s">
        <v>8348</v>
      </c>
      <c r="B3234" s="263" t="s">
        <v>8349</v>
      </c>
      <c r="C3234" s="263" t="s">
        <v>94</v>
      </c>
      <c r="D3234" s="263" t="s">
        <v>8350</v>
      </c>
      <c r="E3234" s="263" t="s">
        <v>94</v>
      </c>
      <c r="F3234">
        <v>0</v>
      </c>
      <c r="G3234">
        <v>2</v>
      </c>
      <c r="H3234" s="263" t="s">
        <v>436</v>
      </c>
      <c r="I3234" s="264"/>
      <c r="J3234" s="263" t="s">
        <v>437</v>
      </c>
    </row>
    <row r="3235" spans="1:10" x14ac:dyDescent="0.15">
      <c r="A3235" s="263" t="s">
        <v>8351</v>
      </c>
      <c r="B3235" s="263" t="s">
        <v>8352</v>
      </c>
      <c r="C3235" s="263" t="s">
        <v>94</v>
      </c>
      <c r="D3235" s="263" t="s">
        <v>8353</v>
      </c>
      <c r="E3235" s="263" t="s">
        <v>94</v>
      </c>
      <c r="F3235">
        <v>0</v>
      </c>
      <c r="G3235">
        <v>2</v>
      </c>
      <c r="H3235" s="263" t="s">
        <v>436</v>
      </c>
      <c r="I3235" s="264"/>
      <c r="J3235" s="263" t="s">
        <v>437</v>
      </c>
    </row>
    <row r="3236" spans="1:10" x14ac:dyDescent="0.15">
      <c r="A3236" s="263" t="s">
        <v>8354</v>
      </c>
      <c r="B3236" s="263" t="s">
        <v>8355</v>
      </c>
      <c r="C3236" s="263" t="s">
        <v>94</v>
      </c>
      <c r="D3236" s="263" t="s">
        <v>8356</v>
      </c>
      <c r="E3236" s="263" t="s">
        <v>94</v>
      </c>
      <c r="F3236">
        <v>0</v>
      </c>
      <c r="G3236">
        <v>2</v>
      </c>
      <c r="H3236" s="263" t="s">
        <v>436</v>
      </c>
      <c r="I3236" s="264"/>
      <c r="J3236" s="263" t="s">
        <v>437</v>
      </c>
    </row>
    <row r="3237" spans="1:10" x14ac:dyDescent="0.15">
      <c r="A3237" s="263" t="s">
        <v>8357</v>
      </c>
      <c r="B3237" s="263" t="s">
        <v>8358</v>
      </c>
      <c r="C3237" s="263" t="s">
        <v>94</v>
      </c>
      <c r="D3237" s="263" t="s">
        <v>8359</v>
      </c>
      <c r="E3237" s="263" t="s">
        <v>94</v>
      </c>
      <c r="F3237">
        <v>0</v>
      </c>
      <c r="G3237">
        <v>2</v>
      </c>
      <c r="H3237" s="263" t="s">
        <v>436</v>
      </c>
      <c r="I3237" s="264"/>
      <c r="J3237" s="263" t="s">
        <v>437</v>
      </c>
    </row>
    <row r="3238" spans="1:10" x14ac:dyDescent="0.15">
      <c r="A3238" s="263" t="s">
        <v>8360</v>
      </c>
      <c r="B3238" s="263" t="s">
        <v>8361</v>
      </c>
      <c r="C3238" s="263" t="s">
        <v>94</v>
      </c>
      <c r="D3238" s="263" t="s">
        <v>8362</v>
      </c>
      <c r="E3238" s="263" t="s">
        <v>94</v>
      </c>
      <c r="F3238">
        <v>0</v>
      </c>
      <c r="G3238">
        <v>2</v>
      </c>
      <c r="H3238" s="263" t="s">
        <v>436</v>
      </c>
      <c r="I3238" s="264"/>
      <c r="J3238" s="263" t="s">
        <v>437</v>
      </c>
    </row>
    <row r="3239" spans="1:10" x14ac:dyDescent="0.15">
      <c r="A3239" s="263" t="s">
        <v>8363</v>
      </c>
      <c r="B3239" s="263" t="s">
        <v>8364</v>
      </c>
      <c r="C3239" s="263" t="s">
        <v>94</v>
      </c>
      <c r="D3239" s="263" t="s">
        <v>8365</v>
      </c>
      <c r="E3239" s="263" t="s">
        <v>94</v>
      </c>
      <c r="F3239">
        <v>0</v>
      </c>
      <c r="G3239">
        <v>2</v>
      </c>
      <c r="H3239" s="263" t="s">
        <v>436</v>
      </c>
      <c r="I3239" s="264"/>
      <c r="J3239" s="263" t="s">
        <v>437</v>
      </c>
    </row>
    <row r="3240" spans="1:10" x14ac:dyDescent="0.15">
      <c r="A3240" s="263" t="s">
        <v>8366</v>
      </c>
      <c r="B3240" s="263" t="s">
        <v>8367</v>
      </c>
      <c r="C3240" s="263" t="s">
        <v>94</v>
      </c>
      <c r="D3240" s="263" t="s">
        <v>8368</v>
      </c>
      <c r="E3240" s="263" t="s">
        <v>94</v>
      </c>
      <c r="F3240">
        <v>0</v>
      </c>
      <c r="G3240">
        <v>2</v>
      </c>
      <c r="H3240" s="263" t="s">
        <v>436</v>
      </c>
      <c r="I3240" s="264"/>
      <c r="J3240" s="263" t="s">
        <v>437</v>
      </c>
    </row>
    <row r="3241" spans="1:10" x14ac:dyDescent="0.15">
      <c r="A3241" s="263" t="s">
        <v>8369</v>
      </c>
      <c r="B3241" s="263" t="s">
        <v>8370</v>
      </c>
      <c r="C3241" s="263" t="s">
        <v>94</v>
      </c>
      <c r="D3241" s="263" t="s">
        <v>8371</v>
      </c>
      <c r="E3241" s="263" t="s">
        <v>94</v>
      </c>
      <c r="F3241">
        <v>0</v>
      </c>
      <c r="G3241">
        <v>2</v>
      </c>
      <c r="H3241" s="263" t="s">
        <v>436</v>
      </c>
      <c r="I3241" s="264"/>
      <c r="J3241" s="263" t="s">
        <v>437</v>
      </c>
    </row>
    <row r="3242" spans="1:10" x14ac:dyDescent="0.15">
      <c r="A3242" s="263" t="s">
        <v>8372</v>
      </c>
      <c r="B3242" s="263" t="s">
        <v>8373</v>
      </c>
      <c r="C3242" s="263" t="s">
        <v>94</v>
      </c>
      <c r="D3242" s="263" t="s">
        <v>8374</v>
      </c>
      <c r="E3242" s="263" t="s">
        <v>94</v>
      </c>
      <c r="F3242">
        <v>0</v>
      </c>
      <c r="G3242">
        <v>2</v>
      </c>
      <c r="H3242" s="263" t="s">
        <v>436</v>
      </c>
      <c r="I3242" s="264"/>
      <c r="J3242" s="263" t="s">
        <v>437</v>
      </c>
    </row>
    <row r="3243" spans="1:10" x14ac:dyDescent="0.15">
      <c r="A3243" s="263" t="s">
        <v>10152</v>
      </c>
      <c r="B3243" s="263" t="s">
        <v>10153</v>
      </c>
      <c r="C3243" s="263" t="s">
        <v>94</v>
      </c>
      <c r="D3243" s="263" t="s">
        <v>10154</v>
      </c>
      <c r="E3243" s="263" t="s">
        <v>94</v>
      </c>
      <c r="F3243">
        <v>0</v>
      </c>
      <c r="G3243">
        <v>2</v>
      </c>
      <c r="H3243" s="263" t="s">
        <v>436</v>
      </c>
      <c r="I3243" s="264"/>
      <c r="J3243" s="263" t="s">
        <v>437</v>
      </c>
    </row>
    <row r="3244" spans="1:10" x14ac:dyDescent="0.15">
      <c r="A3244" s="263" t="s">
        <v>8375</v>
      </c>
      <c r="B3244" s="263" t="s">
        <v>8349</v>
      </c>
      <c r="C3244" s="263" t="s">
        <v>81</v>
      </c>
      <c r="D3244" s="263" t="s">
        <v>8350</v>
      </c>
      <c r="E3244" s="263" t="s">
        <v>88</v>
      </c>
      <c r="F3244">
        <v>0</v>
      </c>
      <c r="G3244">
        <v>2</v>
      </c>
      <c r="H3244" s="263" t="s">
        <v>436</v>
      </c>
      <c r="I3244" s="264"/>
      <c r="J3244" s="263" t="s">
        <v>437</v>
      </c>
    </row>
    <row r="3245" spans="1:10" x14ac:dyDescent="0.15">
      <c r="A3245" s="263" t="s">
        <v>8376</v>
      </c>
      <c r="B3245" s="263" t="s">
        <v>8352</v>
      </c>
      <c r="C3245" s="263" t="s">
        <v>81</v>
      </c>
      <c r="D3245" s="263" t="s">
        <v>8353</v>
      </c>
      <c r="E3245" s="263" t="s">
        <v>88</v>
      </c>
      <c r="F3245">
        <v>0</v>
      </c>
      <c r="G3245">
        <v>2</v>
      </c>
      <c r="H3245" s="263" t="s">
        <v>436</v>
      </c>
      <c r="I3245" s="264"/>
      <c r="J3245" s="263" t="s">
        <v>437</v>
      </c>
    </row>
    <row r="3246" spans="1:10" x14ac:dyDescent="0.15">
      <c r="A3246" s="263" t="s">
        <v>8377</v>
      </c>
      <c r="B3246" s="263" t="s">
        <v>8355</v>
      </c>
      <c r="C3246" s="263" t="s">
        <v>81</v>
      </c>
      <c r="D3246" s="263" t="s">
        <v>8356</v>
      </c>
      <c r="E3246" s="263" t="s">
        <v>88</v>
      </c>
      <c r="F3246">
        <v>0</v>
      </c>
      <c r="G3246">
        <v>2</v>
      </c>
      <c r="H3246" s="263" t="s">
        <v>436</v>
      </c>
      <c r="I3246" s="264"/>
      <c r="J3246" s="263" t="s">
        <v>437</v>
      </c>
    </row>
    <row r="3247" spans="1:10" x14ac:dyDescent="0.15">
      <c r="A3247" s="263" t="s">
        <v>8378</v>
      </c>
      <c r="B3247" s="263" t="s">
        <v>8364</v>
      </c>
      <c r="C3247" s="263" t="s">
        <v>81</v>
      </c>
      <c r="D3247" s="263" t="s">
        <v>8365</v>
      </c>
      <c r="E3247" s="263" t="s">
        <v>88</v>
      </c>
      <c r="F3247">
        <v>0</v>
      </c>
      <c r="G3247">
        <v>2</v>
      </c>
      <c r="H3247" s="263" t="s">
        <v>436</v>
      </c>
      <c r="I3247" s="264"/>
      <c r="J3247" s="263" t="s">
        <v>437</v>
      </c>
    </row>
    <row r="3248" spans="1:10" x14ac:dyDescent="0.15">
      <c r="A3248" s="263" t="s">
        <v>8379</v>
      </c>
      <c r="B3248" s="263" t="s">
        <v>8367</v>
      </c>
      <c r="C3248" s="263" t="s">
        <v>81</v>
      </c>
      <c r="D3248" s="263" t="s">
        <v>8368</v>
      </c>
      <c r="E3248" s="263" t="s">
        <v>88</v>
      </c>
      <c r="F3248">
        <v>0</v>
      </c>
      <c r="G3248">
        <v>2</v>
      </c>
      <c r="H3248" s="263" t="s">
        <v>436</v>
      </c>
      <c r="I3248" s="264"/>
      <c r="J3248" s="263" t="s">
        <v>437</v>
      </c>
    </row>
    <row r="3249" spans="1:10" x14ac:dyDescent="0.15">
      <c r="A3249" s="263" t="s">
        <v>8380</v>
      </c>
      <c r="B3249" s="263" t="s">
        <v>8370</v>
      </c>
      <c r="C3249" s="263" t="s">
        <v>81</v>
      </c>
      <c r="D3249" s="263" t="s">
        <v>8371</v>
      </c>
      <c r="E3249" s="263" t="s">
        <v>88</v>
      </c>
      <c r="F3249">
        <v>0</v>
      </c>
      <c r="G3249">
        <v>2</v>
      </c>
      <c r="H3249" s="263" t="s">
        <v>436</v>
      </c>
      <c r="I3249" s="264"/>
      <c r="J3249" s="263" t="s">
        <v>437</v>
      </c>
    </row>
    <row r="3250" spans="1:10" x14ac:dyDescent="0.15">
      <c r="A3250" s="263" t="s">
        <v>8381</v>
      </c>
      <c r="B3250" s="263" t="s">
        <v>8382</v>
      </c>
      <c r="C3250" s="263" t="s">
        <v>81</v>
      </c>
      <c r="D3250" s="263" t="s">
        <v>8383</v>
      </c>
      <c r="E3250" s="263" t="s">
        <v>88</v>
      </c>
      <c r="F3250">
        <v>0</v>
      </c>
      <c r="G3250">
        <v>2</v>
      </c>
      <c r="H3250" s="263" t="s">
        <v>436</v>
      </c>
      <c r="I3250" s="264"/>
      <c r="J3250" s="263" t="s">
        <v>437</v>
      </c>
    </row>
    <row r="3251" spans="1:10" x14ac:dyDescent="0.15">
      <c r="A3251" s="263" t="s">
        <v>8384</v>
      </c>
      <c r="B3251" s="263" t="s">
        <v>8385</v>
      </c>
      <c r="C3251" s="263" t="s">
        <v>81</v>
      </c>
      <c r="D3251" s="263" t="s">
        <v>8386</v>
      </c>
      <c r="E3251" s="263" t="s">
        <v>88</v>
      </c>
      <c r="F3251">
        <v>0</v>
      </c>
      <c r="G3251">
        <v>2</v>
      </c>
      <c r="H3251" s="263" t="s">
        <v>436</v>
      </c>
      <c r="I3251" s="264"/>
      <c r="J3251" s="263" t="s">
        <v>437</v>
      </c>
    </row>
    <row r="3252" spans="1:10" x14ac:dyDescent="0.15">
      <c r="A3252" s="263" t="s">
        <v>8387</v>
      </c>
      <c r="B3252" s="263" t="s">
        <v>8373</v>
      </c>
      <c r="C3252" s="263" t="s">
        <v>81</v>
      </c>
      <c r="D3252" s="263" t="s">
        <v>8374</v>
      </c>
      <c r="E3252" s="263" t="s">
        <v>88</v>
      </c>
      <c r="F3252">
        <v>0</v>
      </c>
      <c r="G3252">
        <v>2</v>
      </c>
      <c r="H3252" s="263" t="s">
        <v>436</v>
      </c>
      <c r="I3252" s="264"/>
      <c r="J3252" s="263" t="s">
        <v>437</v>
      </c>
    </row>
    <row r="3253" spans="1:10" x14ac:dyDescent="0.15">
      <c r="A3253" s="263" t="s">
        <v>10155</v>
      </c>
      <c r="B3253" s="263" t="s">
        <v>10153</v>
      </c>
      <c r="C3253" s="263" t="s">
        <v>81</v>
      </c>
      <c r="D3253" s="263" t="s">
        <v>10154</v>
      </c>
      <c r="E3253" s="263" t="s">
        <v>88</v>
      </c>
      <c r="F3253">
        <v>0</v>
      </c>
      <c r="G3253">
        <v>2</v>
      </c>
      <c r="H3253" s="263" t="s">
        <v>436</v>
      </c>
      <c r="I3253" s="264"/>
      <c r="J3253" s="263" t="s">
        <v>437</v>
      </c>
    </row>
    <row r="3254" spans="1:10" x14ac:dyDescent="0.15">
      <c r="A3254" s="263" t="s">
        <v>8388</v>
      </c>
      <c r="B3254" s="263" t="s">
        <v>10156</v>
      </c>
      <c r="C3254" s="263" t="s">
        <v>78</v>
      </c>
      <c r="D3254" s="263" t="s">
        <v>8389</v>
      </c>
      <c r="E3254" s="263" t="s">
        <v>78</v>
      </c>
      <c r="F3254">
        <v>0</v>
      </c>
      <c r="G3254">
        <v>2</v>
      </c>
      <c r="H3254" s="263" t="s">
        <v>436</v>
      </c>
      <c r="I3254" s="264"/>
      <c r="J3254" s="263" t="s">
        <v>437</v>
      </c>
    </row>
    <row r="3255" spans="1:10" x14ac:dyDescent="0.15">
      <c r="A3255" s="263" t="s">
        <v>9147</v>
      </c>
      <c r="B3255" s="263" t="s">
        <v>9148</v>
      </c>
      <c r="C3255" s="263" t="s">
        <v>78</v>
      </c>
      <c r="D3255" s="263" t="s">
        <v>9149</v>
      </c>
      <c r="E3255" s="263" t="s">
        <v>78</v>
      </c>
      <c r="F3255">
        <v>0</v>
      </c>
      <c r="G3255">
        <v>2</v>
      </c>
      <c r="H3255" s="263" t="s">
        <v>436</v>
      </c>
      <c r="I3255" s="264"/>
      <c r="J3255" s="263" t="s">
        <v>437</v>
      </c>
    </row>
    <row r="3256" spans="1:10" x14ac:dyDescent="0.15">
      <c r="A3256" s="263" t="s">
        <v>8390</v>
      </c>
      <c r="B3256" s="263" t="s">
        <v>8391</v>
      </c>
      <c r="C3256" s="263" t="s">
        <v>96</v>
      </c>
      <c r="D3256" s="263" t="s">
        <v>8392</v>
      </c>
      <c r="E3256" s="263" t="s">
        <v>97</v>
      </c>
      <c r="F3256">
        <v>0</v>
      </c>
      <c r="G3256">
        <v>2</v>
      </c>
      <c r="H3256" s="263" t="s">
        <v>436</v>
      </c>
      <c r="I3256" s="264"/>
      <c r="J3256" s="263" t="s">
        <v>437</v>
      </c>
    </row>
    <row r="3257" spans="1:10" x14ac:dyDescent="0.15">
      <c r="A3257" s="263" t="s">
        <v>8393</v>
      </c>
      <c r="B3257" s="263" t="s">
        <v>8394</v>
      </c>
      <c r="C3257" s="263" t="s">
        <v>96</v>
      </c>
      <c r="D3257" s="263" t="s">
        <v>8395</v>
      </c>
      <c r="E3257" s="263" t="s">
        <v>97</v>
      </c>
      <c r="F3257">
        <v>0</v>
      </c>
      <c r="G3257">
        <v>2</v>
      </c>
      <c r="H3257" s="263" t="s">
        <v>436</v>
      </c>
      <c r="I3257" s="264"/>
      <c r="J3257" s="263" t="s">
        <v>437</v>
      </c>
    </row>
    <row r="3258" spans="1:10" x14ac:dyDescent="0.15">
      <c r="A3258" s="263" t="s">
        <v>8396</v>
      </c>
      <c r="B3258" s="263" t="s">
        <v>8397</v>
      </c>
      <c r="C3258" s="263" t="s">
        <v>96</v>
      </c>
      <c r="D3258" s="263" t="s">
        <v>8398</v>
      </c>
      <c r="E3258" s="263" t="s">
        <v>97</v>
      </c>
      <c r="F3258">
        <v>0</v>
      </c>
      <c r="G3258">
        <v>2</v>
      </c>
      <c r="H3258" s="263" t="s">
        <v>436</v>
      </c>
      <c r="I3258" s="264"/>
      <c r="J3258" s="263" t="s">
        <v>437</v>
      </c>
    </row>
    <row r="3259" spans="1:10" x14ac:dyDescent="0.15">
      <c r="A3259" s="263" t="s">
        <v>8399</v>
      </c>
      <c r="B3259" s="263" t="s">
        <v>8400</v>
      </c>
      <c r="C3259" s="263" t="s">
        <v>96</v>
      </c>
      <c r="D3259" s="263" t="s">
        <v>8401</v>
      </c>
      <c r="E3259" s="263" t="s">
        <v>97</v>
      </c>
      <c r="F3259">
        <v>0</v>
      </c>
      <c r="G3259">
        <v>2</v>
      </c>
      <c r="H3259" s="263" t="s">
        <v>436</v>
      </c>
      <c r="I3259" s="264"/>
      <c r="J3259" s="263" t="s">
        <v>437</v>
      </c>
    </row>
    <row r="3260" spans="1:10" x14ac:dyDescent="0.15">
      <c r="A3260" s="263" t="s">
        <v>8402</v>
      </c>
      <c r="B3260" s="263" t="s">
        <v>8403</v>
      </c>
      <c r="C3260" s="263" t="s">
        <v>96</v>
      </c>
      <c r="D3260" s="263" t="s">
        <v>8404</v>
      </c>
      <c r="E3260" s="263" t="s">
        <v>97</v>
      </c>
      <c r="F3260">
        <v>0</v>
      </c>
      <c r="G3260">
        <v>2</v>
      </c>
      <c r="H3260" s="263" t="s">
        <v>436</v>
      </c>
      <c r="I3260" s="264"/>
      <c r="J3260" s="263" t="s">
        <v>437</v>
      </c>
    </row>
    <row r="3261" spans="1:10" x14ac:dyDescent="0.15">
      <c r="A3261" s="263" t="s">
        <v>8405</v>
      </c>
      <c r="B3261" s="263" t="s">
        <v>8406</v>
      </c>
      <c r="C3261" s="263" t="s">
        <v>96</v>
      </c>
      <c r="D3261" s="263" t="s">
        <v>8407</v>
      </c>
      <c r="E3261" s="263" t="s">
        <v>97</v>
      </c>
      <c r="F3261">
        <v>0</v>
      </c>
      <c r="G3261">
        <v>2</v>
      </c>
      <c r="H3261" s="263" t="s">
        <v>436</v>
      </c>
      <c r="I3261" s="264"/>
      <c r="J3261" s="263" t="s">
        <v>437</v>
      </c>
    </row>
    <row r="3262" spans="1:10" x14ac:dyDescent="0.15">
      <c r="A3262" s="263" t="s">
        <v>8408</v>
      </c>
      <c r="B3262" s="263" t="s">
        <v>8409</v>
      </c>
      <c r="C3262" s="263" t="s">
        <v>96</v>
      </c>
      <c r="D3262" s="263" t="s">
        <v>8410</v>
      </c>
      <c r="E3262" s="263" t="s">
        <v>97</v>
      </c>
      <c r="F3262">
        <v>0</v>
      </c>
      <c r="G3262">
        <v>2</v>
      </c>
      <c r="H3262" s="263" t="s">
        <v>436</v>
      </c>
      <c r="I3262" s="264"/>
      <c r="J3262" s="263" t="s">
        <v>437</v>
      </c>
    </row>
    <row r="3263" spans="1:10" x14ac:dyDescent="0.15">
      <c r="A3263" s="263" t="s">
        <v>8411</v>
      </c>
      <c r="B3263" s="263" t="s">
        <v>8412</v>
      </c>
      <c r="C3263" s="263" t="s">
        <v>96</v>
      </c>
      <c r="D3263" s="263" t="s">
        <v>8413</v>
      </c>
      <c r="E3263" s="263" t="s">
        <v>97</v>
      </c>
      <c r="F3263">
        <v>0</v>
      </c>
      <c r="G3263">
        <v>2</v>
      </c>
      <c r="H3263" s="263" t="s">
        <v>436</v>
      </c>
      <c r="I3263" s="264"/>
      <c r="J3263" s="263" t="s">
        <v>437</v>
      </c>
    </row>
    <row r="3264" spans="1:10" x14ac:dyDescent="0.15">
      <c r="A3264" s="263" t="s">
        <v>8414</v>
      </c>
      <c r="B3264" s="263" t="s">
        <v>8415</v>
      </c>
      <c r="C3264" s="263" t="s">
        <v>96</v>
      </c>
      <c r="D3264" s="263" t="s">
        <v>8416</v>
      </c>
      <c r="E3264" s="263" t="s">
        <v>97</v>
      </c>
      <c r="F3264">
        <v>0</v>
      </c>
      <c r="G3264">
        <v>2</v>
      </c>
      <c r="H3264" s="263" t="s">
        <v>436</v>
      </c>
      <c r="I3264" s="264"/>
      <c r="J3264" s="263" t="s">
        <v>437</v>
      </c>
    </row>
    <row r="3265" spans="1:10" x14ac:dyDescent="0.15">
      <c r="A3265" s="263" t="s">
        <v>8417</v>
      </c>
      <c r="B3265" s="263" t="s">
        <v>8418</v>
      </c>
      <c r="C3265" s="263" t="s">
        <v>96</v>
      </c>
      <c r="D3265" s="263" t="s">
        <v>8419</v>
      </c>
      <c r="E3265" s="263" t="s">
        <v>97</v>
      </c>
      <c r="F3265">
        <v>0</v>
      </c>
      <c r="G3265">
        <v>2</v>
      </c>
      <c r="H3265" s="263" t="s">
        <v>436</v>
      </c>
      <c r="I3265" s="264"/>
      <c r="J3265" s="263" t="s">
        <v>437</v>
      </c>
    </row>
    <row r="3266" spans="1:10" x14ac:dyDescent="0.15">
      <c r="A3266" s="263" t="s">
        <v>8420</v>
      </c>
      <c r="B3266" s="263" t="s">
        <v>8421</v>
      </c>
      <c r="C3266" s="263" t="s">
        <v>96</v>
      </c>
      <c r="D3266" s="263" t="s">
        <v>8422</v>
      </c>
      <c r="E3266" s="263" t="s">
        <v>97</v>
      </c>
      <c r="F3266">
        <v>0</v>
      </c>
      <c r="G3266">
        <v>2</v>
      </c>
      <c r="H3266" s="263" t="s">
        <v>436</v>
      </c>
      <c r="I3266" s="264"/>
      <c r="J3266" s="263" t="s">
        <v>437</v>
      </c>
    </row>
    <row r="3267" spans="1:10" x14ac:dyDescent="0.15">
      <c r="A3267" s="263" t="s">
        <v>8423</v>
      </c>
      <c r="B3267" s="263" t="s">
        <v>8424</v>
      </c>
      <c r="C3267" s="263" t="s">
        <v>96</v>
      </c>
      <c r="D3267" s="263" t="s">
        <v>8425</v>
      </c>
      <c r="E3267" s="263" t="s">
        <v>97</v>
      </c>
      <c r="F3267">
        <v>0</v>
      </c>
      <c r="G3267">
        <v>2</v>
      </c>
      <c r="H3267" s="263" t="s">
        <v>436</v>
      </c>
      <c r="I3267" s="264"/>
      <c r="J3267" s="263" t="s">
        <v>437</v>
      </c>
    </row>
    <row r="3268" spans="1:10" x14ac:dyDescent="0.15">
      <c r="A3268" s="263" t="s">
        <v>8426</v>
      </c>
      <c r="B3268" s="263" t="s">
        <v>8427</v>
      </c>
      <c r="C3268" s="263" t="s">
        <v>96</v>
      </c>
      <c r="D3268" s="263" t="s">
        <v>8428</v>
      </c>
      <c r="E3268" s="263" t="s">
        <v>97</v>
      </c>
      <c r="F3268">
        <v>0</v>
      </c>
      <c r="G3268">
        <v>2</v>
      </c>
      <c r="H3268" s="263" t="s">
        <v>436</v>
      </c>
      <c r="I3268" s="264"/>
      <c r="J3268" s="263" t="s">
        <v>437</v>
      </c>
    </row>
    <row r="3269" spans="1:10" x14ac:dyDescent="0.15">
      <c r="A3269" s="263" t="s">
        <v>8429</v>
      </c>
      <c r="B3269" s="263" t="s">
        <v>8430</v>
      </c>
      <c r="C3269" s="263" t="s">
        <v>96</v>
      </c>
      <c r="D3269" s="263" t="s">
        <v>8431</v>
      </c>
      <c r="E3269" s="263" t="s">
        <v>97</v>
      </c>
      <c r="F3269">
        <v>0</v>
      </c>
      <c r="G3269">
        <v>2</v>
      </c>
      <c r="H3269" s="263" t="s">
        <v>436</v>
      </c>
      <c r="I3269" s="264"/>
      <c r="J3269" s="263" t="s">
        <v>437</v>
      </c>
    </row>
    <row r="3270" spans="1:10" x14ac:dyDescent="0.15">
      <c r="A3270" s="263" t="s">
        <v>8432</v>
      </c>
      <c r="B3270" s="263" t="s">
        <v>8433</v>
      </c>
      <c r="C3270" s="263" t="s">
        <v>96</v>
      </c>
      <c r="D3270" s="263" t="s">
        <v>8434</v>
      </c>
      <c r="E3270" s="263" t="s">
        <v>97</v>
      </c>
      <c r="F3270">
        <v>0</v>
      </c>
      <c r="G3270">
        <v>2</v>
      </c>
      <c r="H3270" s="263" t="s">
        <v>436</v>
      </c>
      <c r="I3270" s="264"/>
      <c r="J3270" s="263" t="s">
        <v>437</v>
      </c>
    </row>
    <row r="3271" spans="1:10" x14ac:dyDescent="0.15">
      <c r="A3271" s="263" t="s">
        <v>8435</v>
      </c>
      <c r="B3271" s="263" t="s">
        <v>8436</v>
      </c>
      <c r="C3271" s="263" t="s">
        <v>96</v>
      </c>
      <c r="D3271" s="263" t="s">
        <v>8437</v>
      </c>
      <c r="E3271" s="263" t="s">
        <v>97</v>
      </c>
      <c r="F3271">
        <v>0</v>
      </c>
      <c r="G3271">
        <v>2</v>
      </c>
      <c r="H3271" s="263" t="s">
        <v>436</v>
      </c>
      <c r="I3271" s="264"/>
      <c r="J3271" s="263" t="s">
        <v>437</v>
      </c>
    </row>
    <row r="3272" spans="1:10" x14ac:dyDescent="0.15">
      <c r="A3272" s="263" t="s">
        <v>8438</v>
      </c>
      <c r="B3272" s="263" t="s">
        <v>8439</v>
      </c>
      <c r="C3272" s="263" t="s">
        <v>96</v>
      </c>
      <c r="D3272" s="263" t="s">
        <v>8440</v>
      </c>
      <c r="E3272" s="263" t="s">
        <v>97</v>
      </c>
      <c r="F3272">
        <v>0</v>
      </c>
      <c r="G3272">
        <v>2</v>
      </c>
      <c r="H3272" s="263" t="s">
        <v>436</v>
      </c>
      <c r="I3272" s="264"/>
      <c r="J3272" s="263" t="s">
        <v>437</v>
      </c>
    </row>
    <row r="3273" spans="1:10" x14ac:dyDescent="0.15">
      <c r="A3273" s="263" t="s">
        <v>8441</v>
      </c>
      <c r="B3273" s="263" t="s">
        <v>8442</v>
      </c>
      <c r="C3273" s="263" t="s">
        <v>96</v>
      </c>
      <c r="D3273" s="263" t="s">
        <v>8443</v>
      </c>
      <c r="E3273" s="263" t="s">
        <v>97</v>
      </c>
      <c r="F3273">
        <v>0</v>
      </c>
      <c r="G3273">
        <v>2</v>
      </c>
      <c r="H3273" s="263" t="s">
        <v>436</v>
      </c>
      <c r="I3273" s="264"/>
      <c r="J3273" s="263" t="s">
        <v>437</v>
      </c>
    </row>
    <row r="3274" spans="1:10" x14ac:dyDescent="0.15">
      <c r="A3274" s="263" t="s">
        <v>8444</v>
      </c>
      <c r="B3274" s="263" t="s">
        <v>8445</v>
      </c>
      <c r="C3274" s="263" t="s">
        <v>96</v>
      </c>
      <c r="D3274" s="263" t="s">
        <v>8446</v>
      </c>
      <c r="E3274" s="263" t="s">
        <v>97</v>
      </c>
      <c r="F3274">
        <v>0</v>
      </c>
      <c r="G3274">
        <v>2</v>
      </c>
      <c r="H3274" s="263" t="s">
        <v>436</v>
      </c>
      <c r="I3274" s="264"/>
      <c r="J3274" s="263" t="s">
        <v>437</v>
      </c>
    </row>
    <row r="3275" spans="1:10" x14ac:dyDescent="0.15">
      <c r="A3275" s="263" t="s">
        <v>8447</v>
      </c>
      <c r="B3275" s="263" t="s">
        <v>8448</v>
      </c>
      <c r="C3275" s="263" t="s">
        <v>96</v>
      </c>
      <c r="D3275" s="263" t="s">
        <v>8449</v>
      </c>
      <c r="E3275" s="263" t="s">
        <v>97</v>
      </c>
      <c r="F3275">
        <v>0</v>
      </c>
      <c r="G3275">
        <v>2</v>
      </c>
      <c r="H3275" s="263" t="s">
        <v>436</v>
      </c>
      <c r="I3275" s="264"/>
      <c r="J3275" s="263" t="s">
        <v>437</v>
      </c>
    </row>
    <row r="3276" spans="1:10" x14ac:dyDescent="0.15">
      <c r="A3276" s="263" t="s">
        <v>8450</v>
      </c>
      <c r="B3276" s="263" t="s">
        <v>8451</v>
      </c>
      <c r="C3276" s="263" t="s">
        <v>96</v>
      </c>
      <c r="D3276" s="263" t="s">
        <v>8452</v>
      </c>
      <c r="E3276" s="263" t="s">
        <v>97</v>
      </c>
      <c r="F3276">
        <v>0</v>
      </c>
      <c r="G3276">
        <v>2</v>
      </c>
      <c r="H3276" s="263" t="s">
        <v>436</v>
      </c>
      <c r="I3276" s="264"/>
      <c r="J3276" s="263" t="s">
        <v>437</v>
      </c>
    </row>
    <row r="3277" spans="1:10" x14ac:dyDescent="0.15">
      <c r="A3277" s="263" t="s">
        <v>8453</v>
      </c>
      <c r="B3277" s="263" t="s">
        <v>8454</v>
      </c>
      <c r="C3277" s="263" t="s">
        <v>96</v>
      </c>
      <c r="D3277" s="263" t="s">
        <v>8455</v>
      </c>
      <c r="E3277" s="263" t="s">
        <v>97</v>
      </c>
      <c r="F3277">
        <v>0</v>
      </c>
      <c r="G3277">
        <v>2</v>
      </c>
      <c r="H3277" s="263" t="s">
        <v>436</v>
      </c>
      <c r="I3277" s="264"/>
      <c r="J3277" s="263" t="s">
        <v>437</v>
      </c>
    </row>
    <row r="3278" spans="1:10" x14ac:dyDescent="0.15">
      <c r="A3278" s="263" t="s">
        <v>8456</v>
      </c>
      <c r="B3278" s="263" t="s">
        <v>8457</v>
      </c>
      <c r="C3278" s="263" t="s">
        <v>96</v>
      </c>
      <c r="D3278" s="263" t="s">
        <v>8458</v>
      </c>
      <c r="E3278" s="263" t="s">
        <v>97</v>
      </c>
      <c r="F3278">
        <v>0</v>
      </c>
      <c r="G3278">
        <v>2</v>
      </c>
      <c r="H3278" s="263" t="s">
        <v>436</v>
      </c>
      <c r="I3278" s="264"/>
      <c r="J3278" s="263" t="s">
        <v>437</v>
      </c>
    </row>
    <row r="3279" spans="1:10" x14ac:dyDescent="0.15">
      <c r="A3279" s="263" t="s">
        <v>8459</v>
      </c>
      <c r="B3279" s="263" t="s">
        <v>8460</v>
      </c>
      <c r="C3279" s="263" t="s">
        <v>96</v>
      </c>
      <c r="D3279" s="263" t="s">
        <v>8461</v>
      </c>
      <c r="E3279" s="263" t="s">
        <v>97</v>
      </c>
      <c r="F3279">
        <v>0</v>
      </c>
      <c r="G3279">
        <v>2</v>
      </c>
      <c r="H3279" s="263" t="s">
        <v>436</v>
      </c>
      <c r="I3279" s="264"/>
      <c r="J3279" s="263" t="s">
        <v>437</v>
      </c>
    </row>
    <row r="3280" spans="1:10" x14ac:dyDescent="0.15">
      <c r="A3280" s="263" t="s">
        <v>8462</v>
      </c>
      <c r="B3280" s="263" t="s">
        <v>8463</v>
      </c>
      <c r="C3280" s="263" t="s">
        <v>96</v>
      </c>
      <c r="D3280" s="263" t="s">
        <v>8464</v>
      </c>
      <c r="E3280" s="263" t="s">
        <v>97</v>
      </c>
      <c r="F3280">
        <v>0</v>
      </c>
      <c r="G3280">
        <v>2</v>
      </c>
      <c r="H3280" s="263" t="s">
        <v>436</v>
      </c>
      <c r="I3280" s="264"/>
      <c r="J3280" s="263" t="s">
        <v>437</v>
      </c>
    </row>
    <row r="3281" spans="1:10" x14ac:dyDescent="0.15">
      <c r="A3281" s="263" t="s">
        <v>8465</v>
      </c>
      <c r="B3281" s="263" t="s">
        <v>8466</v>
      </c>
      <c r="C3281" s="263" t="s">
        <v>96</v>
      </c>
      <c r="D3281" s="263" t="s">
        <v>8467</v>
      </c>
      <c r="E3281" s="263" t="s">
        <v>97</v>
      </c>
      <c r="F3281">
        <v>0</v>
      </c>
      <c r="G3281">
        <v>2</v>
      </c>
      <c r="H3281" s="263" t="s">
        <v>436</v>
      </c>
      <c r="I3281" s="264"/>
      <c r="J3281" s="263" t="s">
        <v>437</v>
      </c>
    </row>
    <row r="3282" spans="1:10" x14ac:dyDescent="0.15">
      <c r="A3282" s="263" t="s">
        <v>8468</v>
      </c>
      <c r="B3282" s="263" t="s">
        <v>8469</v>
      </c>
      <c r="C3282" s="263" t="s">
        <v>96</v>
      </c>
      <c r="D3282" s="263" t="s">
        <v>8470</v>
      </c>
      <c r="E3282" s="263" t="s">
        <v>97</v>
      </c>
      <c r="F3282">
        <v>0</v>
      </c>
      <c r="G3282">
        <v>2</v>
      </c>
      <c r="H3282" s="263" t="s">
        <v>436</v>
      </c>
      <c r="I3282" s="264"/>
      <c r="J3282" s="263" t="s">
        <v>437</v>
      </c>
    </row>
    <row r="3283" spans="1:10" x14ac:dyDescent="0.15">
      <c r="A3283" s="263" t="s">
        <v>8471</v>
      </c>
      <c r="B3283" s="263" t="s">
        <v>8472</v>
      </c>
      <c r="C3283" s="263" t="s">
        <v>96</v>
      </c>
      <c r="D3283" s="263" t="s">
        <v>8473</v>
      </c>
      <c r="E3283" s="263" t="s">
        <v>97</v>
      </c>
      <c r="F3283">
        <v>0</v>
      </c>
      <c r="G3283">
        <v>2</v>
      </c>
      <c r="H3283" s="263" t="s">
        <v>436</v>
      </c>
      <c r="I3283" s="264"/>
      <c r="J3283" s="263" t="s">
        <v>437</v>
      </c>
    </row>
    <row r="3284" spans="1:10" x14ac:dyDescent="0.15">
      <c r="A3284" s="263" t="s">
        <v>8474</v>
      </c>
      <c r="B3284" s="263" t="s">
        <v>8475</v>
      </c>
      <c r="C3284" s="263" t="s">
        <v>96</v>
      </c>
      <c r="D3284" s="263" t="s">
        <v>8476</v>
      </c>
      <c r="E3284" s="263" t="s">
        <v>97</v>
      </c>
      <c r="F3284">
        <v>0</v>
      </c>
      <c r="G3284">
        <v>2</v>
      </c>
      <c r="H3284" s="263" t="s">
        <v>436</v>
      </c>
      <c r="I3284" s="264"/>
      <c r="J3284" s="263" t="s">
        <v>437</v>
      </c>
    </row>
    <row r="3285" spans="1:10" x14ac:dyDescent="0.15">
      <c r="A3285" s="263" t="s">
        <v>8477</v>
      </c>
      <c r="B3285" s="263" t="s">
        <v>8478</v>
      </c>
      <c r="C3285" s="263" t="s">
        <v>96</v>
      </c>
      <c r="D3285" s="263" t="s">
        <v>8479</v>
      </c>
      <c r="E3285" s="263" t="s">
        <v>97</v>
      </c>
      <c r="F3285">
        <v>0</v>
      </c>
      <c r="G3285">
        <v>2</v>
      </c>
      <c r="H3285" s="263" t="s">
        <v>436</v>
      </c>
      <c r="I3285" s="264"/>
      <c r="J3285" s="263" t="s">
        <v>437</v>
      </c>
    </row>
    <row r="3286" spans="1:10" x14ac:dyDescent="0.15">
      <c r="A3286" s="263" t="s">
        <v>8480</v>
      </c>
      <c r="B3286" s="263" t="s">
        <v>8481</v>
      </c>
      <c r="C3286" s="263" t="s">
        <v>96</v>
      </c>
      <c r="D3286" s="263" t="s">
        <v>8482</v>
      </c>
      <c r="E3286" s="263" t="s">
        <v>97</v>
      </c>
      <c r="F3286">
        <v>0</v>
      </c>
      <c r="G3286">
        <v>2</v>
      </c>
      <c r="H3286" s="263" t="s">
        <v>436</v>
      </c>
      <c r="I3286" s="264"/>
      <c r="J3286" s="263" t="s">
        <v>437</v>
      </c>
    </row>
    <row r="3287" spans="1:10" x14ac:dyDescent="0.15">
      <c r="A3287" s="263" t="s">
        <v>8483</v>
      </c>
      <c r="B3287" s="263" t="s">
        <v>8484</v>
      </c>
      <c r="C3287" s="263" t="s">
        <v>96</v>
      </c>
      <c r="D3287" s="263" t="s">
        <v>8485</v>
      </c>
      <c r="E3287" s="263" t="s">
        <v>97</v>
      </c>
      <c r="F3287">
        <v>0</v>
      </c>
      <c r="G3287">
        <v>2</v>
      </c>
      <c r="H3287" s="263" t="s">
        <v>436</v>
      </c>
      <c r="I3287" s="264"/>
      <c r="J3287" s="263" t="s">
        <v>437</v>
      </c>
    </row>
    <row r="3288" spans="1:10" x14ac:dyDescent="0.15">
      <c r="A3288" s="263" t="s">
        <v>8486</v>
      </c>
      <c r="B3288" s="263" t="s">
        <v>8487</v>
      </c>
      <c r="C3288" s="263" t="s">
        <v>96</v>
      </c>
      <c r="D3288" s="263" t="s">
        <v>8488</v>
      </c>
      <c r="E3288" s="263" t="s">
        <v>97</v>
      </c>
      <c r="F3288">
        <v>0</v>
      </c>
      <c r="G3288">
        <v>2</v>
      </c>
      <c r="H3288" s="263" t="s">
        <v>436</v>
      </c>
      <c r="I3288" s="264"/>
      <c r="J3288" s="263" t="s">
        <v>437</v>
      </c>
    </row>
    <row r="3289" spans="1:10" x14ac:dyDescent="0.15">
      <c r="A3289" s="263" t="s">
        <v>8489</v>
      </c>
      <c r="B3289" s="263" t="s">
        <v>8490</v>
      </c>
      <c r="C3289" s="263" t="s">
        <v>96</v>
      </c>
      <c r="D3289" s="263" t="s">
        <v>8491</v>
      </c>
      <c r="E3289" s="263" t="s">
        <v>97</v>
      </c>
      <c r="F3289">
        <v>0</v>
      </c>
      <c r="G3289">
        <v>2</v>
      </c>
      <c r="H3289" s="263" t="s">
        <v>436</v>
      </c>
      <c r="I3289" s="264"/>
      <c r="J3289" s="263" t="s">
        <v>437</v>
      </c>
    </row>
    <row r="3290" spans="1:10" x14ac:dyDescent="0.15">
      <c r="A3290" s="263" t="s">
        <v>8492</v>
      </c>
      <c r="B3290" s="263" t="s">
        <v>8493</v>
      </c>
      <c r="C3290" s="263" t="s">
        <v>96</v>
      </c>
      <c r="D3290" s="263" t="s">
        <v>8494</v>
      </c>
      <c r="E3290" s="263" t="s">
        <v>97</v>
      </c>
      <c r="F3290">
        <v>0</v>
      </c>
      <c r="G3290">
        <v>2</v>
      </c>
      <c r="H3290" s="263" t="s">
        <v>436</v>
      </c>
      <c r="I3290" s="264"/>
      <c r="J3290" s="263" t="s">
        <v>437</v>
      </c>
    </row>
    <row r="3291" spans="1:10" x14ac:dyDescent="0.15">
      <c r="A3291" s="263" t="s">
        <v>8495</v>
      </c>
      <c r="B3291" s="263" t="s">
        <v>8496</v>
      </c>
      <c r="C3291" s="263" t="s">
        <v>96</v>
      </c>
      <c r="D3291" s="263" t="s">
        <v>8497</v>
      </c>
      <c r="E3291" s="263" t="s">
        <v>97</v>
      </c>
      <c r="F3291">
        <v>0</v>
      </c>
      <c r="G3291">
        <v>2</v>
      </c>
      <c r="H3291" s="263" t="s">
        <v>436</v>
      </c>
      <c r="I3291" s="264"/>
      <c r="J3291" s="263" t="s">
        <v>437</v>
      </c>
    </row>
    <row r="3292" spans="1:10" x14ac:dyDescent="0.15">
      <c r="A3292" s="263" t="s">
        <v>8498</v>
      </c>
      <c r="B3292" s="263" t="s">
        <v>8499</v>
      </c>
      <c r="C3292" s="263" t="s">
        <v>96</v>
      </c>
      <c r="D3292" s="263" t="s">
        <v>8500</v>
      </c>
      <c r="E3292" s="263" t="s">
        <v>97</v>
      </c>
      <c r="F3292">
        <v>0</v>
      </c>
      <c r="G3292">
        <v>2</v>
      </c>
      <c r="H3292" s="263" t="s">
        <v>436</v>
      </c>
      <c r="I3292" s="264"/>
      <c r="J3292" s="263" t="s">
        <v>437</v>
      </c>
    </row>
    <row r="3293" spans="1:10" x14ac:dyDescent="0.15">
      <c r="A3293" s="263" t="s">
        <v>8501</v>
      </c>
      <c r="B3293" s="263" t="s">
        <v>8502</v>
      </c>
      <c r="C3293" s="263" t="s">
        <v>96</v>
      </c>
      <c r="D3293" s="263" t="s">
        <v>8503</v>
      </c>
      <c r="E3293" s="263" t="s">
        <v>97</v>
      </c>
      <c r="F3293">
        <v>0</v>
      </c>
      <c r="G3293">
        <v>2</v>
      </c>
      <c r="H3293" s="263" t="s">
        <v>436</v>
      </c>
      <c r="I3293" s="264"/>
      <c r="J3293" s="263" t="s">
        <v>437</v>
      </c>
    </row>
    <row r="3294" spans="1:10" x14ac:dyDescent="0.15">
      <c r="A3294" s="263" t="s">
        <v>8504</v>
      </c>
      <c r="B3294" s="263" t="s">
        <v>8505</v>
      </c>
      <c r="C3294" s="263" t="s">
        <v>96</v>
      </c>
      <c r="D3294" s="263" t="s">
        <v>8506</v>
      </c>
      <c r="E3294" s="263" t="s">
        <v>97</v>
      </c>
      <c r="F3294">
        <v>0</v>
      </c>
      <c r="G3294">
        <v>2</v>
      </c>
      <c r="H3294" s="263" t="s">
        <v>436</v>
      </c>
      <c r="I3294" s="264"/>
      <c r="J3294" s="263" t="s">
        <v>437</v>
      </c>
    </row>
    <row r="3295" spans="1:10" x14ac:dyDescent="0.15">
      <c r="A3295" s="263" t="s">
        <v>8507</v>
      </c>
      <c r="B3295" s="263" t="s">
        <v>8508</v>
      </c>
      <c r="C3295" s="263" t="s">
        <v>96</v>
      </c>
      <c r="D3295" s="263" t="s">
        <v>8509</v>
      </c>
      <c r="E3295" s="263" t="s">
        <v>97</v>
      </c>
      <c r="F3295">
        <v>0</v>
      </c>
      <c r="G3295">
        <v>2</v>
      </c>
      <c r="H3295" s="263" t="s">
        <v>436</v>
      </c>
      <c r="I3295" s="264"/>
      <c r="J3295" s="263" t="s">
        <v>437</v>
      </c>
    </row>
    <row r="3296" spans="1:10" x14ac:dyDescent="0.15">
      <c r="A3296" s="263" t="s">
        <v>8510</v>
      </c>
      <c r="B3296" s="263" t="s">
        <v>8511</v>
      </c>
      <c r="C3296" s="263" t="s">
        <v>96</v>
      </c>
      <c r="D3296" s="263" t="s">
        <v>8512</v>
      </c>
      <c r="E3296" s="263" t="s">
        <v>97</v>
      </c>
      <c r="F3296">
        <v>0</v>
      </c>
      <c r="G3296">
        <v>2</v>
      </c>
      <c r="H3296" s="263" t="s">
        <v>436</v>
      </c>
      <c r="I3296" s="264"/>
      <c r="J3296" s="263" t="s">
        <v>437</v>
      </c>
    </row>
    <row r="3297" spans="1:10" x14ac:dyDescent="0.15">
      <c r="A3297" s="263" t="s">
        <v>8513</v>
      </c>
      <c r="B3297" s="263" t="s">
        <v>8514</v>
      </c>
      <c r="C3297" s="263" t="s">
        <v>96</v>
      </c>
      <c r="D3297" s="263" t="s">
        <v>8515</v>
      </c>
      <c r="E3297" s="263" t="s">
        <v>97</v>
      </c>
      <c r="F3297">
        <v>0</v>
      </c>
      <c r="G3297">
        <v>2</v>
      </c>
      <c r="H3297" s="263" t="s">
        <v>436</v>
      </c>
      <c r="I3297" s="264"/>
      <c r="J3297" s="263" t="s">
        <v>437</v>
      </c>
    </row>
    <row r="3298" spans="1:10" x14ac:dyDescent="0.15">
      <c r="A3298" s="263" t="s">
        <v>8516</v>
      </c>
      <c r="B3298" s="263" t="s">
        <v>8517</v>
      </c>
      <c r="C3298" s="263" t="s">
        <v>96</v>
      </c>
      <c r="D3298" s="263" t="s">
        <v>8518</v>
      </c>
      <c r="E3298" s="263" t="s">
        <v>97</v>
      </c>
      <c r="F3298">
        <v>0</v>
      </c>
      <c r="G3298">
        <v>2</v>
      </c>
      <c r="H3298" s="263" t="s">
        <v>436</v>
      </c>
      <c r="I3298" s="264"/>
      <c r="J3298" s="263" t="s">
        <v>437</v>
      </c>
    </row>
    <row r="3299" spans="1:10" x14ac:dyDescent="0.15">
      <c r="A3299" s="263" t="s">
        <v>8519</v>
      </c>
      <c r="B3299" s="263" t="s">
        <v>8520</v>
      </c>
      <c r="C3299" s="263" t="s">
        <v>96</v>
      </c>
      <c r="D3299" s="263" t="s">
        <v>8521</v>
      </c>
      <c r="E3299" s="263" t="s">
        <v>97</v>
      </c>
      <c r="F3299">
        <v>0</v>
      </c>
      <c r="G3299">
        <v>2</v>
      </c>
      <c r="H3299" s="263" t="s">
        <v>436</v>
      </c>
      <c r="I3299" s="264"/>
      <c r="J3299" s="263" t="s">
        <v>437</v>
      </c>
    </row>
    <row r="3300" spans="1:10" x14ac:dyDescent="0.15">
      <c r="A3300" s="263" t="s">
        <v>8522</v>
      </c>
      <c r="B3300" s="263" t="s">
        <v>8523</v>
      </c>
      <c r="C3300" s="263" t="s">
        <v>96</v>
      </c>
      <c r="D3300" s="263" t="s">
        <v>8524</v>
      </c>
      <c r="E3300" s="263" t="s">
        <v>97</v>
      </c>
      <c r="F3300">
        <v>0</v>
      </c>
      <c r="G3300">
        <v>2</v>
      </c>
      <c r="H3300" s="263" t="s">
        <v>436</v>
      </c>
      <c r="I3300" s="264"/>
      <c r="J3300" s="263" t="s">
        <v>437</v>
      </c>
    </row>
    <row r="3301" spans="1:10" x14ac:dyDescent="0.15">
      <c r="A3301" s="263" t="s">
        <v>8525</v>
      </c>
      <c r="B3301" s="263" t="s">
        <v>8526</v>
      </c>
      <c r="C3301" s="263" t="s">
        <v>96</v>
      </c>
      <c r="D3301" s="263" t="s">
        <v>8527</v>
      </c>
      <c r="E3301" s="263" t="s">
        <v>97</v>
      </c>
      <c r="F3301">
        <v>0</v>
      </c>
      <c r="G3301">
        <v>2</v>
      </c>
      <c r="H3301" s="263" t="s">
        <v>436</v>
      </c>
      <c r="I3301" s="264"/>
      <c r="J3301" s="263" t="s">
        <v>437</v>
      </c>
    </row>
    <row r="3302" spans="1:10" x14ac:dyDescent="0.15">
      <c r="A3302" s="263" t="s">
        <v>8528</v>
      </c>
      <c r="B3302" s="263" t="s">
        <v>8529</v>
      </c>
      <c r="C3302" s="263" t="s">
        <v>96</v>
      </c>
      <c r="D3302" s="263" t="s">
        <v>8530</v>
      </c>
      <c r="E3302" s="263" t="s">
        <v>97</v>
      </c>
      <c r="F3302">
        <v>0</v>
      </c>
      <c r="G3302">
        <v>2</v>
      </c>
      <c r="H3302" s="263" t="s">
        <v>436</v>
      </c>
      <c r="I3302" s="264"/>
      <c r="J3302" s="263" t="s">
        <v>437</v>
      </c>
    </row>
    <row r="3303" spans="1:10" x14ac:dyDescent="0.15">
      <c r="A3303" s="263" t="s">
        <v>8531</v>
      </c>
      <c r="B3303" s="263" t="s">
        <v>8532</v>
      </c>
      <c r="C3303" s="263" t="s">
        <v>96</v>
      </c>
      <c r="D3303" s="263" t="s">
        <v>8533</v>
      </c>
      <c r="E3303" s="263" t="s">
        <v>97</v>
      </c>
      <c r="F3303">
        <v>0</v>
      </c>
      <c r="G3303">
        <v>2</v>
      </c>
      <c r="H3303" s="263" t="s">
        <v>436</v>
      </c>
      <c r="I3303" s="264"/>
      <c r="J3303" s="263" t="s">
        <v>437</v>
      </c>
    </row>
    <row r="3304" spans="1:10" x14ac:dyDescent="0.15">
      <c r="A3304" s="263" t="s">
        <v>8534</v>
      </c>
      <c r="B3304" s="263" t="s">
        <v>8535</v>
      </c>
      <c r="C3304" s="263" t="s">
        <v>96</v>
      </c>
      <c r="D3304" s="263" t="s">
        <v>8536</v>
      </c>
      <c r="E3304" s="263" t="s">
        <v>97</v>
      </c>
      <c r="F3304">
        <v>0</v>
      </c>
      <c r="G3304">
        <v>2</v>
      </c>
      <c r="H3304" s="263" t="s">
        <v>436</v>
      </c>
      <c r="I3304" s="264"/>
      <c r="J3304" s="263" t="s">
        <v>437</v>
      </c>
    </row>
    <row r="3305" spans="1:10" x14ac:dyDescent="0.15">
      <c r="A3305" s="263" t="s">
        <v>8537</v>
      </c>
      <c r="B3305" s="263" t="s">
        <v>8538</v>
      </c>
      <c r="C3305" s="263" t="s">
        <v>96</v>
      </c>
      <c r="D3305" s="263" t="s">
        <v>8539</v>
      </c>
      <c r="E3305" s="263" t="s">
        <v>97</v>
      </c>
      <c r="F3305">
        <v>0</v>
      </c>
      <c r="G3305">
        <v>2</v>
      </c>
      <c r="H3305" s="263" t="s">
        <v>436</v>
      </c>
      <c r="I3305" s="264"/>
      <c r="J3305" s="263" t="s">
        <v>437</v>
      </c>
    </row>
    <row r="3306" spans="1:10" x14ac:dyDescent="0.15">
      <c r="A3306" s="263" t="s">
        <v>8540</v>
      </c>
      <c r="B3306" s="263" t="s">
        <v>8541</v>
      </c>
      <c r="C3306" s="263" t="s">
        <v>96</v>
      </c>
      <c r="D3306" s="263" t="s">
        <v>8542</v>
      </c>
      <c r="E3306" s="263" t="s">
        <v>97</v>
      </c>
      <c r="F3306">
        <v>0</v>
      </c>
      <c r="G3306">
        <v>2</v>
      </c>
      <c r="H3306" s="263" t="s">
        <v>436</v>
      </c>
      <c r="I3306" s="264"/>
      <c r="J3306" s="263" t="s">
        <v>437</v>
      </c>
    </row>
    <row r="3307" spans="1:10" x14ac:dyDescent="0.15">
      <c r="A3307" s="263" t="s">
        <v>8543</v>
      </c>
      <c r="B3307" s="263" t="s">
        <v>8544</v>
      </c>
      <c r="C3307" s="263" t="s">
        <v>96</v>
      </c>
      <c r="D3307" s="263" t="s">
        <v>8545</v>
      </c>
      <c r="E3307" s="263" t="s">
        <v>97</v>
      </c>
      <c r="F3307">
        <v>0</v>
      </c>
      <c r="G3307">
        <v>2</v>
      </c>
      <c r="H3307" s="263" t="s">
        <v>436</v>
      </c>
      <c r="I3307" s="264"/>
      <c r="J3307" s="263" t="s">
        <v>437</v>
      </c>
    </row>
    <row r="3308" spans="1:10" x14ac:dyDescent="0.15">
      <c r="A3308" s="263" t="s">
        <v>8546</v>
      </c>
      <c r="B3308" s="263" t="s">
        <v>8547</v>
      </c>
      <c r="C3308" s="263" t="s">
        <v>96</v>
      </c>
      <c r="D3308" s="263" t="s">
        <v>8548</v>
      </c>
      <c r="E3308" s="263" t="s">
        <v>97</v>
      </c>
      <c r="F3308">
        <v>0</v>
      </c>
      <c r="G3308">
        <v>2</v>
      </c>
      <c r="H3308" s="263" t="s">
        <v>436</v>
      </c>
      <c r="I3308" s="264"/>
      <c r="J3308" s="263" t="s">
        <v>437</v>
      </c>
    </row>
    <row r="3309" spans="1:10" x14ac:dyDescent="0.15">
      <c r="A3309" s="263" t="s">
        <v>8549</v>
      </c>
      <c r="B3309" s="263" t="s">
        <v>8550</v>
      </c>
      <c r="C3309" s="263" t="s">
        <v>96</v>
      </c>
      <c r="D3309" s="263" t="s">
        <v>8551</v>
      </c>
      <c r="E3309" s="263" t="s">
        <v>97</v>
      </c>
      <c r="F3309">
        <v>0</v>
      </c>
      <c r="G3309">
        <v>2</v>
      </c>
      <c r="H3309" s="263" t="s">
        <v>436</v>
      </c>
      <c r="I3309" s="264"/>
      <c r="J3309" s="263" t="s">
        <v>437</v>
      </c>
    </row>
    <row r="3310" spans="1:10" x14ac:dyDescent="0.15">
      <c r="A3310" s="263" t="s">
        <v>8552</v>
      </c>
      <c r="B3310" s="263" t="s">
        <v>8553</v>
      </c>
      <c r="C3310" s="263" t="s">
        <v>96</v>
      </c>
      <c r="D3310" s="263" t="s">
        <v>8554</v>
      </c>
      <c r="E3310" s="263" t="s">
        <v>97</v>
      </c>
      <c r="F3310">
        <v>0</v>
      </c>
      <c r="G3310">
        <v>2</v>
      </c>
      <c r="H3310" s="263" t="s">
        <v>436</v>
      </c>
      <c r="I3310" s="264"/>
      <c r="J3310" s="263" t="s">
        <v>437</v>
      </c>
    </row>
    <row r="3311" spans="1:10" x14ac:dyDescent="0.15">
      <c r="A3311" s="263" t="s">
        <v>8555</v>
      </c>
      <c r="B3311" s="263" t="s">
        <v>8556</v>
      </c>
      <c r="C3311" s="263" t="s">
        <v>96</v>
      </c>
      <c r="D3311" s="263" t="s">
        <v>8557</v>
      </c>
      <c r="E3311" s="263" t="s">
        <v>97</v>
      </c>
      <c r="F3311">
        <v>0</v>
      </c>
      <c r="G3311">
        <v>2</v>
      </c>
      <c r="H3311" s="263" t="s">
        <v>436</v>
      </c>
      <c r="I3311" s="264"/>
      <c r="J3311" s="263" t="s">
        <v>437</v>
      </c>
    </row>
    <row r="3312" spans="1:10" x14ac:dyDescent="0.15">
      <c r="A3312" s="263" t="s">
        <v>8558</v>
      </c>
      <c r="B3312" s="263" t="s">
        <v>8559</v>
      </c>
      <c r="C3312" s="263" t="s">
        <v>96</v>
      </c>
      <c r="D3312" s="263" t="s">
        <v>8560</v>
      </c>
      <c r="E3312" s="263" t="s">
        <v>97</v>
      </c>
      <c r="F3312">
        <v>0</v>
      </c>
      <c r="G3312">
        <v>2</v>
      </c>
      <c r="H3312" s="263" t="s">
        <v>436</v>
      </c>
      <c r="I3312" s="264"/>
      <c r="J3312" s="263" t="s">
        <v>437</v>
      </c>
    </row>
    <row r="3313" spans="1:10" x14ac:dyDescent="0.15">
      <c r="A3313" s="263" t="s">
        <v>8561</v>
      </c>
      <c r="B3313" s="263" t="s">
        <v>8562</v>
      </c>
      <c r="C3313" s="263" t="s">
        <v>96</v>
      </c>
      <c r="D3313" s="263" t="s">
        <v>8563</v>
      </c>
      <c r="E3313" s="263" t="s">
        <v>97</v>
      </c>
      <c r="F3313">
        <v>0</v>
      </c>
      <c r="G3313">
        <v>2</v>
      </c>
      <c r="H3313" s="263" t="s">
        <v>436</v>
      </c>
      <c r="I3313" s="264"/>
      <c r="J3313" s="263" t="s">
        <v>437</v>
      </c>
    </row>
    <row r="3314" spans="1:10" x14ac:dyDescent="0.15">
      <c r="A3314" s="263" t="s">
        <v>9150</v>
      </c>
      <c r="B3314" s="263" t="s">
        <v>9151</v>
      </c>
      <c r="C3314" s="263" t="s">
        <v>96</v>
      </c>
      <c r="D3314" s="263" t="s">
        <v>9152</v>
      </c>
      <c r="E3314" s="263" t="s">
        <v>97</v>
      </c>
      <c r="F3314">
        <v>0</v>
      </c>
      <c r="G3314">
        <v>2</v>
      </c>
      <c r="H3314" s="263" t="s">
        <v>436</v>
      </c>
      <c r="I3314" s="264">
        <v>45483</v>
      </c>
      <c r="J3314" s="263" t="s">
        <v>437</v>
      </c>
    </row>
    <row r="3315" spans="1:10" x14ac:dyDescent="0.15">
      <c r="A3315" s="263" t="s">
        <v>8564</v>
      </c>
      <c r="B3315" s="263" t="s">
        <v>8565</v>
      </c>
      <c r="C3315" s="263" t="s">
        <v>96</v>
      </c>
      <c r="D3315" s="263" t="s">
        <v>8566</v>
      </c>
      <c r="E3315" s="263" t="s">
        <v>97</v>
      </c>
      <c r="F3315">
        <v>0</v>
      </c>
      <c r="G3315">
        <v>2</v>
      </c>
      <c r="H3315" s="263" t="s">
        <v>436</v>
      </c>
      <c r="I3315" s="264"/>
      <c r="J3315" s="263" t="s">
        <v>437</v>
      </c>
    </row>
    <row r="3316" spans="1:10" x14ac:dyDescent="0.15">
      <c r="A3316" s="263" t="s">
        <v>8567</v>
      </c>
      <c r="B3316" s="263" t="s">
        <v>8568</v>
      </c>
      <c r="C3316" s="263" t="s">
        <v>96</v>
      </c>
      <c r="D3316" s="263" t="s">
        <v>8569</v>
      </c>
      <c r="E3316" s="263" t="s">
        <v>97</v>
      </c>
      <c r="F3316">
        <v>0</v>
      </c>
      <c r="G3316">
        <v>2</v>
      </c>
      <c r="H3316" s="263" t="s">
        <v>436</v>
      </c>
      <c r="I3316" s="264"/>
      <c r="J3316" s="263" t="s">
        <v>437</v>
      </c>
    </row>
    <row r="3317" spans="1:10" x14ac:dyDescent="0.15">
      <c r="A3317" s="263" t="s">
        <v>8570</v>
      </c>
      <c r="B3317" s="263" t="s">
        <v>8571</v>
      </c>
      <c r="C3317" s="263" t="s">
        <v>96</v>
      </c>
      <c r="D3317" s="263" t="s">
        <v>8572</v>
      </c>
      <c r="E3317" s="263" t="s">
        <v>97</v>
      </c>
      <c r="F3317">
        <v>0</v>
      </c>
      <c r="G3317">
        <v>2</v>
      </c>
      <c r="H3317" s="263" t="s">
        <v>436</v>
      </c>
      <c r="I3317" s="264"/>
      <c r="J3317" s="263" t="s">
        <v>437</v>
      </c>
    </row>
    <row r="3318" spans="1:10" x14ac:dyDescent="0.15">
      <c r="A3318" s="263" t="s">
        <v>8573</v>
      </c>
      <c r="B3318" s="263" t="s">
        <v>8574</v>
      </c>
      <c r="C3318" s="263" t="s">
        <v>96</v>
      </c>
      <c r="D3318" s="263" t="s">
        <v>8575</v>
      </c>
      <c r="E3318" s="263" t="s">
        <v>97</v>
      </c>
      <c r="F3318">
        <v>0</v>
      </c>
      <c r="G3318">
        <v>2</v>
      </c>
      <c r="H3318" s="263" t="s">
        <v>436</v>
      </c>
      <c r="I3318" s="264"/>
      <c r="J3318" s="263" t="s">
        <v>437</v>
      </c>
    </row>
    <row r="3319" spans="1:10" x14ac:dyDescent="0.15">
      <c r="A3319" s="263" t="s">
        <v>9153</v>
      </c>
      <c r="B3319" s="263" t="s">
        <v>9154</v>
      </c>
      <c r="C3319" s="263" t="s">
        <v>96</v>
      </c>
      <c r="D3319" s="263" t="s">
        <v>9155</v>
      </c>
      <c r="E3319" s="263" t="s">
        <v>97</v>
      </c>
      <c r="F3319">
        <v>0</v>
      </c>
      <c r="G3319">
        <v>2</v>
      </c>
      <c r="H3319" s="263" t="s">
        <v>436</v>
      </c>
      <c r="I3319" s="264">
        <v>45398</v>
      </c>
      <c r="J3319" s="263" t="s">
        <v>437</v>
      </c>
    </row>
    <row r="3320" spans="1:10" x14ac:dyDescent="0.15">
      <c r="A3320" s="263" t="s">
        <v>8576</v>
      </c>
      <c r="B3320" s="263" t="s">
        <v>8577</v>
      </c>
      <c r="C3320" s="263" t="s">
        <v>81</v>
      </c>
      <c r="D3320" s="263" t="s">
        <v>8578</v>
      </c>
      <c r="E3320" s="263" t="s">
        <v>88</v>
      </c>
      <c r="F3320">
        <v>0</v>
      </c>
      <c r="G3320">
        <v>2</v>
      </c>
      <c r="H3320" s="263" t="s">
        <v>436</v>
      </c>
      <c r="I3320" s="264"/>
      <c r="J3320" s="263" t="s">
        <v>437</v>
      </c>
    </row>
    <row r="3321" spans="1:10" x14ac:dyDescent="0.15">
      <c r="A3321" s="263" t="s">
        <v>8579</v>
      </c>
      <c r="B3321" s="263" t="s">
        <v>8580</v>
      </c>
      <c r="C3321" s="263" t="s">
        <v>81</v>
      </c>
      <c r="D3321" s="263" t="s">
        <v>8581</v>
      </c>
      <c r="E3321" s="263" t="s">
        <v>88</v>
      </c>
      <c r="F3321">
        <v>0</v>
      </c>
      <c r="G3321">
        <v>2</v>
      </c>
      <c r="H3321" s="263" t="s">
        <v>436</v>
      </c>
      <c r="I3321" s="264"/>
      <c r="J3321" s="263" t="s">
        <v>437</v>
      </c>
    </row>
    <row r="3322" spans="1:10" x14ac:dyDescent="0.15">
      <c r="A3322" s="263" t="s">
        <v>8582</v>
      </c>
      <c r="B3322" s="263" t="s">
        <v>8583</v>
      </c>
      <c r="C3322" s="263" t="s">
        <v>81</v>
      </c>
      <c r="D3322" s="263" t="s">
        <v>8584</v>
      </c>
      <c r="E3322" s="263" t="s">
        <v>88</v>
      </c>
      <c r="F3322">
        <v>0</v>
      </c>
      <c r="G3322">
        <v>2</v>
      </c>
      <c r="H3322" s="263" t="s">
        <v>436</v>
      </c>
      <c r="I3322" s="264"/>
      <c r="J3322" s="263" t="s">
        <v>437</v>
      </c>
    </row>
    <row r="3323" spans="1:10" x14ac:dyDescent="0.15">
      <c r="A3323" s="263" t="s">
        <v>8585</v>
      </c>
      <c r="B3323" s="263" t="s">
        <v>8586</v>
      </c>
      <c r="C3323" s="263" t="s">
        <v>81</v>
      </c>
      <c r="D3323" s="263" t="s">
        <v>8587</v>
      </c>
      <c r="E3323" s="263" t="s">
        <v>88</v>
      </c>
      <c r="F3323">
        <v>0</v>
      </c>
      <c r="G3323">
        <v>2</v>
      </c>
      <c r="H3323" s="263" t="s">
        <v>436</v>
      </c>
      <c r="I3323" s="264"/>
      <c r="J3323" s="263" t="s">
        <v>437</v>
      </c>
    </row>
    <row r="3324" spans="1:10" x14ac:dyDescent="0.15">
      <c r="A3324" s="263" t="s">
        <v>8588</v>
      </c>
      <c r="B3324" s="263" t="s">
        <v>8589</v>
      </c>
      <c r="C3324" s="263" t="s">
        <v>81</v>
      </c>
      <c r="D3324" s="263" t="s">
        <v>8590</v>
      </c>
      <c r="E3324" s="263" t="s">
        <v>88</v>
      </c>
      <c r="F3324">
        <v>0</v>
      </c>
      <c r="G3324">
        <v>2</v>
      </c>
      <c r="H3324" s="263" t="s">
        <v>436</v>
      </c>
      <c r="I3324" s="264"/>
      <c r="J3324" s="263" t="s">
        <v>437</v>
      </c>
    </row>
    <row r="3325" spans="1:10" x14ac:dyDescent="0.15">
      <c r="A3325" s="263" t="s">
        <v>8591</v>
      </c>
      <c r="B3325" s="263" t="s">
        <v>8592</v>
      </c>
      <c r="C3325" s="263" t="s">
        <v>81</v>
      </c>
      <c r="D3325" s="263" t="s">
        <v>8593</v>
      </c>
      <c r="E3325" s="263" t="s">
        <v>88</v>
      </c>
      <c r="F3325">
        <v>0</v>
      </c>
      <c r="G3325">
        <v>2</v>
      </c>
      <c r="H3325" s="263" t="s">
        <v>436</v>
      </c>
      <c r="I3325" s="264"/>
      <c r="J3325" s="263" t="s">
        <v>437</v>
      </c>
    </row>
    <row r="3326" spans="1:10" x14ac:dyDescent="0.15">
      <c r="A3326" s="263" t="s">
        <v>8594</v>
      </c>
      <c r="B3326" s="263" t="s">
        <v>8595</v>
      </c>
      <c r="C3326" s="263" t="s">
        <v>81</v>
      </c>
      <c r="D3326" s="263" t="s">
        <v>8596</v>
      </c>
      <c r="E3326" s="263" t="s">
        <v>88</v>
      </c>
      <c r="F3326">
        <v>0</v>
      </c>
      <c r="G3326">
        <v>2</v>
      </c>
      <c r="H3326" s="263" t="s">
        <v>436</v>
      </c>
      <c r="I3326" s="264"/>
      <c r="J3326" s="263" t="s">
        <v>437</v>
      </c>
    </row>
    <row r="3327" spans="1:10" x14ac:dyDescent="0.15">
      <c r="A3327" s="263" t="s">
        <v>8597</v>
      </c>
      <c r="B3327" s="263" t="s">
        <v>8598</v>
      </c>
      <c r="C3327" s="263" t="s">
        <v>81</v>
      </c>
      <c r="D3327" s="263" t="s">
        <v>8599</v>
      </c>
      <c r="E3327" s="263" t="s">
        <v>88</v>
      </c>
      <c r="F3327">
        <v>0</v>
      </c>
      <c r="G3327">
        <v>2</v>
      </c>
      <c r="H3327" s="263" t="s">
        <v>436</v>
      </c>
      <c r="I3327" s="264"/>
      <c r="J3327" s="263" t="s">
        <v>437</v>
      </c>
    </row>
    <row r="3328" spans="1:10" x14ac:dyDescent="0.15">
      <c r="A3328" s="263" t="s">
        <v>8600</v>
      </c>
      <c r="B3328" s="263" t="s">
        <v>8601</v>
      </c>
      <c r="C3328" s="263" t="s">
        <v>81</v>
      </c>
      <c r="D3328" s="263" t="s">
        <v>8602</v>
      </c>
      <c r="E3328" s="263" t="s">
        <v>88</v>
      </c>
      <c r="F3328">
        <v>0</v>
      </c>
      <c r="G3328">
        <v>2</v>
      </c>
      <c r="H3328" s="263" t="s">
        <v>436</v>
      </c>
      <c r="I3328" s="264"/>
      <c r="J3328" s="263" t="s">
        <v>437</v>
      </c>
    </row>
    <row r="3329" spans="1:10" x14ac:dyDescent="0.15">
      <c r="A3329" s="263" t="s">
        <v>8603</v>
      </c>
      <c r="B3329" s="263" t="s">
        <v>8604</v>
      </c>
      <c r="C3329" s="263" t="s">
        <v>81</v>
      </c>
      <c r="D3329" s="263" t="s">
        <v>8605</v>
      </c>
      <c r="E3329" s="263" t="s">
        <v>88</v>
      </c>
      <c r="F3329">
        <v>0</v>
      </c>
      <c r="G3329">
        <v>2</v>
      </c>
      <c r="H3329" s="263" t="s">
        <v>436</v>
      </c>
      <c r="I3329" s="264"/>
      <c r="J3329" s="263" t="s">
        <v>437</v>
      </c>
    </row>
    <row r="3330" spans="1:10" x14ac:dyDescent="0.15">
      <c r="A3330" s="263" t="s">
        <v>8606</v>
      </c>
      <c r="B3330" s="263" t="s">
        <v>8607</v>
      </c>
      <c r="C3330" s="263" t="s">
        <v>81</v>
      </c>
      <c r="D3330" s="263" t="s">
        <v>8608</v>
      </c>
      <c r="E3330" s="263" t="s">
        <v>88</v>
      </c>
      <c r="F3330">
        <v>0</v>
      </c>
      <c r="G3330">
        <v>2</v>
      </c>
      <c r="H3330" s="263" t="s">
        <v>436</v>
      </c>
      <c r="I3330" s="264"/>
      <c r="J3330" s="263" t="s">
        <v>437</v>
      </c>
    </row>
    <row r="3331" spans="1:10" x14ac:dyDescent="0.15">
      <c r="A3331" s="263" t="s">
        <v>8609</v>
      </c>
      <c r="B3331" s="263" t="s">
        <v>8610</v>
      </c>
      <c r="C3331" s="263" t="s">
        <v>81</v>
      </c>
      <c r="D3331" s="263" t="s">
        <v>8611</v>
      </c>
      <c r="E3331" s="263" t="s">
        <v>88</v>
      </c>
      <c r="F3331">
        <v>0</v>
      </c>
      <c r="G3331">
        <v>2</v>
      </c>
      <c r="H3331" s="263" t="s">
        <v>436</v>
      </c>
      <c r="I3331" s="264"/>
      <c r="J3331" s="263" t="s">
        <v>437</v>
      </c>
    </row>
    <row r="3332" spans="1:10" x14ac:dyDescent="0.15">
      <c r="A3332" s="263" t="s">
        <v>8612</v>
      </c>
      <c r="B3332" s="263" t="s">
        <v>8613</v>
      </c>
      <c r="C3332" s="263" t="s">
        <v>81</v>
      </c>
      <c r="D3332" s="263" t="s">
        <v>8614</v>
      </c>
      <c r="E3332" s="263" t="s">
        <v>88</v>
      </c>
      <c r="F3332">
        <v>0</v>
      </c>
      <c r="G3332">
        <v>2</v>
      </c>
      <c r="H3332" s="263" t="s">
        <v>436</v>
      </c>
      <c r="I3332" s="264"/>
      <c r="J3332" s="263" t="s">
        <v>437</v>
      </c>
    </row>
    <row r="3333" spans="1:10" x14ac:dyDescent="0.15">
      <c r="A3333" s="263" t="s">
        <v>8615</v>
      </c>
      <c r="B3333" s="263" t="s">
        <v>8616</v>
      </c>
      <c r="C3333" s="263" t="s">
        <v>81</v>
      </c>
      <c r="D3333" s="263" t="s">
        <v>8617</v>
      </c>
      <c r="E3333" s="263" t="s">
        <v>88</v>
      </c>
      <c r="F3333">
        <v>0</v>
      </c>
      <c r="G3333">
        <v>2</v>
      </c>
      <c r="H3333" s="263" t="s">
        <v>436</v>
      </c>
      <c r="I3333" s="264"/>
      <c r="J3333" s="263" t="s">
        <v>437</v>
      </c>
    </row>
    <row r="3334" spans="1:10" x14ac:dyDescent="0.15">
      <c r="A3334" s="263" t="s">
        <v>9156</v>
      </c>
      <c r="B3334" s="263" t="s">
        <v>9157</v>
      </c>
      <c r="C3334" s="263" t="s">
        <v>81</v>
      </c>
      <c r="D3334" s="263" t="s">
        <v>9158</v>
      </c>
      <c r="E3334" s="263" t="s">
        <v>88</v>
      </c>
      <c r="F3334">
        <v>0</v>
      </c>
      <c r="G3334">
        <v>2</v>
      </c>
      <c r="H3334" s="263" t="s">
        <v>436</v>
      </c>
      <c r="I3334" s="264">
        <v>45398</v>
      </c>
      <c r="J3334" s="263" t="s">
        <v>437</v>
      </c>
    </row>
    <row r="3335" spans="1:10" x14ac:dyDescent="0.15">
      <c r="A3335" s="263" t="s">
        <v>9159</v>
      </c>
      <c r="B3335" s="263" t="s">
        <v>9160</v>
      </c>
      <c r="C3335" s="263" t="s">
        <v>81</v>
      </c>
      <c r="D3335" s="263" t="s">
        <v>9161</v>
      </c>
      <c r="E3335" s="263" t="s">
        <v>88</v>
      </c>
      <c r="F3335">
        <v>0</v>
      </c>
      <c r="G3335">
        <v>2</v>
      </c>
      <c r="H3335" s="263" t="s">
        <v>436</v>
      </c>
      <c r="I3335" s="264">
        <v>45398</v>
      </c>
      <c r="J3335" s="263" t="s">
        <v>437</v>
      </c>
    </row>
    <row r="3336" spans="1:10" x14ac:dyDescent="0.15">
      <c r="A3336" s="263" t="s">
        <v>9162</v>
      </c>
      <c r="B3336" s="263" t="s">
        <v>9163</v>
      </c>
      <c r="C3336" s="263" t="s">
        <v>81</v>
      </c>
      <c r="D3336" s="263" t="s">
        <v>9164</v>
      </c>
      <c r="E3336" s="263" t="s">
        <v>88</v>
      </c>
      <c r="F3336">
        <v>0</v>
      </c>
      <c r="G3336">
        <v>2</v>
      </c>
      <c r="H3336" s="263" t="s">
        <v>436</v>
      </c>
      <c r="I3336" s="264">
        <v>45442</v>
      </c>
      <c r="J3336" s="263" t="s">
        <v>437</v>
      </c>
    </row>
    <row r="3337" spans="1:10" x14ac:dyDescent="0.15">
      <c r="A3337" s="263" t="s">
        <v>8618</v>
      </c>
      <c r="B3337" s="263" t="s">
        <v>8619</v>
      </c>
      <c r="C3337" s="263" t="s">
        <v>81</v>
      </c>
      <c r="D3337" s="263" t="s">
        <v>8620</v>
      </c>
      <c r="E3337" s="263" t="s">
        <v>88</v>
      </c>
      <c r="F3337">
        <v>0</v>
      </c>
      <c r="G3337">
        <v>2</v>
      </c>
      <c r="H3337" s="263" t="s">
        <v>436</v>
      </c>
      <c r="I3337" s="264"/>
      <c r="J3337" s="263" t="s">
        <v>437</v>
      </c>
    </row>
    <row r="3338" spans="1:10" x14ac:dyDescent="0.15">
      <c r="A3338" s="263" t="s">
        <v>8621</v>
      </c>
      <c r="B3338" s="263" t="s">
        <v>8622</v>
      </c>
      <c r="C3338" s="263" t="s">
        <v>81</v>
      </c>
      <c r="D3338" s="263" t="s">
        <v>8623</v>
      </c>
      <c r="E3338" s="263" t="s">
        <v>88</v>
      </c>
      <c r="F3338">
        <v>0</v>
      </c>
      <c r="G3338">
        <v>2</v>
      </c>
      <c r="H3338" s="263" t="s">
        <v>436</v>
      </c>
      <c r="I3338" s="264"/>
      <c r="J3338" s="263" t="s">
        <v>437</v>
      </c>
    </row>
    <row r="3339" spans="1:10" x14ac:dyDescent="0.15">
      <c r="A3339" s="263" t="s">
        <v>8624</v>
      </c>
      <c r="B3339" s="263" t="s">
        <v>8625</v>
      </c>
      <c r="C3339" s="263" t="s">
        <v>81</v>
      </c>
      <c r="D3339" s="263" t="s">
        <v>8626</v>
      </c>
      <c r="E3339" s="263" t="s">
        <v>88</v>
      </c>
      <c r="F3339">
        <v>0</v>
      </c>
      <c r="G3339">
        <v>2</v>
      </c>
      <c r="H3339" s="263" t="s">
        <v>436</v>
      </c>
      <c r="I3339" s="264"/>
      <c r="J3339" s="263" t="s">
        <v>437</v>
      </c>
    </row>
    <row r="3340" spans="1:10" x14ac:dyDescent="0.15">
      <c r="A3340" s="263" t="s">
        <v>8627</v>
      </c>
      <c r="B3340" s="263" t="s">
        <v>8628</v>
      </c>
      <c r="C3340" s="263" t="s">
        <v>81</v>
      </c>
      <c r="D3340" s="263" t="s">
        <v>8629</v>
      </c>
      <c r="E3340" s="263" t="s">
        <v>88</v>
      </c>
      <c r="F3340">
        <v>0</v>
      </c>
      <c r="G3340">
        <v>2</v>
      </c>
      <c r="H3340" s="263" t="s">
        <v>436</v>
      </c>
      <c r="I3340" s="264"/>
      <c r="J3340" s="263" t="s">
        <v>437</v>
      </c>
    </row>
    <row r="3341" spans="1:10" x14ac:dyDescent="0.15">
      <c r="A3341" s="263" t="s">
        <v>8630</v>
      </c>
      <c r="B3341" s="263" t="s">
        <v>8631</v>
      </c>
      <c r="C3341" s="263" t="s">
        <v>81</v>
      </c>
      <c r="D3341" s="263" t="s">
        <v>8632</v>
      </c>
      <c r="E3341" s="263" t="s">
        <v>88</v>
      </c>
      <c r="F3341">
        <v>0</v>
      </c>
      <c r="G3341">
        <v>2</v>
      </c>
      <c r="H3341" s="263" t="s">
        <v>436</v>
      </c>
      <c r="I3341" s="264"/>
      <c r="J3341" s="263" t="s">
        <v>437</v>
      </c>
    </row>
    <row r="3342" spans="1:10" x14ac:dyDescent="0.15">
      <c r="A3342" s="263" t="s">
        <v>8633</v>
      </c>
      <c r="B3342" s="263" t="s">
        <v>8634</v>
      </c>
      <c r="C3342" s="263" t="s">
        <v>81</v>
      </c>
      <c r="D3342" s="263" t="s">
        <v>8635</v>
      </c>
      <c r="E3342" s="263" t="s">
        <v>88</v>
      </c>
      <c r="F3342">
        <v>0</v>
      </c>
      <c r="G3342">
        <v>2</v>
      </c>
      <c r="H3342" s="263" t="s">
        <v>436</v>
      </c>
      <c r="I3342" s="264"/>
      <c r="J3342" s="263" t="s">
        <v>437</v>
      </c>
    </row>
    <row r="3343" spans="1:10" x14ac:dyDescent="0.15">
      <c r="A3343" s="263" t="s">
        <v>8636</v>
      </c>
      <c r="B3343" s="263" t="s">
        <v>8637</v>
      </c>
      <c r="C3343" s="263" t="s">
        <v>81</v>
      </c>
      <c r="D3343" s="263" t="s">
        <v>8638</v>
      </c>
      <c r="E3343" s="263" t="s">
        <v>88</v>
      </c>
      <c r="F3343">
        <v>0</v>
      </c>
      <c r="G3343">
        <v>2</v>
      </c>
      <c r="H3343" s="263" t="s">
        <v>436</v>
      </c>
      <c r="I3343" s="264"/>
      <c r="J3343" s="263" t="s">
        <v>437</v>
      </c>
    </row>
    <row r="3344" spans="1:10" x14ac:dyDescent="0.15">
      <c r="A3344" s="263" t="s">
        <v>8639</v>
      </c>
      <c r="B3344" s="263" t="s">
        <v>8640</v>
      </c>
      <c r="C3344" s="263" t="s">
        <v>81</v>
      </c>
      <c r="D3344" s="263" t="s">
        <v>8641</v>
      </c>
      <c r="E3344" s="263" t="s">
        <v>88</v>
      </c>
      <c r="F3344">
        <v>0</v>
      </c>
      <c r="G3344">
        <v>2</v>
      </c>
      <c r="H3344" s="263" t="s">
        <v>436</v>
      </c>
      <c r="I3344" s="264"/>
      <c r="J3344" s="263" t="s">
        <v>437</v>
      </c>
    </row>
    <row r="3345" spans="1:10" x14ac:dyDescent="0.15">
      <c r="A3345" s="263" t="s">
        <v>8642</v>
      </c>
      <c r="B3345" s="263" t="s">
        <v>8643</v>
      </c>
      <c r="C3345" s="263" t="s">
        <v>81</v>
      </c>
      <c r="D3345" s="263" t="s">
        <v>8644</v>
      </c>
      <c r="E3345" s="263" t="s">
        <v>88</v>
      </c>
      <c r="F3345">
        <v>0</v>
      </c>
      <c r="G3345">
        <v>2</v>
      </c>
      <c r="H3345" s="263" t="s">
        <v>436</v>
      </c>
      <c r="I3345" s="264"/>
      <c r="J3345" s="263" t="s">
        <v>437</v>
      </c>
    </row>
    <row r="3346" spans="1:10" x14ac:dyDescent="0.15">
      <c r="A3346" s="263" t="s">
        <v>8645</v>
      </c>
      <c r="B3346" s="263" t="s">
        <v>8646</v>
      </c>
      <c r="C3346" s="263" t="s">
        <v>81</v>
      </c>
      <c r="D3346" s="263" t="s">
        <v>8647</v>
      </c>
      <c r="E3346" s="263" t="s">
        <v>88</v>
      </c>
      <c r="F3346">
        <v>0</v>
      </c>
      <c r="G3346">
        <v>2</v>
      </c>
      <c r="H3346" s="263" t="s">
        <v>436</v>
      </c>
      <c r="I3346" s="264"/>
      <c r="J3346" s="263" t="s">
        <v>437</v>
      </c>
    </row>
    <row r="3347" spans="1:10" x14ac:dyDescent="0.15">
      <c r="A3347" s="263" t="s">
        <v>8648</v>
      </c>
      <c r="B3347" s="263" t="s">
        <v>8649</v>
      </c>
      <c r="C3347" s="263" t="s">
        <v>81</v>
      </c>
      <c r="D3347" s="263" t="s">
        <v>8650</v>
      </c>
      <c r="E3347" s="263" t="s">
        <v>88</v>
      </c>
      <c r="F3347">
        <v>0</v>
      </c>
      <c r="G3347">
        <v>2</v>
      </c>
      <c r="H3347" s="263" t="s">
        <v>436</v>
      </c>
      <c r="I3347" s="264"/>
      <c r="J3347" s="263" t="s">
        <v>437</v>
      </c>
    </row>
    <row r="3348" spans="1:10" x14ac:dyDescent="0.15">
      <c r="A3348" s="263" t="s">
        <v>8651</v>
      </c>
      <c r="B3348" s="263" t="s">
        <v>8652</v>
      </c>
      <c r="C3348" s="263" t="s">
        <v>96</v>
      </c>
      <c r="D3348" s="263" t="s">
        <v>8653</v>
      </c>
      <c r="E3348" s="263" t="s">
        <v>97</v>
      </c>
      <c r="F3348">
        <v>0</v>
      </c>
      <c r="G3348">
        <v>2</v>
      </c>
      <c r="H3348" s="263" t="s">
        <v>436</v>
      </c>
      <c r="I3348" s="264"/>
      <c r="J3348" s="263" t="s">
        <v>437</v>
      </c>
    </row>
    <row r="3349" spans="1:10" x14ac:dyDescent="0.15">
      <c r="A3349" s="263" t="s">
        <v>8654</v>
      </c>
      <c r="B3349" s="263" t="s">
        <v>8655</v>
      </c>
      <c r="C3349" s="263" t="s">
        <v>81</v>
      </c>
      <c r="D3349" s="263" t="s">
        <v>8656</v>
      </c>
      <c r="E3349" s="263" t="s">
        <v>88</v>
      </c>
      <c r="F3349">
        <v>0</v>
      </c>
      <c r="G3349">
        <v>2</v>
      </c>
      <c r="H3349" s="263" t="s">
        <v>436</v>
      </c>
      <c r="I3349" s="264"/>
      <c r="J3349" s="263" t="s">
        <v>437</v>
      </c>
    </row>
    <row r="3350" spans="1:10" x14ac:dyDescent="0.15">
      <c r="A3350" s="263" t="s">
        <v>8657</v>
      </c>
      <c r="B3350" s="263" t="s">
        <v>8658</v>
      </c>
      <c r="C3350" s="263" t="s">
        <v>81</v>
      </c>
      <c r="D3350" s="263" t="s">
        <v>8659</v>
      </c>
      <c r="E3350" s="263" t="s">
        <v>88</v>
      </c>
      <c r="F3350">
        <v>0</v>
      </c>
      <c r="G3350">
        <v>2</v>
      </c>
      <c r="H3350" s="263" t="s">
        <v>436</v>
      </c>
      <c r="I3350" s="264"/>
      <c r="J3350" s="263" t="s">
        <v>437</v>
      </c>
    </row>
    <row r="3351" spans="1:10" x14ac:dyDescent="0.15">
      <c r="A3351" s="263" t="s">
        <v>8660</v>
      </c>
      <c r="B3351" s="263" t="s">
        <v>8661</v>
      </c>
      <c r="C3351" s="263" t="s">
        <v>81</v>
      </c>
      <c r="D3351" s="263" t="s">
        <v>8662</v>
      </c>
      <c r="E3351" s="263" t="s">
        <v>88</v>
      </c>
      <c r="F3351">
        <v>0</v>
      </c>
      <c r="G3351">
        <v>2</v>
      </c>
      <c r="H3351" s="263" t="s">
        <v>436</v>
      </c>
      <c r="I3351" s="264"/>
      <c r="J3351" s="263" t="s">
        <v>437</v>
      </c>
    </row>
    <row r="3352" spans="1:10" x14ac:dyDescent="0.15">
      <c r="A3352" s="263" t="s">
        <v>8663</v>
      </c>
      <c r="B3352" s="263" t="s">
        <v>8664</v>
      </c>
      <c r="C3352" s="263" t="s">
        <v>94</v>
      </c>
      <c r="D3352" s="263" t="s">
        <v>8665</v>
      </c>
      <c r="E3352" s="263" t="s">
        <v>94</v>
      </c>
      <c r="F3352">
        <v>0</v>
      </c>
      <c r="G3352">
        <v>2</v>
      </c>
      <c r="H3352" s="263" t="s">
        <v>436</v>
      </c>
      <c r="I3352" s="264"/>
      <c r="J3352" s="263" t="s">
        <v>437</v>
      </c>
    </row>
    <row r="3353" spans="1:10" x14ac:dyDescent="0.15">
      <c r="A3353" s="263" t="s">
        <v>8666</v>
      </c>
      <c r="B3353" s="263" t="s">
        <v>8667</v>
      </c>
      <c r="C3353" s="263" t="s">
        <v>94</v>
      </c>
      <c r="D3353" s="263" t="s">
        <v>8668</v>
      </c>
      <c r="E3353" s="263" t="s">
        <v>94</v>
      </c>
      <c r="F3353">
        <v>0</v>
      </c>
      <c r="G3353">
        <v>2</v>
      </c>
      <c r="H3353" s="263" t="s">
        <v>436</v>
      </c>
      <c r="I3353" s="264"/>
      <c r="J3353" s="263" t="s">
        <v>437</v>
      </c>
    </row>
    <row r="3354" spans="1:10" x14ac:dyDescent="0.15">
      <c r="A3354" s="263" t="s">
        <v>8669</v>
      </c>
      <c r="B3354" s="263" t="s">
        <v>8670</v>
      </c>
      <c r="C3354" s="263" t="s">
        <v>94</v>
      </c>
      <c r="D3354" s="263" t="s">
        <v>8671</v>
      </c>
      <c r="E3354" s="263" t="s">
        <v>94</v>
      </c>
      <c r="F3354">
        <v>0</v>
      </c>
      <c r="G3354">
        <v>2</v>
      </c>
      <c r="H3354" s="263" t="s">
        <v>436</v>
      </c>
      <c r="I3354" s="264"/>
      <c r="J3354" s="263" t="s">
        <v>437</v>
      </c>
    </row>
    <row r="3355" spans="1:10" x14ac:dyDescent="0.15">
      <c r="A3355" s="263" t="s">
        <v>8672</v>
      </c>
      <c r="B3355" s="263" t="s">
        <v>8673</v>
      </c>
      <c r="C3355" s="263" t="s">
        <v>94</v>
      </c>
      <c r="D3355" s="263" t="s">
        <v>8674</v>
      </c>
      <c r="E3355" s="263" t="s">
        <v>94</v>
      </c>
      <c r="F3355">
        <v>0</v>
      </c>
      <c r="G3355">
        <v>2</v>
      </c>
      <c r="H3355" s="263" t="s">
        <v>436</v>
      </c>
      <c r="I3355" s="264"/>
      <c r="J3355" s="263" t="s">
        <v>437</v>
      </c>
    </row>
    <row r="3356" spans="1:10" x14ac:dyDescent="0.15">
      <c r="A3356" s="263" t="s">
        <v>8675</v>
      </c>
      <c r="B3356" s="263" t="s">
        <v>8676</v>
      </c>
      <c r="C3356" s="263" t="s">
        <v>94</v>
      </c>
      <c r="D3356" s="263" t="s">
        <v>8677</v>
      </c>
      <c r="E3356" s="263" t="s">
        <v>94</v>
      </c>
      <c r="F3356">
        <v>0</v>
      </c>
      <c r="G3356">
        <v>2</v>
      </c>
      <c r="H3356" s="263" t="s">
        <v>436</v>
      </c>
      <c r="I3356" s="264"/>
      <c r="J3356" s="263" t="s">
        <v>437</v>
      </c>
    </row>
    <row r="3357" spans="1:10" x14ac:dyDescent="0.15">
      <c r="A3357" s="263" t="s">
        <v>8678</v>
      </c>
      <c r="B3357" s="263" t="s">
        <v>8679</v>
      </c>
      <c r="C3357" s="263" t="s">
        <v>94</v>
      </c>
      <c r="D3357" s="263" t="s">
        <v>8680</v>
      </c>
      <c r="E3357" s="263" t="s">
        <v>94</v>
      </c>
      <c r="F3357">
        <v>0</v>
      </c>
      <c r="G3357">
        <v>2</v>
      </c>
      <c r="H3357" s="263" t="s">
        <v>436</v>
      </c>
      <c r="I3357" s="264"/>
      <c r="J3357" s="263" t="s">
        <v>437</v>
      </c>
    </row>
    <row r="3358" spans="1:10" x14ac:dyDescent="0.15">
      <c r="A3358" s="263" t="s">
        <v>8681</v>
      </c>
      <c r="B3358" s="263" t="s">
        <v>8682</v>
      </c>
      <c r="C3358" s="263" t="s">
        <v>94</v>
      </c>
      <c r="D3358" s="263" t="s">
        <v>8683</v>
      </c>
      <c r="E3358" s="263" t="s">
        <v>94</v>
      </c>
      <c r="F3358">
        <v>0</v>
      </c>
      <c r="G3358">
        <v>2</v>
      </c>
      <c r="H3358" s="263" t="s">
        <v>436</v>
      </c>
      <c r="I3358" s="264"/>
      <c r="J3358" s="263" t="s">
        <v>437</v>
      </c>
    </row>
    <row r="3359" spans="1:10" x14ac:dyDescent="0.15">
      <c r="A3359" s="263" t="s">
        <v>8684</v>
      </c>
      <c r="B3359" s="263" t="s">
        <v>8685</v>
      </c>
      <c r="C3359" s="263" t="s">
        <v>81</v>
      </c>
      <c r="D3359" s="263" t="s">
        <v>8686</v>
      </c>
      <c r="E3359" s="263" t="s">
        <v>88</v>
      </c>
      <c r="F3359">
        <v>0</v>
      </c>
      <c r="G3359">
        <v>2</v>
      </c>
      <c r="H3359" s="263" t="s">
        <v>436</v>
      </c>
      <c r="I3359" s="264"/>
      <c r="J3359" s="263" t="s">
        <v>437</v>
      </c>
    </row>
    <row r="3360" spans="1:10" x14ac:dyDescent="0.15">
      <c r="A3360" s="263" t="s">
        <v>8687</v>
      </c>
      <c r="B3360" s="263" t="s">
        <v>8667</v>
      </c>
      <c r="C3360" s="263" t="s">
        <v>81</v>
      </c>
      <c r="D3360" s="263" t="s">
        <v>8668</v>
      </c>
      <c r="E3360" s="263" t="s">
        <v>88</v>
      </c>
      <c r="F3360">
        <v>0</v>
      </c>
      <c r="G3360">
        <v>2</v>
      </c>
      <c r="H3360" s="263" t="s">
        <v>436</v>
      </c>
      <c r="I3360" s="264"/>
      <c r="J3360" s="263" t="s">
        <v>437</v>
      </c>
    </row>
    <row r="3361" spans="1:10" x14ac:dyDescent="0.15">
      <c r="A3361" s="263" t="s">
        <v>8688</v>
      </c>
      <c r="B3361" s="263" t="s">
        <v>8670</v>
      </c>
      <c r="C3361" s="263" t="s">
        <v>81</v>
      </c>
      <c r="D3361" s="263" t="s">
        <v>8671</v>
      </c>
      <c r="E3361" s="263" t="s">
        <v>88</v>
      </c>
      <c r="F3361">
        <v>0</v>
      </c>
      <c r="G3361">
        <v>2</v>
      </c>
      <c r="H3361" s="263" t="s">
        <v>436</v>
      </c>
      <c r="I3361" s="264"/>
      <c r="J3361" s="263" t="s">
        <v>437</v>
      </c>
    </row>
    <row r="3362" spans="1:10" x14ac:dyDescent="0.15">
      <c r="A3362" s="263" t="s">
        <v>8689</v>
      </c>
      <c r="B3362" s="263" t="s">
        <v>8673</v>
      </c>
      <c r="C3362" s="263" t="s">
        <v>81</v>
      </c>
      <c r="D3362" s="263" t="s">
        <v>8674</v>
      </c>
      <c r="E3362" s="263" t="s">
        <v>88</v>
      </c>
      <c r="F3362">
        <v>0</v>
      </c>
      <c r="G3362">
        <v>2</v>
      </c>
      <c r="H3362" s="263" t="s">
        <v>436</v>
      </c>
      <c r="I3362" s="264"/>
      <c r="J3362" s="263" t="s">
        <v>437</v>
      </c>
    </row>
    <row r="3363" spans="1:10" x14ac:dyDescent="0.15">
      <c r="A3363" s="263" t="s">
        <v>8690</v>
      </c>
      <c r="B3363" s="263" t="s">
        <v>8676</v>
      </c>
      <c r="C3363" s="263" t="s">
        <v>81</v>
      </c>
      <c r="D3363" s="263" t="s">
        <v>8677</v>
      </c>
      <c r="E3363" s="263" t="s">
        <v>88</v>
      </c>
      <c r="F3363">
        <v>0</v>
      </c>
      <c r="G3363">
        <v>2</v>
      </c>
      <c r="H3363" s="263" t="s">
        <v>436</v>
      </c>
      <c r="I3363" s="264"/>
      <c r="J3363" s="263" t="s">
        <v>437</v>
      </c>
    </row>
    <row r="3364" spans="1:10" x14ac:dyDescent="0.15">
      <c r="A3364" s="263" t="s">
        <v>8691</v>
      </c>
      <c r="B3364" s="263" t="s">
        <v>8692</v>
      </c>
      <c r="C3364" s="263" t="s">
        <v>81</v>
      </c>
      <c r="D3364" s="263" t="s">
        <v>8693</v>
      </c>
      <c r="E3364" s="263" t="s">
        <v>88</v>
      </c>
      <c r="F3364">
        <v>0</v>
      </c>
      <c r="G3364">
        <v>2</v>
      </c>
      <c r="H3364" s="263" t="s">
        <v>436</v>
      </c>
      <c r="I3364" s="264"/>
      <c r="J3364" s="263" t="s">
        <v>437</v>
      </c>
    </row>
    <row r="3365" spans="1:10" x14ac:dyDescent="0.15">
      <c r="A3365" s="263" t="s">
        <v>8694</v>
      </c>
      <c r="B3365" s="263" t="s">
        <v>8695</v>
      </c>
      <c r="C3365" s="263" t="s">
        <v>81</v>
      </c>
      <c r="D3365" s="263" t="s">
        <v>8696</v>
      </c>
      <c r="E3365" s="263" t="s">
        <v>88</v>
      </c>
      <c r="F3365">
        <v>0</v>
      </c>
      <c r="G3365">
        <v>2</v>
      </c>
      <c r="H3365" s="263" t="s">
        <v>436</v>
      </c>
      <c r="I3365" s="264"/>
      <c r="J3365" s="263" t="s">
        <v>437</v>
      </c>
    </row>
    <row r="3366" spans="1:10" x14ac:dyDescent="0.15">
      <c r="A3366" s="263" t="s">
        <v>8697</v>
      </c>
      <c r="B3366" s="263" t="s">
        <v>8698</v>
      </c>
      <c r="C3366" s="263" t="s">
        <v>81</v>
      </c>
      <c r="D3366" s="263" t="s">
        <v>8699</v>
      </c>
      <c r="E3366" s="263" t="s">
        <v>88</v>
      </c>
      <c r="F3366">
        <v>0</v>
      </c>
      <c r="G3366">
        <v>2</v>
      </c>
      <c r="H3366" s="263" t="s">
        <v>436</v>
      </c>
      <c r="I3366" s="264"/>
      <c r="J3366" s="263" t="s">
        <v>437</v>
      </c>
    </row>
    <row r="3367" spans="1:10" x14ac:dyDescent="0.15">
      <c r="A3367" s="263" t="s">
        <v>8700</v>
      </c>
      <c r="B3367" s="263" t="s">
        <v>8701</v>
      </c>
      <c r="C3367" s="263" t="s">
        <v>96</v>
      </c>
      <c r="D3367" s="263" t="s">
        <v>8702</v>
      </c>
      <c r="E3367" s="263" t="s">
        <v>97</v>
      </c>
      <c r="F3367">
        <v>0</v>
      </c>
      <c r="G3367">
        <v>2</v>
      </c>
      <c r="H3367" s="263" t="s">
        <v>436</v>
      </c>
      <c r="I3367" s="264"/>
      <c r="J3367" s="263" t="s">
        <v>437</v>
      </c>
    </row>
    <row r="3368" spans="1:10" x14ac:dyDescent="0.15">
      <c r="A3368" s="263" t="s">
        <v>8703</v>
      </c>
      <c r="B3368" s="263" t="s">
        <v>8704</v>
      </c>
      <c r="C3368" s="263" t="s">
        <v>81</v>
      </c>
      <c r="D3368" s="263" t="s">
        <v>8705</v>
      </c>
      <c r="E3368" s="263" t="s">
        <v>88</v>
      </c>
      <c r="F3368">
        <v>0</v>
      </c>
      <c r="G3368">
        <v>2</v>
      </c>
      <c r="H3368" s="263" t="s">
        <v>436</v>
      </c>
      <c r="I3368" s="264"/>
      <c r="J3368" s="263" t="s">
        <v>437</v>
      </c>
    </row>
    <row r="3369" spans="1:10" x14ac:dyDescent="0.15">
      <c r="A3369" s="263" t="s">
        <v>8706</v>
      </c>
      <c r="B3369" s="263" t="s">
        <v>8704</v>
      </c>
      <c r="C3369" s="263" t="s">
        <v>8726</v>
      </c>
      <c r="D3369" s="263" t="s">
        <v>8705</v>
      </c>
      <c r="E3369" s="263" t="s">
        <v>106</v>
      </c>
      <c r="F3369">
        <v>0</v>
      </c>
      <c r="G3369">
        <v>2</v>
      </c>
      <c r="H3369" s="263" t="s">
        <v>436</v>
      </c>
      <c r="I3369" s="264"/>
      <c r="J3369" s="263" t="s">
        <v>437</v>
      </c>
    </row>
    <row r="3370" spans="1:10" x14ac:dyDescent="0.15">
      <c r="A3370" s="263" t="s">
        <v>8709</v>
      </c>
      <c r="B3370" s="263" t="s">
        <v>8710</v>
      </c>
      <c r="C3370" s="263" t="s">
        <v>81</v>
      </c>
      <c r="D3370" s="263" t="s">
        <v>8711</v>
      </c>
      <c r="E3370" s="263" t="s">
        <v>88</v>
      </c>
      <c r="F3370">
        <v>0</v>
      </c>
      <c r="G3370">
        <v>2</v>
      </c>
      <c r="H3370" s="263" t="s">
        <v>436</v>
      </c>
      <c r="I3370" s="264"/>
      <c r="J3370" s="263" t="s">
        <v>437</v>
      </c>
    </row>
    <row r="3371" spans="1:10" x14ac:dyDescent="0.15">
      <c r="A3371" s="263" t="s">
        <v>8712</v>
      </c>
      <c r="B3371" s="263" t="s">
        <v>8710</v>
      </c>
      <c r="C3371" s="263" t="s">
        <v>8726</v>
      </c>
      <c r="D3371" s="263" t="s">
        <v>8711</v>
      </c>
      <c r="E3371" s="263" t="s">
        <v>106</v>
      </c>
      <c r="F3371">
        <v>0</v>
      </c>
      <c r="G3371">
        <v>2</v>
      </c>
      <c r="H3371" s="263" t="s">
        <v>436</v>
      </c>
      <c r="I3371" s="264"/>
      <c r="J3371" s="263" t="s">
        <v>437</v>
      </c>
    </row>
    <row r="3372" spans="1:10" x14ac:dyDescent="0.15">
      <c r="A3372" s="263" t="s">
        <v>8713</v>
      </c>
      <c r="B3372" s="263" t="s">
        <v>8707</v>
      </c>
      <c r="C3372" s="263" t="s">
        <v>8726</v>
      </c>
      <c r="D3372" s="263" t="s">
        <v>8708</v>
      </c>
      <c r="E3372" s="263" t="s">
        <v>106</v>
      </c>
      <c r="F3372">
        <v>0</v>
      </c>
      <c r="G3372">
        <v>2</v>
      </c>
      <c r="H3372" s="263" t="s">
        <v>436</v>
      </c>
      <c r="I3372" s="264"/>
      <c r="J3372" s="263" t="s">
        <v>437</v>
      </c>
    </row>
    <row r="3373" spans="1:10" x14ac:dyDescent="0.15">
      <c r="A3373" s="263" t="s">
        <v>8714</v>
      </c>
      <c r="B3373" s="263" t="s">
        <v>8707</v>
      </c>
      <c r="C3373" s="263" t="s">
        <v>81</v>
      </c>
      <c r="D3373" s="263" t="s">
        <v>8708</v>
      </c>
      <c r="E3373" s="263" t="s">
        <v>88</v>
      </c>
      <c r="F3373">
        <v>0</v>
      </c>
      <c r="G3373">
        <v>2</v>
      </c>
      <c r="H3373" s="263" t="s">
        <v>436</v>
      </c>
      <c r="I3373" s="264"/>
      <c r="J3373" s="263" t="s">
        <v>437</v>
      </c>
    </row>
    <row r="3374" spans="1:10" x14ac:dyDescent="0.15">
      <c r="A3374" s="263" t="s">
        <v>8715</v>
      </c>
      <c r="B3374" s="263" t="s">
        <v>8716</v>
      </c>
      <c r="C3374" s="263" t="s">
        <v>101</v>
      </c>
      <c r="D3374" s="263" t="s">
        <v>8717</v>
      </c>
      <c r="E3374" s="263" t="s">
        <v>106</v>
      </c>
      <c r="F3374">
        <v>0</v>
      </c>
      <c r="G3374">
        <v>2</v>
      </c>
      <c r="H3374" s="263" t="s">
        <v>436</v>
      </c>
      <c r="I3374" s="264"/>
      <c r="J3374" s="263" t="s">
        <v>437</v>
      </c>
    </row>
    <row r="3375" spans="1:10" x14ac:dyDescent="0.15">
      <c r="A3375" s="263" t="s">
        <v>8718</v>
      </c>
      <c r="B3375" s="263" t="s">
        <v>8719</v>
      </c>
      <c r="C3375" s="263" t="s">
        <v>81</v>
      </c>
      <c r="D3375" s="263" t="s">
        <v>8720</v>
      </c>
      <c r="E3375" s="263" t="s">
        <v>88</v>
      </c>
      <c r="F3375">
        <v>0</v>
      </c>
      <c r="G3375">
        <v>2</v>
      </c>
      <c r="H3375" s="263" t="s">
        <v>436</v>
      </c>
      <c r="I3375" s="264"/>
      <c r="J3375" s="263" t="s">
        <v>437</v>
      </c>
    </row>
    <row r="3376" spans="1:10" x14ac:dyDescent="0.15">
      <c r="A3376" s="263" t="s">
        <v>8721</v>
      </c>
      <c r="B3376" s="263" t="s">
        <v>8719</v>
      </c>
      <c r="C3376" s="263" t="s">
        <v>94</v>
      </c>
      <c r="D3376" s="263" t="s">
        <v>8720</v>
      </c>
      <c r="E3376" s="263" t="s">
        <v>94</v>
      </c>
      <c r="F3376">
        <v>0</v>
      </c>
      <c r="G3376">
        <v>2</v>
      </c>
      <c r="H3376" s="263" t="s">
        <v>436</v>
      </c>
      <c r="I3376" s="264"/>
      <c r="J3376" s="263" t="s">
        <v>437</v>
      </c>
    </row>
    <row r="3377" spans="1:10" x14ac:dyDescent="0.15">
      <c r="A3377" s="263" t="s">
        <v>10157</v>
      </c>
      <c r="B3377" s="263" t="s">
        <v>8719</v>
      </c>
      <c r="C3377" s="263" t="s">
        <v>101</v>
      </c>
      <c r="D3377" s="263" t="s">
        <v>8720</v>
      </c>
      <c r="E3377" s="263" t="s">
        <v>106</v>
      </c>
      <c r="F3377">
        <v>0</v>
      </c>
      <c r="G3377">
        <v>2</v>
      </c>
      <c r="H3377" s="263" t="s">
        <v>436</v>
      </c>
      <c r="I3377" s="264"/>
      <c r="J3377" s="263" t="s">
        <v>437</v>
      </c>
    </row>
    <row r="3378" spans="1:10" x14ac:dyDescent="0.15">
      <c r="A3378" s="263" t="s">
        <v>8722</v>
      </c>
      <c r="B3378" s="263" t="s">
        <v>8723</v>
      </c>
      <c r="C3378" s="263" t="s">
        <v>94</v>
      </c>
      <c r="D3378" s="263" t="s">
        <v>8724</v>
      </c>
      <c r="E3378" s="263" t="s">
        <v>94</v>
      </c>
      <c r="F3378">
        <v>0</v>
      </c>
      <c r="G3378">
        <v>2</v>
      </c>
      <c r="H3378" s="263" t="s">
        <v>436</v>
      </c>
      <c r="I3378" s="264"/>
      <c r="J3378" s="263" t="s">
        <v>437</v>
      </c>
    </row>
    <row r="3379" spans="1:10" x14ac:dyDescent="0.15">
      <c r="A3379" s="263" t="s">
        <v>8725</v>
      </c>
      <c r="B3379" s="263" t="s">
        <v>8723</v>
      </c>
      <c r="C3379" s="263" t="s">
        <v>8726</v>
      </c>
      <c r="D3379" s="263" t="s">
        <v>8724</v>
      </c>
      <c r="E3379" s="263" t="s">
        <v>106</v>
      </c>
      <c r="F3379">
        <v>0</v>
      </c>
      <c r="G3379">
        <v>2</v>
      </c>
      <c r="H3379" s="263" t="s">
        <v>436</v>
      </c>
      <c r="I3379" s="264"/>
      <c r="J3379" s="263" t="s">
        <v>437</v>
      </c>
    </row>
    <row r="3380" spans="1:10" x14ac:dyDescent="0.15">
      <c r="A3380" s="263" t="s">
        <v>10158</v>
      </c>
      <c r="B3380" s="263" t="s">
        <v>10159</v>
      </c>
      <c r="C3380" s="263" t="s">
        <v>81</v>
      </c>
      <c r="D3380" s="263" t="s">
        <v>10160</v>
      </c>
      <c r="E3380" s="263" t="s">
        <v>88</v>
      </c>
      <c r="F3380">
        <v>0</v>
      </c>
      <c r="G3380">
        <v>2</v>
      </c>
      <c r="H3380" s="263" t="s">
        <v>436</v>
      </c>
      <c r="I3380" s="264"/>
      <c r="J3380" s="263" t="s">
        <v>437</v>
      </c>
    </row>
    <row r="3381" spans="1:10" x14ac:dyDescent="0.15">
      <c r="A3381" s="263" t="s">
        <v>10161</v>
      </c>
      <c r="B3381" s="263" t="s">
        <v>10159</v>
      </c>
      <c r="C3381" s="263" t="s">
        <v>8726</v>
      </c>
      <c r="D3381" s="263" t="s">
        <v>10160</v>
      </c>
      <c r="E3381" s="263" t="s">
        <v>106</v>
      </c>
      <c r="F3381">
        <v>0</v>
      </c>
      <c r="G3381">
        <v>2</v>
      </c>
      <c r="H3381" s="263" t="s">
        <v>436</v>
      </c>
      <c r="I3381" s="264"/>
      <c r="J3381" s="263" t="s">
        <v>437</v>
      </c>
    </row>
    <row r="3382" spans="1:10" x14ac:dyDescent="0.15">
      <c r="A3382" s="263" t="s">
        <v>8729</v>
      </c>
      <c r="B3382" s="263" t="s">
        <v>8730</v>
      </c>
      <c r="C3382" s="263" t="s">
        <v>81</v>
      </c>
      <c r="D3382" s="263" t="s">
        <v>8731</v>
      </c>
      <c r="E3382" s="263" t="s">
        <v>88</v>
      </c>
      <c r="F3382">
        <v>0</v>
      </c>
      <c r="G3382">
        <v>2</v>
      </c>
      <c r="H3382" s="263" t="s">
        <v>436</v>
      </c>
      <c r="I3382" s="264"/>
      <c r="J3382" s="263" t="s">
        <v>437</v>
      </c>
    </row>
    <row r="3383" spans="1:10" x14ac:dyDescent="0.15">
      <c r="A3383" s="263" t="s">
        <v>8732</v>
      </c>
      <c r="B3383" s="263" t="s">
        <v>8730</v>
      </c>
      <c r="C3383" s="263" t="s">
        <v>94</v>
      </c>
      <c r="D3383" s="263" t="s">
        <v>8731</v>
      </c>
      <c r="E3383" s="263" t="s">
        <v>94</v>
      </c>
      <c r="F3383">
        <v>0</v>
      </c>
      <c r="G3383">
        <v>2</v>
      </c>
      <c r="H3383" s="263" t="s">
        <v>436</v>
      </c>
      <c r="I3383" s="264"/>
      <c r="J3383" s="263" t="s">
        <v>437</v>
      </c>
    </row>
    <row r="3384" spans="1:10" x14ac:dyDescent="0.15">
      <c r="A3384" s="263" t="s">
        <v>8733</v>
      </c>
      <c r="B3384" s="263" t="s">
        <v>8734</v>
      </c>
      <c r="C3384" s="263" t="s">
        <v>94</v>
      </c>
      <c r="D3384" s="263" t="s">
        <v>8735</v>
      </c>
      <c r="E3384" s="263" t="s">
        <v>94</v>
      </c>
      <c r="F3384">
        <v>0</v>
      </c>
      <c r="G3384">
        <v>2</v>
      </c>
      <c r="H3384" s="263" t="s">
        <v>436</v>
      </c>
      <c r="I3384" s="264"/>
      <c r="J3384" s="263" t="s">
        <v>437</v>
      </c>
    </row>
    <row r="3385" spans="1:10" x14ac:dyDescent="0.15">
      <c r="A3385" s="263" t="s">
        <v>8736</v>
      </c>
      <c r="B3385" s="263" t="s">
        <v>8737</v>
      </c>
      <c r="C3385" s="263" t="s">
        <v>81</v>
      </c>
      <c r="D3385" s="263" t="s">
        <v>8738</v>
      </c>
      <c r="E3385" s="263" t="s">
        <v>88</v>
      </c>
      <c r="F3385">
        <v>0</v>
      </c>
      <c r="G3385">
        <v>2</v>
      </c>
      <c r="H3385" s="263" t="s">
        <v>436</v>
      </c>
      <c r="I3385" s="264"/>
      <c r="J3385" s="263" t="s">
        <v>437</v>
      </c>
    </row>
    <row r="3386" spans="1:10" x14ac:dyDescent="0.15">
      <c r="A3386" s="263" t="s">
        <v>8739</v>
      </c>
      <c r="B3386" s="263" t="s">
        <v>8740</v>
      </c>
      <c r="C3386" s="263" t="s">
        <v>81</v>
      </c>
      <c r="D3386" s="263" t="s">
        <v>8741</v>
      </c>
      <c r="E3386" s="263" t="s">
        <v>88</v>
      </c>
      <c r="F3386">
        <v>0</v>
      </c>
      <c r="G3386">
        <v>2</v>
      </c>
      <c r="H3386" s="263" t="s">
        <v>436</v>
      </c>
      <c r="I3386" s="264"/>
      <c r="J3386" s="263" t="s">
        <v>437</v>
      </c>
    </row>
    <row r="3387" spans="1:10" x14ac:dyDescent="0.15">
      <c r="A3387" s="263" t="s">
        <v>8742</v>
      </c>
      <c r="B3387" s="263" t="s">
        <v>8743</v>
      </c>
      <c r="C3387" s="263" t="s">
        <v>81</v>
      </c>
      <c r="D3387" s="263" t="s">
        <v>8744</v>
      </c>
      <c r="E3387" s="263" t="s">
        <v>88</v>
      </c>
      <c r="F3387">
        <v>0</v>
      </c>
      <c r="G3387">
        <v>2</v>
      </c>
      <c r="H3387" s="263" t="s">
        <v>436</v>
      </c>
      <c r="I3387" s="264"/>
      <c r="J3387" s="263" t="s">
        <v>437</v>
      </c>
    </row>
    <row r="3388" spans="1:10" x14ac:dyDescent="0.15">
      <c r="A3388" s="263" t="s">
        <v>8745</v>
      </c>
      <c r="B3388" s="263" t="s">
        <v>8746</v>
      </c>
      <c r="C3388" s="263" t="s">
        <v>81</v>
      </c>
      <c r="D3388" s="263" t="s">
        <v>8747</v>
      </c>
      <c r="E3388" s="263" t="s">
        <v>88</v>
      </c>
      <c r="F3388">
        <v>0</v>
      </c>
      <c r="G3388">
        <v>2</v>
      </c>
      <c r="H3388" s="263" t="s">
        <v>436</v>
      </c>
      <c r="I3388" s="264"/>
      <c r="J3388" s="263" t="s">
        <v>437</v>
      </c>
    </row>
    <row r="3389" spans="1:10" x14ac:dyDescent="0.15">
      <c r="A3389" s="263" t="s">
        <v>8748</v>
      </c>
      <c r="B3389" s="263" t="s">
        <v>8749</v>
      </c>
      <c r="C3389" s="263" t="s">
        <v>81</v>
      </c>
      <c r="D3389" s="263" t="s">
        <v>8750</v>
      </c>
      <c r="E3389" s="263" t="s">
        <v>88</v>
      </c>
      <c r="F3389">
        <v>0</v>
      </c>
      <c r="G3389">
        <v>2</v>
      </c>
      <c r="H3389" s="263" t="s">
        <v>436</v>
      </c>
      <c r="I3389" s="264"/>
      <c r="J3389" s="263" t="s">
        <v>437</v>
      </c>
    </row>
    <row r="3390" spans="1:10" x14ac:dyDescent="0.15">
      <c r="A3390" s="263" t="s">
        <v>8751</v>
      </c>
      <c r="B3390" s="263" t="s">
        <v>8752</v>
      </c>
      <c r="C3390" s="263" t="s">
        <v>81</v>
      </c>
      <c r="D3390" s="263" t="s">
        <v>8753</v>
      </c>
      <c r="E3390" s="263" t="s">
        <v>88</v>
      </c>
      <c r="F3390">
        <v>0</v>
      </c>
      <c r="G3390">
        <v>2</v>
      </c>
      <c r="H3390" s="263" t="s">
        <v>436</v>
      </c>
      <c r="I3390" s="264"/>
      <c r="J3390" s="263" t="s">
        <v>437</v>
      </c>
    </row>
    <row r="3391" spans="1:10" x14ac:dyDescent="0.15">
      <c r="A3391" s="263" t="s">
        <v>8754</v>
      </c>
      <c r="B3391" s="263" t="s">
        <v>8755</v>
      </c>
      <c r="C3391" s="263" t="s">
        <v>81</v>
      </c>
      <c r="D3391" s="263" t="s">
        <v>8756</v>
      </c>
      <c r="E3391" s="263" t="s">
        <v>88</v>
      </c>
      <c r="F3391">
        <v>0</v>
      </c>
      <c r="G3391">
        <v>2</v>
      </c>
      <c r="H3391" s="263" t="s">
        <v>436</v>
      </c>
      <c r="I3391" s="264"/>
      <c r="J3391" s="263" t="s">
        <v>437</v>
      </c>
    </row>
    <row r="3392" spans="1:10" x14ac:dyDescent="0.15">
      <c r="A3392" s="263" t="s">
        <v>8757</v>
      </c>
      <c r="B3392" s="263" t="s">
        <v>8758</v>
      </c>
      <c r="C3392" s="263" t="s">
        <v>81</v>
      </c>
      <c r="D3392" s="263" t="s">
        <v>8759</v>
      </c>
      <c r="E3392" s="263" t="s">
        <v>88</v>
      </c>
      <c r="F3392">
        <v>0</v>
      </c>
      <c r="G3392">
        <v>2</v>
      </c>
      <c r="H3392" s="263" t="s">
        <v>436</v>
      </c>
      <c r="I3392" s="264"/>
      <c r="J3392" s="263" t="s">
        <v>437</v>
      </c>
    </row>
    <row r="3393" spans="1:10" x14ac:dyDescent="0.15">
      <c r="A3393" s="263" t="s">
        <v>8760</v>
      </c>
      <c r="B3393" s="263" t="s">
        <v>8761</v>
      </c>
      <c r="C3393" s="263" t="s">
        <v>81</v>
      </c>
      <c r="D3393" s="263" t="s">
        <v>8762</v>
      </c>
      <c r="E3393" s="263" t="s">
        <v>88</v>
      </c>
      <c r="F3393">
        <v>0</v>
      </c>
      <c r="G3393">
        <v>2</v>
      </c>
      <c r="H3393" s="263" t="s">
        <v>436</v>
      </c>
      <c r="I3393" s="264"/>
      <c r="J3393" s="263" t="s">
        <v>437</v>
      </c>
    </row>
    <row r="3394" spans="1:10" x14ac:dyDescent="0.15">
      <c r="A3394" s="263" t="s">
        <v>8763</v>
      </c>
      <c r="B3394" s="263" t="s">
        <v>8764</v>
      </c>
      <c r="C3394" s="263" t="s">
        <v>81</v>
      </c>
      <c r="D3394" s="263" t="s">
        <v>8765</v>
      </c>
      <c r="E3394" s="263" t="s">
        <v>88</v>
      </c>
      <c r="F3394">
        <v>0</v>
      </c>
      <c r="G3394">
        <v>2</v>
      </c>
      <c r="H3394" s="263" t="s">
        <v>436</v>
      </c>
      <c r="I3394" s="264"/>
      <c r="J3394" s="263" t="s">
        <v>437</v>
      </c>
    </row>
    <row r="3395" spans="1:10" x14ac:dyDescent="0.15">
      <c r="A3395" s="263" t="s">
        <v>8766</v>
      </c>
      <c r="B3395" s="263" t="s">
        <v>8767</v>
      </c>
      <c r="C3395" s="263" t="s">
        <v>81</v>
      </c>
      <c r="D3395" s="263" t="s">
        <v>8768</v>
      </c>
      <c r="E3395" s="263" t="s">
        <v>88</v>
      </c>
      <c r="F3395">
        <v>0</v>
      </c>
      <c r="G3395">
        <v>2</v>
      </c>
      <c r="H3395" s="263" t="s">
        <v>436</v>
      </c>
      <c r="I3395" s="264"/>
      <c r="J3395" s="263" t="s">
        <v>437</v>
      </c>
    </row>
    <row r="3396" spans="1:10" x14ac:dyDescent="0.15">
      <c r="A3396" s="263" t="s">
        <v>8769</v>
      </c>
      <c r="B3396" s="263" t="s">
        <v>8770</v>
      </c>
      <c r="C3396" s="263" t="s">
        <v>81</v>
      </c>
      <c r="D3396" s="263" t="s">
        <v>8771</v>
      </c>
      <c r="E3396" s="263" t="s">
        <v>88</v>
      </c>
      <c r="F3396">
        <v>0</v>
      </c>
      <c r="G3396">
        <v>2</v>
      </c>
      <c r="H3396" s="263" t="s">
        <v>436</v>
      </c>
      <c r="I3396" s="264"/>
      <c r="J3396" s="263" t="s">
        <v>437</v>
      </c>
    </row>
    <row r="3397" spans="1:10" x14ac:dyDescent="0.15">
      <c r="A3397" s="263" t="s">
        <v>8772</v>
      </c>
      <c r="B3397" s="263" t="s">
        <v>8773</v>
      </c>
      <c r="C3397" s="263" t="s">
        <v>81</v>
      </c>
      <c r="D3397" s="263" t="s">
        <v>8774</v>
      </c>
      <c r="E3397" s="263" t="s">
        <v>88</v>
      </c>
      <c r="F3397">
        <v>0</v>
      </c>
      <c r="G3397">
        <v>2</v>
      </c>
      <c r="H3397" s="263" t="s">
        <v>436</v>
      </c>
      <c r="I3397" s="264"/>
      <c r="J3397" s="263" t="s">
        <v>437</v>
      </c>
    </row>
    <row r="3398" spans="1:10" x14ac:dyDescent="0.15">
      <c r="A3398" s="263" t="s">
        <v>8775</v>
      </c>
      <c r="B3398" s="263" t="s">
        <v>8776</v>
      </c>
      <c r="C3398" s="263" t="s">
        <v>81</v>
      </c>
      <c r="D3398" s="263" t="s">
        <v>8777</v>
      </c>
      <c r="E3398" s="263" t="s">
        <v>88</v>
      </c>
      <c r="F3398">
        <v>0</v>
      </c>
      <c r="G3398">
        <v>2</v>
      </c>
      <c r="H3398" s="263" t="s">
        <v>436</v>
      </c>
      <c r="I3398" s="264"/>
      <c r="J3398" s="263" t="s">
        <v>437</v>
      </c>
    </row>
    <row r="3399" spans="1:10" x14ac:dyDescent="0.15">
      <c r="A3399" s="263" t="s">
        <v>8778</v>
      </c>
      <c r="B3399" s="263" t="s">
        <v>8779</v>
      </c>
      <c r="C3399" s="263" t="s">
        <v>81</v>
      </c>
      <c r="D3399" s="263" t="s">
        <v>8780</v>
      </c>
      <c r="E3399" s="263" t="s">
        <v>88</v>
      </c>
      <c r="F3399">
        <v>0</v>
      </c>
      <c r="G3399">
        <v>2</v>
      </c>
      <c r="H3399" s="263" t="s">
        <v>436</v>
      </c>
      <c r="I3399" s="264"/>
      <c r="J3399" s="263" t="s">
        <v>437</v>
      </c>
    </row>
    <row r="3400" spans="1:10" x14ac:dyDescent="0.15">
      <c r="A3400" s="263" t="s">
        <v>8781</v>
      </c>
      <c r="B3400" s="263" t="s">
        <v>8782</v>
      </c>
      <c r="C3400" s="263" t="s">
        <v>81</v>
      </c>
      <c r="D3400" s="263" t="s">
        <v>8783</v>
      </c>
      <c r="E3400" s="263" t="s">
        <v>88</v>
      </c>
      <c r="F3400">
        <v>0</v>
      </c>
      <c r="G3400">
        <v>2</v>
      </c>
      <c r="H3400" s="263" t="s">
        <v>436</v>
      </c>
      <c r="I3400" s="264"/>
      <c r="J3400" s="263" t="s">
        <v>437</v>
      </c>
    </row>
    <row r="3401" spans="1:10" x14ac:dyDescent="0.15">
      <c r="A3401" s="263" t="s">
        <v>8784</v>
      </c>
      <c r="B3401" s="263" t="s">
        <v>8785</v>
      </c>
      <c r="C3401" s="263" t="s">
        <v>81</v>
      </c>
      <c r="D3401" s="263" t="s">
        <v>8786</v>
      </c>
      <c r="E3401" s="263" t="s">
        <v>88</v>
      </c>
      <c r="F3401">
        <v>0</v>
      </c>
      <c r="G3401">
        <v>2</v>
      </c>
      <c r="H3401" s="263" t="s">
        <v>436</v>
      </c>
      <c r="I3401" s="264"/>
      <c r="J3401" s="263" t="s">
        <v>437</v>
      </c>
    </row>
    <row r="3402" spans="1:10" x14ac:dyDescent="0.15">
      <c r="A3402" s="263" t="s">
        <v>8787</v>
      </c>
      <c r="B3402" s="263" t="s">
        <v>8788</v>
      </c>
      <c r="C3402" s="263" t="s">
        <v>81</v>
      </c>
      <c r="D3402" s="263" t="s">
        <v>8789</v>
      </c>
      <c r="E3402" s="263" t="s">
        <v>88</v>
      </c>
      <c r="F3402">
        <v>0</v>
      </c>
      <c r="G3402">
        <v>2</v>
      </c>
      <c r="H3402" s="263" t="s">
        <v>436</v>
      </c>
      <c r="I3402" s="264"/>
      <c r="J3402" s="263" t="s">
        <v>437</v>
      </c>
    </row>
    <row r="3403" spans="1:10" x14ac:dyDescent="0.15">
      <c r="A3403" s="263" t="s">
        <v>8790</v>
      </c>
      <c r="B3403" s="263" t="s">
        <v>8791</v>
      </c>
      <c r="C3403" s="263" t="s">
        <v>81</v>
      </c>
      <c r="D3403" s="263" t="s">
        <v>8792</v>
      </c>
      <c r="E3403" s="263" t="s">
        <v>88</v>
      </c>
      <c r="F3403">
        <v>0</v>
      </c>
      <c r="G3403">
        <v>2</v>
      </c>
      <c r="H3403" s="263" t="s">
        <v>436</v>
      </c>
      <c r="I3403" s="264"/>
      <c r="J3403" s="263" t="s">
        <v>437</v>
      </c>
    </row>
    <row r="3404" spans="1:10" x14ac:dyDescent="0.15">
      <c r="A3404" s="263" t="s">
        <v>8793</v>
      </c>
      <c r="B3404" s="263" t="s">
        <v>8794</v>
      </c>
      <c r="C3404" s="263" t="s">
        <v>96</v>
      </c>
      <c r="D3404" s="263" t="s">
        <v>8795</v>
      </c>
      <c r="E3404" s="263" t="s">
        <v>97</v>
      </c>
      <c r="F3404">
        <v>0</v>
      </c>
      <c r="G3404">
        <v>2</v>
      </c>
      <c r="H3404" s="263" t="s">
        <v>436</v>
      </c>
      <c r="I3404" s="264"/>
      <c r="J3404" s="263" t="s">
        <v>437</v>
      </c>
    </row>
    <row r="3405" spans="1:10" x14ac:dyDescent="0.15">
      <c r="A3405" s="263" t="s">
        <v>8796</v>
      </c>
      <c r="B3405" s="263" t="s">
        <v>8797</v>
      </c>
      <c r="C3405" s="263" t="s">
        <v>96</v>
      </c>
      <c r="D3405" s="263" t="s">
        <v>8798</v>
      </c>
      <c r="E3405" s="263" t="s">
        <v>97</v>
      </c>
      <c r="F3405">
        <v>0</v>
      </c>
      <c r="G3405">
        <v>2</v>
      </c>
      <c r="H3405" s="263" t="s">
        <v>436</v>
      </c>
      <c r="I3405" s="264"/>
      <c r="J3405" s="263" t="s">
        <v>437</v>
      </c>
    </row>
    <row r="3406" spans="1:10" x14ac:dyDescent="0.15">
      <c r="A3406" s="263" t="s">
        <v>8799</v>
      </c>
      <c r="B3406" s="263" t="s">
        <v>8800</v>
      </c>
      <c r="C3406" s="263" t="s">
        <v>96</v>
      </c>
      <c r="D3406" s="263" t="s">
        <v>8801</v>
      </c>
      <c r="E3406" s="263" t="s">
        <v>97</v>
      </c>
      <c r="F3406">
        <v>0</v>
      </c>
      <c r="G3406">
        <v>2</v>
      </c>
      <c r="H3406" s="263" t="s">
        <v>436</v>
      </c>
      <c r="I3406" s="264"/>
      <c r="J3406" s="263" t="s">
        <v>437</v>
      </c>
    </row>
    <row r="3407" spans="1:10" x14ac:dyDescent="0.15">
      <c r="A3407" s="263" t="s">
        <v>8802</v>
      </c>
      <c r="B3407" s="263" t="s">
        <v>8737</v>
      </c>
      <c r="C3407" s="263" t="s">
        <v>94</v>
      </c>
      <c r="D3407" s="263" t="s">
        <v>8738</v>
      </c>
      <c r="E3407" s="263" t="s">
        <v>94</v>
      </c>
      <c r="F3407">
        <v>0</v>
      </c>
      <c r="G3407">
        <v>2</v>
      </c>
      <c r="H3407" s="263" t="s">
        <v>436</v>
      </c>
      <c r="I3407" s="264"/>
      <c r="J3407" s="263" t="s">
        <v>437</v>
      </c>
    </row>
    <row r="3408" spans="1:10" x14ac:dyDescent="0.15">
      <c r="A3408" s="263" t="s">
        <v>8803</v>
      </c>
      <c r="B3408" s="263" t="s">
        <v>8758</v>
      </c>
      <c r="C3408" s="263" t="s">
        <v>94</v>
      </c>
      <c r="D3408" s="263" t="s">
        <v>8759</v>
      </c>
      <c r="E3408" s="263" t="s">
        <v>94</v>
      </c>
      <c r="F3408">
        <v>0</v>
      </c>
      <c r="G3408">
        <v>2</v>
      </c>
      <c r="H3408" s="263" t="s">
        <v>436</v>
      </c>
      <c r="I3408" s="264"/>
      <c r="J3408" s="263" t="s">
        <v>437</v>
      </c>
    </row>
    <row r="3409" spans="1:10" x14ac:dyDescent="0.15">
      <c r="A3409" s="263" t="s">
        <v>8804</v>
      </c>
      <c r="B3409" s="263" t="s">
        <v>8761</v>
      </c>
      <c r="C3409" s="263" t="s">
        <v>94</v>
      </c>
      <c r="D3409" s="263" t="s">
        <v>8762</v>
      </c>
      <c r="E3409" s="263" t="s">
        <v>94</v>
      </c>
      <c r="F3409">
        <v>0</v>
      </c>
      <c r="G3409">
        <v>2</v>
      </c>
      <c r="H3409" s="263" t="s">
        <v>436</v>
      </c>
      <c r="I3409" s="264"/>
      <c r="J3409" s="263" t="s">
        <v>437</v>
      </c>
    </row>
    <row r="3410" spans="1:10" x14ac:dyDescent="0.15">
      <c r="A3410" s="263" t="s">
        <v>8805</v>
      </c>
      <c r="B3410" s="263" t="s">
        <v>8806</v>
      </c>
      <c r="C3410" s="263" t="s">
        <v>94</v>
      </c>
      <c r="D3410" s="263" t="s">
        <v>8807</v>
      </c>
      <c r="E3410" s="263" t="s">
        <v>94</v>
      </c>
      <c r="F3410">
        <v>0</v>
      </c>
      <c r="G3410">
        <v>2</v>
      </c>
      <c r="H3410" s="263" t="s">
        <v>436</v>
      </c>
      <c r="I3410" s="264"/>
      <c r="J3410" s="263" t="s">
        <v>437</v>
      </c>
    </row>
    <row r="3411" spans="1:10" x14ac:dyDescent="0.15">
      <c r="A3411" s="263" t="s">
        <v>8808</v>
      </c>
      <c r="B3411" s="263" t="s">
        <v>8809</v>
      </c>
      <c r="C3411" s="263" t="s">
        <v>94</v>
      </c>
      <c r="D3411" s="263" t="s">
        <v>8810</v>
      </c>
      <c r="E3411" s="263" t="s">
        <v>94</v>
      </c>
      <c r="F3411">
        <v>0</v>
      </c>
      <c r="G3411">
        <v>2</v>
      </c>
      <c r="H3411" s="263" t="s">
        <v>436</v>
      </c>
      <c r="I3411" s="264"/>
      <c r="J3411" s="263" t="s">
        <v>437</v>
      </c>
    </row>
    <row r="3412" spans="1:10" x14ac:dyDescent="0.15">
      <c r="A3412" s="263" t="s">
        <v>8811</v>
      </c>
      <c r="B3412" s="263" t="s">
        <v>8812</v>
      </c>
      <c r="C3412" s="263" t="s">
        <v>94</v>
      </c>
      <c r="D3412" s="263" t="s">
        <v>8813</v>
      </c>
      <c r="E3412" s="263" t="s">
        <v>94</v>
      </c>
      <c r="F3412">
        <v>0</v>
      </c>
      <c r="G3412">
        <v>2</v>
      </c>
      <c r="H3412" s="263" t="s">
        <v>436</v>
      </c>
      <c r="I3412" s="264"/>
      <c r="J3412" s="263" t="s">
        <v>437</v>
      </c>
    </row>
    <row r="3413" spans="1:10" x14ac:dyDescent="0.15">
      <c r="A3413" s="263" t="s">
        <v>8814</v>
      </c>
      <c r="B3413" s="263" t="s">
        <v>8815</v>
      </c>
      <c r="C3413" s="263" t="s">
        <v>81</v>
      </c>
      <c r="D3413" s="263" t="s">
        <v>8816</v>
      </c>
      <c r="E3413" s="263" t="s">
        <v>88</v>
      </c>
      <c r="F3413">
        <v>0</v>
      </c>
      <c r="G3413">
        <v>2</v>
      </c>
      <c r="H3413" s="263" t="s">
        <v>436</v>
      </c>
      <c r="I3413" s="264"/>
      <c r="J3413" s="263" t="s">
        <v>437</v>
      </c>
    </row>
    <row r="3414" spans="1:10" x14ac:dyDescent="0.15">
      <c r="A3414" s="263" t="s">
        <v>8817</v>
      </c>
      <c r="B3414" s="263" t="s">
        <v>8818</v>
      </c>
      <c r="C3414" s="263" t="s">
        <v>81</v>
      </c>
      <c r="D3414" s="263" t="s">
        <v>8819</v>
      </c>
      <c r="E3414" s="263" t="s">
        <v>88</v>
      </c>
      <c r="F3414">
        <v>0</v>
      </c>
      <c r="G3414">
        <v>2</v>
      </c>
      <c r="H3414" s="263" t="s">
        <v>436</v>
      </c>
      <c r="I3414" s="264"/>
      <c r="J3414" s="263" t="s">
        <v>437</v>
      </c>
    </row>
    <row r="3415" spans="1:10" x14ac:dyDescent="0.15">
      <c r="A3415" s="263" t="s">
        <v>8820</v>
      </c>
      <c r="B3415" s="263" t="s">
        <v>8821</v>
      </c>
      <c r="C3415" s="263" t="s">
        <v>81</v>
      </c>
      <c r="D3415" s="263" t="s">
        <v>8822</v>
      </c>
      <c r="E3415" s="263" t="s">
        <v>88</v>
      </c>
      <c r="F3415">
        <v>0</v>
      </c>
      <c r="G3415">
        <v>2</v>
      </c>
      <c r="H3415" s="263" t="s">
        <v>436</v>
      </c>
      <c r="I3415" s="264"/>
      <c r="J3415" s="263" t="s">
        <v>437</v>
      </c>
    </row>
    <row r="3416" spans="1:10" x14ac:dyDescent="0.15">
      <c r="A3416" s="263" t="s">
        <v>8823</v>
      </c>
      <c r="B3416" s="263" t="s">
        <v>8824</v>
      </c>
      <c r="C3416" s="263" t="s">
        <v>81</v>
      </c>
      <c r="D3416" s="263" t="s">
        <v>8825</v>
      </c>
      <c r="E3416" s="263" t="s">
        <v>88</v>
      </c>
      <c r="F3416">
        <v>0</v>
      </c>
      <c r="G3416">
        <v>2</v>
      </c>
      <c r="H3416" s="263" t="s">
        <v>436</v>
      </c>
      <c r="I3416" s="264"/>
      <c r="J3416" s="263" t="s">
        <v>437</v>
      </c>
    </row>
    <row r="3417" spans="1:10" x14ac:dyDescent="0.15">
      <c r="A3417" s="263" t="s">
        <v>8826</v>
      </c>
      <c r="B3417" s="263" t="s">
        <v>8827</v>
      </c>
      <c r="C3417" s="263" t="s">
        <v>81</v>
      </c>
      <c r="D3417" s="263" t="s">
        <v>8828</v>
      </c>
      <c r="E3417" s="263" t="s">
        <v>88</v>
      </c>
      <c r="F3417">
        <v>0</v>
      </c>
      <c r="G3417">
        <v>2</v>
      </c>
      <c r="H3417" s="263" t="s">
        <v>436</v>
      </c>
      <c r="I3417" s="264"/>
      <c r="J3417" s="263" t="s">
        <v>437</v>
      </c>
    </row>
    <row r="3418" spans="1:10" x14ac:dyDescent="0.15">
      <c r="A3418" s="263" t="s">
        <v>8829</v>
      </c>
      <c r="B3418" s="263" t="s">
        <v>8830</v>
      </c>
      <c r="C3418" s="263" t="s">
        <v>81</v>
      </c>
      <c r="D3418" s="263" t="s">
        <v>8831</v>
      </c>
      <c r="E3418" s="263" t="s">
        <v>88</v>
      </c>
      <c r="F3418">
        <v>0</v>
      </c>
      <c r="G3418">
        <v>2</v>
      </c>
      <c r="H3418" s="263" t="s">
        <v>436</v>
      </c>
      <c r="I3418" s="264"/>
      <c r="J3418" s="263" t="s">
        <v>437</v>
      </c>
    </row>
    <row r="3419" spans="1:10" x14ac:dyDescent="0.15">
      <c r="A3419" s="263" t="s">
        <v>8832</v>
      </c>
      <c r="B3419" s="263" t="s">
        <v>8833</v>
      </c>
      <c r="C3419" s="263" t="s">
        <v>81</v>
      </c>
      <c r="D3419" s="263" t="s">
        <v>8834</v>
      </c>
      <c r="E3419" s="263" t="s">
        <v>88</v>
      </c>
      <c r="F3419">
        <v>0</v>
      </c>
      <c r="G3419">
        <v>2</v>
      </c>
      <c r="H3419" s="263" t="s">
        <v>436</v>
      </c>
      <c r="I3419" s="264"/>
      <c r="J3419" s="263" t="s">
        <v>437</v>
      </c>
    </row>
    <row r="3420" spans="1:10" x14ac:dyDescent="0.15">
      <c r="A3420" s="263" t="s">
        <v>8835</v>
      </c>
      <c r="B3420" s="263" t="s">
        <v>8836</v>
      </c>
      <c r="C3420" s="263" t="s">
        <v>81</v>
      </c>
      <c r="D3420" s="263" t="s">
        <v>8837</v>
      </c>
      <c r="E3420" s="263" t="s">
        <v>88</v>
      </c>
      <c r="F3420">
        <v>0</v>
      </c>
      <c r="G3420">
        <v>2</v>
      </c>
      <c r="H3420" s="263" t="s">
        <v>436</v>
      </c>
      <c r="I3420" s="264"/>
      <c r="J3420" s="263" t="s">
        <v>437</v>
      </c>
    </row>
    <row r="3421" spans="1:10" x14ac:dyDescent="0.15">
      <c r="A3421" s="263" t="s">
        <v>8838</v>
      </c>
      <c r="B3421" s="263" t="s">
        <v>8839</v>
      </c>
      <c r="C3421" s="263" t="s">
        <v>81</v>
      </c>
      <c r="D3421" s="263" t="s">
        <v>8840</v>
      </c>
      <c r="E3421" s="263" t="s">
        <v>88</v>
      </c>
      <c r="F3421">
        <v>0</v>
      </c>
      <c r="G3421">
        <v>2</v>
      </c>
      <c r="H3421" s="263" t="s">
        <v>436</v>
      </c>
      <c r="I3421" s="264"/>
      <c r="J3421" s="263" t="s">
        <v>437</v>
      </c>
    </row>
    <row r="3422" spans="1:10" x14ac:dyDescent="0.15">
      <c r="A3422" s="263" t="s">
        <v>8841</v>
      </c>
      <c r="B3422" s="263" t="s">
        <v>8842</v>
      </c>
      <c r="C3422" s="263" t="s">
        <v>81</v>
      </c>
      <c r="D3422" s="263" t="s">
        <v>8843</v>
      </c>
      <c r="E3422" s="263" t="s">
        <v>88</v>
      </c>
      <c r="F3422">
        <v>0</v>
      </c>
      <c r="G3422">
        <v>2</v>
      </c>
      <c r="H3422" s="263" t="s">
        <v>436</v>
      </c>
      <c r="I3422" s="264"/>
      <c r="J3422" s="263" t="s">
        <v>437</v>
      </c>
    </row>
    <row r="3423" spans="1:10" x14ac:dyDescent="0.15">
      <c r="A3423" s="263" t="s">
        <v>8844</v>
      </c>
      <c r="B3423" s="263" t="s">
        <v>8845</v>
      </c>
      <c r="C3423" s="263" t="s">
        <v>81</v>
      </c>
      <c r="D3423" s="263" t="s">
        <v>8846</v>
      </c>
      <c r="E3423" s="263" t="s">
        <v>88</v>
      </c>
      <c r="F3423">
        <v>0</v>
      </c>
      <c r="G3423">
        <v>2</v>
      </c>
      <c r="H3423" s="263" t="s">
        <v>436</v>
      </c>
      <c r="I3423" s="264"/>
      <c r="J3423" s="263" t="s">
        <v>437</v>
      </c>
    </row>
    <row r="3424" spans="1:10" x14ac:dyDescent="0.15">
      <c r="A3424" s="263" t="s">
        <v>8847</v>
      </c>
      <c r="B3424" s="263" t="s">
        <v>8848</v>
      </c>
      <c r="C3424" s="263" t="s">
        <v>81</v>
      </c>
      <c r="D3424" s="263" t="s">
        <v>8849</v>
      </c>
      <c r="E3424" s="263" t="s">
        <v>88</v>
      </c>
      <c r="F3424">
        <v>0</v>
      </c>
      <c r="G3424">
        <v>2</v>
      </c>
      <c r="H3424" s="263" t="s">
        <v>436</v>
      </c>
      <c r="I3424" s="264"/>
      <c r="J3424" s="263" t="s">
        <v>437</v>
      </c>
    </row>
    <row r="3425" spans="1:10" x14ac:dyDescent="0.15">
      <c r="A3425" s="263" t="s">
        <v>8850</v>
      </c>
      <c r="B3425" s="263" t="s">
        <v>8851</v>
      </c>
      <c r="C3425" s="263" t="s">
        <v>94</v>
      </c>
      <c r="D3425" s="263" t="s">
        <v>8852</v>
      </c>
      <c r="E3425" s="263" t="s">
        <v>94</v>
      </c>
      <c r="F3425">
        <v>0</v>
      </c>
      <c r="G3425">
        <v>2</v>
      </c>
      <c r="H3425" s="263" t="s">
        <v>436</v>
      </c>
      <c r="I3425" s="264"/>
      <c r="J3425" s="263" t="s">
        <v>437</v>
      </c>
    </row>
    <row r="3426" spans="1:10" x14ac:dyDescent="0.15">
      <c r="A3426" s="263" t="s">
        <v>8853</v>
      </c>
      <c r="B3426" s="263" t="s">
        <v>8851</v>
      </c>
      <c r="C3426" s="263" t="s">
        <v>96</v>
      </c>
      <c r="D3426" s="263" t="s">
        <v>8852</v>
      </c>
      <c r="E3426" s="263" t="s">
        <v>97</v>
      </c>
      <c r="F3426">
        <v>0</v>
      </c>
      <c r="G3426">
        <v>2</v>
      </c>
      <c r="H3426" s="263" t="s">
        <v>436</v>
      </c>
      <c r="I3426" s="264"/>
      <c r="J3426" s="263" t="s">
        <v>437</v>
      </c>
    </row>
    <row r="3427" spans="1:10" x14ac:dyDescent="0.15">
      <c r="A3427" s="263" t="s">
        <v>8854</v>
      </c>
      <c r="B3427" s="263" t="s">
        <v>8851</v>
      </c>
      <c r="C3427" s="263" t="s">
        <v>98</v>
      </c>
      <c r="D3427" s="263" t="s">
        <v>8852</v>
      </c>
      <c r="E3427" s="263" t="s">
        <v>110</v>
      </c>
      <c r="F3427">
        <v>0</v>
      </c>
      <c r="G3427">
        <v>2</v>
      </c>
      <c r="H3427" s="263" t="s">
        <v>436</v>
      </c>
      <c r="I3427" s="264"/>
      <c r="J3427" s="263" t="s">
        <v>437</v>
      </c>
    </row>
    <row r="3428" spans="1:10" x14ac:dyDescent="0.15">
      <c r="A3428" s="263" t="s">
        <v>8855</v>
      </c>
      <c r="B3428" s="263" t="s">
        <v>8851</v>
      </c>
      <c r="C3428" s="263" t="s">
        <v>99</v>
      </c>
      <c r="D3428" s="263" t="s">
        <v>8852</v>
      </c>
      <c r="E3428" s="263" t="s">
        <v>84</v>
      </c>
      <c r="F3428">
        <v>0</v>
      </c>
      <c r="G3428">
        <v>2</v>
      </c>
      <c r="H3428" s="263" t="s">
        <v>436</v>
      </c>
      <c r="I3428" s="264"/>
      <c r="J3428" s="263" t="s">
        <v>437</v>
      </c>
    </row>
    <row r="3429" spans="1:10" x14ac:dyDescent="0.15">
      <c r="A3429" s="263" t="s">
        <v>8856</v>
      </c>
      <c r="B3429" s="263" t="s">
        <v>10162</v>
      </c>
      <c r="C3429" s="263" t="s">
        <v>94</v>
      </c>
      <c r="D3429" s="263" t="s">
        <v>10163</v>
      </c>
      <c r="E3429" s="263" t="s">
        <v>94</v>
      </c>
      <c r="F3429">
        <v>0</v>
      </c>
      <c r="G3429">
        <v>2</v>
      </c>
      <c r="H3429" s="263" t="s">
        <v>436</v>
      </c>
      <c r="I3429" s="264"/>
      <c r="J3429" s="263" t="s">
        <v>437</v>
      </c>
    </row>
    <row r="3430" spans="1:10" x14ac:dyDescent="0.15">
      <c r="A3430" s="263" t="s">
        <v>8857</v>
      </c>
      <c r="B3430" s="263" t="s">
        <v>10164</v>
      </c>
      <c r="C3430" s="263" t="s">
        <v>94</v>
      </c>
      <c r="D3430" s="263" t="s">
        <v>10165</v>
      </c>
      <c r="E3430" s="263" t="s">
        <v>94</v>
      </c>
      <c r="F3430">
        <v>0</v>
      </c>
      <c r="G3430">
        <v>2</v>
      </c>
      <c r="H3430" s="263" t="s">
        <v>436</v>
      </c>
      <c r="I3430" s="264"/>
      <c r="J3430" s="263" t="s">
        <v>437</v>
      </c>
    </row>
    <row r="3431" spans="1:10" x14ac:dyDescent="0.15">
      <c r="A3431" s="263" t="s">
        <v>8858</v>
      </c>
      <c r="B3431" s="263" t="s">
        <v>10166</v>
      </c>
      <c r="C3431" s="263" t="s">
        <v>96</v>
      </c>
      <c r="D3431" s="263" t="s">
        <v>10167</v>
      </c>
      <c r="E3431" s="263" t="s">
        <v>97</v>
      </c>
      <c r="F3431">
        <v>0</v>
      </c>
      <c r="G3431">
        <v>2</v>
      </c>
      <c r="H3431" s="263" t="s">
        <v>436</v>
      </c>
      <c r="I3431" s="264"/>
      <c r="J3431" s="263" t="s">
        <v>437</v>
      </c>
    </row>
    <row r="3432" spans="1:10" x14ac:dyDescent="0.15">
      <c r="A3432" s="263" t="s">
        <v>8859</v>
      </c>
      <c r="B3432" s="263" t="s">
        <v>10168</v>
      </c>
      <c r="C3432" s="263" t="s">
        <v>96</v>
      </c>
      <c r="D3432" s="263" t="s">
        <v>10169</v>
      </c>
      <c r="E3432" s="263" t="s">
        <v>97</v>
      </c>
      <c r="F3432">
        <v>0</v>
      </c>
      <c r="G3432">
        <v>2</v>
      </c>
      <c r="H3432" s="263" t="s">
        <v>436</v>
      </c>
      <c r="I3432" s="264"/>
      <c r="J3432" s="263" t="s">
        <v>437</v>
      </c>
    </row>
    <row r="3433" spans="1:10" x14ac:dyDescent="0.15">
      <c r="A3433" s="263" t="s">
        <v>8860</v>
      </c>
      <c r="B3433" s="263" t="s">
        <v>10170</v>
      </c>
      <c r="C3433" s="263" t="s">
        <v>96</v>
      </c>
      <c r="D3433" s="263" t="s">
        <v>10171</v>
      </c>
      <c r="E3433" s="263" t="s">
        <v>97</v>
      </c>
      <c r="F3433">
        <v>0</v>
      </c>
      <c r="G3433">
        <v>2</v>
      </c>
      <c r="H3433" s="263" t="s">
        <v>436</v>
      </c>
      <c r="I3433" s="264"/>
      <c r="J3433" s="263" t="s">
        <v>437</v>
      </c>
    </row>
    <row r="3434" spans="1:10" x14ac:dyDescent="0.15">
      <c r="A3434" s="263" t="s">
        <v>9167</v>
      </c>
      <c r="B3434" s="263" t="s">
        <v>10172</v>
      </c>
      <c r="C3434" s="263" t="s">
        <v>96</v>
      </c>
      <c r="D3434" s="263" t="s">
        <v>10173</v>
      </c>
      <c r="E3434" s="263" t="s">
        <v>97</v>
      </c>
      <c r="F3434">
        <v>0</v>
      </c>
      <c r="G3434">
        <v>2</v>
      </c>
      <c r="H3434" s="263" t="s">
        <v>436</v>
      </c>
      <c r="I3434" s="264">
        <v>45539</v>
      </c>
      <c r="J3434" s="263" t="s">
        <v>437</v>
      </c>
    </row>
    <row r="3435" spans="1:10" x14ac:dyDescent="0.15">
      <c r="A3435" s="263" t="s">
        <v>9168</v>
      </c>
      <c r="B3435" s="263" t="s">
        <v>10174</v>
      </c>
      <c r="C3435" s="263" t="s">
        <v>96</v>
      </c>
      <c r="D3435" s="263" t="s">
        <v>10175</v>
      </c>
      <c r="E3435" s="263" t="s">
        <v>97</v>
      </c>
      <c r="F3435">
        <v>0</v>
      </c>
      <c r="G3435">
        <v>2</v>
      </c>
      <c r="H3435" s="263" t="s">
        <v>436</v>
      </c>
      <c r="I3435" s="264">
        <v>45539</v>
      </c>
      <c r="J3435" s="263" t="s">
        <v>437</v>
      </c>
    </row>
    <row r="3436" spans="1:10" x14ac:dyDescent="0.15">
      <c r="A3436" s="263" t="s">
        <v>8861</v>
      </c>
      <c r="B3436" s="263" t="s">
        <v>10176</v>
      </c>
      <c r="C3436" s="263" t="s">
        <v>96</v>
      </c>
      <c r="D3436" s="263" t="s">
        <v>10177</v>
      </c>
      <c r="E3436" s="263" t="s">
        <v>97</v>
      </c>
      <c r="F3436">
        <v>0</v>
      </c>
      <c r="G3436">
        <v>2</v>
      </c>
      <c r="H3436" s="263" t="s">
        <v>436</v>
      </c>
      <c r="I3436" s="264"/>
      <c r="J3436" s="263" t="s">
        <v>437</v>
      </c>
    </row>
    <row r="3437" spans="1:10" x14ac:dyDescent="0.15">
      <c r="A3437" s="263" t="s">
        <v>9169</v>
      </c>
      <c r="B3437" s="263" t="s">
        <v>10178</v>
      </c>
      <c r="C3437" s="263" t="s">
        <v>96</v>
      </c>
      <c r="D3437" s="263" t="s">
        <v>10179</v>
      </c>
      <c r="E3437" s="263" t="s">
        <v>97</v>
      </c>
      <c r="F3437">
        <v>0</v>
      </c>
      <c r="G3437">
        <v>2</v>
      </c>
      <c r="H3437" s="263" t="s">
        <v>436</v>
      </c>
      <c r="I3437" s="264"/>
      <c r="J3437" s="263" t="s">
        <v>437</v>
      </c>
    </row>
    <row r="3438" spans="1:10" x14ac:dyDescent="0.15">
      <c r="A3438" s="263" t="s">
        <v>9170</v>
      </c>
      <c r="B3438" s="263" t="s">
        <v>10180</v>
      </c>
      <c r="C3438" s="263" t="s">
        <v>96</v>
      </c>
      <c r="D3438" s="263" t="s">
        <v>10181</v>
      </c>
      <c r="E3438" s="263" t="s">
        <v>97</v>
      </c>
      <c r="F3438">
        <v>0</v>
      </c>
      <c r="G3438">
        <v>2</v>
      </c>
      <c r="H3438" s="263" t="s">
        <v>436</v>
      </c>
      <c r="I3438" s="264"/>
      <c r="J3438" s="263" t="s">
        <v>437</v>
      </c>
    </row>
    <row r="3439" spans="1:10" x14ac:dyDescent="0.15">
      <c r="A3439" s="263" t="s">
        <v>8862</v>
      </c>
      <c r="B3439" s="263" t="s">
        <v>10166</v>
      </c>
      <c r="C3439" s="263" t="s">
        <v>81</v>
      </c>
      <c r="D3439" s="263" t="s">
        <v>10167</v>
      </c>
      <c r="E3439" s="263" t="s">
        <v>88</v>
      </c>
      <c r="F3439">
        <v>0</v>
      </c>
      <c r="G3439">
        <v>2</v>
      </c>
      <c r="H3439" s="263" t="s">
        <v>436</v>
      </c>
      <c r="I3439" s="264"/>
      <c r="J3439" s="263" t="s">
        <v>437</v>
      </c>
    </row>
    <row r="3440" spans="1:10" x14ac:dyDescent="0.15">
      <c r="A3440" s="263" t="s">
        <v>8863</v>
      </c>
      <c r="B3440" s="263" t="s">
        <v>10182</v>
      </c>
      <c r="C3440" s="263" t="s">
        <v>81</v>
      </c>
      <c r="D3440" s="263" t="s">
        <v>10183</v>
      </c>
      <c r="E3440" s="263" t="s">
        <v>88</v>
      </c>
      <c r="F3440">
        <v>0</v>
      </c>
      <c r="G3440">
        <v>2</v>
      </c>
      <c r="H3440" s="263" t="s">
        <v>436</v>
      </c>
      <c r="I3440" s="264"/>
      <c r="J3440" s="263" t="s">
        <v>437</v>
      </c>
    </row>
    <row r="3441" spans="1:10" x14ac:dyDescent="0.15">
      <c r="A3441" s="263" t="s">
        <v>8864</v>
      </c>
      <c r="B3441" s="263" t="s">
        <v>10184</v>
      </c>
      <c r="C3441" s="263" t="s">
        <v>81</v>
      </c>
      <c r="D3441" s="263" t="s">
        <v>10185</v>
      </c>
      <c r="E3441" s="263" t="s">
        <v>88</v>
      </c>
      <c r="F3441">
        <v>0</v>
      </c>
      <c r="G3441">
        <v>2</v>
      </c>
      <c r="H3441" s="263" t="s">
        <v>436</v>
      </c>
      <c r="I3441" s="264"/>
      <c r="J3441" s="263" t="s">
        <v>437</v>
      </c>
    </row>
    <row r="3442" spans="1:10" x14ac:dyDescent="0.15">
      <c r="A3442" s="263" t="s">
        <v>8865</v>
      </c>
      <c r="B3442" s="263" t="s">
        <v>10186</v>
      </c>
      <c r="C3442" s="263" t="s">
        <v>81</v>
      </c>
      <c r="D3442" s="263" t="s">
        <v>10187</v>
      </c>
      <c r="E3442" s="263" t="s">
        <v>88</v>
      </c>
      <c r="F3442">
        <v>0</v>
      </c>
      <c r="G3442">
        <v>2</v>
      </c>
      <c r="H3442" s="263" t="s">
        <v>436</v>
      </c>
      <c r="I3442" s="264"/>
      <c r="J3442" s="263" t="s">
        <v>437</v>
      </c>
    </row>
    <row r="3443" spans="1:10" x14ac:dyDescent="0.15">
      <c r="A3443" s="263" t="s">
        <v>8866</v>
      </c>
      <c r="B3443" s="263" t="s">
        <v>10188</v>
      </c>
      <c r="C3443" s="263" t="s">
        <v>81</v>
      </c>
      <c r="D3443" s="263" t="s">
        <v>10189</v>
      </c>
      <c r="E3443" s="263" t="s">
        <v>88</v>
      </c>
      <c r="F3443">
        <v>0</v>
      </c>
      <c r="G3443">
        <v>2</v>
      </c>
      <c r="H3443" s="263" t="s">
        <v>436</v>
      </c>
      <c r="I3443" s="264"/>
      <c r="J3443" s="263" t="s">
        <v>437</v>
      </c>
    </row>
    <row r="3444" spans="1:10" x14ac:dyDescent="0.15">
      <c r="A3444" s="263" t="s">
        <v>8867</v>
      </c>
      <c r="B3444" s="263" t="s">
        <v>10168</v>
      </c>
      <c r="C3444" s="263" t="s">
        <v>81</v>
      </c>
      <c r="D3444" s="263" t="s">
        <v>10169</v>
      </c>
      <c r="E3444" s="263" t="s">
        <v>88</v>
      </c>
      <c r="F3444">
        <v>0</v>
      </c>
      <c r="G3444">
        <v>2</v>
      </c>
      <c r="H3444" s="263" t="s">
        <v>436</v>
      </c>
      <c r="I3444" s="264"/>
      <c r="J3444" s="263" t="s">
        <v>437</v>
      </c>
    </row>
    <row r="3445" spans="1:10" x14ac:dyDescent="0.15">
      <c r="A3445" s="263" t="s">
        <v>8868</v>
      </c>
      <c r="B3445" s="263" t="s">
        <v>10190</v>
      </c>
      <c r="C3445" s="263" t="s">
        <v>81</v>
      </c>
      <c r="D3445" s="263" t="s">
        <v>10191</v>
      </c>
      <c r="E3445" s="263" t="s">
        <v>88</v>
      </c>
      <c r="F3445">
        <v>0</v>
      </c>
      <c r="G3445">
        <v>2</v>
      </c>
      <c r="H3445" s="263" t="s">
        <v>436</v>
      </c>
      <c r="I3445" s="264"/>
      <c r="J3445" s="263" t="s">
        <v>437</v>
      </c>
    </row>
    <row r="3446" spans="1:10" x14ac:dyDescent="0.15">
      <c r="A3446" s="263" t="s">
        <v>8869</v>
      </c>
      <c r="B3446" s="263" t="s">
        <v>10192</v>
      </c>
      <c r="C3446" s="263" t="s">
        <v>81</v>
      </c>
      <c r="D3446" s="263" t="s">
        <v>10193</v>
      </c>
      <c r="E3446" s="263" t="s">
        <v>88</v>
      </c>
      <c r="F3446">
        <v>0</v>
      </c>
      <c r="G3446">
        <v>2</v>
      </c>
      <c r="H3446" s="263" t="s">
        <v>436</v>
      </c>
      <c r="I3446" s="264"/>
      <c r="J3446" s="263" t="s">
        <v>437</v>
      </c>
    </row>
    <row r="3447" spans="1:10" x14ac:dyDescent="0.15">
      <c r="A3447" s="263" t="s">
        <v>8870</v>
      </c>
      <c r="B3447" s="263" t="s">
        <v>10194</v>
      </c>
      <c r="C3447" s="263" t="s">
        <v>81</v>
      </c>
      <c r="D3447" s="263" t="s">
        <v>10195</v>
      </c>
      <c r="E3447" s="263" t="s">
        <v>88</v>
      </c>
      <c r="F3447">
        <v>0</v>
      </c>
      <c r="G3447">
        <v>2</v>
      </c>
      <c r="H3447" s="263" t="s">
        <v>436</v>
      </c>
      <c r="I3447" s="264"/>
      <c r="J3447" s="263" t="s">
        <v>437</v>
      </c>
    </row>
    <row r="3448" spans="1:10" x14ac:dyDescent="0.15">
      <c r="A3448" s="263" t="s">
        <v>8871</v>
      </c>
      <c r="B3448" s="263" t="s">
        <v>10180</v>
      </c>
      <c r="C3448" s="263" t="s">
        <v>81</v>
      </c>
      <c r="D3448" s="263" t="s">
        <v>10181</v>
      </c>
      <c r="E3448" s="263" t="s">
        <v>88</v>
      </c>
      <c r="F3448">
        <v>0</v>
      </c>
      <c r="G3448">
        <v>2</v>
      </c>
      <c r="H3448" s="263" t="s">
        <v>436</v>
      </c>
      <c r="I3448" s="264"/>
      <c r="J3448" s="263" t="s">
        <v>437</v>
      </c>
    </row>
    <row r="3449" spans="1:10" x14ac:dyDescent="0.15">
      <c r="A3449" s="263" t="s">
        <v>8872</v>
      </c>
      <c r="B3449" s="263" t="s">
        <v>10196</v>
      </c>
      <c r="C3449" s="263" t="s">
        <v>81</v>
      </c>
      <c r="D3449" s="263" t="s">
        <v>10197</v>
      </c>
      <c r="E3449" s="263" t="s">
        <v>88</v>
      </c>
      <c r="F3449">
        <v>0</v>
      </c>
      <c r="G3449">
        <v>2</v>
      </c>
      <c r="H3449" s="263" t="s">
        <v>436</v>
      </c>
      <c r="I3449" s="264"/>
      <c r="J3449" s="263" t="s">
        <v>437</v>
      </c>
    </row>
    <row r="3450" spans="1:10" x14ac:dyDescent="0.15">
      <c r="A3450" s="263" t="s">
        <v>8873</v>
      </c>
      <c r="B3450" s="263" t="s">
        <v>10198</v>
      </c>
      <c r="C3450" s="263" t="s">
        <v>81</v>
      </c>
      <c r="D3450" s="263" t="s">
        <v>10199</v>
      </c>
      <c r="E3450" s="263" t="s">
        <v>88</v>
      </c>
      <c r="F3450">
        <v>0</v>
      </c>
      <c r="G3450">
        <v>2</v>
      </c>
      <c r="H3450" s="263" t="s">
        <v>436</v>
      </c>
      <c r="I3450" s="264"/>
      <c r="J3450" s="263" t="s">
        <v>437</v>
      </c>
    </row>
    <row r="3451" spans="1:10" x14ac:dyDescent="0.15">
      <c r="A3451" s="263" t="s">
        <v>8874</v>
      </c>
      <c r="B3451" s="263" t="s">
        <v>10200</v>
      </c>
      <c r="C3451" s="263" t="s">
        <v>99</v>
      </c>
      <c r="D3451" s="263" t="s">
        <v>10201</v>
      </c>
      <c r="E3451" s="263" t="s">
        <v>84</v>
      </c>
      <c r="F3451">
        <v>0</v>
      </c>
      <c r="G3451">
        <v>2</v>
      </c>
      <c r="H3451" s="263" t="s">
        <v>436</v>
      </c>
      <c r="I3451" s="264"/>
      <c r="J3451" s="263" t="s">
        <v>437</v>
      </c>
    </row>
    <row r="3452" spans="1:10" x14ac:dyDescent="0.15">
      <c r="A3452" s="263" t="s">
        <v>8875</v>
      </c>
      <c r="B3452" s="263" t="s">
        <v>10202</v>
      </c>
      <c r="C3452" s="263" t="s">
        <v>99</v>
      </c>
      <c r="D3452" s="263" t="s">
        <v>10203</v>
      </c>
      <c r="E3452" s="263" t="s">
        <v>84</v>
      </c>
      <c r="F3452">
        <v>0</v>
      </c>
      <c r="G3452">
        <v>2</v>
      </c>
      <c r="H3452" s="263" t="s">
        <v>436</v>
      </c>
      <c r="I3452" s="264"/>
      <c r="J3452" s="263" t="s">
        <v>437</v>
      </c>
    </row>
    <row r="3453" spans="1:10" x14ac:dyDescent="0.15">
      <c r="A3453" s="263" t="s">
        <v>8876</v>
      </c>
      <c r="B3453" s="263" t="s">
        <v>10178</v>
      </c>
      <c r="C3453" s="263" t="s">
        <v>99</v>
      </c>
      <c r="D3453" s="263" t="s">
        <v>10179</v>
      </c>
      <c r="E3453" s="263" t="s">
        <v>84</v>
      </c>
      <c r="F3453">
        <v>0</v>
      </c>
      <c r="G3453">
        <v>2</v>
      </c>
      <c r="H3453" s="263" t="s">
        <v>436</v>
      </c>
      <c r="I3453" s="264"/>
      <c r="J3453" s="263" t="s">
        <v>437</v>
      </c>
    </row>
    <row r="3454" spans="1:10" x14ac:dyDescent="0.15">
      <c r="A3454" s="263" t="s">
        <v>8877</v>
      </c>
      <c r="B3454" s="263" t="s">
        <v>10180</v>
      </c>
      <c r="C3454" s="263" t="s">
        <v>99</v>
      </c>
      <c r="D3454" s="263" t="s">
        <v>10181</v>
      </c>
      <c r="E3454" s="263" t="s">
        <v>84</v>
      </c>
      <c r="F3454">
        <v>0</v>
      </c>
      <c r="G3454">
        <v>2</v>
      </c>
      <c r="H3454" s="263" t="s">
        <v>436</v>
      </c>
      <c r="I3454" s="264"/>
      <c r="J3454" s="263" t="s">
        <v>437</v>
      </c>
    </row>
    <row r="3455" spans="1:10" x14ac:dyDescent="0.15">
      <c r="A3455" s="263" t="s">
        <v>8878</v>
      </c>
      <c r="B3455" s="263" t="s">
        <v>10186</v>
      </c>
      <c r="C3455" s="263" t="s">
        <v>99</v>
      </c>
      <c r="D3455" s="263" t="s">
        <v>10187</v>
      </c>
      <c r="E3455" s="263" t="s">
        <v>84</v>
      </c>
      <c r="F3455">
        <v>0</v>
      </c>
      <c r="G3455">
        <v>2</v>
      </c>
      <c r="H3455" s="263" t="s">
        <v>436</v>
      </c>
      <c r="I3455" s="264"/>
      <c r="J3455" s="263" t="s">
        <v>437</v>
      </c>
    </row>
    <row r="3456" spans="1:10" x14ac:dyDescent="0.15">
      <c r="A3456" s="263" t="s">
        <v>8879</v>
      </c>
      <c r="B3456" s="263" t="s">
        <v>10162</v>
      </c>
      <c r="C3456" s="263" t="s">
        <v>98</v>
      </c>
      <c r="D3456" s="263" t="s">
        <v>10163</v>
      </c>
      <c r="E3456" s="263" t="s">
        <v>110</v>
      </c>
      <c r="F3456">
        <v>0</v>
      </c>
      <c r="G3456">
        <v>2</v>
      </c>
      <c r="H3456" s="263" t="s">
        <v>436</v>
      </c>
      <c r="I3456" s="264"/>
      <c r="J3456" s="263" t="s">
        <v>437</v>
      </c>
    </row>
    <row r="3457" spans="1:10" x14ac:dyDescent="0.15">
      <c r="A3457" s="263" t="s">
        <v>8880</v>
      </c>
      <c r="B3457" s="263" t="s">
        <v>10164</v>
      </c>
      <c r="C3457" s="263" t="s">
        <v>98</v>
      </c>
      <c r="D3457" s="263" t="s">
        <v>10165</v>
      </c>
      <c r="E3457" s="263" t="s">
        <v>110</v>
      </c>
      <c r="F3457">
        <v>0</v>
      </c>
      <c r="G3457">
        <v>2</v>
      </c>
      <c r="H3457" s="263" t="s">
        <v>436</v>
      </c>
      <c r="I3457" s="264"/>
      <c r="J3457" s="263" t="s">
        <v>437</v>
      </c>
    </row>
    <row r="3458" spans="1:10" x14ac:dyDescent="0.15">
      <c r="A3458" s="263" t="s">
        <v>8881</v>
      </c>
      <c r="B3458" s="263" t="s">
        <v>8882</v>
      </c>
      <c r="C3458" s="263" t="s">
        <v>94</v>
      </c>
      <c r="D3458" s="263" t="s">
        <v>8883</v>
      </c>
      <c r="E3458" s="263" t="s">
        <v>94</v>
      </c>
      <c r="F3458">
        <v>0</v>
      </c>
      <c r="G3458">
        <v>2</v>
      </c>
      <c r="H3458" s="263" t="s">
        <v>436</v>
      </c>
      <c r="I3458" s="264"/>
      <c r="J3458" s="263" t="s">
        <v>437</v>
      </c>
    </row>
    <row r="3459" spans="1:10" x14ac:dyDescent="0.15">
      <c r="A3459" s="263" t="s">
        <v>8884</v>
      </c>
      <c r="B3459" s="263" t="s">
        <v>8885</v>
      </c>
      <c r="C3459" s="263" t="s">
        <v>78</v>
      </c>
      <c r="D3459" s="263" t="s">
        <v>8886</v>
      </c>
      <c r="E3459" s="263" t="s">
        <v>78</v>
      </c>
      <c r="F3459">
        <v>0</v>
      </c>
      <c r="G3459">
        <v>2</v>
      </c>
      <c r="H3459" s="263" t="s">
        <v>436</v>
      </c>
      <c r="I3459" s="264"/>
      <c r="J3459" s="263" t="s">
        <v>437</v>
      </c>
    </row>
    <row r="3460" spans="1:10" x14ac:dyDescent="0.15">
      <c r="A3460" s="263" t="s">
        <v>8887</v>
      </c>
      <c r="B3460" s="263" t="s">
        <v>8888</v>
      </c>
      <c r="C3460" s="263" t="s">
        <v>94</v>
      </c>
      <c r="D3460" s="263" t="s">
        <v>8889</v>
      </c>
      <c r="E3460" s="263" t="s">
        <v>94</v>
      </c>
      <c r="F3460">
        <v>0</v>
      </c>
      <c r="G3460">
        <v>2</v>
      </c>
      <c r="H3460" s="263" t="s">
        <v>436</v>
      </c>
      <c r="I3460" s="264"/>
      <c r="J3460" s="263" t="s">
        <v>437</v>
      </c>
    </row>
    <row r="3461" spans="1:10" x14ac:dyDescent="0.15">
      <c r="A3461" s="263" t="s">
        <v>8890</v>
      </c>
      <c r="B3461" s="263" t="s">
        <v>8891</v>
      </c>
      <c r="C3461" s="263" t="s">
        <v>96</v>
      </c>
      <c r="D3461" s="263" t="s">
        <v>8892</v>
      </c>
      <c r="E3461" s="263" t="s">
        <v>97</v>
      </c>
      <c r="F3461">
        <v>0</v>
      </c>
      <c r="G3461">
        <v>2</v>
      </c>
      <c r="H3461" s="263" t="s">
        <v>436</v>
      </c>
      <c r="I3461" s="264"/>
      <c r="J3461" s="263" t="s">
        <v>437</v>
      </c>
    </row>
    <row r="3462" spans="1:10" x14ac:dyDescent="0.15">
      <c r="A3462" s="263" t="s">
        <v>8893</v>
      </c>
      <c r="B3462" s="263" t="s">
        <v>8894</v>
      </c>
      <c r="C3462" s="263" t="s">
        <v>81</v>
      </c>
      <c r="D3462" s="263" t="s">
        <v>8895</v>
      </c>
      <c r="E3462" s="263" t="s">
        <v>88</v>
      </c>
      <c r="F3462">
        <v>0</v>
      </c>
      <c r="G3462">
        <v>2</v>
      </c>
      <c r="H3462" s="263" t="s">
        <v>436</v>
      </c>
      <c r="I3462" s="264"/>
      <c r="J3462" s="263" t="s">
        <v>437</v>
      </c>
    </row>
    <row r="3463" spans="1:10" x14ac:dyDescent="0.15">
      <c r="A3463" s="263" t="s">
        <v>8896</v>
      </c>
      <c r="B3463" s="263" t="s">
        <v>8897</v>
      </c>
      <c r="C3463" s="263" t="s">
        <v>94</v>
      </c>
      <c r="D3463" s="263" t="s">
        <v>8898</v>
      </c>
      <c r="E3463" s="263" t="s">
        <v>94</v>
      </c>
      <c r="F3463">
        <v>0</v>
      </c>
      <c r="G3463">
        <v>2</v>
      </c>
      <c r="H3463" s="263" t="s">
        <v>436</v>
      </c>
      <c r="I3463" s="264"/>
      <c r="J3463" s="263" t="s">
        <v>437</v>
      </c>
    </row>
    <row r="3464" spans="1:10" x14ac:dyDescent="0.15">
      <c r="A3464" s="263" t="s">
        <v>9171</v>
      </c>
      <c r="B3464" s="263" t="s">
        <v>9172</v>
      </c>
      <c r="C3464" s="263" t="s">
        <v>78</v>
      </c>
      <c r="D3464" s="263" t="s">
        <v>9173</v>
      </c>
      <c r="E3464" s="263" t="s">
        <v>78</v>
      </c>
      <c r="F3464">
        <v>0</v>
      </c>
      <c r="G3464">
        <v>2</v>
      </c>
      <c r="H3464" s="263" t="s">
        <v>436</v>
      </c>
      <c r="I3464" s="264"/>
      <c r="J3464" s="263" t="s">
        <v>437</v>
      </c>
    </row>
    <row r="3465" spans="1:10" x14ac:dyDescent="0.15">
      <c r="A3465" s="263" t="s">
        <v>9174</v>
      </c>
      <c r="B3465" s="263" t="s">
        <v>9175</v>
      </c>
      <c r="C3465" s="263" t="s">
        <v>94</v>
      </c>
      <c r="D3465" s="263" t="s">
        <v>9176</v>
      </c>
      <c r="E3465" s="263" t="s">
        <v>94</v>
      </c>
      <c r="F3465">
        <v>0</v>
      </c>
      <c r="G3465">
        <v>2</v>
      </c>
      <c r="H3465" s="263" t="s">
        <v>436</v>
      </c>
      <c r="I3465" s="264"/>
      <c r="J3465" s="263" t="s">
        <v>437</v>
      </c>
    </row>
    <row r="3466" spans="1:10" x14ac:dyDescent="0.15">
      <c r="A3466" s="263" t="s">
        <v>8899</v>
      </c>
      <c r="B3466" s="263" t="s">
        <v>10204</v>
      </c>
      <c r="C3466" s="263" t="s">
        <v>94</v>
      </c>
      <c r="D3466" s="263" t="s">
        <v>10205</v>
      </c>
      <c r="E3466" s="263" t="s">
        <v>94</v>
      </c>
      <c r="F3466">
        <v>0</v>
      </c>
      <c r="G3466">
        <v>2</v>
      </c>
      <c r="H3466" s="263" t="s">
        <v>436</v>
      </c>
      <c r="I3466" s="264"/>
      <c r="J3466" s="263" t="s">
        <v>437</v>
      </c>
    </row>
    <row r="3467" spans="1:10" x14ac:dyDescent="0.15">
      <c r="A3467" s="263" t="s">
        <v>8910</v>
      </c>
      <c r="B3467" s="263" t="s">
        <v>8911</v>
      </c>
      <c r="C3467" s="263" t="s">
        <v>96</v>
      </c>
      <c r="D3467" s="263" t="s">
        <v>8912</v>
      </c>
      <c r="E3467" s="263" t="s">
        <v>97</v>
      </c>
      <c r="F3467">
        <v>0</v>
      </c>
      <c r="G3467">
        <v>2</v>
      </c>
      <c r="H3467" s="263" t="s">
        <v>436</v>
      </c>
      <c r="I3467" s="264"/>
      <c r="J3467" s="263" t="s">
        <v>437</v>
      </c>
    </row>
    <row r="3468" spans="1:10" x14ac:dyDescent="0.15">
      <c r="A3468" s="263" t="s">
        <v>8913</v>
      </c>
      <c r="B3468" s="263" t="s">
        <v>8914</v>
      </c>
      <c r="C3468" s="263" t="s">
        <v>99</v>
      </c>
      <c r="D3468" s="263" t="s">
        <v>8915</v>
      </c>
      <c r="E3468" s="263" t="s">
        <v>84</v>
      </c>
      <c r="F3468">
        <v>0</v>
      </c>
      <c r="G3468">
        <v>2</v>
      </c>
      <c r="H3468" s="263" t="s">
        <v>436</v>
      </c>
      <c r="I3468" s="264"/>
      <c r="J3468" s="263" t="s">
        <v>437</v>
      </c>
    </row>
    <row r="3469" spans="1:10" x14ac:dyDescent="0.15">
      <c r="A3469" s="263" t="s">
        <v>8916</v>
      </c>
      <c r="B3469" s="263" t="s">
        <v>8917</v>
      </c>
      <c r="C3469" s="263" t="s">
        <v>99</v>
      </c>
      <c r="D3469" s="263" t="s">
        <v>8918</v>
      </c>
      <c r="E3469" s="263" t="s">
        <v>84</v>
      </c>
      <c r="F3469">
        <v>0</v>
      </c>
      <c r="G3469">
        <v>2</v>
      </c>
      <c r="H3469" s="263" t="s">
        <v>436</v>
      </c>
      <c r="I3469" s="264"/>
      <c r="J3469" s="263" t="s">
        <v>437</v>
      </c>
    </row>
    <row r="3470" spans="1:10" x14ac:dyDescent="0.15">
      <c r="A3470" s="263" t="s">
        <v>8919</v>
      </c>
      <c r="B3470" s="263" t="s">
        <v>8920</v>
      </c>
      <c r="C3470" s="263" t="s">
        <v>99</v>
      </c>
      <c r="D3470" s="263" t="s">
        <v>8921</v>
      </c>
      <c r="E3470" s="263" t="s">
        <v>84</v>
      </c>
      <c r="F3470">
        <v>0</v>
      </c>
      <c r="G3470">
        <v>2</v>
      </c>
      <c r="H3470" s="263" t="s">
        <v>436</v>
      </c>
      <c r="I3470" s="264"/>
      <c r="J3470" s="263" t="s">
        <v>437</v>
      </c>
    </row>
    <row r="3471" spans="1:10" x14ac:dyDescent="0.15">
      <c r="A3471" s="263" t="s">
        <v>8922</v>
      </c>
      <c r="B3471" s="263" t="s">
        <v>8923</v>
      </c>
      <c r="C3471" s="263" t="s">
        <v>96</v>
      </c>
      <c r="D3471" s="263" t="s">
        <v>8924</v>
      </c>
      <c r="E3471" s="263" t="s">
        <v>97</v>
      </c>
      <c r="F3471">
        <v>0</v>
      </c>
      <c r="G3471">
        <v>2</v>
      </c>
      <c r="H3471" s="263" t="s">
        <v>436</v>
      </c>
      <c r="I3471" s="264"/>
      <c r="J3471" s="263" t="s">
        <v>437</v>
      </c>
    </row>
    <row r="3472" spans="1:10" x14ac:dyDescent="0.15">
      <c r="A3472" s="263" t="s">
        <v>8925</v>
      </c>
      <c r="B3472" s="263" t="s">
        <v>8926</v>
      </c>
      <c r="C3472" s="263" t="s">
        <v>98</v>
      </c>
      <c r="D3472" s="263" t="s">
        <v>8927</v>
      </c>
      <c r="E3472" s="263" t="s">
        <v>110</v>
      </c>
      <c r="F3472">
        <v>0</v>
      </c>
      <c r="G3472">
        <v>2</v>
      </c>
      <c r="H3472" s="263" t="s">
        <v>436</v>
      </c>
      <c r="I3472" s="264"/>
      <c r="J3472" s="263" t="s">
        <v>437</v>
      </c>
    </row>
    <row r="3473" spans="1:10" x14ac:dyDescent="0.15">
      <c r="A3473" s="263" t="s">
        <v>8928</v>
      </c>
      <c r="B3473" s="263" t="s">
        <v>8929</v>
      </c>
      <c r="C3473" s="263" t="s">
        <v>96</v>
      </c>
      <c r="D3473" s="263" t="s">
        <v>8930</v>
      </c>
      <c r="E3473" s="263" t="s">
        <v>97</v>
      </c>
      <c r="F3473">
        <v>0</v>
      </c>
      <c r="G3473">
        <v>2</v>
      </c>
      <c r="H3473" s="263" t="s">
        <v>436</v>
      </c>
      <c r="I3473" s="264"/>
      <c r="J3473" s="263" t="s">
        <v>437</v>
      </c>
    </row>
    <row r="3474" spans="1:10" x14ac:dyDescent="0.15">
      <c r="A3474" s="263" t="s">
        <v>8931</v>
      </c>
      <c r="B3474" s="263" t="s">
        <v>8932</v>
      </c>
      <c r="C3474" s="263" t="s">
        <v>99</v>
      </c>
      <c r="D3474" s="263" t="s">
        <v>8933</v>
      </c>
      <c r="E3474" s="263" t="s">
        <v>84</v>
      </c>
      <c r="F3474">
        <v>0</v>
      </c>
      <c r="G3474">
        <v>2</v>
      </c>
      <c r="H3474" s="263" t="s">
        <v>436</v>
      </c>
      <c r="I3474" s="264"/>
      <c r="J3474" s="263" t="s">
        <v>437</v>
      </c>
    </row>
    <row r="3475" spans="1:10" x14ac:dyDescent="0.15">
      <c r="A3475" s="263" t="s">
        <v>8934</v>
      </c>
      <c r="B3475" s="263" t="s">
        <v>8935</v>
      </c>
      <c r="C3475" s="263" t="s">
        <v>96</v>
      </c>
      <c r="D3475" s="263" t="s">
        <v>8936</v>
      </c>
      <c r="E3475" s="263" t="s">
        <v>97</v>
      </c>
      <c r="F3475">
        <v>0</v>
      </c>
      <c r="G3475">
        <v>2</v>
      </c>
      <c r="H3475" s="263" t="s">
        <v>436</v>
      </c>
      <c r="I3475" s="264"/>
      <c r="J3475" s="263" t="s">
        <v>437</v>
      </c>
    </row>
    <row r="3476" spans="1:10" x14ac:dyDescent="0.15">
      <c r="A3476" s="263" t="s">
        <v>8949</v>
      </c>
      <c r="B3476" s="263" t="s">
        <v>8950</v>
      </c>
      <c r="C3476" s="263" t="s">
        <v>94</v>
      </c>
      <c r="D3476" s="263" t="s">
        <v>8951</v>
      </c>
      <c r="E3476" s="263" t="s">
        <v>94</v>
      </c>
      <c r="F3476">
        <v>0</v>
      </c>
      <c r="G3476">
        <v>2</v>
      </c>
      <c r="H3476" s="263" t="s">
        <v>436</v>
      </c>
      <c r="I3476" s="264"/>
      <c r="J3476" s="263" t="s">
        <v>437</v>
      </c>
    </row>
    <row r="3477" spans="1:10" x14ac:dyDescent="0.15">
      <c r="A3477" s="263" t="s">
        <v>8952</v>
      </c>
      <c r="B3477" s="263" t="s">
        <v>8950</v>
      </c>
      <c r="C3477" s="263" t="s">
        <v>78</v>
      </c>
      <c r="D3477" s="263" t="s">
        <v>8951</v>
      </c>
      <c r="E3477" s="263" t="s">
        <v>78</v>
      </c>
      <c r="F3477">
        <v>0</v>
      </c>
      <c r="G3477">
        <v>2</v>
      </c>
      <c r="H3477" s="263" t="s">
        <v>436</v>
      </c>
      <c r="I3477" s="264"/>
      <c r="J3477" s="263" t="s">
        <v>437</v>
      </c>
    </row>
    <row r="3478" spans="1:10" x14ac:dyDescent="0.15">
      <c r="A3478" s="263" t="s">
        <v>8953</v>
      </c>
      <c r="B3478" s="263" t="s">
        <v>8950</v>
      </c>
      <c r="C3478" s="263" t="s">
        <v>81</v>
      </c>
      <c r="D3478" s="263" t="s">
        <v>8951</v>
      </c>
      <c r="E3478" s="263" t="s">
        <v>88</v>
      </c>
      <c r="F3478">
        <v>0</v>
      </c>
      <c r="G3478">
        <v>2</v>
      </c>
      <c r="H3478" s="263" t="s">
        <v>436</v>
      </c>
      <c r="I3478" s="264"/>
      <c r="J3478" s="263" t="s">
        <v>437</v>
      </c>
    </row>
    <row r="3479" spans="1:10" x14ac:dyDescent="0.15">
      <c r="A3479" s="263" t="s">
        <v>8954</v>
      </c>
      <c r="B3479" s="263" t="s">
        <v>8950</v>
      </c>
      <c r="C3479" s="263" t="s">
        <v>87</v>
      </c>
      <c r="D3479" s="263" t="s">
        <v>8951</v>
      </c>
      <c r="E3479" s="263" t="s">
        <v>93</v>
      </c>
      <c r="F3479">
        <v>0</v>
      </c>
      <c r="G3479">
        <v>2</v>
      </c>
      <c r="H3479" s="263" t="s">
        <v>436</v>
      </c>
      <c r="I3479" s="264"/>
      <c r="J3479" s="263" t="s">
        <v>437</v>
      </c>
    </row>
    <row r="3480" spans="1:10" x14ac:dyDescent="0.15">
      <c r="A3480" s="263" t="s">
        <v>8955</v>
      </c>
      <c r="B3480" s="263" t="s">
        <v>8950</v>
      </c>
      <c r="C3480" s="263" t="s">
        <v>96</v>
      </c>
      <c r="D3480" s="263" t="s">
        <v>8951</v>
      </c>
      <c r="E3480" s="263" t="s">
        <v>97</v>
      </c>
      <c r="F3480">
        <v>0</v>
      </c>
      <c r="G3480">
        <v>2</v>
      </c>
      <c r="H3480" s="263" t="s">
        <v>436</v>
      </c>
      <c r="I3480" s="264"/>
      <c r="J3480" s="263" t="s">
        <v>437</v>
      </c>
    </row>
    <row r="3481" spans="1:10" x14ac:dyDescent="0.15">
      <c r="A3481" s="263" t="s">
        <v>8956</v>
      </c>
      <c r="B3481" s="263" t="s">
        <v>8950</v>
      </c>
      <c r="C3481" s="263" t="s">
        <v>99</v>
      </c>
      <c r="D3481" s="263" t="s">
        <v>8951</v>
      </c>
      <c r="E3481" s="263" t="s">
        <v>84</v>
      </c>
      <c r="F3481">
        <v>0</v>
      </c>
      <c r="G3481">
        <v>2</v>
      </c>
      <c r="H3481" s="263" t="s">
        <v>436</v>
      </c>
      <c r="I3481" s="264"/>
      <c r="J3481" s="263" t="s">
        <v>437</v>
      </c>
    </row>
    <row r="3482" spans="1:10" x14ac:dyDescent="0.15">
      <c r="A3482" s="263" t="s">
        <v>8957</v>
      </c>
      <c r="B3482" s="263" t="s">
        <v>8950</v>
      </c>
      <c r="C3482" s="263" t="s">
        <v>98</v>
      </c>
      <c r="D3482" s="263" t="s">
        <v>8951</v>
      </c>
      <c r="E3482" s="263" t="s">
        <v>110</v>
      </c>
      <c r="F3482">
        <v>0</v>
      </c>
      <c r="G3482">
        <v>2</v>
      </c>
      <c r="H3482" s="263" t="s">
        <v>436</v>
      </c>
      <c r="I3482" s="264"/>
      <c r="J3482" s="263" t="s">
        <v>437</v>
      </c>
    </row>
    <row r="3483" spans="1:10" x14ac:dyDescent="0.15">
      <c r="A3483" s="263" t="s">
        <v>8958</v>
      </c>
      <c r="B3483" s="263" t="s">
        <v>8950</v>
      </c>
      <c r="C3483" s="263" t="s">
        <v>105</v>
      </c>
      <c r="D3483" s="263" t="s">
        <v>8951</v>
      </c>
      <c r="E3483" s="263" t="s">
        <v>112</v>
      </c>
      <c r="F3483">
        <v>0</v>
      </c>
      <c r="G3483">
        <v>2</v>
      </c>
      <c r="H3483" s="263" t="s">
        <v>436</v>
      </c>
      <c r="I3483" s="264"/>
      <c r="J3483" s="263" t="s">
        <v>437</v>
      </c>
    </row>
    <row r="3484" spans="1:10" x14ac:dyDescent="0.15">
      <c r="A3484" s="263" t="s">
        <v>8959</v>
      </c>
      <c r="B3484" s="263" t="s">
        <v>8950</v>
      </c>
      <c r="C3484" s="263" t="s">
        <v>80</v>
      </c>
      <c r="D3484" s="263" t="s">
        <v>8951</v>
      </c>
      <c r="E3484" s="263" t="s">
        <v>86</v>
      </c>
      <c r="F3484">
        <v>0</v>
      </c>
      <c r="G3484">
        <v>2</v>
      </c>
      <c r="H3484" s="263" t="s">
        <v>436</v>
      </c>
      <c r="I3484" s="264"/>
      <c r="J3484" s="263" t="s">
        <v>437</v>
      </c>
    </row>
    <row r="3485" spans="1:10" x14ac:dyDescent="0.15">
      <c r="A3485" s="263" t="s">
        <v>8960</v>
      </c>
      <c r="B3485" s="263" t="s">
        <v>8950</v>
      </c>
      <c r="C3485" s="263" t="s">
        <v>85</v>
      </c>
      <c r="D3485" s="263" t="s">
        <v>8951</v>
      </c>
      <c r="E3485" s="263" t="s">
        <v>79</v>
      </c>
      <c r="F3485">
        <v>1</v>
      </c>
      <c r="G3485">
        <v>2</v>
      </c>
      <c r="H3485" s="263" t="s">
        <v>436</v>
      </c>
      <c r="I3485" s="264"/>
      <c r="J3485" s="263" t="s">
        <v>437</v>
      </c>
    </row>
    <row r="3486" spans="1:10" x14ac:dyDescent="0.15">
      <c r="A3486" s="263" t="s">
        <v>8961</v>
      </c>
      <c r="B3486" s="263" t="s">
        <v>8950</v>
      </c>
      <c r="C3486" s="263" t="s">
        <v>90</v>
      </c>
      <c r="D3486" s="263" t="s">
        <v>8951</v>
      </c>
      <c r="E3486" s="263" t="s">
        <v>104</v>
      </c>
      <c r="F3486">
        <v>1</v>
      </c>
      <c r="G3486">
        <v>2</v>
      </c>
      <c r="H3486" s="263" t="s">
        <v>436</v>
      </c>
      <c r="I3486" s="264"/>
      <c r="J3486" s="263" t="s">
        <v>437</v>
      </c>
    </row>
    <row r="3487" spans="1:10" x14ac:dyDescent="0.15">
      <c r="A3487" s="263" t="s">
        <v>8962</v>
      </c>
      <c r="B3487" s="263" t="s">
        <v>8950</v>
      </c>
      <c r="C3487" s="263" t="s">
        <v>107</v>
      </c>
      <c r="D3487" s="263" t="s">
        <v>8951</v>
      </c>
      <c r="E3487" s="263" t="s">
        <v>113</v>
      </c>
      <c r="F3487">
        <v>0</v>
      </c>
      <c r="G3487">
        <v>2</v>
      </c>
      <c r="H3487" s="263" t="s">
        <v>436</v>
      </c>
      <c r="I3487" s="264"/>
      <c r="J3487" s="263" t="s">
        <v>437</v>
      </c>
    </row>
    <row r="3488" spans="1:10" x14ac:dyDescent="0.15">
      <c r="A3488" s="263" t="s">
        <v>8963</v>
      </c>
      <c r="B3488" s="263" t="s">
        <v>8964</v>
      </c>
      <c r="C3488" s="263" t="s">
        <v>94</v>
      </c>
      <c r="D3488" s="263" t="s">
        <v>8965</v>
      </c>
      <c r="E3488" s="263" t="s">
        <v>94</v>
      </c>
      <c r="F3488">
        <v>0</v>
      </c>
      <c r="G3488">
        <v>2</v>
      </c>
      <c r="H3488" s="263" t="s">
        <v>436</v>
      </c>
      <c r="I3488" s="264"/>
      <c r="J3488" s="263" t="s">
        <v>437</v>
      </c>
    </row>
    <row r="3489" spans="1:10" x14ac:dyDescent="0.15">
      <c r="A3489" s="263" t="s">
        <v>8966</v>
      </c>
      <c r="B3489" s="263" t="s">
        <v>8967</v>
      </c>
      <c r="C3489" s="263" t="s">
        <v>94</v>
      </c>
      <c r="D3489" s="263" t="s">
        <v>8968</v>
      </c>
      <c r="E3489" s="263" t="s">
        <v>94</v>
      </c>
      <c r="F3489">
        <v>0</v>
      </c>
      <c r="G3489">
        <v>2</v>
      </c>
      <c r="H3489" s="263" t="s">
        <v>436</v>
      </c>
      <c r="I3489" s="264"/>
      <c r="J3489" s="263" t="s">
        <v>437</v>
      </c>
    </row>
    <row r="3490" spans="1:10" x14ac:dyDescent="0.15">
      <c r="A3490" s="263" t="s">
        <v>8969</v>
      </c>
      <c r="B3490" s="263" t="s">
        <v>8970</v>
      </c>
      <c r="C3490" s="263" t="s">
        <v>94</v>
      </c>
      <c r="D3490" s="263" t="s">
        <v>8971</v>
      </c>
      <c r="E3490" s="263" t="s">
        <v>94</v>
      </c>
      <c r="F3490">
        <v>0</v>
      </c>
      <c r="G3490">
        <v>2</v>
      </c>
      <c r="H3490" s="263" t="s">
        <v>436</v>
      </c>
      <c r="I3490" s="264"/>
      <c r="J3490" s="263" t="s">
        <v>437</v>
      </c>
    </row>
    <row r="3491" spans="1:10" x14ac:dyDescent="0.15">
      <c r="A3491" s="263" t="s">
        <v>8972</v>
      </c>
      <c r="B3491" s="263" t="s">
        <v>8973</v>
      </c>
      <c r="C3491" s="263" t="s">
        <v>94</v>
      </c>
      <c r="D3491" s="263" t="s">
        <v>8974</v>
      </c>
      <c r="E3491" s="263" t="s">
        <v>94</v>
      </c>
      <c r="F3491">
        <v>0</v>
      </c>
      <c r="G3491">
        <v>2</v>
      </c>
      <c r="H3491" s="263" t="s">
        <v>436</v>
      </c>
      <c r="I3491" s="264"/>
      <c r="J3491" s="263" t="s">
        <v>437</v>
      </c>
    </row>
    <row r="3492" spans="1:10" x14ac:dyDescent="0.15">
      <c r="A3492" s="263" t="s">
        <v>8975</v>
      </c>
      <c r="B3492" s="263" t="s">
        <v>8973</v>
      </c>
      <c r="C3492" s="263" t="s">
        <v>78</v>
      </c>
      <c r="D3492" s="263" t="s">
        <v>8974</v>
      </c>
      <c r="E3492" s="263" t="s">
        <v>78</v>
      </c>
      <c r="F3492">
        <v>0</v>
      </c>
      <c r="G3492">
        <v>2</v>
      </c>
      <c r="H3492" s="263" t="s">
        <v>436</v>
      </c>
      <c r="I3492" s="264"/>
      <c r="J3492" s="263" t="s">
        <v>437</v>
      </c>
    </row>
    <row r="3493" spans="1:10" x14ac:dyDescent="0.15">
      <c r="A3493" s="263" t="s">
        <v>8976</v>
      </c>
      <c r="B3493" s="263" t="s">
        <v>8973</v>
      </c>
      <c r="C3493" s="263" t="s">
        <v>81</v>
      </c>
      <c r="D3493" s="263" t="s">
        <v>8974</v>
      </c>
      <c r="E3493" s="263" t="s">
        <v>88</v>
      </c>
      <c r="F3493">
        <v>0</v>
      </c>
      <c r="G3493">
        <v>2</v>
      </c>
      <c r="H3493" s="263" t="s">
        <v>436</v>
      </c>
      <c r="I3493" s="264"/>
      <c r="J3493" s="263" t="s">
        <v>437</v>
      </c>
    </row>
    <row r="3494" spans="1:10" x14ac:dyDescent="0.15">
      <c r="A3494" s="263" t="s">
        <v>8977</v>
      </c>
      <c r="B3494" s="263" t="s">
        <v>8973</v>
      </c>
      <c r="C3494" s="263" t="s">
        <v>87</v>
      </c>
      <c r="D3494" s="263" t="s">
        <v>8974</v>
      </c>
      <c r="E3494" s="263" t="s">
        <v>93</v>
      </c>
      <c r="F3494">
        <v>0</v>
      </c>
      <c r="G3494">
        <v>2</v>
      </c>
      <c r="H3494" s="263" t="s">
        <v>436</v>
      </c>
      <c r="I3494" s="264"/>
      <c r="J3494" s="263" t="s">
        <v>437</v>
      </c>
    </row>
    <row r="3495" spans="1:10" x14ac:dyDescent="0.15">
      <c r="A3495" s="263" t="s">
        <v>8978</v>
      </c>
      <c r="B3495" s="263" t="s">
        <v>8973</v>
      </c>
      <c r="C3495" s="263" t="s">
        <v>96</v>
      </c>
      <c r="D3495" s="263" t="s">
        <v>8974</v>
      </c>
      <c r="E3495" s="263" t="s">
        <v>97</v>
      </c>
      <c r="F3495">
        <v>0</v>
      </c>
      <c r="G3495">
        <v>2</v>
      </c>
      <c r="H3495" s="263" t="s">
        <v>436</v>
      </c>
      <c r="I3495" s="264"/>
      <c r="J3495" s="263" t="s">
        <v>437</v>
      </c>
    </row>
    <row r="3496" spans="1:10" x14ac:dyDescent="0.15">
      <c r="A3496" s="263" t="s">
        <v>8979</v>
      </c>
      <c r="B3496" s="263" t="s">
        <v>8973</v>
      </c>
      <c r="C3496" s="263" t="s">
        <v>99</v>
      </c>
      <c r="D3496" s="263" t="s">
        <v>8974</v>
      </c>
      <c r="E3496" s="263" t="s">
        <v>84</v>
      </c>
      <c r="F3496">
        <v>0</v>
      </c>
      <c r="G3496">
        <v>2</v>
      </c>
      <c r="H3496" s="263" t="s">
        <v>436</v>
      </c>
      <c r="I3496" s="264"/>
      <c r="J3496" s="263" t="s">
        <v>437</v>
      </c>
    </row>
    <row r="3497" spans="1:10" x14ac:dyDescent="0.15">
      <c r="A3497" s="263" t="s">
        <v>8980</v>
      </c>
      <c r="B3497" s="263" t="s">
        <v>8973</v>
      </c>
      <c r="C3497" s="263" t="s">
        <v>98</v>
      </c>
      <c r="D3497" s="263" t="s">
        <v>8974</v>
      </c>
      <c r="E3497" s="263" t="s">
        <v>110</v>
      </c>
      <c r="F3497">
        <v>0</v>
      </c>
      <c r="G3497">
        <v>2</v>
      </c>
      <c r="H3497" s="263" t="s">
        <v>436</v>
      </c>
      <c r="I3497" s="264"/>
      <c r="J3497" s="263" t="s">
        <v>437</v>
      </c>
    </row>
    <row r="3498" spans="1:10" x14ac:dyDescent="0.15">
      <c r="A3498" s="263" t="s">
        <v>8981</v>
      </c>
      <c r="B3498" s="263" t="s">
        <v>8973</v>
      </c>
      <c r="C3498" s="263" t="s">
        <v>105</v>
      </c>
      <c r="D3498" s="263" t="s">
        <v>8974</v>
      </c>
      <c r="E3498" s="263" t="s">
        <v>112</v>
      </c>
      <c r="F3498">
        <v>0</v>
      </c>
      <c r="G3498">
        <v>2</v>
      </c>
      <c r="H3498" s="263" t="s">
        <v>436</v>
      </c>
      <c r="I3498" s="264"/>
      <c r="J3498" s="263" t="s">
        <v>437</v>
      </c>
    </row>
    <row r="3499" spans="1:10" x14ac:dyDescent="0.15">
      <c r="A3499" s="263" t="s">
        <v>8982</v>
      </c>
      <c r="B3499" s="263" t="s">
        <v>8973</v>
      </c>
      <c r="C3499" s="263" t="s">
        <v>80</v>
      </c>
      <c r="D3499" s="263" t="s">
        <v>8974</v>
      </c>
      <c r="E3499" s="263" t="s">
        <v>86</v>
      </c>
      <c r="F3499">
        <v>0</v>
      </c>
      <c r="G3499">
        <v>2</v>
      </c>
      <c r="H3499" s="263" t="s">
        <v>436</v>
      </c>
      <c r="I3499" s="264"/>
      <c r="J3499" s="263" t="s">
        <v>437</v>
      </c>
    </row>
    <row r="3500" spans="1:10" x14ac:dyDescent="0.15">
      <c r="A3500" s="263" t="s">
        <v>8983</v>
      </c>
      <c r="B3500" s="263" t="s">
        <v>8973</v>
      </c>
      <c r="C3500" s="263" t="s">
        <v>85</v>
      </c>
      <c r="D3500" s="263" t="s">
        <v>8974</v>
      </c>
      <c r="E3500" s="263" t="s">
        <v>79</v>
      </c>
      <c r="F3500">
        <v>1</v>
      </c>
      <c r="G3500">
        <v>2</v>
      </c>
      <c r="H3500" s="263" t="s">
        <v>436</v>
      </c>
      <c r="I3500" s="264"/>
      <c r="J3500" s="263" t="s">
        <v>437</v>
      </c>
    </row>
    <row r="3501" spans="1:10" x14ac:dyDescent="0.15">
      <c r="A3501" s="263" t="s">
        <v>8984</v>
      </c>
      <c r="B3501" s="263" t="s">
        <v>8973</v>
      </c>
      <c r="C3501" s="263" t="s">
        <v>90</v>
      </c>
      <c r="D3501" s="263" t="s">
        <v>8974</v>
      </c>
      <c r="E3501" s="263" t="s">
        <v>104</v>
      </c>
      <c r="F3501">
        <v>1</v>
      </c>
      <c r="G3501">
        <v>2</v>
      </c>
      <c r="H3501" s="263" t="s">
        <v>436</v>
      </c>
      <c r="I3501" s="264"/>
      <c r="J3501" s="263" t="s">
        <v>437</v>
      </c>
    </row>
    <row r="3502" spans="1:10" x14ac:dyDescent="0.15">
      <c r="A3502" s="263" t="s">
        <v>8985</v>
      </c>
      <c r="B3502" s="263" t="s">
        <v>8973</v>
      </c>
      <c r="C3502" s="263" t="s">
        <v>107</v>
      </c>
      <c r="D3502" s="263" t="s">
        <v>8974</v>
      </c>
      <c r="E3502" s="263" t="s">
        <v>113</v>
      </c>
      <c r="F3502">
        <v>0</v>
      </c>
      <c r="G3502">
        <v>2</v>
      </c>
      <c r="H3502" s="263" t="s">
        <v>436</v>
      </c>
      <c r="I3502" s="264"/>
      <c r="J3502" s="263" t="s">
        <v>437</v>
      </c>
    </row>
    <row r="3503" spans="1:10" x14ac:dyDescent="0.15">
      <c r="A3503" s="263" t="s">
        <v>8986</v>
      </c>
      <c r="B3503" s="263" t="s">
        <v>8987</v>
      </c>
      <c r="C3503" s="263" t="s">
        <v>94</v>
      </c>
      <c r="D3503" s="263" t="s">
        <v>8988</v>
      </c>
      <c r="E3503" s="263" t="s">
        <v>94</v>
      </c>
      <c r="F3503">
        <v>0</v>
      </c>
      <c r="G3503">
        <v>2</v>
      </c>
      <c r="H3503" s="263" t="s">
        <v>436</v>
      </c>
      <c r="I3503" s="264"/>
      <c r="J3503" s="263" t="s">
        <v>437</v>
      </c>
    </row>
    <row r="3504" spans="1:10" x14ac:dyDescent="0.15">
      <c r="A3504" s="263" t="s">
        <v>8989</v>
      </c>
      <c r="B3504" s="263" t="s">
        <v>8987</v>
      </c>
      <c r="C3504" s="263" t="s">
        <v>78</v>
      </c>
      <c r="D3504" s="263" t="s">
        <v>8988</v>
      </c>
      <c r="E3504" s="263" t="s">
        <v>78</v>
      </c>
      <c r="F3504">
        <v>0</v>
      </c>
      <c r="G3504">
        <v>2</v>
      </c>
      <c r="H3504" s="263" t="s">
        <v>436</v>
      </c>
      <c r="I3504" s="264"/>
      <c r="J3504" s="263" t="s">
        <v>437</v>
      </c>
    </row>
    <row r="3505" spans="1:10" x14ac:dyDescent="0.15">
      <c r="A3505" s="263" t="s">
        <v>8990</v>
      </c>
      <c r="B3505" s="263" t="s">
        <v>8991</v>
      </c>
      <c r="C3505" s="263" t="s">
        <v>94</v>
      </c>
      <c r="D3505" s="263" t="s">
        <v>8991</v>
      </c>
      <c r="E3505" s="263" t="s">
        <v>94</v>
      </c>
      <c r="F3505">
        <v>0</v>
      </c>
      <c r="G3505">
        <v>2</v>
      </c>
      <c r="H3505" s="263" t="s">
        <v>436</v>
      </c>
      <c r="I3505" s="264"/>
      <c r="J3505" s="263" t="s">
        <v>437</v>
      </c>
    </row>
    <row r="3506" spans="1:10" x14ac:dyDescent="0.15">
      <c r="A3506" s="263" t="s">
        <v>8992</v>
      </c>
      <c r="B3506" s="263" t="s">
        <v>8993</v>
      </c>
      <c r="C3506" s="263" t="s">
        <v>94</v>
      </c>
      <c r="D3506" s="263" t="s">
        <v>8994</v>
      </c>
      <c r="E3506" s="263" t="s">
        <v>94</v>
      </c>
      <c r="F3506">
        <v>0</v>
      </c>
      <c r="G3506">
        <v>2</v>
      </c>
      <c r="H3506" s="263" t="s">
        <v>436</v>
      </c>
      <c r="I3506" s="264"/>
      <c r="J3506" s="263" t="s">
        <v>437</v>
      </c>
    </row>
    <row r="3507" spans="1:10" x14ac:dyDescent="0.15">
      <c r="A3507" s="263" t="s">
        <v>8995</v>
      </c>
      <c r="B3507" s="263" t="s">
        <v>8993</v>
      </c>
      <c r="C3507" s="263" t="s">
        <v>78</v>
      </c>
      <c r="D3507" s="263" t="s">
        <v>8994</v>
      </c>
      <c r="E3507" s="263" t="s">
        <v>78</v>
      </c>
      <c r="F3507">
        <v>0</v>
      </c>
      <c r="G3507">
        <v>2</v>
      </c>
      <c r="H3507" s="263" t="s">
        <v>436</v>
      </c>
      <c r="I3507" s="264"/>
      <c r="J3507" s="263" t="s">
        <v>437</v>
      </c>
    </row>
    <row r="3508" spans="1:10" x14ac:dyDescent="0.15">
      <c r="A3508" s="263" t="s">
        <v>8996</v>
      </c>
      <c r="B3508" s="263" t="s">
        <v>8997</v>
      </c>
      <c r="C3508" s="263" t="s">
        <v>94</v>
      </c>
      <c r="D3508" s="263" t="s">
        <v>8998</v>
      </c>
      <c r="E3508" s="263" t="s">
        <v>94</v>
      </c>
      <c r="F3508">
        <v>0</v>
      </c>
      <c r="G3508">
        <v>2</v>
      </c>
      <c r="H3508" s="263" t="s">
        <v>2114</v>
      </c>
      <c r="I3508" s="264">
        <v>45533</v>
      </c>
      <c r="J3508" s="263" t="s">
        <v>10206</v>
      </c>
    </row>
    <row r="3509" spans="1:10" x14ac:dyDescent="0.15">
      <c r="A3509" s="263" t="s">
        <v>8999</v>
      </c>
      <c r="B3509" s="263" t="s">
        <v>9000</v>
      </c>
      <c r="C3509" s="263" t="s">
        <v>94</v>
      </c>
      <c r="D3509" s="263" t="s">
        <v>9001</v>
      </c>
      <c r="E3509" s="263" t="s">
        <v>94</v>
      </c>
      <c r="F3509">
        <v>0</v>
      </c>
      <c r="G3509">
        <v>2</v>
      </c>
      <c r="H3509" s="263" t="s">
        <v>2114</v>
      </c>
      <c r="I3509" s="264">
        <v>45568</v>
      </c>
      <c r="J3509" s="263" t="s">
        <v>10206</v>
      </c>
    </row>
    <row r="3510" spans="1:10" x14ac:dyDescent="0.15">
      <c r="A3510" s="263" t="s">
        <v>9002</v>
      </c>
      <c r="B3510" s="263" t="s">
        <v>9000</v>
      </c>
      <c r="C3510" s="263" t="s">
        <v>80</v>
      </c>
      <c r="D3510" s="263" t="s">
        <v>9001</v>
      </c>
      <c r="E3510" s="263" t="s">
        <v>86</v>
      </c>
      <c r="F3510">
        <v>0</v>
      </c>
      <c r="G3510">
        <v>2</v>
      </c>
      <c r="H3510" s="263" t="s">
        <v>2114</v>
      </c>
      <c r="I3510" s="264">
        <v>45568</v>
      </c>
      <c r="J3510" s="263" t="s">
        <v>10206</v>
      </c>
    </row>
    <row r="3511" spans="1:10" x14ac:dyDescent="0.15">
      <c r="A3511" s="263" t="s">
        <v>9003</v>
      </c>
      <c r="B3511" s="263" t="s">
        <v>9004</v>
      </c>
      <c r="C3511" s="263" t="s">
        <v>94</v>
      </c>
      <c r="D3511" s="263" t="s">
        <v>9005</v>
      </c>
      <c r="E3511" s="263" t="s">
        <v>94</v>
      </c>
      <c r="F3511">
        <v>0</v>
      </c>
      <c r="G3511">
        <v>2</v>
      </c>
      <c r="H3511" s="263" t="s">
        <v>2114</v>
      </c>
      <c r="I3511" s="264">
        <v>45568</v>
      </c>
      <c r="J3511" s="263" t="s">
        <v>10206</v>
      </c>
    </row>
    <row r="3512" spans="1:10" x14ac:dyDescent="0.15">
      <c r="A3512" s="263" t="s">
        <v>9006</v>
      </c>
      <c r="B3512" s="263" t="s">
        <v>9007</v>
      </c>
      <c r="C3512" s="263" t="s">
        <v>94</v>
      </c>
      <c r="D3512" s="263" t="s">
        <v>9008</v>
      </c>
      <c r="E3512" s="263" t="s">
        <v>94</v>
      </c>
      <c r="F3512">
        <v>0</v>
      </c>
      <c r="G3512">
        <v>2</v>
      </c>
      <c r="H3512" s="263" t="s">
        <v>2114</v>
      </c>
      <c r="I3512" s="264">
        <v>45568</v>
      </c>
      <c r="J3512" s="263" t="s">
        <v>10206</v>
      </c>
    </row>
    <row r="3513" spans="1:10" x14ac:dyDescent="0.15">
      <c r="A3513" s="263" t="s">
        <v>9179</v>
      </c>
      <c r="B3513" s="263" t="s">
        <v>9180</v>
      </c>
      <c r="C3513" s="263" t="s">
        <v>94</v>
      </c>
      <c r="D3513" s="263" t="s">
        <v>9181</v>
      </c>
      <c r="E3513" s="263" t="s">
        <v>94</v>
      </c>
      <c r="F3513">
        <v>0</v>
      </c>
      <c r="G3513">
        <v>2</v>
      </c>
      <c r="H3513" s="263" t="s">
        <v>2114</v>
      </c>
      <c r="I3513" s="264">
        <v>45568</v>
      </c>
      <c r="J3513" s="263" t="s">
        <v>10206</v>
      </c>
    </row>
    <row r="3514" spans="1:10" x14ac:dyDescent="0.15">
      <c r="A3514" s="263" t="s">
        <v>9009</v>
      </c>
      <c r="B3514" s="263" t="s">
        <v>9010</v>
      </c>
      <c r="C3514" s="263" t="s">
        <v>94</v>
      </c>
      <c r="D3514" s="263" t="s">
        <v>9011</v>
      </c>
      <c r="E3514" s="263" t="s">
        <v>94</v>
      </c>
      <c r="F3514">
        <v>0</v>
      </c>
      <c r="G3514">
        <v>2</v>
      </c>
      <c r="H3514" s="263" t="s">
        <v>2114</v>
      </c>
      <c r="I3514" s="264">
        <v>45568</v>
      </c>
      <c r="J3514" s="263" t="s">
        <v>10206</v>
      </c>
    </row>
    <row r="3515" spans="1:10" x14ac:dyDescent="0.15">
      <c r="A3515" s="263" t="s">
        <v>9012</v>
      </c>
      <c r="B3515" s="263" t="s">
        <v>9013</v>
      </c>
      <c r="C3515" s="263" t="s">
        <v>80</v>
      </c>
      <c r="D3515" s="263" t="s">
        <v>9014</v>
      </c>
      <c r="E3515" s="263" t="s">
        <v>86</v>
      </c>
      <c r="F3515">
        <v>0</v>
      </c>
      <c r="G3515">
        <v>2</v>
      </c>
      <c r="H3515" s="263" t="s">
        <v>9015</v>
      </c>
      <c r="I3515" s="264">
        <v>45568</v>
      </c>
      <c r="J3515" s="263" t="s">
        <v>10206</v>
      </c>
    </row>
    <row r="3516" spans="1:10" x14ac:dyDescent="0.15">
      <c r="A3516" s="263" t="s">
        <v>9016</v>
      </c>
      <c r="B3516" s="263" t="s">
        <v>9017</v>
      </c>
      <c r="C3516" s="263" t="s">
        <v>94</v>
      </c>
      <c r="D3516" s="263" t="s">
        <v>9018</v>
      </c>
      <c r="E3516" s="263" t="s">
        <v>94</v>
      </c>
      <c r="F3516">
        <v>0</v>
      </c>
      <c r="G3516">
        <v>2</v>
      </c>
      <c r="H3516" s="263" t="s">
        <v>9015</v>
      </c>
      <c r="I3516" s="264">
        <v>45568</v>
      </c>
      <c r="J3516" s="263" t="s">
        <v>10206</v>
      </c>
    </row>
    <row r="3517" spans="1:10" x14ac:dyDescent="0.15">
      <c r="A3517" s="263" t="s">
        <v>9019</v>
      </c>
      <c r="B3517" s="263" t="s">
        <v>9020</v>
      </c>
      <c r="C3517" s="263" t="s">
        <v>101</v>
      </c>
      <c r="D3517" s="263" t="s">
        <v>9021</v>
      </c>
      <c r="E3517" s="263" t="s">
        <v>106</v>
      </c>
      <c r="F3517">
        <v>0</v>
      </c>
      <c r="G3517">
        <v>2</v>
      </c>
      <c r="H3517" s="263" t="s">
        <v>9015</v>
      </c>
      <c r="I3517" s="264">
        <v>45568</v>
      </c>
      <c r="J3517" s="263" t="s">
        <v>10206</v>
      </c>
    </row>
    <row r="3518" spans="1:10" x14ac:dyDescent="0.15">
      <c r="A3518" s="263" t="s">
        <v>9022</v>
      </c>
      <c r="B3518" s="263" t="s">
        <v>9023</v>
      </c>
      <c r="C3518" s="263" t="s">
        <v>94</v>
      </c>
      <c r="D3518" s="263" t="s">
        <v>9024</v>
      </c>
      <c r="E3518" s="263" t="s">
        <v>94</v>
      </c>
      <c r="F3518">
        <v>0</v>
      </c>
      <c r="G3518">
        <v>2</v>
      </c>
      <c r="H3518" s="263" t="s">
        <v>9015</v>
      </c>
      <c r="I3518" s="264">
        <v>45568</v>
      </c>
      <c r="J3518" s="263" t="s">
        <v>10206</v>
      </c>
    </row>
    <row r="3519" spans="1:10" x14ac:dyDescent="0.15">
      <c r="A3519" s="263" t="s">
        <v>9025</v>
      </c>
      <c r="B3519" s="263" t="s">
        <v>9026</v>
      </c>
      <c r="C3519" s="263" t="s">
        <v>94</v>
      </c>
      <c r="D3519" s="263" t="s">
        <v>9027</v>
      </c>
      <c r="E3519" s="263" t="s">
        <v>94</v>
      </c>
      <c r="F3519">
        <v>0</v>
      </c>
      <c r="G3519">
        <v>2</v>
      </c>
      <c r="H3519" s="263" t="s">
        <v>9015</v>
      </c>
      <c r="I3519" s="264">
        <v>45568</v>
      </c>
      <c r="J3519" s="263" t="s">
        <v>10206</v>
      </c>
    </row>
    <row r="3520" spans="1:10" x14ac:dyDescent="0.15">
      <c r="A3520" s="263" t="s">
        <v>9028</v>
      </c>
      <c r="B3520" s="263" t="s">
        <v>9020</v>
      </c>
      <c r="C3520" s="263" t="s">
        <v>80</v>
      </c>
      <c r="D3520" s="263" t="s">
        <v>9021</v>
      </c>
      <c r="E3520" s="263" t="s">
        <v>86</v>
      </c>
      <c r="F3520">
        <v>0</v>
      </c>
      <c r="G3520">
        <v>2</v>
      </c>
      <c r="H3520" s="263" t="s">
        <v>9015</v>
      </c>
      <c r="I3520" s="264">
        <v>45568</v>
      </c>
      <c r="J3520" s="263" t="s">
        <v>10206</v>
      </c>
    </row>
    <row r="3521" spans="1:10" x14ac:dyDescent="0.15">
      <c r="A3521" s="263" t="s">
        <v>9029</v>
      </c>
      <c r="B3521" s="263" t="s">
        <v>9030</v>
      </c>
      <c r="C3521" s="263" t="s">
        <v>94</v>
      </c>
      <c r="D3521" s="263" t="s">
        <v>9031</v>
      </c>
      <c r="E3521" s="263" t="s">
        <v>94</v>
      </c>
      <c r="F3521">
        <v>0</v>
      </c>
      <c r="G3521">
        <v>2</v>
      </c>
      <c r="H3521" s="263" t="s">
        <v>9015</v>
      </c>
      <c r="I3521" s="264">
        <v>45568</v>
      </c>
      <c r="J3521" s="263" t="s">
        <v>10206</v>
      </c>
    </row>
  </sheetData>
  <phoneticPr fontId="1" type="noConversion"/>
  <pageMargins left="0.7" right="0.7" top="0.75" bottom="0.75" header="0.3" footer="0.3"/>
  <pageSetup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1CCFF7-2B89-4DC7-96F6-2E24C7F7682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108</vt:i4>
      </vt:variant>
    </vt:vector>
  </HeadingPairs>
  <TitlesOfParts>
    <vt:vector size="118" baseType="lpstr">
      <vt:lpstr>Information</vt:lpstr>
      <vt:lpstr>Inputs</vt:lpstr>
      <vt:lpstr>Sheet</vt:lpstr>
      <vt:lpstr>EE_Summary</vt:lpstr>
      <vt:lpstr>Listing</vt:lpstr>
      <vt:lpstr>Bid Tabs Summary</vt:lpstr>
      <vt:lpstr>Bid Tabs</vt:lpstr>
      <vt:lpstr>GIS</vt:lpstr>
      <vt:lpstr>Calculations</vt:lpstr>
      <vt:lpstr>Pay Items</vt:lpstr>
      <vt:lpstr>Account</vt:lpstr>
      <vt:lpstr>AccountRange</vt:lpstr>
      <vt:lpstr>All?</vt:lpstr>
      <vt:lpstr>AwardAmt</vt:lpstr>
      <vt:lpstr>AwardDate</vt:lpstr>
      <vt:lpstr>Awarded2</vt:lpstr>
      <vt:lpstr>Awd?</vt:lpstr>
      <vt:lpstr>Base</vt:lpstr>
      <vt:lpstr>Sheet!Begin</vt:lpstr>
      <vt:lpstr>BeginLine</vt:lpstr>
      <vt:lpstr>Bid?</vt:lpstr>
      <vt:lpstr>BiddersRange</vt:lpstr>
      <vt:lpstr>BidsRange</vt:lpstr>
      <vt:lpstr>BridgeList</vt:lpstr>
      <vt:lpstr>col_D</vt:lpstr>
      <vt:lpstr>col_Description</vt:lpstr>
      <vt:lpstr>col_R</vt:lpstr>
      <vt:lpstr>col_Remarks</vt:lpstr>
      <vt:lpstr>col_Schedule</vt:lpstr>
      <vt:lpstr>ConstrList</vt:lpstr>
      <vt:lpstr>ConstrType</vt:lpstr>
      <vt:lpstr>ContractNum</vt:lpstr>
      <vt:lpstr>County</vt:lpstr>
      <vt:lpstr>DataSensitivity</vt:lpstr>
      <vt:lpstr>Decimals</vt:lpstr>
      <vt:lpstr>Density</vt:lpstr>
      <vt:lpstr>Description</vt:lpstr>
      <vt:lpstr>Division</vt:lpstr>
      <vt:lpstr>EE</vt:lpstr>
      <vt:lpstr>EE.Acct</vt:lpstr>
      <vt:lpstr>EE.AcctCalc</vt:lpstr>
      <vt:lpstr>Sheet!End</vt:lpstr>
      <vt:lpstr>EngEst</vt:lpstr>
      <vt:lpstr>Sheet!Filename</vt:lpstr>
      <vt:lpstr>FLMA</vt:lpstr>
      <vt:lpstr>FLMA1</vt:lpstr>
      <vt:lpstr>FLMA2</vt:lpstr>
      <vt:lpstr>FP</vt:lpstr>
      <vt:lpstr>Full?</vt:lpstr>
      <vt:lpstr>Funding1</vt:lpstr>
      <vt:lpstr>Funding2</vt:lpstr>
      <vt:lpstr>Funding3</vt:lpstr>
      <vt:lpstr>Sheet!Header</vt:lpstr>
      <vt:lpstr>Sheet!Headings</vt:lpstr>
      <vt:lpstr>'Bid Tabs Summary'!Highlights</vt:lpstr>
      <vt:lpstr>EE_Summary!Highlights</vt:lpstr>
      <vt:lpstr>Incr</vt:lpstr>
      <vt:lpstr>LaneMiles</vt:lpstr>
      <vt:lpstr>Letter</vt:lpstr>
      <vt:lpstr>lines_D</vt:lpstr>
      <vt:lpstr>lines_R</vt:lpstr>
      <vt:lpstr>Location</vt:lpstr>
      <vt:lpstr>MaxAccts</vt:lpstr>
      <vt:lpstr>MaxRows</vt:lpstr>
      <vt:lpstr>MinRows</vt:lpstr>
      <vt:lpstr>Name</vt:lpstr>
      <vt:lpstr>NPS.Drwg</vt:lpstr>
      <vt:lpstr>NPS.PMIS</vt:lpstr>
      <vt:lpstr>NumEstItems</vt:lpstr>
      <vt:lpstr>NumPayItems</vt:lpstr>
      <vt:lpstr>Partner1</vt:lpstr>
      <vt:lpstr>Partner2</vt:lpstr>
      <vt:lpstr>Partner3</vt:lpstr>
      <vt:lpstr>Pay.Items</vt:lpstr>
      <vt:lpstr>Pay_items</vt:lpstr>
      <vt:lpstr>Prefix</vt:lpstr>
      <vt:lpstr>EE_Summary!Print_Area</vt:lpstr>
      <vt:lpstr>Sheet!Print_Area</vt:lpstr>
      <vt:lpstr>'Bid Tabs'!Print_Titles</vt:lpstr>
      <vt:lpstr>'Bid Tabs Summary'!Print_Titles</vt:lpstr>
      <vt:lpstr>Listing!Print_Titles</vt:lpstr>
      <vt:lpstr>'Bid Tabs'!PrintRange</vt:lpstr>
      <vt:lpstr>Listing!PrintRange</vt:lpstr>
      <vt:lpstr>Project</vt:lpstr>
      <vt:lpstr>ProjectLength</vt:lpstr>
      <vt:lpstr>ProjectLine1</vt:lpstr>
      <vt:lpstr>ProjectLine2</vt:lpstr>
      <vt:lpstr>RangeAmend</vt:lpstr>
      <vt:lpstr>RangeBidders</vt:lpstr>
      <vt:lpstr>RangeBidRank</vt:lpstr>
      <vt:lpstr>RangeContrQty</vt:lpstr>
      <vt:lpstr>RangeCount</vt:lpstr>
      <vt:lpstr>RangeDesc</vt:lpstr>
      <vt:lpstr>RangeDesc2</vt:lpstr>
      <vt:lpstr>RangeEE</vt:lpstr>
      <vt:lpstr>RangeEstCount</vt:lpstr>
      <vt:lpstr>RangeItems</vt:lpstr>
      <vt:lpstr>RangePlanCount</vt:lpstr>
      <vt:lpstr>RangeQuantity</vt:lpstr>
      <vt:lpstr>RangeUnit</vt:lpstr>
      <vt:lpstr>RangeUnitPrice</vt:lpstr>
      <vt:lpstr>SchedOpt</vt:lpstr>
      <vt:lpstr>Sheet</vt:lpstr>
      <vt:lpstr>Sheet!SheetNum</vt:lpstr>
      <vt:lpstr>SheetsAvailable</vt:lpstr>
      <vt:lpstr>SheetsNeeded</vt:lpstr>
      <vt:lpstr>Sheet!SheetTab</vt:lpstr>
      <vt:lpstr>Solicitation</vt:lpstr>
      <vt:lpstr>TabAmount</vt:lpstr>
      <vt:lpstr>TabCount</vt:lpstr>
      <vt:lpstr>Table_rows</vt:lpstr>
      <vt:lpstr>Terrain</vt:lpstr>
      <vt:lpstr>TotalLines</vt:lpstr>
      <vt:lpstr>Units</vt:lpstr>
      <vt:lpstr>Units_Met</vt:lpstr>
      <vt:lpstr>Units_USC</vt:lpstr>
      <vt:lpstr>widthPayItem</vt:lpstr>
      <vt:lpstr>widthRemarks</vt:lpstr>
    </vt:vector>
  </TitlesOfParts>
  <Manager/>
  <Company>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FLH Engineer's Estimate</dc:title>
  <dc:subject/>
  <dc:creator>stephen chapman</dc:creator>
  <cp:keywords/>
  <dc:description>17-Feb-2016 (FP-14)</dc:description>
  <cp:lastModifiedBy>Chapman, Stephen (FHWA)</cp:lastModifiedBy>
  <cp:revision/>
  <cp:lastPrinted>2024-12-02T15:29:44Z</cp:lastPrinted>
  <dcterms:created xsi:type="dcterms:W3CDTF">2011-03-01T21:36:01Z</dcterms:created>
  <dcterms:modified xsi:type="dcterms:W3CDTF">2024-12-02T16:25:50Z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